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omments1.xml" ContentType="application/vnd.openxmlformats-officedocument.spreadsheetml.comments+xml"/>
  <Override PartName="/xl/charts/chart6.xml" ContentType="application/vnd.openxmlformats-officedocument.drawingml.chart+xml"/>
  <Override PartName="/xl/drawings/drawing4.xml" ContentType="application/vnd.openxmlformats-officedocument.drawing+xml"/>
  <Override PartName="/xl/comments2.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xml"/>
  <Override PartName="/xl/comments3.xml" ContentType="application/vnd.openxmlformats-officedocument.spreadsheetml.comments+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ml.chartshapes+xml"/>
  <Override PartName="/xl/charts/chart15.xml" ContentType="application/vnd.openxmlformats-officedocument.drawingml.chart+xml"/>
  <Override PartName="/xl/drawings/drawing9.xml" ContentType="application/vnd.openxmlformats-officedocument.drawing+xml"/>
  <Override PartName="/xl/charts/chart16.xml" ContentType="application/vnd.openxmlformats-officedocument.drawingml.chart+xml"/>
  <Override PartName="/xl/drawings/drawing10.xml" ContentType="application/vnd.openxmlformats-officedocument.drawingml.chartshapes+xml"/>
  <Override PartName="/xl/charts/chart1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3.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16.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drawings/drawing17.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8.xml" ContentType="application/vnd.openxmlformats-officedocument.drawing+xml"/>
  <Override PartName="/xl/charts/chart28.xml" ContentType="application/vnd.openxmlformats-officedocument.drawingml.chart+xml"/>
  <Override PartName="/xl/drawings/drawing1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2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21.xml" ContentType="application/vnd.openxmlformats-officedocument.drawing+xml"/>
  <Override PartName="/xl/charts/chart37.xml" ContentType="application/vnd.openxmlformats-officedocument.drawingml.chart+xml"/>
  <Override PartName="/xl/drawings/drawing22.xml" ContentType="application/vnd.openxmlformats-officedocument.drawing+xml"/>
  <Override PartName="/xl/charts/chart38.xml" ContentType="application/vnd.openxmlformats-officedocument.drawingml.chart+xml"/>
  <Override PartName="/xl/drawings/drawing2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4.xml" ContentType="application/vnd.openxmlformats-officedocument.drawing+xml"/>
  <Override PartName="/xl/charts/chart4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5.xml" ContentType="application/vnd.openxmlformats-officedocument.drawing+xml"/>
  <Override PartName="/xl/charts/chart4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6.xml" ContentType="application/vnd.openxmlformats-officedocument.drawing+xml"/>
  <Override PartName="/xl/charts/chart4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7.xml" ContentType="application/vnd.openxmlformats-officedocument.drawing+xml"/>
  <Override PartName="/xl/charts/chart44.xml" ContentType="application/vnd.openxmlformats-officedocument.drawingml.chart+xml"/>
  <Override PartName="/xl/charts/style5.xml" ContentType="application/vnd.ms-office.chartstyle+xml"/>
  <Override PartName="/xl/charts/colors5.xml" ContentType="application/vnd.ms-office.chartcolorstyle+xml"/>
  <Override PartName="/xl/charts/chart4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8.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9.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30.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31.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3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33.xml" ContentType="application/vnd.openxmlformats-officedocument.drawing+xml"/>
  <Override PartName="/xl/charts/chart60.xml" ContentType="application/vnd.openxmlformats-officedocument.drawingml.chart+xml"/>
  <Override PartName="/xl/drawings/drawing34.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5.xml" ContentType="application/vnd.openxmlformats-officedocument.drawing+xml"/>
  <Override PartName="/xl/charts/chart63.xml" ContentType="application/vnd.openxmlformats-officedocument.drawingml.chart+xml"/>
  <Override PartName="/xl/drawings/drawing36.xml" ContentType="application/vnd.openxmlformats-officedocument.drawingml.chartshapes+xml"/>
  <Override PartName="/xl/charts/chart64.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65.xml" ContentType="application/vnd.openxmlformats-officedocument.drawingml.chart+xml"/>
  <Override PartName="/xl/drawings/drawing39.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0.xml" ContentType="application/vnd.openxmlformats-officedocument.drawing+xml"/>
  <Override PartName="/xl/charts/chart71.xml" ContentType="application/vnd.openxmlformats-officedocument.drawingml.chart+xml"/>
  <Override PartName="/xl/drawings/drawing41.xml" ContentType="application/vnd.openxmlformats-officedocument.drawing+xml"/>
  <Override PartName="/xl/charts/chart72.xml" ContentType="application/vnd.openxmlformats-officedocument.drawingml.chart+xml"/>
  <Override PartName="/xl/drawings/drawing42.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3.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44.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5.xml" ContentType="application/vnd.openxmlformats-officedocument.drawing+xml"/>
  <Override PartName="/xl/charts/chart81.xml" ContentType="application/vnd.openxmlformats-officedocument.drawingml.chart+xml"/>
  <Override PartName="/xl/drawings/drawing46.xml" ContentType="application/vnd.openxmlformats-officedocument.drawing+xml"/>
  <Override PartName="/xl/charts/chart82.xml" ContentType="application/vnd.openxmlformats-officedocument.drawingml.chart+xml"/>
  <Override PartName="/xl/drawings/drawing47.xml" ContentType="application/vnd.openxmlformats-officedocument.drawingml.chartshapes+xml"/>
  <Override PartName="/xl/charts/chart83.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84.xml" ContentType="application/vnd.openxmlformats-officedocument.drawingml.chart+xml"/>
  <Override PartName="/xl/drawings/drawing50.xml" ContentType="application/vnd.openxmlformats-officedocument.drawing+xml"/>
  <Override PartName="/xl/charts/chart85.xml" ContentType="application/vnd.openxmlformats-officedocument.drawingml.chart+xml"/>
  <Override PartName="/xl/drawings/drawing51.xml" ContentType="application/vnd.openxmlformats-officedocument.drawing+xml"/>
  <Override PartName="/xl/charts/chart86.xml" ContentType="application/vnd.openxmlformats-officedocument.drawingml.chart+xml"/>
  <Override PartName="/xl/drawings/drawing52.xml" ContentType="application/vnd.openxmlformats-officedocument.drawingml.chartshapes+xml"/>
  <Override PartName="/xl/charts/chart87.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55.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56.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57.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drawings/drawing58.xml" ContentType="application/vnd.openxmlformats-officedocument.drawing+xml"/>
  <Override PartName="/xl/charts/chart100.xml" ContentType="application/vnd.openxmlformats-officedocument.drawingml.chart+xml"/>
  <Override PartName="/xl/drawings/drawing59.xml" ContentType="application/vnd.openxmlformats-officedocument.drawing+xml"/>
  <Override PartName="/xl/charts/chart101.xml" ContentType="application/vnd.openxmlformats-officedocument.drawingml.chart+xml"/>
  <Override PartName="/xl/drawings/drawing60.xml" ContentType="application/vnd.openxmlformats-officedocument.drawing+xml"/>
  <Override PartName="/xl/charts/chart102.xml" ContentType="application/vnd.openxmlformats-officedocument.drawingml.chart+xml"/>
  <Override PartName="/xl/charts/chart103.xml" ContentType="application/vnd.openxmlformats-officedocument.drawingml.chart+xml"/>
  <Override PartName="/xl/drawings/drawing61.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106.xml" ContentType="application/vnd.openxmlformats-officedocument.drawingml.chart+xml"/>
  <Override PartName="/xl/drawings/drawing6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66.xml" ContentType="application/vnd.openxmlformats-officedocument.drawing+xml"/>
  <Override PartName="/xl/charts/chart112.xml" ContentType="application/vnd.openxmlformats-officedocument.drawingml.chart+xml"/>
  <Override PartName="/xl/drawings/drawing67.xml" ContentType="application/vnd.openxmlformats-officedocument.drawing+xml"/>
  <Override PartName="/xl/charts/chart113.xml" ContentType="application/vnd.openxmlformats-officedocument.drawingml.chart+xml"/>
  <Override PartName="/xl/drawings/drawing68.xml" ContentType="application/vnd.openxmlformats-officedocument.drawing+xml"/>
  <Override PartName="/xl/charts/chart114.xml" ContentType="application/vnd.openxmlformats-officedocument.drawingml.chart+xml"/>
  <Override PartName="/xl/drawings/drawing69.xml" ContentType="application/vnd.openxmlformats-officedocument.drawing+xml"/>
  <Override PartName="/xl/charts/chart1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0.xml" ContentType="application/vnd.openxmlformats-officedocument.drawing+xml"/>
  <Override PartName="/xl/charts/chart1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71.xml" ContentType="application/vnd.openxmlformats-officedocument.drawing+xml"/>
  <Override PartName="/xl/charts/chart1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72.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73.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drawings/drawing74.xml" ContentType="application/vnd.openxmlformats-officedocument.drawing+xml"/>
  <Override PartName="/xl/charts/chart123.xml" ContentType="application/vnd.openxmlformats-officedocument.drawingml.chart+xml"/>
  <Override PartName="/xl/drawings/drawing75.xml" ContentType="application/vnd.openxmlformats-officedocument.drawing+xml"/>
  <Override PartName="/xl/charts/chart124.xml" ContentType="application/vnd.openxmlformats-officedocument.drawingml.chart+xml"/>
  <Override PartName="/xl/drawings/drawing76.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charts/style18.xml" ContentType="application/vnd.ms-office.chartstyle+xml"/>
  <Override PartName="/xl/charts/colors18.xml" ContentType="application/vnd.ms-office.chartcolorstyle+xml"/>
  <Override PartName="/xl/charts/chart12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77.xml" ContentType="application/vnd.openxmlformats-officedocument.drawing+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78.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drawings/drawing79.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0.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81.xml" ContentType="application/vnd.openxmlformats-officedocument.drawing+xml"/>
  <Override PartName="/xl/charts/chart139.xml" ContentType="application/vnd.openxmlformats-officedocument.drawingml.chart+xml"/>
  <Override PartName="/xl/charts/chart140.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82.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83.xml" ContentType="application/vnd.openxmlformats-officedocument.drawing+xml"/>
  <Override PartName="/xl/charts/chart1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4.xml" ContentType="application/vnd.openxmlformats-officedocument.drawing+xml"/>
  <Override PartName="/xl/charts/chart144.xml" ContentType="application/vnd.openxmlformats-officedocument.drawingml.chart+xml"/>
  <Override PartName="/xl/charts/style26.xml" ContentType="application/vnd.ms-office.chartstyle+xml"/>
  <Override PartName="/xl/charts/colors26.xml" ContentType="application/vnd.ms-office.chartcolorstyle+xml"/>
  <Override PartName="/xl/charts/chart14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5.xml" ContentType="application/vnd.openxmlformats-officedocument.drawing+xml"/>
  <Override PartName="/xl/charts/chart146.xml" ContentType="application/vnd.openxmlformats-officedocument.drawingml.chart+xml"/>
  <Override PartName="/xl/charts/chart14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6.xml" ContentType="application/vnd.openxmlformats-officedocument.drawing+xml"/>
  <Override PartName="/xl/charts/chart148.xml" ContentType="application/vnd.openxmlformats-officedocument.drawingml.chart+xml"/>
  <Override PartName="/xl/theme/themeOverride1.xml" ContentType="application/vnd.openxmlformats-officedocument.themeOverride+xml"/>
  <Override PartName="/xl/drawings/drawing87.xml" ContentType="application/vnd.openxmlformats-officedocument.drawing+xml"/>
  <Override PartName="/xl/charts/chart14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8.xml" ContentType="application/vnd.openxmlformats-officedocument.drawing+xml"/>
  <Override PartName="/xl/charts/chart150.xml" ContentType="application/vnd.openxmlformats-officedocument.drawingml.chart+xml"/>
  <Override PartName="/xl/drawings/drawing89.xml" ContentType="application/vnd.openxmlformats-officedocument.drawing+xml"/>
  <Override PartName="/xl/charts/chart151.xml" ContentType="application/vnd.openxmlformats-officedocument.drawingml.chart+xml"/>
  <Override PartName="/xl/drawings/drawing90.xml" ContentType="application/vnd.openxmlformats-officedocument.drawing+xml"/>
  <Override PartName="/xl/comments4.xml" ContentType="application/vnd.openxmlformats-officedocument.spreadsheetml.comments+xml"/>
  <Override PartName="/xl/charts/chart15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charts/chart153.xml" ContentType="application/vnd.openxmlformats-officedocument.drawingml.chart+xml"/>
  <Override PartName="/xl/charts/chart154.xml" ContentType="application/vnd.openxmlformats-officedocument.drawingml.chart+xml"/>
  <Override PartName="/xl/drawings/drawing93.xml" ContentType="application/vnd.openxmlformats-officedocument.drawing+xml"/>
  <Override PartName="/xl/charts/chart155.xml" ContentType="application/vnd.openxmlformats-officedocument.drawingml.chart+xml"/>
  <Override PartName="/xl/drawings/drawing94.xml" ContentType="application/vnd.openxmlformats-officedocument.drawing+xml"/>
  <Override PartName="/xl/charts/chart156.xml" ContentType="application/vnd.openxmlformats-officedocument.drawingml.chart+xml"/>
  <Override PartName="/xl/charts/chart157.xml" ContentType="application/vnd.openxmlformats-officedocument.drawingml.chart+xml"/>
  <Override PartName="/xl/drawings/drawing95.xml" ContentType="application/vnd.openxmlformats-officedocument.drawing+xml"/>
  <Override PartName="/xl/charts/chart158.xml" ContentType="application/vnd.openxmlformats-officedocument.drawingml.chart+xml"/>
  <Override PartName="/xl/charts/chart15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mc:AlternateContent xmlns:mc="http://schemas.openxmlformats.org/markup-compatibility/2006">
    <mc:Choice Requires="x15">
      <x15ac:absPath xmlns:x15ac="http://schemas.microsoft.com/office/spreadsheetml/2010/11/ac" url="\\vmpme-ptaho-fnp02\users\Malesela.Ramosibudi\"/>
    </mc:Choice>
  </mc:AlternateContent>
  <xr:revisionPtr revIDLastSave="0" documentId="8_{1196485E-B6E7-4E2D-9AEE-400FE5AA2A94}" xr6:coauthVersionLast="36" xr6:coauthVersionMax="36" xr10:uidLastSave="{00000000-0000-0000-0000-000000000000}"/>
  <bookViews>
    <workbookView xWindow="0" yWindow="0" windowWidth="19200" windowHeight="8145" firstSheet="86" activeTab="92" xr2:uid="{00000000-000D-0000-FFFF-FFFF00000000}"/>
  </bookViews>
  <sheets>
    <sheet name="Revenue Collection" sheetId="278" r:id="rId1"/>
    <sheet name="Audits " sheetId="279" r:id="rId2"/>
    <sheet name=" Corruption perception" sheetId="227" r:id="rId3"/>
    <sheet name="Budget Transparency" sheetId="228" r:id="rId4"/>
    <sheet name="Public Opinion" sheetId="231" r:id="rId5"/>
    <sheet name="Doing Business" sheetId="229" state="hidden" r:id="rId6"/>
    <sheet name="GDP" sheetId="187" r:id="rId7"/>
    <sheet name="GDP per Capita" sheetId="188" r:id="rId8"/>
    <sheet name="NFDI " sheetId="189" r:id="rId9"/>
    <sheet name="GFCF " sheetId="190" r:id="rId10"/>
    <sheet name="Budget Balance" sheetId="191" r:id="rId11"/>
    <sheet name="Government debt " sheetId="192" r:id="rId12"/>
    <sheet name="Interest " sheetId="193" r:id="rId13"/>
    <sheet name="Inflation" sheetId="194" r:id="rId14"/>
    <sheet name="Bond Points Spread" sheetId="197" r:id="rId15"/>
    <sheet name="Balance of Payments" sheetId="195" r:id="rId16"/>
    <sheet name="Competitiveness_SA_Outlook " sheetId="201" r:id="rId17"/>
    <sheet name="Black &amp; Female Managers" sheetId="219" r:id="rId18"/>
    <sheet name="COMPETITIVE AND ACCESSIBLE MARK" sheetId="202" r:id="rId19"/>
    <sheet name="Unemployment" sheetId="269" r:id="rId20"/>
    <sheet name="Employed" sheetId="270" r:id="rId21"/>
    <sheet name="Education Attainment and NEET" sheetId="126" r:id="rId22"/>
    <sheet name="EPWP" sheetId="207" r:id="rId23"/>
    <sheet name="R&amp;D" sheetId="280" r:id="rId24"/>
    <sheet name="ICT  " sheetId="255" r:id="rId25"/>
    <sheet name="Patents" sheetId="281" r:id="rId26"/>
    <sheet name="Dwellings " sheetId="276" r:id="rId27"/>
    <sheet name="Water " sheetId="222" r:id="rId28"/>
    <sheet name="Sanitation" sheetId="221" r:id="rId29"/>
    <sheet name="Electricity" sheetId="220" r:id="rId30"/>
    <sheet name="Land restitution " sheetId="267" r:id="rId31"/>
    <sheet name="Land Acquired - Redistribution" sheetId="286" r:id="rId32"/>
    <sheet name="Food Poverty Lines" sheetId="179" r:id="rId33"/>
    <sheet name="Social Grants" sheetId="110" r:id="rId34"/>
    <sheet name="Persons with disability " sheetId="111" r:id="rId35"/>
    <sheet name="Life Expectancy " sheetId="114" r:id="rId36"/>
    <sheet name="Infant &amp; Child mortality" sheetId="115" r:id="rId37"/>
    <sheet name="Severe Acute Malnutrition" sheetId="116" r:id="rId38"/>
    <sheet name="Immunization" sheetId="117" r:id="rId39"/>
    <sheet name="Maternal Mortality" sheetId="118" r:id="rId40"/>
    <sheet name="HIV Prevalance " sheetId="119" r:id="rId41"/>
    <sheet name="ART new TROA" sheetId="120" r:id="rId42"/>
    <sheet name="TB" sheetId="121" r:id="rId43"/>
    <sheet name="Malaria" sheetId="122" r:id="rId44"/>
    <sheet name="ECD " sheetId="256" r:id="rId45"/>
    <sheet name="Educator Learner ratio " sheetId="257" r:id="rId46"/>
    <sheet name="Gender Parity Index" sheetId="274" r:id="rId47"/>
    <sheet name="Matric pass rate" sheetId="273" r:id="rId48"/>
    <sheet name="Mathematics pass rate " sheetId="260" r:id="rId49"/>
    <sheet name="Literacy rate" sheetId="261" r:id="rId50"/>
    <sheet name="SET Uni" sheetId="272" r:id="rId51"/>
    <sheet name="Educational Perfomance " sheetId="263" r:id="rId52"/>
    <sheet name="Maths, science perf " sheetId="264" r:id="rId53"/>
    <sheet name="Skills and training " sheetId="271" r:id="rId54"/>
    <sheet name="Pride in being SA" sheetId="138" r:id="rId55"/>
    <sheet name="Country direction" sheetId="136" r:id="rId56"/>
    <sheet name="Self description" sheetId="137" r:id="rId57"/>
    <sheet name="Race relations opinion" sheetId="135" r:id="rId58"/>
    <sheet name="Confidence in a happy future" sheetId="134" r:id="rId59"/>
    <sheet name="Voter Participation" sheetId="171" r:id="rId60"/>
    <sheet name="Voters per Prov" sheetId="172" r:id="rId61"/>
    <sheet name="Women legislative bodies" sheetId="173" r:id="rId62"/>
    <sheet name="Greenhouse Gas Emissions " sheetId="175" r:id="rId63"/>
    <sheet name="Air Quality Indicators" sheetId="176" r:id="rId64"/>
    <sheet name="Terresterial Biodiversity" sheetId="177" r:id="rId65"/>
    <sheet name="Marine Biodiverity Protection" sheetId="178" r:id="rId66"/>
    <sheet name="Competitive_and_accessible-mark" sheetId="210" state="hidden" r:id="rId67"/>
    <sheet name="ICT " sheetId="199" state="hidden" r:id="rId68"/>
    <sheet name="Multidimensional poverty Index" sheetId="157" state="hidden" r:id="rId69"/>
    <sheet name="Poverty Headcount" sheetId="159" state="hidden" r:id="rId70"/>
    <sheet name="Inequality" sheetId="158" state="hidden" r:id="rId71"/>
    <sheet name="Poverty Gap indices  " sheetId="160" state="hidden" r:id="rId72"/>
    <sheet name="UN Police Ratio" sheetId="268" r:id="rId73"/>
    <sheet name="Crime Victims " sheetId="237" r:id="rId74"/>
    <sheet name="Serious Crime rate " sheetId="238" r:id="rId75"/>
    <sheet name="Property crime Cases" sheetId="283" r:id="rId76"/>
    <sheet name="Property crimes Ratio" sheetId="239" state="hidden" r:id="rId77"/>
    <sheet name="Contact crime rate" sheetId="240" r:id="rId78"/>
    <sheet name="Serious robberies" sheetId="241" r:id="rId79"/>
    <sheet name="Drug-Related Crimes" sheetId="242" r:id="rId80"/>
    <sheet name="Sexual offences" sheetId="243" r:id="rId81"/>
    <sheet name="Cybercrime " sheetId="244" r:id="rId82"/>
    <sheet name="Corruption Cases" sheetId="245" r:id="rId83"/>
    <sheet name="Conviction rate" sheetId="246" r:id="rId84"/>
    <sheet name="Inmate" sheetId="247" r:id="rId85"/>
    <sheet name="Rehabilitation  " sheetId="284" r:id="rId86"/>
    <sheet name="Parolees" sheetId="249" r:id="rId87"/>
    <sheet name="Road Accidents " sheetId="282" r:id="rId88"/>
    <sheet name="Development cooperation" sheetId="251" r:id="rId89"/>
    <sheet name="Tourism World" sheetId="277" r:id="rId90"/>
    <sheet name="Missions" sheetId="253" r:id="rId91"/>
    <sheet name="International Agreements" sheetId="254" r:id="rId92"/>
    <sheet name="Foreign Trade" sheetId="285" r:id="rId93"/>
    <sheet name="Property crime" sheetId="141" state="hidden" r:id="rId94"/>
  </sheets>
  <externalReferences>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s>
  <definedNames>
    <definedName name="_AMO_UniqueIdentifier" hidden="1">"'96803818-9363-4ac2-8db8-841b60aa1c62'"</definedName>
    <definedName name="_msocom_4" localSheetId="42">TB!#REF!</definedName>
    <definedName name="OLE_LINK1" localSheetId="63">'Air Quality Indicators'!#REF!</definedName>
    <definedName name="OLE_LINK1" localSheetId="62">'Greenhouse Gas Emissions '!#REF!</definedName>
    <definedName name="OLE_LINK1" localSheetId="65">'Marine Biodiverity Protection'!#REF!</definedName>
    <definedName name="OLE_LINK1" localSheetId="64">'Terresterial Biodiversity'!#REF!</definedName>
    <definedName name="_xlnm.Print_Area" localSheetId="2">' Corruption perception'!$A$1:$AE$38</definedName>
    <definedName name="_xlnm.Print_Area" localSheetId="63">'Air Quality Indicators'!$A$1:$W$48</definedName>
    <definedName name="_xlnm.Print_Area" localSheetId="41">'ART new TROA'!$A$1:$W$33</definedName>
    <definedName name="_xlnm.Print_Area" localSheetId="1">'Audits '!$A$1:$Z$43</definedName>
    <definedName name="_xlnm.Print_Area" localSheetId="15">'Balance of Payments'!$A$1:$AH$107</definedName>
    <definedName name="_xlnm.Print_Area" localSheetId="17">'Black &amp; Female Managers'!$A$1:$AA$37</definedName>
    <definedName name="_xlnm.Print_Area" localSheetId="14">'Bond Points Spread'!$A$1:$AE$32</definedName>
    <definedName name="_xlnm.Print_Area" localSheetId="10">'Budget Balance'!$A$1:$AJ$35</definedName>
    <definedName name="_xlnm.Print_Area" localSheetId="3">'Budget Transparency'!$A$1:$BI$44</definedName>
    <definedName name="_xlnm.Print_Area" localSheetId="18">'COMPETITIVE AND ACCESSIBLE MARK'!$A$1:$Z$29</definedName>
    <definedName name="_xlnm.Print_Area" localSheetId="66">'Competitive_and_accessible-mark'!$A$1:$Z$50</definedName>
    <definedName name="_xlnm.Print_Area" localSheetId="16">'Competitiveness_SA_Outlook '!$A$1:$U$133</definedName>
    <definedName name="_xlnm.Print_Area" localSheetId="58">'Confidence in a happy future'!$A$1:$AU$52</definedName>
    <definedName name="_xlnm.Print_Area" localSheetId="77">'Contact crime rate'!$A$1:$AI$42</definedName>
    <definedName name="_xlnm.Print_Area" localSheetId="83">'Conviction rate'!$A$1:$Z$34</definedName>
    <definedName name="_xlnm.Print_Area" localSheetId="82">'Corruption Cases'!$A$1:$S$38</definedName>
    <definedName name="_xlnm.Print_Area" localSheetId="55">'Country direction'!$A$1:$V$50</definedName>
    <definedName name="_xlnm.Print_Area" localSheetId="73">'Crime Victims '!$A$1:$Y$60</definedName>
    <definedName name="_xlnm.Print_Area" localSheetId="81">'Cybercrime '!$A$1:$S$39</definedName>
    <definedName name="_xlnm.Print_Area" localSheetId="88">'Development cooperation'!$A$1:$X$36</definedName>
    <definedName name="_xlnm.Print_Area" localSheetId="5">'Doing Business'!$A$1:$Y$63</definedName>
    <definedName name="_xlnm.Print_Area" localSheetId="79">'Drug-Related Crimes'!$A$1:$W$49</definedName>
    <definedName name="_xlnm.Print_Area" localSheetId="26">'Dwellings '!$A$1:$AH$63</definedName>
    <definedName name="_xlnm.Print_Area" localSheetId="44">'ECD '!$A$1:$Z$50</definedName>
    <definedName name="_xlnm.Print_Area" localSheetId="21">'Education Attainment and NEET'!$A$1:$S$79</definedName>
    <definedName name="_xlnm.Print_Area" localSheetId="51">'Educational Perfomance '!$A$1:$U$30</definedName>
    <definedName name="_xlnm.Print_Area" localSheetId="45">'Educator Learner ratio '!$A$1:$AV$47</definedName>
    <definedName name="_xlnm.Print_Area" localSheetId="29">Electricity!$A$1:$Y$55</definedName>
    <definedName name="_xlnm.Print_Area" localSheetId="20">Employed!$A$1:$AA$57</definedName>
    <definedName name="_xlnm.Print_Area" localSheetId="22">EPWP!$A$1:$W$45</definedName>
    <definedName name="_xlnm.Print_Area" localSheetId="92">'Foreign Trade'!$A$1:$R$149</definedName>
    <definedName name="_xlnm.Print_Area" localSheetId="6">GDP!$A$1:$AH$57</definedName>
    <definedName name="_xlnm.Print_Area" localSheetId="7">'GDP per Capita'!$A$1:$AH$62</definedName>
    <definedName name="_xlnm.Print_Area" localSheetId="46">'Gender Parity Index'!$A$1:$AE$69</definedName>
    <definedName name="_xlnm.Print_Area" localSheetId="9">'GFCF '!$A$1:$AG$32</definedName>
    <definedName name="_xlnm.Print_Area" localSheetId="11">'Government debt '!$A$1:$AH$32</definedName>
    <definedName name="_xlnm.Print_Area" localSheetId="62">'Greenhouse Gas Emissions '!$A$1:$AA$46</definedName>
    <definedName name="_xlnm.Print_Area" localSheetId="40">'HIV Prevalance '!$A$1:$AA$43</definedName>
    <definedName name="_xlnm.Print_Area" localSheetId="67">'ICT '!$A$1:$Z$92</definedName>
    <definedName name="_xlnm.Print_Area" localSheetId="24">'ICT  '!$A$1:$AB$92</definedName>
    <definedName name="_xlnm.Print_Area" localSheetId="38">Immunization!$A$1:$AD$48</definedName>
    <definedName name="_xlnm.Print_Area" localSheetId="70">Inequality!$A$1:$T$83</definedName>
    <definedName name="_xlnm.Print_Area" localSheetId="36">'Infant &amp; Child mortality'!$A$1:$AD$68</definedName>
    <definedName name="_xlnm.Print_Area" localSheetId="13">Inflation!$A$1:$AH$41</definedName>
    <definedName name="_xlnm.Print_Area" localSheetId="84">Inmate!$A$1:$AG$62</definedName>
    <definedName name="_xlnm.Print_Area" localSheetId="12">'Interest '!$A$1:$AH$41</definedName>
    <definedName name="_xlnm.Print_Area" localSheetId="91">'International Agreements'!$A$1:$AA$40</definedName>
    <definedName name="_xlnm.Print_Area" localSheetId="30">'Land restitution '!$A$1:$AF$54</definedName>
    <definedName name="_xlnm.Print_Area" localSheetId="35">'Life Expectancy '!$A$1:$Z$54</definedName>
    <definedName name="_xlnm.Print_Area" localSheetId="49">'Literacy rate'!$A$1:$AF$48</definedName>
    <definedName name="_xlnm.Print_Area" localSheetId="43">Malaria!$A$1:$AE$32</definedName>
    <definedName name="_xlnm.Print_Area" localSheetId="65">'Marine Biodiverity Protection'!$A$1:$Q$48</definedName>
    <definedName name="_xlnm.Print_Area" localSheetId="39">'Maternal Mortality'!$A$1:$AD$38</definedName>
    <definedName name="_xlnm.Print_Area" localSheetId="48">'Mathematics pass rate '!$A$1:$AI$33</definedName>
    <definedName name="_xlnm.Print_Area" localSheetId="52">'Maths, science perf '!$A$1:$W$41</definedName>
    <definedName name="_xlnm.Print_Area" localSheetId="47">'Matric pass rate'!$A$1:$AW$48</definedName>
    <definedName name="_xlnm.Print_Area" localSheetId="90">Missions!$A$1:$AB$65</definedName>
    <definedName name="_xlnm.Print_Area" localSheetId="68">'Multidimensional poverty Index'!$A$1:$O$26</definedName>
    <definedName name="_xlnm.Print_Area" localSheetId="8">'NFDI '!$A$1:$AH$34</definedName>
    <definedName name="_xlnm.Print_Area" localSheetId="86">Parolees!$A$1:$AH$40</definedName>
    <definedName name="_xlnm.Print_Area" localSheetId="25">Patents!$A$1:$AH$62</definedName>
    <definedName name="_xlnm.Print_Area" localSheetId="34">'Persons with disability '!$A$1:$BB$44</definedName>
    <definedName name="_xlnm.Print_Area" localSheetId="71">'Poverty Gap indices  '!$A$1:$R$40</definedName>
    <definedName name="_xlnm.Print_Area" localSheetId="69">'Poverty Headcount'!$A$1:$J$35</definedName>
    <definedName name="_xlnm.Print_Area" localSheetId="54">'Pride in being SA'!$A$1:$AT$50</definedName>
    <definedName name="_xlnm.Print_Area" localSheetId="93">'Property crime'!$A$1:$AF$36</definedName>
    <definedName name="_xlnm.Print_Area" localSheetId="75">'Property crime Cases'!$A$1:$AG$36</definedName>
    <definedName name="_xlnm.Print_Area" localSheetId="76">'Property crimes Ratio'!$A$1:$AJ$36</definedName>
    <definedName name="_xlnm.Print_Area" localSheetId="4">'Public Opinion'!$A$1:$AY$43</definedName>
    <definedName name="_xlnm.Print_Area" localSheetId="23">'R&amp;D'!$A$1:$AA$52</definedName>
    <definedName name="_xlnm.Print_Area" localSheetId="57">'Race relations opinion'!$A$1:$AC$50</definedName>
    <definedName name="_xlnm.Print_Area" localSheetId="85">'Rehabilitation  '!$A$1:$AG$50</definedName>
    <definedName name="_xlnm.Print_Area" localSheetId="0">'Revenue Collection'!$A$1:$AG$49</definedName>
    <definedName name="_xlnm.Print_Area" localSheetId="87">'Road Accidents '!$A$1:$AI$38</definedName>
    <definedName name="_xlnm.Print_Area" localSheetId="28">Sanitation!$A$1:$Z$64</definedName>
    <definedName name="_xlnm.Print_Area" localSheetId="56">'Self description'!$A$1:$S$37</definedName>
    <definedName name="_xlnm.Print_Area" localSheetId="74">'Serious Crime rate '!$A$1:$AH$39</definedName>
    <definedName name="_xlnm.Print_Area" localSheetId="78">'Serious robberies'!$A$1:$AC$42</definedName>
    <definedName name="_xlnm.Print_Area" localSheetId="50">'SET Uni'!$A$1:$AH$50</definedName>
    <definedName name="_xlnm.Print_Area" localSheetId="37">'Severe Acute Malnutrition'!$A$1:$AC$88</definedName>
    <definedName name="_xlnm.Print_Area" localSheetId="80">'Sexual offences'!$A$1:$Y$48</definedName>
    <definedName name="_xlnm.Print_Area" localSheetId="53">'Skills and training '!$A$1:$Y$31</definedName>
    <definedName name="_xlnm.Print_Area" localSheetId="33">'Social Grants'!$A$1:$DA$59</definedName>
    <definedName name="_xlnm.Print_Area" localSheetId="42">TB!$A$1:$AG$38</definedName>
    <definedName name="_xlnm.Print_Area" localSheetId="64">'Terresterial Biodiversity'!$A$1:$U$49</definedName>
    <definedName name="_xlnm.Print_Area" localSheetId="89">'Tourism World'!$A$1:$AA$59</definedName>
    <definedName name="_xlnm.Print_Area" localSheetId="72">'UN Police Ratio'!$A$1:$AJ$39</definedName>
    <definedName name="_xlnm.Print_Area" localSheetId="19">Unemployment!$A$1:$AA$71</definedName>
    <definedName name="_xlnm.Print_Area" localSheetId="59">'Voter Participation'!$A$1:$AH$27</definedName>
    <definedName name="_xlnm.Print_Area" localSheetId="60">'Voters per Prov'!$A$1:$U$41</definedName>
    <definedName name="_xlnm.Print_Area" localSheetId="27">'Water '!$A$1:$Z$52</definedName>
    <definedName name="_xlnm.Print_Area" localSheetId="61">'Women legislative bodies'!$A$1:$AP$43</definedName>
    <definedName name="Z_3C387070_FAB5_453F_8FD1_D96D91C5600B_.wvu.PrintArea" localSheetId="30" hidden="1">'Land restitution '!$A$1:$X$54</definedName>
    <definedName name="Z_8BF1E157_35CB_4DD8_A2C7_E00CDEDBE1EA_.wvu.PrintArea" localSheetId="30" hidden="1">'Land restitution '!$A$1:$X$54</definedName>
    <definedName name="Z_AC293C0C_6A7E_4E08_8902_A017C77E0B74_.wvu.PrintArea" localSheetId="20" hidden="1">Employed!$A$1:$J$55</definedName>
    <definedName name="Z_AC293C0C_6A7E_4E08_8902_A017C77E0B74_.wvu.PrintArea" localSheetId="92" hidden="1">'Foreign Trade'!$A$1:$E$147</definedName>
    <definedName name="Z_AC293C0C_6A7E_4E08_8902_A017C77E0B74_.wvu.PrintArea" localSheetId="19" hidden="1">Unemployment!$A$1:$K$69</definedName>
    <definedName name="Z_C51F81C0_24A3_4F91_8877_BF313FC578AF_.wvu.PrintArea" localSheetId="20" hidden="1">Employed!$A$1:$J$55</definedName>
    <definedName name="Z_C51F81C0_24A3_4F91_8877_BF313FC578AF_.wvu.PrintArea" localSheetId="92" hidden="1">'Foreign Trade'!$A$1:$E$147</definedName>
    <definedName name="Z_C51F81C0_24A3_4F91_8877_BF313FC578AF_.wvu.PrintArea" localSheetId="19" hidden="1">Unemployment!$A$1:$K$69</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24" i="286" l="1"/>
  <c r="AG24" i="286"/>
  <c r="AF24" i="286"/>
  <c r="AC24" i="286"/>
  <c r="AB24" i="286"/>
  <c r="AA24" i="286"/>
  <c r="Z24" i="286"/>
  <c r="Y24" i="286"/>
  <c r="X24" i="286"/>
  <c r="W24" i="286"/>
  <c r="V24" i="286"/>
  <c r="U24" i="286"/>
  <c r="T24" i="286"/>
  <c r="S24" i="286"/>
  <c r="R24" i="286"/>
  <c r="Q24" i="286"/>
  <c r="P24" i="286"/>
  <c r="O24" i="286"/>
  <c r="N24" i="286"/>
  <c r="M24" i="286"/>
  <c r="L24" i="286"/>
  <c r="K24" i="286"/>
  <c r="J24" i="286"/>
  <c r="I24" i="286"/>
  <c r="H24" i="286"/>
  <c r="G24" i="286"/>
  <c r="F24" i="286"/>
  <c r="E24" i="286"/>
  <c r="AI23" i="286"/>
  <c r="AE23" i="286"/>
  <c r="AI22" i="286"/>
  <c r="AE22" i="286"/>
  <c r="AD22" i="286"/>
  <c r="AI21" i="286"/>
  <c r="AI20" i="286"/>
  <c r="AE20" i="286"/>
  <c r="AI19" i="286"/>
  <c r="AI18" i="286"/>
  <c r="AI24" i="286" s="1"/>
  <c r="AI17" i="286"/>
  <c r="AD17" i="286"/>
  <c r="AD24" i="286" s="1"/>
  <c r="AD9" i="286" s="1"/>
  <c r="AI16" i="286"/>
  <c r="AE16" i="286"/>
  <c r="AE24" i="286" s="1"/>
  <c r="AE9" i="286" s="1"/>
  <c r="AI15" i="286"/>
  <c r="AH9" i="286"/>
  <c r="AG9" i="286"/>
  <c r="AF9" i="286"/>
  <c r="AC9" i="286"/>
  <c r="AB9" i="286"/>
  <c r="AA9" i="286"/>
  <c r="Z9" i="286"/>
  <c r="Y9" i="286"/>
  <c r="X9" i="286"/>
  <c r="W9" i="286"/>
  <c r="V9" i="286"/>
  <c r="U9" i="286"/>
  <c r="T9" i="286"/>
  <c r="S9" i="286"/>
  <c r="R9" i="286"/>
  <c r="Q9" i="286"/>
  <c r="P9" i="286"/>
  <c r="O9" i="286"/>
  <c r="N9" i="286"/>
  <c r="M9" i="286"/>
  <c r="L9" i="286"/>
  <c r="K9" i="286"/>
  <c r="J9" i="286"/>
  <c r="I9" i="286"/>
  <c r="H9" i="286"/>
  <c r="G9" i="286"/>
  <c r="F9" i="286"/>
  <c r="F10" i="286" s="1"/>
  <c r="G10" i="286" s="1"/>
  <c r="H10" i="286" s="1"/>
  <c r="I10" i="286" s="1"/>
  <c r="J10" i="286" s="1"/>
  <c r="K10" i="286" s="1"/>
  <c r="L10" i="286" s="1"/>
  <c r="M10" i="286" s="1"/>
  <c r="N10" i="286" s="1"/>
  <c r="O10" i="286" s="1"/>
  <c r="P10" i="286" s="1"/>
  <c r="Q10" i="286" s="1"/>
  <c r="R10" i="286" s="1"/>
  <c r="S10" i="286" s="1"/>
  <c r="T10" i="286" s="1"/>
  <c r="U10" i="286" s="1"/>
  <c r="V10" i="286" s="1"/>
  <c r="W10" i="286" s="1"/>
  <c r="X10" i="286" s="1"/>
  <c r="Y10" i="286" s="1"/>
  <c r="Z10" i="286" s="1"/>
  <c r="AA10" i="286" s="1"/>
  <c r="AB10" i="286" s="1"/>
  <c r="AC10" i="286" s="1"/>
  <c r="AD10" i="286" s="1"/>
  <c r="AE10" i="286" s="1"/>
  <c r="AF10" i="286" s="1"/>
  <c r="AG10" i="286" s="1"/>
  <c r="AH10" i="286" s="1"/>
  <c r="E9" i="286"/>
  <c r="Q105" i="285" l="1"/>
  <c r="P105" i="285"/>
  <c r="O105" i="285"/>
  <c r="N105" i="285"/>
  <c r="M105" i="285"/>
  <c r="L105" i="285"/>
  <c r="K105" i="285"/>
  <c r="J105" i="285"/>
  <c r="I105" i="285"/>
  <c r="H105" i="285"/>
  <c r="G105" i="285"/>
  <c r="F105" i="285"/>
  <c r="E105" i="285"/>
  <c r="Q51" i="285"/>
  <c r="P51" i="285"/>
  <c r="O51" i="285"/>
  <c r="N51" i="285"/>
  <c r="M51" i="285"/>
  <c r="L51" i="285"/>
  <c r="K51" i="285"/>
  <c r="J51" i="285"/>
  <c r="I51" i="285"/>
  <c r="H51" i="285"/>
  <c r="G51" i="285"/>
  <c r="F51" i="285"/>
  <c r="E51" i="285"/>
  <c r="AB24" i="284" l="1"/>
  <c r="AA24" i="284"/>
  <c r="Y24" i="284"/>
  <c r="X24" i="284"/>
  <c r="U24" i="284"/>
  <c r="T24" i="284"/>
  <c r="S24" i="284"/>
  <c r="R24" i="284"/>
  <c r="Q24" i="284"/>
  <c r="P24" i="284"/>
  <c r="O24" i="284"/>
  <c r="N24" i="284"/>
  <c r="M24" i="284"/>
  <c r="L24" i="284"/>
  <c r="K24" i="284"/>
  <c r="J24" i="284"/>
  <c r="I24" i="284"/>
  <c r="H24" i="284"/>
  <c r="G24" i="284"/>
  <c r="F24" i="284"/>
  <c r="E24" i="284"/>
  <c r="AD23" i="284"/>
  <c r="AC23" i="284"/>
  <c r="AD22" i="284"/>
  <c r="AC22" i="284"/>
  <c r="AE18" i="284"/>
  <c r="AD18" i="284"/>
  <c r="AC18" i="284"/>
  <c r="AA18" i="284"/>
  <c r="Z18" i="284"/>
  <c r="Y18" i="284"/>
  <c r="X18" i="284"/>
  <c r="W18" i="284"/>
  <c r="V18" i="284"/>
  <c r="U18" i="284"/>
  <c r="T18" i="284"/>
  <c r="S18" i="284"/>
  <c r="R18" i="284"/>
  <c r="Q18" i="284"/>
  <c r="P18" i="284"/>
  <c r="O18" i="284"/>
  <c r="N18" i="284"/>
  <c r="M18" i="284"/>
  <c r="L18" i="284"/>
  <c r="K18" i="284"/>
  <c r="J18" i="284"/>
  <c r="I18" i="284"/>
  <c r="H18" i="284"/>
  <c r="G18" i="284"/>
  <c r="F18" i="284"/>
  <c r="E18" i="284"/>
  <c r="AD11" i="284"/>
  <c r="AE10" i="284"/>
  <c r="AD10" i="284"/>
  <c r="AC10" i="284"/>
  <c r="W10" i="284"/>
  <c r="V10" i="284"/>
  <c r="U10" i="284"/>
  <c r="T10" i="284"/>
  <c r="S10" i="284"/>
  <c r="R10" i="284"/>
  <c r="Q10" i="284"/>
  <c r="P10" i="284"/>
  <c r="O10" i="284"/>
  <c r="N10" i="284"/>
  <c r="M10" i="284"/>
  <c r="L10" i="284"/>
  <c r="K10" i="284"/>
  <c r="J10" i="284"/>
  <c r="I10" i="284"/>
  <c r="H10" i="284"/>
  <c r="G10" i="284"/>
  <c r="AC24" i="284" l="1"/>
  <c r="AD24" i="284"/>
  <c r="Z54" i="283"/>
  <c r="Y54" i="283"/>
  <c r="X54" i="283"/>
  <c r="W54" i="283"/>
  <c r="V54" i="283"/>
  <c r="U54" i="283"/>
  <c r="T54" i="283"/>
  <c r="S54" i="283"/>
  <c r="R54" i="283"/>
  <c r="Q54" i="283"/>
  <c r="P54" i="283"/>
  <c r="O54" i="283"/>
  <c r="N54" i="283"/>
  <c r="M54" i="283"/>
  <c r="L54" i="283"/>
  <c r="K54" i="283"/>
  <c r="J54" i="283"/>
  <c r="I54" i="283"/>
  <c r="H54" i="283"/>
  <c r="G54" i="283"/>
  <c r="F54" i="283"/>
  <c r="E54" i="283"/>
  <c r="AE53" i="283"/>
  <c r="AD53" i="283"/>
  <c r="Z53" i="283"/>
  <c r="Y53" i="283"/>
  <c r="X53" i="283"/>
  <c r="W53" i="283"/>
  <c r="V53" i="283"/>
  <c r="U53" i="283"/>
  <c r="T53" i="283"/>
  <c r="S53" i="283"/>
  <c r="R53" i="283"/>
  <c r="Q53" i="283"/>
  <c r="P53" i="283"/>
  <c r="O53" i="283"/>
  <c r="N53" i="283"/>
  <c r="M53" i="283"/>
  <c r="L53" i="283"/>
  <c r="K53" i="283"/>
  <c r="J53" i="283"/>
  <c r="I53" i="283"/>
  <c r="H53" i="283"/>
  <c r="G53" i="283"/>
  <c r="F53" i="283"/>
  <c r="E53" i="283"/>
  <c r="AE52" i="283"/>
  <c r="Z52" i="283"/>
  <c r="Y52" i="283"/>
  <c r="X52" i="283"/>
  <c r="W52" i="283"/>
  <c r="V52" i="283"/>
  <c r="U52" i="283"/>
  <c r="T52" i="283"/>
  <c r="S52" i="283"/>
  <c r="R52" i="283"/>
  <c r="Q52" i="283"/>
  <c r="P52" i="283"/>
  <c r="O52" i="283"/>
  <c r="N52" i="283"/>
  <c r="M52" i="283"/>
  <c r="L52" i="283"/>
  <c r="K52" i="283"/>
  <c r="J52" i="283"/>
  <c r="I52" i="283"/>
  <c r="H52" i="283"/>
  <c r="G52" i="283"/>
  <c r="F52" i="283"/>
  <c r="E52" i="283"/>
  <c r="AD51" i="283"/>
  <c r="AC51" i="283"/>
  <c r="Z51" i="283"/>
  <c r="Y51" i="283"/>
  <c r="X51" i="283"/>
  <c r="W51" i="283"/>
  <c r="V51" i="283"/>
  <c r="U51" i="283"/>
  <c r="T51" i="283"/>
  <c r="S51" i="283"/>
  <c r="R51" i="283"/>
  <c r="Q51" i="283"/>
  <c r="P51" i="283"/>
  <c r="O51" i="283"/>
  <c r="N51" i="283"/>
  <c r="M51" i="283"/>
  <c r="L51" i="283"/>
  <c r="K51" i="283"/>
  <c r="J51" i="283"/>
  <c r="I51" i="283"/>
  <c r="H51" i="283"/>
  <c r="G51" i="283"/>
  <c r="F51" i="283"/>
  <c r="E51" i="283"/>
  <c r="AC50" i="283"/>
  <c r="AB50" i="283"/>
  <c r="Z50" i="283"/>
  <c r="Y50" i="283"/>
  <c r="X50" i="283"/>
  <c r="W50" i="283"/>
  <c r="V50" i="283"/>
  <c r="U50" i="283"/>
  <c r="T50" i="283"/>
  <c r="S50" i="283"/>
  <c r="R50" i="283"/>
  <c r="Q50" i="283"/>
  <c r="P50" i="283"/>
  <c r="O50" i="283"/>
  <c r="N50" i="283"/>
  <c r="M50" i="283"/>
  <c r="L50" i="283"/>
  <c r="K50" i="283"/>
  <c r="J50" i="283"/>
  <c r="I50" i="283"/>
  <c r="H50" i="283"/>
  <c r="G50" i="283"/>
  <c r="F50" i="283"/>
  <c r="E50" i="283"/>
  <c r="AE45" i="283"/>
  <c r="AE54" i="283" s="1"/>
  <c r="AD45" i="283"/>
  <c r="AD54" i="283" s="1"/>
  <c r="AC45" i="283"/>
  <c r="AC54" i="283" s="1"/>
  <c r="AB45" i="283"/>
  <c r="AB54" i="283" s="1"/>
  <c r="AA45" i="283"/>
  <c r="AA54" i="283" s="1"/>
  <c r="AE44" i="283"/>
  <c r="AD44" i="283"/>
  <c r="AC44" i="283"/>
  <c r="AC53" i="283" s="1"/>
  <c r="AB44" i="283"/>
  <c r="AB53" i="283" s="1"/>
  <c r="AA44" i="283"/>
  <c r="AA53" i="283" s="1"/>
  <c r="AE43" i="283"/>
  <c r="AD43" i="283"/>
  <c r="AD52" i="283" s="1"/>
  <c r="AC43" i="283"/>
  <c r="AC52" i="283" s="1"/>
  <c r="AB43" i="283"/>
  <c r="AB52" i="283" s="1"/>
  <c r="AA43" i="283"/>
  <c r="AA52" i="283" s="1"/>
  <c r="AE42" i="283"/>
  <c r="AE51" i="283" s="1"/>
  <c r="AD42" i="283"/>
  <c r="AC42" i="283"/>
  <c r="AB42" i="283"/>
  <c r="AB51" i="283" s="1"/>
  <c r="AA42" i="283"/>
  <c r="AA51" i="283" s="1"/>
  <c r="AE41" i="283"/>
  <c r="AE50" i="283" s="1"/>
  <c r="AD41" i="283"/>
  <c r="AD50" i="283" s="1"/>
  <c r="AC41" i="283"/>
  <c r="AB41" i="283"/>
  <c r="AA41" i="283"/>
  <c r="AA50" i="283" s="1"/>
  <c r="AG13" i="282" l="1"/>
  <c r="AF13" i="282"/>
  <c r="AE13" i="282"/>
  <c r="AD13" i="282"/>
  <c r="AC13" i="282"/>
  <c r="AB13" i="282"/>
  <c r="AA13" i="282"/>
  <c r="Z13" i="282"/>
  <c r="Y13" i="282"/>
  <c r="X13" i="282"/>
  <c r="W13" i="282"/>
  <c r="V13" i="282"/>
  <c r="U13" i="282"/>
  <c r="T13" i="282"/>
  <c r="S13" i="282"/>
  <c r="R13" i="282"/>
  <c r="Q13" i="282"/>
  <c r="P13" i="282"/>
  <c r="O13" i="282"/>
  <c r="N13" i="282"/>
  <c r="M13" i="282"/>
  <c r="L13" i="282"/>
  <c r="K13" i="282"/>
  <c r="J13" i="282"/>
  <c r="I13" i="282"/>
  <c r="H13" i="282"/>
  <c r="G13" i="282"/>
  <c r="F13" i="282"/>
  <c r="E13" i="282"/>
  <c r="AG12" i="282"/>
  <c r="AF12" i="282"/>
  <c r="AE12" i="282"/>
  <c r="AD12" i="282"/>
  <c r="AC12" i="282"/>
  <c r="AB12" i="282"/>
  <c r="AA12" i="282"/>
  <c r="Z12" i="282"/>
  <c r="Y12" i="282"/>
  <c r="X12" i="282"/>
  <c r="W12" i="282"/>
  <c r="V12" i="282"/>
  <c r="U12" i="282"/>
  <c r="T12" i="282"/>
  <c r="S12" i="282"/>
  <c r="R12" i="282"/>
  <c r="Q12" i="282"/>
  <c r="P12" i="282"/>
  <c r="O12" i="282"/>
  <c r="N12" i="282"/>
  <c r="M12" i="282"/>
  <c r="L12" i="282"/>
  <c r="K12" i="282"/>
  <c r="J12" i="282"/>
  <c r="I12" i="282"/>
  <c r="H12" i="282"/>
  <c r="G12" i="282"/>
  <c r="F12" i="282"/>
  <c r="E12" i="282"/>
  <c r="AG11" i="282"/>
  <c r="AF11" i="282"/>
  <c r="AE11" i="282"/>
  <c r="AD11" i="282"/>
  <c r="AC11" i="282"/>
  <c r="AB11" i="282"/>
  <c r="AA11" i="282"/>
  <c r="Z11" i="282"/>
  <c r="Y11" i="282"/>
  <c r="X11" i="282"/>
  <c r="W11" i="282"/>
  <c r="V11" i="282"/>
  <c r="U11" i="282"/>
  <c r="T11" i="282"/>
  <c r="S11" i="282"/>
  <c r="R11" i="282"/>
  <c r="Q11" i="282"/>
  <c r="P11" i="282"/>
  <c r="O11" i="282"/>
  <c r="N11" i="282"/>
  <c r="M11" i="282"/>
  <c r="L11" i="282"/>
  <c r="K11" i="282"/>
  <c r="J11" i="282"/>
  <c r="I11" i="282"/>
  <c r="H11" i="282"/>
  <c r="G11" i="282"/>
  <c r="F11" i="282"/>
  <c r="E11" i="282"/>
  <c r="Y25" i="246"/>
  <c r="Y26" i="246"/>
  <c r="Y27" i="246"/>
  <c r="Y24" i="246"/>
  <c r="T30" i="281"/>
  <c r="S30" i="281"/>
  <c r="R30" i="281"/>
  <c r="Q30" i="281"/>
  <c r="P30" i="281"/>
  <c r="O30" i="281"/>
  <c r="N30" i="281"/>
  <c r="M30" i="281"/>
  <c r="L30" i="281"/>
  <c r="K30" i="281"/>
  <c r="J30" i="281"/>
  <c r="I30" i="281"/>
  <c r="H30" i="281"/>
  <c r="G30" i="281"/>
  <c r="F30" i="281"/>
  <c r="E30" i="281"/>
  <c r="Z22" i="279" l="1"/>
  <c r="Y22" i="279"/>
  <c r="X22" i="279"/>
  <c r="W22" i="279"/>
  <c r="V22" i="279"/>
  <c r="U22" i="279"/>
  <c r="T22" i="279"/>
  <c r="S22" i="279"/>
  <c r="R22" i="279"/>
  <c r="Q22" i="279"/>
  <c r="P22" i="279"/>
  <c r="O22" i="279"/>
  <c r="N22" i="279"/>
  <c r="M22" i="279"/>
  <c r="L22" i="279"/>
  <c r="K22" i="279"/>
  <c r="J22" i="279"/>
  <c r="I22" i="279"/>
  <c r="H22" i="279"/>
  <c r="G22" i="279"/>
  <c r="F22" i="279"/>
  <c r="Z18" i="279"/>
  <c r="Y18" i="279"/>
  <c r="X18" i="279"/>
  <c r="W18" i="279"/>
  <c r="V18" i="279"/>
  <c r="U18" i="279"/>
  <c r="Q18" i="279"/>
  <c r="P18" i="279"/>
  <c r="O18" i="279"/>
  <c r="N18" i="279"/>
  <c r="M18" i="279"/>
  <c r="L18" i="279"/>
  <c r="K18" i="279"/>
  <c r="J18" i="279"/>
  <c r="I18" i="279"/>
  <c r="H18" i="279"/>
  <c r="G18" i="279"/>
  <c r="F18" i="279"/>
  <c r="E18" i="279"/>
  <c r="Z14" i="279"/>
  <c r="Y14" i="279"/>
  <c r="X14" i="279"/>
  <c r="W14" i="279"/>
  <c r="V14" i="279"/>
  <c r="U14" i="279"/>
  <c r="T14" i="279"/>
  <c r="S14" i="279"/>
  <c r="R14" i="279"/>
  <c r="Q14" i="279"/>
  <c r="P14" i="279"/>
  <c r="O14" i="279"/>
  <c r="N14" i="279"/>
  <c r="M14" i="279"/>
  <c r="L14" i="279"/>
  <c r="K14" i="279"/>
  <c r="J14" i="279"/>
  <c r="I14" i="279"/>
  <c r="H14" i="279"/>
  <c r="G14" i="279"/>
  <c r="F14" i="279"/>
  <c r="E14" i="279"/>
  <c r="Z10" i="279"/>
  <c r="Y10" i="279"/>
  <c r="X10" i="279"/>
  <c r="W10" i="279"/>
  <c r="V10" i="279"/>
  <c r="U10" i="279"/>
  <c r="T10" i="279"/>
  <c r="S10" i="279"/>
  <c r="R10" i="279"/>
  <c r="Q10" i="279"/>
  <c r="P10" i="279"/>
  <c r="O10" i="279"/>
  <c r="N10" i="279"/>
  <c r="L10" i="279"/>
  <c r="K10" i="279"/>
  <c r="J10" i="279"/>
  <c r="I10" i="279"/>
  <c r="H10" i="279"/>
  <c r="G10" i="279"/>
  <c r="F10" i="279"/>
  <c r="E10" i="279"/>
  <c r="M9" i="279"/>
  <c r="M10" i="279" s="1"/>
  <c r="AF76" i="278" l="1"/>
  <c r="AE76" i="278"/>
  <c r="AD76" i="278"/>
  <c r="AC76" i="278"/>
  <c r="AB76" i="278"/>
  <c r="AA76" i="278"/>
  <c r="T76" i="278"/>
  <c r="S76" i="278"/>
  <c r="R76" i="278"/>
  <c r="Q76" i="278"/>
  <c r="P76" i="278"/>
  <c r="O76" i="278"/>
  <c r="N76" i="278"/>
  <c r="M76" i="278"/>
  <c r="H76" i="278"/>
  <c r="G76" i="278"/>
  <c r="F76" i="278"/>
  <c r="AF72" i="278"/>
  <c r="AE72" i="278"/>
  <c r="AD72" i="278"/>
  <c r="AC72" i="278"/>
  <c r="AB72" i="278"/>
  <c r="AA72" i="278"/>
  <c r="Z72" i="278"/>
  <c r="Y72" i="278"/>
  <c r="X72" i="278"/>
  <c r="W72" i="278"/>
  <c r="V72" i="278"/>
  <c r="U72" i="278"/>
  <c r="T72" i="278"/>
  <c r="S72" i="278"/>
  <c r="R72" i="278"/>
  <c r="Q72" i="278"/>
  <c r="P72" i="278"/>
  <c r="O72" i="278"/>
  <c r="N72" i="278"/>
  <c r="M72" i="278"/>
  <c r="L72" i="278"/>
  <c r="K72" i="278"/>
  <c r="J72" i="278"/>
  <c r="I72" i="278"/>
  <c r="H72" i="278"/>
  <c r="G72" i="278"/>
  <c r="F72" i="278"/>
  <c r="AF71" i="278"/>
  <c r="AE71" i="278"/>
  <c r="AD71" i="278"/>
  <c r="AC71" i="278"/>
  <c r="AB71" i="278"/>
  <c r="AA71" i="278"/>
  <c r="Z71" i="278"/>
  <c r="Y71" i="278"/>
  <c r="X71" i="278"/>
  <c r="W71" i="278"/>
  <c r="V71" i="278"/>
  <c r="U71" i="278"/>
  <c r="T71" i="278"/>
  <c r="S71" i="278"/>
  <c r="R71" i="278"/>
  <c r="Q71" i="278"/>
  <c r="P71" i="278"/>
  <c r="O71" i="278"/>
  <c r="N71" i="278"/>
  <c r="M71" i="278"/>
  <c r="L71" i="278"/>
  <c r="K71" i="278"/>
  <c r="J71" i="278"/>
  <c r="I71" i="278"/>
  <c r="H71" i="278"/>
  <c r="G71" i="278"/>
  <c r="F71" i="278"/>
  <c r="AF70" i="278"/>
  <c r="AE70" i="278"/>
  <c r="AD70" i="278"/>
  <c r="AC70" i="278"/>
  <c r="AB70" i="278"/>
  <c r="AA70" i="278"/>
  <c r="Z70" i="278"/>
  <c r="Y70" i="278"/>
  <c r="X70" i="278"/>
  <c r="W70" i="278"/>
  <c r="V70" i="278"/>
  <c r="U70" i="278"/>
  <c r="T70" i="278"/>
  <c r="S70" i="278"/>
  <c r="R70" i="278"/>
  <c r="Q70" i="278"/>
  <c r="P70" i="278"/>
  <c r="O70" i="278"/>
  <c r="N70" i="278"/>
  <c r="M70" i="278"/>
  <c r="L70" i="278"/>
  <c r="K70" i="278"/>
  <c r="J70" i="278"/>
  <c r="I70" i="278"/>
  <c r="H70" i="278"/>
  <c r="G70" i="278"/>
  <c r="F70" i="278"/>
  <c r="AF69" i="278"/>
  <c r="AE69" i="278"/>
  <c r="AD69" i="278"/>
  <c r="AC69" i="278"/>
  <c r="AB69" i="278"/>
  <c r="AA69" i="278"/>
  <c r="Z69" i="278"/>
  <c r="Y69" i="278"/>
  <c r="X69" i="278"/>
  <c r="W69" i="278"/>
  <c r="V69" i="278"/>
  <c r="U69" i="278"/>
  <c r="T69" i="278"/>
  <c r="S69" i="278"/>
  <c r="R69" i="278"/>
  <c r="Q69" i="278"/>
  <c r="P69" i="278"/>
  <c r="O69" i="278"/>
  <c r="N69" i="278"/>
  <c r="M69" i="278"/>
  <c r="L69" i="278"/>
  <c r="K69" i="278"/>
  <c r="J69" i="278"/>
  <c r="I69" i="278"/>
  <c r="H69" i="278"/>
  <c r="G69" i="278"/>
  <c r="F69" i="278"/>
  <c r="AF68" i="278"/>
  <c r="AE68" i="278"/>
  <c r="AD68" i="278"/>
  <c r="AC68" i="278"/>
  <c r="AB68" i="278"/>
  <c r="AA68" i="278"/>
  <c r="Z68" i="278"/>
  <c r="Y68" i="278"/>
  <c r="X68" i="278"/>
  <c r="W68" i="278"/>
  <c r="V68" i="278"/>
  <c r="U68" i="278"/>
  <c r="T68" i="278"/>
  <c r="S68" i="278"/>
  <c r="R68" i="278"/>
  <c r="Q68" i="278"/>
  <c r="P68" i="278"/>
  <c r="O68" i="278"/>
  <c r="N68" i="278"/>
  <c r="M68" i="278"/>
  <c r="L68" i="278"/>
  <c r="K68" i="278"/>
  <c r="J68" i="278"/>
  <c r="I68" i="278"/>
  <c r="H68" i="278"/>
  <c r="G68" i="278"/>
  <c r="F68" i="278"/>
  <c r="AF23" i="278"/>
  <c r="AE23" i="278"/>
  <c r="AD23" i="278"/>
  <c r="AC23" i="278"/>
  <c r="AB23" i="278"/>
  <c r="AA23" i="278"/>
  <c r="Z23" i="278"/>
  <c r="Y23" i="278"/>
  <c r="X23" i="278"/>
  <c r="W23" i="278"/>
  <c r="V23" i="278"/>
  <c r="U23" i="278"/>
  <c r="T23" i="278"/>
  <c r="S23" i="278"/>
  <c r="R23" i="278"/>
  <c r="Q23" i="278"/>
  <c r="P23" i="278"/>
  <c r="O23" i="278"/>
  <c r="N23" i="278"/>
  <c r="M23" i="278"/>
  <c r="L23" i="278"/>
  <c r="K23" i="278"/>
  <c r="J23" i="278"/>
  <c r="I23" i="278"/>
  <c r="H23" i="278"/>
  <c r="G23" i="278"/>
  <c r="AF10" i="278"/>
  <c r="AE10" i="278"/>
  <c r="AD10" i="278"/>
  <c r="AC10" i="278"/>
  <c r="AB10" i="278"/>
  <c r="AA10" i="278"/>
  <c r="Z10" i="278"/>
  <c r="Z76" i="278" s="1"/>
  <c r="Y10" i="278"/>
  <c r="Y76" i="278" s="1"/>
  <c r="X10" i="278"/>
  <c r="X76" i="278" s="1"/>
  <c r="W10" i="278"/>
  <c r="W76" i="278" s="1"/>
  <c r="V10" i="278"/>
  <c r="V76" i="278" s="1"/>
  <c r="U10" i="278"/>
  <c r="U76" i="278" s="1"/>
  <c r="T10" i="278"/>
  <c r="S10" i="278"/>
  <c r="R10" i="278"/>
  <c r="Q10" i="278"/>
  <c r="P10" i="278"/>
  <c r="O10" i="278"/>
  <c r="N10" i="278"/>
  <c r="M10" i="278"/>
  <c r="L10" i="278"/>
  <c r="L76" i="278" s="1"/>
  <c r="K10" i="278"/>
  <c r="K76" i="278" s="1"/>
  <c r="J10" i="278"/>
  <c r="J76" i="278" s="1"/>
  <c r="I10" i="278"/>
  <c r="I76" i="278" s="1"/>
  <c r="H10" i="278"/>
  <c r="G10" i="278"/>
  <c r="F10" i="278"/>
  <c r="F29" i="276" l="1"/>
  <c r="G29" i="276" s="1"/>
  <c r="H29" i="276" s="1"/>
  <c r="I29" i="276" s="1"/>
  <c r="J29" i="276" s="1"/>
  <c r="K29" i="276" s="1"/>
  <c r="L29" i="276" s="1"/>
  <c r="M29" i="276" s="1"/>
  <c r="N29" i="276" s="1"/>
  <c r="O29" i="276" s="1"/>
  <c r="P29" i="276" s="1"/>
  <c r="Q29" i="276" s="1"/>
  <c r="R29" i="276" s="1"/>
  <c r="S29" i="276" s="1"/>
  <c r="T29" i="276" s="1"/>
  <c r="U29" i="276" s="1"/>
  <c r="V29" i="276" s="1"/>
  <c r="W29" i="276" s="1"/>
  <c r="X29" i="276" s="1"/>
  <c r="Y29" i="276" s="1"/>
  <c r="Z29" i="276" s="1"/>
  <c r="AA29" i="276" s="1"/>
  <c r="AB29" i="276" s="1"/>
  <c r="AC29" i="276" s="1"/>
  <c r="AD29" i="276" s="1"/>
  <c r="AE29" i="276" s="1"/>
  <c r="AF29" i="276" s="1"/>
  <c r="AG29" i="276" s="1"/>
  <c r="F27" i="276"/>
  <c r="G27" i="276" s="1"/>
  <c r="H27" i="276" s="1"/>
  <c r="I27" i="276" s="1"/>
  <c r="J27" i="276" s="1"/>
  <c r="K27" i="276" s="1"/>
  <c r="L27" i="276" s="1"/>
  <c r="M27" i="276" s="1"/>
  <c r="N27" i="276" s="1"/>
  <c r="O27" i="276" s="1"/>
  <c r="P27" i="276" s="1"/>
  <c r="Q27" i="276" s="1"/>
  <c r="R27" i="276" s="1"/>
  <c r="S27" i="276" s="1"/>
  <c r="T27" i="276" s="1"/>
  <c r="U27" i="276" s="1"/>
  <c r="V27" i="276" s="1"/>
  <c r="W27" i="276" s="1"/>
  <c r="X27" i="276" s="1"/>
  <c r="Y27" i="276" s="1"/>
  <c r="Z27" i="276" s="1"/>
  <c r="AA27" i="276" s="1"/>
  <c r="AB27" i="276" s="1"/>
  <c r="AC27" i="276" s="1"/>
  <c r="AD27" i="276" s="1"/>
  <c r="AE27" i="276" s="1"/>
  <c r="AF27" i="276" s="1"/>
  <c r="AG27" i="276" s="1"/>
  <c r="AC22" i="276"/>
  <c r="AB19" i="274" l="1"/>
  <c r="Z19" i="274"/>
  <c r="AB15" i="274"/>
  <c r="Z15" i="274"/>
  <c r="AB11" i="274"/>
  <c r="Z11" i="274"/>
  <c r="AP25" i="273"/>
  <c r="AO25" i="273"/>
  <c r="AM25" i="273"/>
  <c r="AL25" i="273"/>
  <c r="AG25" i="273"/>
  <c r="AF25" i="273"/>
  <c r="AE25" i="273"/>
  <c r="U25" i="273"/>
  <c r="T25" i="273"/>
  <c r="P25" i="273"/>
  <c r="L25" i="273"/>
  <c r="K25" i="273"/>
  <c r="M25" i="273" s="1"/>
  <c r="I25" i="273"/>
  <c r="H25" i="273"/>
  <c r="F25" i="273"/>
  <c r="G25" i="273" s="1"/>
  <c r="E25" i="273"/>
  <c r="AE24" i="273"/>
  <c r="P24" i="273"/>
  <c r="M24" i="273"/>
  <c r="J24" i="273"/>
  <c r="G24" i="273"/>
  <c r="AE23" i="273"/>
  <c r="AB23" i="273"/>
  <c r="P23" i="273"/>
  <c r="M23" i="273"/>
  <c r="J23" i="273"/>
  <c r="G23" i="273"/>
  <c r="AE22" i="273"/>
  <c r="AB22" i="273"/>
  <c r="P22" i="273"/>
  <c r="M22" i="273"/>
  <c r="J22" i="273"/>
  <c r="G22" i="273"/>
  <c r="AE21" i="273"/>
  <c r="AB21" i="273"/>
  <c r="P21" i="273"/>
  <c r="M21" i="273"/>
  <c r="J21" i="273"/>
  <c r="G21" i="273"/>
  <c r="AE20" i="273"/>
  <c r="AB20" i="273"/>
  <c r="P20" i="273"/>
  <c r="M20" i="273"/>
  <c r="J20" i="273"/>
  <c r="G20" i="273"/>
  <c r="AE19" i="273"/>
  <c r="AB19" i="273"/>
  <c r="P19" i="273"/>
  <c r="M19" i="273"/>
  <c r="J19" i="273"/>
  <c r="G19" i="273"/>
  <c r="AE18" i="273"/>
  <c r="AB18" i="273"/>
  <c r="P18" i="273"/>
  <c r="M18" i="273"/>
  <c r="J18" i="273"/>
  <c r="G18" i="273"/>
  <c r="AE17" i="273"/>
  <c r="AB17" i="273"/>
  <c r="P17" i="273"/>
  <c r="M17" i="273"/>
  <c r="J17" i="273"/>
  <c r="G17" i="273"/>
  <c r="AE16" i="273"/>
  <c r="AB16" i="273"/>
  <c r="P16" i="273"/>
  <c r="M16" i="273"/>
  <c r="J16" i="273"/>
  <c r="G16" i="273"/>
  <c r="E6" i="273"/>
  <c r="AG19" i="272"/>
  <c r="AF19" i="272"/>
  <c r="AE19" i="272"/>
  <c r="AD19" i="272"/>
  <c r="AC19" i="272"/>
  <c r="AB19" i="272"/>
  <c r="AA19" i="272"/>
  <c r="Z19" i="272"/>
  <c r="Y19" i="272"/>
  <c r="X19" i="272"/>
  <c r="E42" i="269" l="1"/>
  <c r="F42" i="269"/>
  <c r="G42" i="269"/>
  <c r="H42" i="269"/>
  <c r="I42" i="269"/>
  <c r="J42" i="269"/>
  <c r="K42" i="269"/>
  <c r="L42" i="269"/>
  <c r="M42" i="269"/>
  <c r="N42" i="269"/>
  <c r="O42" i="269"/>
  <c r="P42" i="269"/>
  <c r="Q42" i="269"/>
  <c r="R42" i="269"/>
  <c r="S42" i="269"/>
  <c r="V42" i="269"/>
  <c r="W42" i="269"/>
  <c r="X42" i="269"/>
  <c r="U13" i="268" l="1"/>
  <c r="V13" i="268"/>
  <c r="W13" i="268"/>
  <c r="X13" i="268"/>
  <c r="X18" i="268" s="1"/>
  <c r="Y13" i="268"/>
  <c r="Y18" i="268" s="1"/>
  <c r="Z13" i="268"/>
  <c r="Z18" i="268" s="1"/>
  <c r="AA13" i="268"/>
  <c r="AA18" i="268" s="1"/>
  <c r="AB13" i="268"/>
  <c r="AB18" i="268" s="1"/>
  <c r="AD13" i="268"/>
  <c r="AC18" i="268"/>
  <c r="AD18" i="268"/>
  <c r="AE18" i="268"/>
  <c r="AF18" i="268"/>
  <c r="AB21" i="268"/>
  <c r="O23" i="267" l="1"/>
  <c r="N23" i="267"/>
  <c r="M23" i="267"/>
  <c r="L23" i="267"/>
  <c r="K23" i="267"/>
  <c r="J23" i="267"/>
  <c r="I23" i="267"/>
  <c r="H23" i="267"/>
  <c r="G23" i="267"/>
  <c r="F23" i="267"/>
  <c r="E23" i="267"/>
  <c r="U9" i="238" l="1"/>
  <c r="N34" i="264"/>
  <c r="M34" i="264"/>
  <c r="N33" i="264"/>
  <c r="M33" i="264"/>
  <c r="N32" i="264"/>
  <c r="M32" i="264"/>
  <c r="N31" i="264"/>
  <c r="M31" i="264"/>
  <c r="N30" i="264"/>
  <c r="M30" i="264"/>
  <c r="N29" i="264"/>
  <c r="M29" i="264"/>
  <c r="N28" i="264"/>
  <c r="M28" i="264"/>
  <c r="N27" i="264"/>
  <c r="M27" i="264"/>
  <c r="N26" i="264"/>
  <c r="M26" i="264"/>
  <c r="AC58" i="261"/>
  <c r="AC56" i="261"/>
  <c r="U26" i="261"/>
  <c r="K26" i="261"/>
  <c r="F26" i="261"/>
  <c r="U25" i="261"/>
  <c r="K25" i="261"/>
  <c r="F25" i="261"/>
  <c r="U24" i="261"/>
  <c r="K24" i="261"/>
  <c r="F24" i="261"/>
  <c r="U23" i="261"/>
  <c r="K23" i="261"/>
  <c r="F23" i="261"/>
  <c r="U22" i="261"/>
  <c r="K22" i="261"/>
  <c r="F22" i="261"/>
  <c r="U21" i="261"/>
  <c r="K21" i="261"/>
  <c r="F21" i="261"/>
  <c r="U20" i="261"/>
  <c r="K20" i="261"/>
  <c r="F20" i="261"/>
  <c r="U19" i="261"/>
  <c r="K19" i="261"/>
  <c r="F19" i="261"/>
  <c r="U18" i="261"/>
  <c r="K18" i="261"/>
  <c r="F18" i="261"/>
  <c r="U17" i="261"/>
  <c r="K17" i="261"/>
  <c r="F17" i="261"/>
  <c r="I13" i="261"/>
  <c r="H13" i="261"/>
  <c r="G13" i="261"/>
  <c r="E13" i="261"/>
  <c r="AC11" i="261"/>
  <c r="AC9" i="261"/>
  <c r="E7" i="260"/>
  <c r="AB37" i="257"/>
  <c r="P37" i="257"/>
  <c r="AB36" i="257"/>
  <c r="AB35" i="257"/>
  <c r="AB34" i="257"/>
  <c r="AB33" i="257"/>
  <c r="AB32" i="257"/>
  <c r="AB31" i="257"/>
  <c r="AB30" i="257"/>
  <c r="AB29" i="257"/>
  <c r="AB28" i="257"/>
  <c r="AS24" i="257"/>
  <c r="AT19" i="257" s="1"/>
  <c r="AQ24" i="257"/>
  <c r="AO24" i="257"/>
  <c r="AP24" i="257" s="1"/>
  <c r="AK24" i="257"/>
  <c r="AJ24" i="257"/>
  <c r="AI24" i="257"/>
  <c r="AH24" i="257"/>
  <c r="AG24" i="257"/>
  <c r="AF24" i="257"/>
  <c r="AL24" i="257" s="1"/>
  <c r="AA24" i="257"/>
  <c r="AB20" i="257" s="1"/>
  <c r="Y24" i="257"/>
  <c r="Z17" i="257" s="1"/>
  <c r="W24" i="257"/>
  <c r="R24" i="257"/>
  <c r="P24" i="257"/>
  <c r="Q21" i="257" s="1"/>
  <c r="N24" i="257"/>
  <c r="O23" i="257" s="1"/>
  <c r="K24" i="257"/>
  <c r="AU23" i="257"/>
  <c r="AL23" i="257"/>
  <c r="AC23" i="257"/>
  <c r="Z23" i="257"/>
  <c r="X23" i="257"/>
  <c r="T23" i="257"/>
  <c r="S23" i="257"/>
  <c r="Q23" i="257"/>
  <c r="K23" i="257"/>
  <c r="J23" i="257"/>
  <c r="H23" i="257"/>
  <c r="F23" i="257"/>
  <c r="AU22" i="257"/>
  <c r="AR22" i="257"/>
  <c r="AP22" i="257"/>
  <c r="AL22" i="257"/>
  <c r="AC22" i="257"/>
  <c r="Z22" i="257"/>
  <c r="T22" i="257"/>
  <c r="S22" i="257"/>
  <c r="K22" i="257"/>
  <c r="J22" i="257"/>
  <c r="H22" i="257"/>
  <c r="F22" i="257"/>
  <c r="AU21" i="257"/>
  <c r="AR21" i="257"/>
  <c r="AL21" i="257"/>
  <c r="AC21" i="257"/>
  <c r="Z21" i="257"/>
  <c r="X21" i="257"/>
  <c r="T21" i="257"/>
  <c r="S21" i="257"/>
  <c r="K21" i="257"/>
  <c r="J21" i="257"/>
  <c r="H21" i="257"/>
  <c r="F21" i="257"/>
  <c r="AU20" i="257"/>
  <c r="AR20" i="257"/>
  <c r="AP20" i="257"/>
  <c r="AL20" i="257"/>
  <c r="AC20" i="257"/>
  <c r="Z20" i="257"/>
  <c r="T20" i="257"/>
  <c r="S20" i="257"/>
  <c r="K20" i="257"/>
  <c r="J20" i="257"/>
  <c r="H20" i="257"/>
  <c r="F20" i="257"/>
  <c r="AU19" i="257"/>
  <c r="AP19" i="257"/>
  <c r="AL19" i="257"/>
  <c r="AC19" i="257"/>
  <c r="T19" i="257"/>
  <c r="S19" i="257"/>
  <c r="Q19" i="257"/>
  <c r="O19" i="257"/>
  <c r="K19" i="257"/>
  <c r="J19" i="257"/>
  <c r="H19" i="257"/>
  <c r="F19" i="257"/>
  <c r="AU18" i="257"/>
  <c r="AL18" i="257"/>
  <c r="AC18" i="257"/>
  <c r="Z18" i="257"/>
  <c r="T18" i="257"/>
  <c r="S18" i="257"/>
  <c r="Q18" i="257"/>
  <c r="K18" i="257"/>
  <c r="J18" i="257"/>
  <c r="H18" i="257"/>
  <c r="F18" i="257"/>
  <c r="AU17" i="257"/>
  <c r="AT17" i="257"/>
  <c r="AR17" i="257"/>
  <c r="AP17" i="257"/>
  <c r="AL17" i="257"/>
  <c r="AC17" i="257"/>
  <c r="T17" i="257"/>
  <c r="S17" i="257"/>
  <c r="Q17" i="257"/>
  <c r="K17" i="257"/>
  <c r="J17" i="257"/>
  <c r="H17" i="257"/>
  <c r="F17" i="257"/>
  <c r="AU16" i="257"/>
  <c r="AL16" i="257"/>
  <c r="AC16" i="257"/>
  <c r="Z16" i="257"/>
  <c r="X16" i="257"/>
  <c r="T16" i="257"/>
  <c r="S16" i="257"/>
  <c r="K16" i="257"/>
  <c r="J16" i="257"/>
  <c r="H16" i="257"/>
  <c r="F16" i="257"/>
  <c r="AU15" i="257"/>
  <c r="AR15" i="257"/>
  <c r="AP15" i="257"/>
  <c r="AL15" i="257"/>
  <c r="AC15" i="257"/>
  <c r="Z15" i="257"/>
  <c r="X15" i="257"/>
  <c r="T15" i="257"/>
  <c r="S15" i="257"/>
  <c r="S24" i="257" s="1"/>
  <c r="K15" i="257"/>
  <c r="J15" i="257"/>
  <c r="J24" i="257" s="1"/>
  <c r="H15" i="257"/>
  <c r="H24" i="257" s="1"/>
  <c r="F15" i="257"/>
  <c r="F24" i="257" s="1"/>
  <c r="W10" i="257"/>
  <c r="V10" i="257"/>
  <c r="P10" i="257"/>
  <c r="N10" i="257"/>
  <c r="L10" i="257"/>
  <c r="K10" i="257"/>
  <c r="J10" i="257"/>
  <c r="I10" i="257"/>
  <c r="H10" i="257"/>
  <c r="G10" i="257"/>
  <c r="F10" i="257"/>
  <c r="E10" i="257"/>
  <c r="X18" i="257" l="1"/>
  <c r="AC24" i="257"/>
  <c r="AR19" i="257"/>
  <c r="AR24" i="257"/>
  <c r="AB23" i="257"/>
  <c r="AB16" i="257"/>
  <c r="AU24" i="257"/>
  <c r="O15" i="257"/>
  <c r="AP18" i="257"/>
  <c r="X19" i="257"/>
  <c r="AT20" i="257"/>
  <c r="AB21" i="257"/>
  <c r="Q22" i="257"/>
  <c r="Q15" i="257"/>
  <c r="AR18" i="257"/>
  <c r="Z19" i="257"/>
  <c r="Z24" i="257" s="1"/>
  <c r="O20" i="257"/>
  <c r="AP23" i="257"/>
  <c r="AB18" i="257"/>
  <c r="AT24" i="257"/>
  <c r="AT15" i="257"/>
  <c r="O22" i="257"/>
  <c r="AP16" i="257"/>
  <c r="X17" i="257"/>
  <c r="AT18" i="257"/>
  <c r="AB19" i="257"/>
  <c r="Q20" i="257"/>
  <c r="AR23" i="257"/>
  <c r="AR16" i="257"/>
  <c r="O18" i="257"/>
  <c r="AP21" i="257"/>
  <c r="X22" i="257"/>
  <c r="AT23" i="257"/>
  <c r="T24" i="257"/>
  <c r="AT16" i="257"/>
  <c r="X20" i="257"/>
  <c r="AT21" i="257"/>
  <c r="AT22" i="257"/>
  <c r="AB17" i="257"/>
  <c r="O16" i="257"/>
  <c r="AB22" i="257"/>
  <c r="AB15" i="257"/>
  <c r="Q16" i="257"/>
  <c r="O21" i="257"/>
  <c r="O17" i="257"/>
  <c r="X24" i="257" l="1"/>
  <c r="Q24" i="257"/>
  <c r="O24" i="257"/>
  <c r="T63" i="253" l="1"/>
  <c r="S63" i="253"/>
  <c r="Q63" i="253"/>
  <c r="O63" i="253"/>
  <c r="M63" i="253"/>
  <c r="L63" i="253"/>
  <c r="K63" i="253"/>
  <c r="J63" i="253"/>
  <c r="W31" i="253"/>
  <c r="Q31" i="253"/>
  <c r="P31" i="253"/>
  <c r="O31" i="253"/>
  <c r="N31" i="253"/>
  <c r="L31" i="253"/>
  <c r="J31" i="253"/>
  <c r="I31" i="253"/>
  <c r="H31" i="253"/>
  <c r="G31" i="253"/>
  <c r="Q18" i="253"/>
  <c r="P18" i="253"/>
  <c r="O18" i="253"/>
  <c r="N18" i="253"/>
  <c r="X14" i="253"/>
  <c r="R14" i="253"/>
  <c r="Q14" i="253"/>
  <c r="P14" i="253"/>
  <c r="O14" i="253"/>
  <c r="N14" i="253"/>
  <c r="O9" i="251"/>
  <c r="N9" i="251"/>
  <c r="M9" i="251"/>
  <c r="K9" i="251"/>
  <c r="J9" i="251"/>
  <c r="I9" i="251"/>
  <c r="H9" i="251"/>
  <c r="G9" i="251"/>
  <c r="F9" i="251"/>
  <c r="E9" i="251"/>
  <c r="X15" i="241" l="1"/>
  <c r="AD17" i="249"/>
  <c r="Z17" i="249"/>
  <c r="Y17" i="249"/>
  <c r="X17" i="249"/>
  <c r="W17" i="249"/>
  <c r="V17" i="249"/>
  <c r="U17" i="249"/>
  <c r="T17" i="249"/>
  <c r="S17" i="249"/>
  <c r="R17" i="249"/>
  <c r="Q17" i="249"/>
  <c r="P17" i="249"/>
  <c r="O17" i="249"/>
  <c r="N17" i="249"/>
  <c r="M17" i="249"/>
  <c r="L17" i="249"/>
  <c r="K17" i="249"/>
  <c r="J17" i="249"/>
  <c r="I17" i="249"/>
  <c r="H17" i="249"/>
  <c r="G17" i="249"/>
  <c r="F17" i="249"/>
  <c r="AA15" i="249"/>
  <c r="AD11" i="249"/>
  <c r="X11" i="249"/>
  <c r="W11" i="249"/>
  <c r="V11" i="249"/>
  <c r="U11" i="249"/>
  <c r="T11" i="249"/>
  <c r="S11" i="249"/>
  <c r="R11" i="249"/>
  <c r="Q11" i="249"/>
  <c r="P11" i="249"/>
  <c r="O11" i="249"/>
  <c r="N11" i="249"/>
  <c r="M11" i="249"/>
  <c r="L11" i="249"/>
  <c r="K11" i="249"/>
  <c r="J11" i="249"/>
  <c r="I11" i="249"/>
  <c r="H11" i="249"/>
  <c r="G11" i="249"/>
  <c r="F11" i="249"/>
  <c r="AF35" i="247"/>
  <c r="AE35" i="247"/>
  <c r="AD35" i="247"/>
  <c r="AC35" i="247"/>
  <c r="AB35" i="247"/>
  <c r="AA35" i="247"/>
  <c r="Z35" i="247"/>
  <c r="Y35" i="247"/>
  <c r="W35" i="247"/>
  <c r="AF34" i="247"/>
  <c r="AE34" i="247"/>
  <c r="AD34" i="247"/>
  <c r="AC34" i="247"/>
  <c r="AB34" i="247"/>
  <c r="AA34" i="247"/>
  <c r="Z34" i="247"/>
  <c r="Y34" i="247"/>
  <c r="V13" i="247"/>
  <c r="U13" i="247"/>
  <c r="X12" i="247"/>
  <c r="X35" i="247" s="1"/>
  <c r="V12" i="247"/>
  <c r="V35" i="247" s="1"/>
  <c r="U12" i="247"/>
  <c r="U35" i="247" s="1"/>
  <c r="AF11" i="247"/>
  <c r="AE11" i="247"/>
  <c r="AD11" i="247"/>
  <c r="AC11" i="247"/>
  <c r="AB11" i="247"/>
  <c r="AA11" i="247"/>
  <c r="Z11" i="247"/>
  <c r="Y11" i="247"/>
  <c r="T11" i="247"/>
  <c r="S11" i="247"/>
  <c r="R11" i="247"/>
  <c r="Q11" i="247"/>
  <c r="P11" i="247"/>
  <c r="O11" i="247"/>
  <c r="N11" i="247"/>
  <c r="M11" i="247"/>
  <c r="L11" i="247"/>
  <c r="K11" i="247"/>
  <c r="J11" i="247"/>
  <c r="I11" i="247"/>
  <c r="H11" i="247"/>
  <c r="G11" i="247"/>
  <c r="F11" i="247"/>
  <c r="X10" i="247"/>
  <c r="W10" i="247"/>
  <c r="V10" i="247"/>
  <c r="U10" i="247"/>
  <c r="X9" i="247"/>
  <c r="W9" i="247"/>
  <c r="W34" i="247" s="1"/>
  <c r="V9" i="247"/>
  <c r="U9" i="247"/>
  <c r="U11" i="247" s="1"/>
  <c r="U27" i="246"/>
  <c r="U26" i="246"/>
  <c r="U25" i="246"/>
  <c r="X24" i="246"/>
  <c r="U24" i="246"/>
  <c r="W20" i="246"/>
  <c r="U20" i="246"/>
  <c r="T20" i="246"/>
  <c r="S20" i="246"/>
  <c r="P20" i="246"/>
  <c r="M20" i="246"/>
  <c r="L20" i="246"/>
  <c r="K20" i="246"/>
  <c r="J20" i="246"/>
  <c r="I20" i="246"/>
  <c r="H20" i="246"/>
  <c r="G20" i="246"/>
  <c r="F20" i="246"/>
  <c r="E20" i="246"/>
  <c r="L19" i="246"/>
  <c r="K19" i="246"/>
  <c r="J19" i="246"/>
  <c r="L17" i="246"/>
  <c r="K17" i="246"/>
  <c r="J17" i="246"/>
  <c r="I17" i="246"/>
  <c r="H17" i="246"/>
  <c r="G17" i="246"/>
  <c r="F17" i="246"/>
  <c r="E17" i="246"/>
  <c r="U16" i="246"/>
  <c r="T16" i="246"/>
  <c r="S16" i="246"/>
  <c r="P16" i="246"/>
  <c r="M16" i="246"/>
  <c r="L16" i="246"/>
  <c r="K16" i="246"/>
  <c r="J16" i="246"/>
  <c r="I16" i="246"/>
  <c r="H16" i="246"/>
  <c r="G16" i="246"/>
  <c r="F16" i="246"/>
  <c r="E16" i="246"/>
  <c r="L14" i="246"/>
  <c r="L13" i="246" s="1"/>
  <c r="K14" i="246"/>
  <c r="K13" i="246" s="1"/>
  <c r="J14" i="246"/>
  <c r="J13" i="246" s="1"/>
  <c r="I14" i="246"/>
  <c r="I13" i="246" s="1"/>
  <c r="H14" i="246"/>
  <c r="H13" i="246" s="1"/>
  <c r="G14" i="246"/>
  <c r="G13" i="246" s="1"/>
  <c r="F14" i="246"/>
  <c r="F13" i="246" s="1"/>
  <c r="E14" i="246"/>
  <c r="E13" i="246" s="1"/>
  <c r="W13" i="246"/>
  <c r="W24" i="246" s="1"/>
  <c r="U13" i="246"/>
  <c r="T13" i="246"/>
  <c r="S13" i="246"/>
  <c r="P13" i="246"/>
  <c r="O13" i="246"/>
  <c r="M13" i="246"/>
  <c r="U12" i="246"/>
  <c r="T12" i="246"/>
  <c r="S12" i="246"/>
  <c r="P12" i="246"/>
  <c r="M12" i="246"/>
  <c r="M11" i="246" s="1"/>
  <c r="L12" i="246"/>
  <c r="K12" i="246"/>
  <c r="J12" i="246"/>
  <c r="I12" i="246"/>
  <c r="H12" i="246"/>
  <c r="G12" i="246"/>
  <c r="F12" i="246"/>
  <c r="E12" i="246"/>
  <c r="W11" i="246"/>
  <c r="U11" i="246"/>
  <c r="P11" i="246"/>
  <c r="O11" i="246"/>
  <c r="N11" i="246"/>
  <c r="L9" i="246"/>
  <c r="K9" i="246"/>
  <c r="J9" i="246"/>
  <c r="I9" i="246"/>
  <c r="H9" i="246"/>
  <c r="G9" i="246"/>
  <c r="F9" i="246"/>
  <c r="E9" i="246"/>
  <c r="U8" i="246"/>
  <c r="T8" i="246"/>
  <c r="S8" i="246"/>
  <c r="P8" i="246"/>
  <c r="M8" i="246"/>
  <c r="L8" i="246"/>
  <c r="K8" i="246"/>
  <c r="J8" i="246"/>
  <c r="I8" i="246"/>
  <c r="H8" i="246"/>
  <c r="G8" i="246"/>
  <c r="F8" i="246"/>
  <c r="E8" i="246"/>
  <c r="R10" i="245"/>
  <c r="R9" i="245"/>
  <c r="L9" i="244"/>
  <c r="K9" i="244"/>
  <c r="J9" i="244"/>
  <c r="I9" i="244"/>
  <c r="H9" i="244"/>
  <c r="G9" i="244"/>
  <c r="F9" i="244"/>
  <c r="R52" i="243"/>
  <c r="Q52" i="243"/>
  <c r="P52" i="243"/>
  <c r="O52" i="243"/>
  <c r="N52" i="243"/>
  <c r="M52" i="243"/>
  <c r="L52" i="243"/>
  <c r="K52" i="243"/>
  <c r="J52" i="243"/>
  <c r="I52" i="243"/>
  <c r="H52" i="243"/>
  <c r="U44" i="243"/>
  <c r="T44" i="243"/>
  <c r="S44" i="243"/>
  <c r="R44" i="243"/>
  <c r="Q44" i="243"/>
  <c r="P44" i="243"/>
  <c r="O44" i="243"/>
  <c r="N44" i="243"/>
  <c r="M44" i="243"/>
  <c r="L44" i="243"/>
  <c r="K44" i="243"/>
  <c r="J44" i="243"/>
  <c r="I44" i="243"/>
  <c r="H44" i="243"/>
  <c r="G44" i="243"/>
  <c r="F44" i="243"/>
  <c r="V43" i="243"/>
  <c r="U43" i="243"/>
  <c r="T43" i="243"/>
  <c r="S43" i="243"/>
  <c r="R43" i="243"/>
  <c r="Q43" i="243"/>
  <c r="P43" i="243"/>
  <c r="O43" i="243"/>
  <c r="N43" i="243"/>
  <c r="M43" i="243"/>
  <c r="L43" i="243"/>
  <c r="K43" i="243"/>
  <c r="J43" i="243"/>
  <c r="I43" i="243"/>
  <c r="H43" i="243"/>
  <c r="G43" i="243"/>
  <c r="F43" i="243"/>
  <c r="V42" i="243"/>
  <c r="U42" i="243"/>
  <c r="T42" i="243"/>
  <c r="S42" i="243"/>
  <c r="R42" i="243"/>
  <c r="Q42" i="243"/>
  <c r="P42" i="243"/>
  <c r="O42" i="243"/>
  <c r="N42" i="243"/>
  <c r="M42" i="243"/>
  <c r="L42" i="243"/>
  <c r="K42" i="243"/>
  <c r="J42" i="243"/>
  <c r="I42" i="243"/>
  <c r="H42" i="243"/>
  <c r="G42" i="243"/>
  <c r="F42" i="243"/>
  <c r="V41" i="243"/>
  <c r="U41" i="243"/>
  <c r="T41" i="243"/>
  <c r="S41" i="243"/>
  <c r="R41" i="243"/>
  <c r="Q41" i="243"/>
  <c r="P41" i="243"/>
  <c r="O41" i="243"/>
  <c r="N41" i="243"/>
  <c r="M41" i="243"/>
  <c r="L41" i="243"/>
  <c r="K41" i="243"/>
  <c r="J41" i="243"/>
  <c r="I41" i="243"/>
  <c r="H41" i="243"/>
  <c r="G41" i="243"/>
  <c r="F41" i="243"/>
  <c r="V40" i="243"/>
  <c r="U40" i="243"/>
  <c r="T40" i="243"/>
  <c r="S40" i="243"/>
  <c r="R40" i="243"/>
  <c r="Q40" i="243"/>
  <c r="P40" i="243"/>
  <c r="O40" i="243"/>
  <c r="N40" i="243"/>
  <c r="M40" i="243"/>
  <c r="L40" i="243"/>
  <c r="K40" i="243"/>
  <c r="J40" i="243"/>
  <c r="I40" i="243"/>
  <c r="H40" i="243"/>
  <c r="G40" i="243"/>
  <c r="F40" i="243"/>
  <c r="V39" i="243"/>
  <c r="U39" i="243"/>
  <c r="T39" i="243"/>
  <c r="S39" i="243"/>
  <c r="R39" i="243"/>
  <c r="Q39" i="243"/>
  <c r="P39" i="243"/>
  <c r="O39" i="243"/>
  <c r="N39" i="243"/>
  <c r="M39" i="243"/>
  <c r="L39" i="243"/>
  <c r="K39" i="243"/>
  <c r="J39" i="243"/>
  <c r="I39" i="243"/>
  <c r="H39" i="243"/>
  <c r="G39" i="243"/>
  <c r="F39" i="243"/>
  <c r="V38" i="243"/>
  <c r="U38" i="243"/>
  <c r="T38" i="243"/>
  <c r="S38" i="243"/>
  <c r="R38" i="243"/>
  <c r="Q38" i="243"/>
  <c r="P38" i="243"/>
  <c r="O38" i="243"/>
  <c r="N38" i="243"/>
  <c r="M38" i="243"/>
  <c r="L38" i="243"/>
  <c r="K38" i="243"/>
  <c r="J38" i="243"/>
  <c r="I38" i="243"/>
  <c r="H38" i="243"/>
  <c r="G38" i="243"/>
  <c r="F38" i="243"/>
  <c r="V37" i="243"/>
  <c r="U37" i="243"/>
  <c r="T37" i="243"/>
  <c r="S37" i="243"/>
  <c r="R37" i="243"/>
  <c r="Q37" i="243"/>
  <c r="P37" i="243"/>
  <c r="O37" i="243"/>
  <c r="N37" i="243"/>
  <c r="M37" i="243"/>
  <c r="L37" i="243"/>
  <c r="K37" i="243"/>
  <c r="J37" i="243"/>
  <c r="I37" i="243"/>
  <c r="H37" i="243"/>
  <c r="G37" i="243"/>
  <c r="F37" i="243"/>
  <c r="V36" i="243"/>
  <c r="U36" i="243"/>
  <c r="T36" i="243"/>
  <c r="S36" i="243"/>
  <c r="R36" i="243"/>
  <c r="Q36" i="243"/>
  <c r="P36" i="243"/>
  <c r="O36" i="243"/>
  <c r="N36" i="243"/>
  <c r="M36" i="243"/>
  <c r="L36" i="243"/>
  <c r="K36" i="243"/>
  <c r="J36" i="243"/>
  <c r="I36" i="243"/>
  <c r="H36" i="243"/>
  <c r="G36" i="243"/>
  <c r="F36" i="243"/>
  <c r="V35" i="243"/>
  <c r="U35" i="243"/>
  <c r="T35" i="243"/>
  <c r="S35" i="243"/>
  <c r="R35" i="243"/>
  <c r="Q35" i="243"/>
  <c r="P35" i="243"/>
  <c r="O35" i="243"/>
  <c r="N35" i="243"/>
  <c r="M35" i="243"/>
  <c r="L35" i="243"/>
  <c r="K35" i="243"/>
  <c r="J35" i="243"/>
  <c r="I35" i="243"/>
  <c r="H35" i="243"/>
  <c r="G35" i="243"/>
  <c r="F35" i="243"/>
  <c r="S31" i="243"/>
  <c r="R31" i="243"/>
  <c r="S30" i="243"/>
  <c r="R30" i="243"/>
  <c r="S29" i="243"/>
  <c r="R29" i="243"/>
  <c r="S28" i="243"/>
  <c r="R28" i="243"/>
  <c r="S27" i="243"/>
  <c r="R27" i="243"/>
  <c r="S26" i="243"/>
  <c r="R26" i="243"/>
  <c r="S25" i="243"/>
  <c r="R25" i="243"/>
  <c r="S24" i="243"/>
  <c r="R24" i="243"/>
  <c r="S23" i="243"/>
  <c r="R23" i="243"/>
  <c r="S22" i="243"/>
  <c r="R22" i="243"/>
  <c r="W18" i="243"/>
  <c r="V44" i="243" s="1"/>
  <c r="Q53" i="242"/>
  <c r="P53" i="242"/>
  <c r="O53" i="242"/>
  <c r="N53" i="242"/>
  <c r="M53" i="242"/>
  <c r="L53" i="242"/>
  <c r="K53" i="242"/>
  <c r="J53" i="242"/>
  <c r="I53" i="242"/>
  <c r="S52" i="242"/>
  <c r="S53" i="242" s="1"/>
  <c r="R52" i="242"/>
  <c r="R53" i="242" s="1"/>
  <c r="U44" i="242"/>
  <c r="Q44" i="242"/>
  <c r="P44" i="242"/>
  <c r="O44" i="242"/>
  <c r="N44" i="242"/>
  <c r="M44" i="242"/>
  <c r="L44" i="242"/>
  <c r="K44" i="242"/>
  <c r="J44" i="242"/>
  <c r="I44" i="242"/>
  <c r="H44" i="242"/>
  <c r="G44" i="242"/>
  <c r="V43" i="242"/>
  <c r="U43" i="242"/>
  <c r="T43" i="242"/>
  <c r="S43" i="242"/>
  <c r="R43" i="242"/>
  <c r="Q43" i="242"/>
  <c r="P43" i="242"/>
  <c r="O43" i="242"/>
  <c r="N43" i="242"/>
  <c r="M43" i="242"/>
  <c r="L43" i="242"/>
  <c r="K43" i="242"/>
  <c r="J43" i="242"/>
  <c r="I43" i="242"/>
  <c r="H43" i="242"/>
  <c r="G43" i="242"/>
  <c r="F43" i="242"/>
  <c r="V42" i="242"/>
  <c r="U42" i="242"/>
  <c r="T42" i="242"/>
  <c r="S42" i="242"/>
  <c r="R42" i="242"/>
  <c r="Q42" i="242"/>
  <c r="P42" i="242"/>
  <c r="O42" i="242"/>
  <c r="N42" i="242"/>
  <c r="M42" i="242"/>
  <c r="L42" i="242"/>
  <c r="K42" i="242"/>
  <c r="J42" i="242"/>
  <c r="I42" i="242"/>
  <c r="H42" i="242"/>
  <c r="G42" i="242"/>
  <c r="F42" i="242"/>
  <c r="V41" i="242"/>
  <c r="U41" i="242"/>
  <c r="T41" i="242"/>
  <c r="S41" i="242"/>
  <c r="R41" i="242"/>
  <c r="Q41" i="242"/>
  <c r="P41" i="242"/>
  <c r="O41" i="242"/>
  <c r="N41" i="242"/>
  <c r="M41" i="242"/>
  <c r="L41" i="242"/>
  <c r="K41" i="242"/>
  <c r="J41" i="242"/>
  <c r="I41" i="242"/>
  <c r="H41" i="242"/>
  <c r="G41" i="242"/>
  <c r="F41" i="242"/>
  <c r="V40" i="242"/>
  <c r="U40" i="242"/>
  <c r="T40" i="242"/>
  <c r="S40" i="242"/>
  <c r="R40" i="242"/>
  <c r="Q40" i="242"/>
  <c r="P40" i="242"/>
  <c r="O40" i="242"/>
  <c r="N40" i="242"/>
  <c r="M40" i="242"/>
  <c r="L40" i="242"/>
  <c r="K40" i="242"/>
  <c r="J40" i="242"/>
  <c r="I40" i="242"/>
  <c r="H40" i="242"/>
  <c r="G40" i="242"/>
  <c r="F40" i="242"/>
  <c r="V39" i="242"/>
  <c r="U39" i="242"/>
  <c r="T39" i="242"/>
  <c r="S39" i="242"/>
  <c r="R39" i="242"/>
  <c r="Q39" i="242"/>
  <c r="P39" i="242"/>
  <c r="O39" i="242"/>
  <c r="N39" i="242"/>
  <c r="M39" i="242"/>
  <c r="L39" i="242"/>
  <c r="K39" i="242"/>
  <c r="J39" i="242"/>
  <c r="I39" i="242"/>
  <c r="H39" i="242"/>
  <c r="G39" i="242"/>
  <c r="F39" i="242"/>
  <c r="V38" i="242"/>
  <c r="U38" i="242"/>
  <c r="T38" i="242"/>
  <c r="S38" i="242"/>
  <c r="R38" i="242"/>
  <c r="Q38" i="242"/>
  <c r="P38" i="242"/>
  <c r="O38" i="242"/>
  <c r="N38" i="242"/>
  <c r="M38" i="242"/>
  <c r="L38" i="242"/>
  <c r="K38" i="242"/>
  <c r="J38" i="242"/>
  <c r="I38" i="242"/>
  <c r="H38" i="242"/>
  <c r="G38" i="242"/>
  <c r="F38" i="242"/>
  <c r="V37" i="242"/>
  <c r="U37" i="242"/>
  <c r="T37" i="242"/>
  <c r="S37" i="242"/>
  <c r="R37" i="242"/>
  <c r="Q37" i="242"/>
  <c r="P37" i="242"/>
  <c r="O37" i="242"/>
  <c r="N37" i="242"/>
  <c r="M37" i="242"/>
  <c r="L37" i="242"/>
  <c r="K37" i="242"/>
  <c r="J37" i="242"/>
  <c r="I37" i="242"/>
  <c r="H37" i="242"/>
  <c r="G37" i="242"/>
  <c r="F37" i="242"/>
  <c r="V36" i="242"/>
  <c r="U36" i="242"/>
  <c r="T36" i="242"/>
  <c r="S36" i="242"/>
  <c r="R36" i="242"/>
  <c r="Q36" i="242"/>
  <c r="P36" i="242"/>
  <c r="O36" i="242"/>
  <c r="N36" i="242"/>
  <c r="M36" i="242"/>
  <c r="L36" i="242"/>
  <c r="K36" i="242"/>
  <c r="J36" i="242"/>
  <c r="I36" i="242"/>
  <c r="H36" i="242"/>
  <c r="G36" i="242"/>
  <c r="F36" i="242"/>
  <c r="V35" i="242"/>
  <c r="U35" i="242"/>
  <c r="T35" i="242"/>
  <c r="S35" i="242"/>
  <c r="R35" i="242"/>
  <c r="Q35" i="242"/>
  <c r="P35" i="242"/>
  <c r="O35" i="242"/>
  <c r="N35" i="242"/>
  <c r="M35" i="242"/>
  <c r="L35" i="242"/>
  <c r="K35" i="242"/>
  <c r="J35" i="242"/>
  <c r="I35" i="242"/>
  <c r="H35" i="242"/>
  <c r="G35" i="242"/>
  <c r="F35" i="242"/>
  <c r="R31" i="242"/>
  <c r="S30" i="242"/>
  <c r="R30" i="242"/>
  <c r="S29" i="242"/>
  <c r="R29" i="242"/>
  <c r="S28" i="242"/>
  <c r="R28" i="242"/>
  <c r="Q28" i="242"/>
  <c r="S27" i="242"/>
  <c r="R27" i="242"/>
  <c r="S26" i="242"/>
  <c r="R26" i="242"/>
  <c r="Q26" i="242"/>
  <c r="S25" i="242"/>
  <c r="R25" i="242"/>
  <c r="S24" i="242"/>
  <c r="R24" i="242"/>
  <c r="S23" i="242"/>
  <c r="R23" i="242"/>
  <c r="S22" i="242"/>
  <c r="R22" i="242"/>
  <c r="W18" i="242"/>
  <c r="T18" i="242"/>
  <c r="T44" i="242" s="1"/>
  <c r="S18" i="242"/>
  <c r="S31" i="242" s="1"/>
  <c r="E18" i="242"/>
  <c r="F44" i="242" s="1"/>
  <c r="V65" i="241"/>
  <c r="U65" i="241"/>
  <c r="T65" i="241"/>
  <c r="R65" i="241"/>
  <c r="Q65" i="241"/>
  <c r="P65" i="241"/>
  <c r="O65" i="241"/>
  <c r="N65" i="241"/>
  <c r="M65" i="241"/>
  <c r="L65" i="241"/>
  <c r="K65" i="241"/>
  <c r="J65" i="241"/>
  <c r="I65" i="241"/>
  <c r="H65" i="241"/>
  <c r="G65" i="241"/>
  <c r="F65" i="241"/>
  <c r="V64" i="241"/>
  <c r="U64" i="241"/>
  <c r="T64" i="241"/>
  <c r="R64" i="241"/>
  <c r="Q64" i="241"/>
  <c r="P64" i="241"/>
  <c r="O64" i="241"/>
  <c r="N64" i="241"/>
  <c r="M64" i="241"/>
  <c r="L64" i="241"/>
  <c r="K64" i="241"/>
  <c r="J64" i="241"/>
  <c r="I64" i="241"/>
  <c r="G64" i="241"/>
  <c r="F64" i="241"/>
  <c r="V63" i="241"/>
  <c r="U63" i="241"/>
  <c r="T63" i="241"/>
  <c r="R63" i="241"/>
  <c r="Q63" i="241"/>
  <c r="P63" i="241"/>
  <c r="O63" i="241"/>
  <c r="N63" i="241"/>
  <c r="M63" i="241"/>
  <c r="L63" i="241"/>
  <c r="K63" i="241"/>
  <c r="J63" i="241"/>
  <c r="I63" i="241"/>
  <c r="H63" i="241"/>
  <c r="G63" i="241"/>
  <c r="F63" i="241"/>
  <c r="V62" i="241"/>
  <c r="U62" i="241"/>
  <c r="T62" i="241"/>
  <c r="R62" i="241"/>
  <c r="Q62" i="241"/>
  <c r="P62" i="241"/>
  <c r="O62" i="241"/>
  <c r="N62" i="241"/>
  <c r="M62" i="241"/>
  <c r="L62" i="241"/>
  <c r="K62" i="241"/>
  <c r="J62" i="241"/>
  <c r="I62" i="241"/>
  <c r="H62" i="241"/>
  <c r="G62" i="241"/>
  <c r="F62" i="241"/>
  <c r="V61" i="241"/>
  <c r="U61" i="241"/>
  <c r="T61" i="241"/>
  <c r="R61" i="241"/>
  <c r="Q61" i="241"/>
  <c r="P61" i="241"/>
  <c r="O61" i="241"/>
  <c r="N61" i="241"/>
  <c r="M61" i="241"/>
  <c r="L61" i="241"/>
  <c r="K61" i="241"/>
  <c r="J61" i="241"/>
  <c r="I61" i="241"/>
  <c r="H61" i="241"/>
  <c r="G61" i="241"/>
  <c r="F61" i="241"/>
  <c r="V60" i="241"/>
  <c r="U60" i="241"/>
  <c r="T60" i="241"/>
  <c r="R60" i="241"/>
  <c r="Q60" i="241"/>
  <c r="P60" i="241"/>
  <c r="O60" i="241"/>
  <c r="N60" i="241"/>
  <c r="M60" i="241"/>
  <c r="L60" i="241"/>
  <c r="K60" i="241"/>
  <c r="J60" i="241"/>
  <c r="I60" i="241"/>
  <c r="H60" i="241"/>
  <c r="G60" i="241"/>
  <c r="F60" i="241"/>
  <c r="V59" i="241"/>
  <c r="U59" i="241"/>
  <c r="T59" i="241"/>
  <c r="R59" i="241"/>
  <c r="Q59" i="241"/>
  <c r="P59" i="241"/>
  <c r="O59" i="241"/>
  <c r="N59" i="241"/>
  <c r="M59" i="241"/>
  <c r="L59" i="241"/>
  <c r="K59" i="241"/>
  <c r="J59" i="241"/>
  <c r="I59" i="241"/>
  <c r="H59" i="241"/>
  <c r="G59" i="241"/>
  <c r="F59" i="241"/>
  <c r="U53" i="241"/>
  <c r="S65" i="241" s="1"/>
  <c r="U52" i="241"/>
  <c r="S64" i="241" s="1"/>
  <c r="U51" i="241"/>
  <c r="S63" i="241" s="1"/>
  <c r="U50" i="241"/>
  <c r="S62" i="241" s="1"/>
  <c r="U49" i="241"/>
  <c r="S61" i="241" s="1"/>
  <c r="U48" i="241"/>
  <c r="S60" i="241" s="1"/>
  <c r="U47" i="241"/>
  <c r="S59" i="241" s="1"/>
  <c r="W15" i="241"/>
  <c r="V15" i="241"/>
  <c r="U15" i="241"/>
  <c r="T15" i="241"/>
  <c r="S15" i="241"/>
  <c r="R15" i="241"/>
  <c r="Q15" i="241"/>
  <c r="P15" i="241"/>
  <c r="O15" i="241"/>
  <c r="N15" i="241"/>
  <c r="M15" i="241"/>
  <c r="L15" i="241"/>
  <c r="K15" i="241"/>
  <c r="J15" i="241"/>
  <c r="I15" i="241"/>
  <c r="H15" i="241"/>
  <c r="G15" i="241"/>
  <c r="F15" i="241"/>
  <c r="E15" i="241"/>
  <c r="Y14" i="241"/>
  <c r="Y13" i="241"/>
  <c r="Y12" i="241"/>
  <c r="Y11" i="241"/>
  <c r="Y10" i="241"/>
  <c r="Y9" i="241"/>
  <c r="Y8" i="241"/>
  <c r="AE16" i="240"/>
  <c r="AD16" i="240"/>
  <c r="AC16" i="240"/>
  <c r="AB16" i="240"/>
  <c r="AA16" i="240"/>
  <c r="Z16" i="240"/>
  <c r="Y16" i="240"/>
  <c r="X16" i="240"/>
  <c r="W16" i="240"/>
  <c r="U16" i="240"/>
  <c r="T16" i="240"/>
  <c r="S16" i="240"/>
  <c r="R16" i="240"/>
  <c r="Q16" i="240"/>
  <c r="P16" i="240"/>
  <c r="O16" i="240"/>
  <c r="N16" i="240"/>
  <c r="AE15" i="240"/>
  <c r="AD15" i="240"/>
  <c r="AC15" i="240"/>
  <c r="AB15" i="240"/>
  <c r="AA15" i="240"/>
  <c r="Z15" i="240"/>
  <c r="Y15" i="240"/>
  <c r="X15" i="240"/>
  <c r="W15" i="240"/>
  <c r="V15" i="240"/>
  <c r="U15" i="240"/>
  <c r="T15" i="240"/>
  <c r="AE14" i="240"/>
  <c r="AD14" i="240"/>
  <c r="AC14" i="240"/>
  <c r="AB14" i="240"/>
  <c r="AA14" i="240"/>
  <c r="Z14" i="240"/>
  <c r="Y14" i="240"/>
  <c r="X14" i="240"/>
  <c r="W14" i="240"/>
  <c r="V14" i="240"/>
  <c r="U14" i="240"/>
  <c r="T14" i="240"/>
  <c r="AE13" i="240"/>
  <c r="AD13" i="240"/>
  <c r="AC13" i="240"/>
  <c r="AB13" i="240"/>
  <c r="AA13" i="240"/>
  <c r="Z13" i="240"/>
  <c r="Y13" i="240"/>
  <c r="X13" i="240"/>
  <c r="W13" i="240"/>
  <c r="V13" i="240"/>
  <c r="U13" i="240"/>
  <c r="T13" i="240"/>
  <c r="AE12" i="240"/>
  <c r="AD12" i="240"/>
  <c r="AC12" i="240"/>
  <c r="AB12" i="240"/>
  <c r="AA12" i="240"/>
  <c r="Z12" i="240"/>
  <c r="Y12" i="240"/>
  <c r="X12" i="240"/>
  <c r="W12" i="240"/>
  <c r="V12" i="240"/>
  <c r="U12" i="240"/>
  <c r="T12" i="240"/>
  <c r="AE11" i="240"/>
  <c r="AD11" i="240"/>
  <c r="AC11" i="240"/>
  <c r="AB11" i="240"/>
  <c r="AA11" i="240"/>
  <c r="Z11" i="240"/>
  <c r="Y11" i="240"/>
  <c r="X11" i="240"/>
  <c r="W11" i="240"/>
  <c r="V11" i="240"/>
  <c r="U11" i="240"/>
  <c r="T11" i="240"/>
  <c r="AE10" i="240"/>
  <c r="AD10" i="240"/>
  <c r="AC10" i="240"/>
  <c r="AB10" i="240"/>
  <c r="AA10" i="240"/>
  <c r="Z10" i="240"/>
  <c r="Y10" i="240"/>
  <c r="X10" i="240"/>
  <c r="W10" i="240"/>
  <c r="V10" i="240"/>
  <c r="U10" i="240"/>
  <c r="T10" i="240"/>
  <c r="AE9" i="240"/>
  <c r="AD9" i="240"/>
  <c r="AC9" i="240"/>
  <c r="AB9" i="240"/>
  <c r="AA9" i="240"/>
  <c r="Z9" i="240"/>
  <c r="Y9" i="240"/>
  <c r="X9" i="240"/>
  <c r="W9" i="240"/>
  <c r="V9" i="240"/>
  <c r="V16" i="240" s="1"/>
  <c r="U9" i="240"/>
  <c r="T9" i="240"/>
  <c r="Z54" i="239"/>
  <c r="Y54" i="239"/>
  <c r="X54" i="239"/>
  <c r="W54" i="239"/>
  <c r="V54" i="239"/>
  <c r="U54" i="239"/>
  <c r="T54" i="239"/>
  <c r="S54" i="239"/>
  <c r="R54" i="239"/>
  <c r="Q54" i="239"/>
  <c r="P54" i="239"/>
  <c r="O54" i="239"/>
  <c r="N54" i="239"/>
  <c r="M54" i="239"/>
  <c r="L54" i="239"/>
  <c r="K54" i="239"/>
  <c r="J54" i="239"/>
  <c r="I54" i="239"/>
  <c r="H54" i="239"/>
  <c r="G54" i="239"/>
  <c r="F54" i="239"/>
  <c r="E54" i="239"/>
  <c r="Z53" i="239"/>
  <c r="Y53" i="239"/>
  <c r="X53" i="239"/>
  <c r="W53" i="239"/>
  <c r="V53" i="239"/>
  <c r="U53" i="239"/>
  <c r="T53" i="239"/>
  <c r="S53" i="239"/>
  <c r="R53" i="239"/>
  <c r="Q53" i="239"/>
  <c r="P53" i="239"/>
  <c r="O53" i="239"/>
  <c r="N53" i="239"/>
  <c r="M53" i="239"/>
  <c r="L53" i="239"/>
  <c r="K53" i="239"/>
  <c r="J53" i="239"/>
  <c r="I53" i="239"/>
  <c r="H53" i="239"/>
  <c r="G53" i="239"/>
  <c r="F53" i="239"/>
  <c r="E53" i="239"/>
  <c r="Z52" i="239"/>
  <c r="Y52" i="239"/>
  <c r="X52" i="239"/>
  <c r="W52" i="239"/>
  <c r="V52" i="239"/>
  <c r="U52" i="239"/>
  <c r="T52" i="239"/>
  <c r="S52" i="239"/>
  <c r="R52" i="239"/>
  <c r="Q52" i="239"/>
  <c r="P52" i="239"/>
  <c r="O52" i="239"/>
  <c r="N52" i="239"/>
  <c r="M52" i="239"/>
  <c r="L52" i="239"/>
  <c r="K52" i="239"/>
  <c r="J52" i="239"/>
  <c r="I52" i="239"/>
  <c r="H52" i="239"/>
  <c r="G52" i="239"/>
  <c r="F52" i="239"/>
  <c r="E52" i="239"/>
  <c r="Z51" i="239"/>
  <c r="Y51" i="239"/>
  <c r="X51" i="239"/>
  <c r="W51" i="239"/>
  <c r="V51" i="239"/>
  <c r="U51" i="239"/>
  <c r="T51" i="239"/>
  <c r="S51" i="239"/>
  <c r="R51" i="239"/>
  <c r="Q51" i="239"/>
  <c r="P51" i="239"/>
  <c r="O51" i="239"/>
  <c r="N51" i="239"/>
  <c r="M51" i="239"/>
  <c r="L51" i="239"/>
  <c r="K51" i="239"/>
  <c r="J51" i="239"/>
  <c r="I51" i="239"/>
  <c r="H51" i="239"/>
  <c r="G51" i="239"/>
  <c r="F51" i="239"/>
  <c r="E51" i="239"/>
  <c r="Z50" i="239"/>
  <c r="Y50" i="239"/>
  <c r="X50" i="239"/>
  <c r="W50" i="239"/>
  <c r="V50" i="239"/>
  <c r="U50" i="239"/>
  <c r="T50" i="239"/>
  <c r="S50" i="239"/>
  <c r="R50" i="239"/>
  <c r="Q50" i="239"/>
  <c r="P50" i="239"/>
  <c r="O50" i="239"/>
  <c r="N50" i="239"/>
  <c r="M50" i="239"/>
  <c r="L50" i="239"/>
  <c r="K50" i="239"/>
  <c r="J50" i="239"/>
  <c r="I50" i="239"/>
  <c r="H50" i="239"/>
  <c r="G50" i="239"/>
  <c r="F50" i="239"/>
  <c r="E50" i="239"/>
  <c r="AF45" i="239"/>
  <c r="AF54" i="239" s="1"/>
  <c r="AE45" i="239"/>
  <c r="AE54" i="239" s="1"/>
  <c r="AD45" i="239"/>
  <c r="AD54" i="239" s="1"/>
  <c r="AC45" i="239"/>
  <c r="AC54" i="239" s="1"/>
  <c r="AB45" i="239"/>
  <c r="AB54" i="239" s="1"/>
  <c r="AA45" i="239"/>
  <c r="AA54" i="239" s="1"/>
  <c r="AF44" i="239"/>
  <c r="AF53" i="239" s="1"/>
  <c r="AE44" i="239"/>
  <c r="AE53" i="239" s="1"/>
  <c r="AD44" i="239"/>
  <c r="AD53" i="239" s="1"/>
  <c r="AC44" i="239"/>
  <c r="AC53" i="239" s="1"/>
  <c r="AB44" i="239"/>
  <c r="AB53" i="239" s="1"/>
  <c r="AA44" i="239"/>
  <c r="AA53" i="239" s="1"/>
  <c r="AF43" i="239"/>
  <c r="AF52" i="239" s="1"/>
  <c r="AE43" i="239"/>
  <c r="AE52" i="239" s="1"/>
  <c r="AD43" i="239"/>
  <c r="AD52" i="239" s="1"/>
  <c r="AC43" i="239"/>
  <c r="AC52" i="239" s="1"/>
  <c r="AB43" i="239"/>
  <c r="AB52" i="239" s="1"/>
  <c r="AA43" i="239"/>
  <c r="AA52" i="239" s="1"/>
  <c r="AF42" i="239"/>
  <c r="AF51" i="239" s="1"/>
  <c r="AE42" i="239"/>
  <c r="AE51" i="239" s="1"/>
  <c r="AD42" i="239"/>
  <c r="AD51" i="239" s="1"/>
  <c r="AC42" i="239"/>
  <c r="AC51" i="239" s="1"/>
  <c r="AB42" i="239"/>
  <c r="AB51" i="239" s="1"/>
  <c r="AA42" i="239"/>
  <c r="AA51" i="239" s="1"/>
  <c r="AF41" i="239"/>
  <c r="AF50" i="239" s="1"/>
  <c r="AE41" i="239"/>
  <c r="AE50" i="239" s="1"/>
  <c r="AD41" i="239"/>
  <c r="AD50" i="239" s="1"/>
  <c r="AC41" i="239"/>
  <c r="AC50" i="239" s="1"/>
  <c r="AB41" i="239"/>
  <c r="AB50" i="239" s="1"/>
  <c r="AA41" i="239"/>
  <c r="AA50" i="239" s="1"/>
  <c r="AF14" i="239"/>
  <c r="AE14" i="239"/>
  <c r="AD14" i="239"/>
  <c r="AC14" i="239"/>
  <c r="AB14" i="239"/>
  <c r="AA14" i="239"/>
  <c r="Z14" i="239"/>
  <c r="Y14" i="239"/>
  <c r="X14" i="239"/>
  <c r="W14" i="239"/>
  <c r="V14" i="239"/>
  <c r="U14" i="239"/>
  <c r="T14" i="239"/>
  <c r="S14" i="239"/>
  <c r="R14" i="239"/>
  <c r="Q14" i="239"/>
  <c r="P14" i="239"/>
  <c r="O14" i="239"/>
  <c r="AF13" i="239"/>
  <c r="AE13" i="239"/>
  <c r="AD13" i="239"/>
  <c r="AC13" i="239"/>
  <c r="AB13" i="239"/>
  <c r="AA13" i="239"/>
  <c r="Z13" i="239"/>
  <c r="Y13" i="239"/>
  <c r="X13" i="239"/>
  <c r="W13" i="239"/>
  <c r="V13" i="239"/>
  <c r="U13" i="239"/>
  <c r="AF12" i="239"/>
  <c r="AE12" i="239"/>
  <c r="AD12" i="239"/>
  <c r="AC12" i="239"/>
  <c r="AB12" i="239"/>
  <c r="AA12" i="239"/>
  <c r="Z12" i="239"/>
  <c r="Y12" i="239"/>
  <c r="X12" i="239"/>
  <c r="W12" i="239"/>
  <c r="V12" i="239"/>
  <c r="U12" i="239"/>
  <c r="AF11" i="239"/>
  <c r="AE11" i="239"/>
  <c r="AD11" i="239"/>
  <c r="AC11" i="239"/>
  <c r="AB11" i="239"/>
  <c r="AA11" i="239"/>
  <c r="Z11" i="239"/>
  <c r="Y11" i="239"/>
  <c r="X11" i="239"/>
  <c r="W11" i="239"/>
  <c r="V11" i="239"/>
  <c r="U11" i="239"/>
  <c r="AF10" i="239"/>
  <c r="AE10" i="239"/>
  <c r="AD10" i="239"/>
  <c r="AC10" i="239"/>
  <c r="AB10" i="239"/>
  <c r="AA10" i="239"/>
  <c r="Z10" i="239"/>
  <c r="Y10" i="239"/>
  <c r="X10" i="239"/>
  <c r="W10" i="239"/>
  <c r="V10" i="239"/>
  <c r="U10" i="239"/>
  <c r="AF9" i="239"/>
  <c r="AE9" i="239"/>
  <c r="AD9" i="239"/>
  <c r="AC9" i="239"/>
  <c r="AB9" i="239"/>
  <c r="AA9" i="239"/>
  <c r="Z9" i="239"/>
  <c r="Y9" i="239"/>
  <c r="X9" i="239"/>
  <c r="W9" i="239"/>
  <c r="V9" i="239"/>
  <c r="U9" i="239"/>
  <c r="Z56" i="238"/>
  <c r="Y56" i="238"/>
  <c r="X56" i="238"/>
  <c r="W56" i="238"/>
  <c r="V56" i="238"/>
  <c r="U56" i="238"/>
  <c r="T56" i="238"/>
  <c r="S56" i="238"/>
  <c r="R56" i="238"/>
  <c r="Q56" i="238"/>
  <c r="P56" i="238"/>
  <c r="O56" i="238"/>
  <c r="N56" i="238"/>
  <c r="M56" i="238"/>
  <c r="L56" i="238"/>
  <c r="K56" i="238"/>
  <c r="J56" i="238"/>
  <c r="I56" i="238"/>
  <c r="H56" i="238"/>
  <c r="G56" i="238"/>
  <c r="F56" i="238"/>
  <c r="E56" i="238"/>
  <c r="Z55" i="238"/>
  <c r="Y55" i="238"/>
  <c r="X55" i="238"/>
  <c r="W55" i="238"/>
  <c r="V55" i="238"/>
  <c r="U55" i="238"/>
  <c r="T55" i="238"/>
  <c r="S55" i="238"/>
  <c r="R55" i="238"/>
  <c r="Q55" i="238"/>
  <c r="P55" i="238"/>
  <c r="O55" i="238"/>
  <c r="N55" i="238"/>
  <c r="M55" i="238"/>
  <c r="L55" i="238"/>
  <c r="K55" i="238"/>
  <c r="J55" i="238"/>
  <c r="I55" i="238"/>
  <c r="H55" i="238"/>
  <c r="G55" i="238"/>
  <c r="F55" i="238"/>
  <c r="E55" i="238"/>
  <c r="Z54" i="238"/>
  <c r="Y54" i="238"/>
  <c r="X54" i="238"/>
  <c r="W54" i="238"/>
  <c r="V54" i="238"/>
  <c r="U54" i="238"/>
  <c r="T54" i="238"/>
  <c r="S54" i="238"/>
  <c r="R54" i="238"/>
  <c r="Q54" i="238"/>
  <c r="P54" i="238"/>
  <c r="O54" i="238"/>
  <c r="N54" i="238"/>
  <c r="M54" i="238"/>
  <c r="L54" i="238"/>
  <c r="K54" i="238"/>
  <c r="J54" i="238"/>
  <c r="I54" i="238"/>
  <c r="H54" i="238"/>
  <c r="G54" i="238"/>
  <c r="F54" i="238"/>
  <c r="E54" i="238"/>
  <c r="AA53" i="238"/>
  <c r="Z53" i="238"/>
  <c r="Y53" i="238"/>
  <c r="X53" i="238"/>
  <c r="W53" i="238"/>
  <c r="V53" i="238"/>
  <c r="U53" i="238"/>
  <c r="T53" i="238"/>
  <c r="S53" i="238"/>
  <c r="R53" i="238"/>
  <c r="Q53" i="238"/>
  <c r="P53" i="238"/>
  <c r="O53" i="238"/>
  <c r="N53" i="238"/>
  <c r="M53" i="238"/>
  <c r="L53" i="238"/>
  <c r="K53" i="238"/>
  <c r="J53" i="238"/>
  <c r="I53" i="238"/>
  <c r="H53" i="238"/>
  <c r="G53" i="238"/>
  <c r="F53" i="238"/>
  <c r="E53" i="238"/>
  <c r="Z52" i="238"/>
  <c r="Y52" i="238"/>
  <c r="X52" i="238"/>
  <c r="W52" i="238"/>
  <c r="V52" i="238"/>
  <c r="U52" i="238"/>
  <c r="T52" i="238"/>
  <c r="S52" i="238"/>
  <c r="R52" i="238"/>
  <c r="Q52" i="238"/>
  <c r="P52" i="238"/>
  <c r="O52" i="238"/>
  <c r="N52" i="238"/>
  <c r="M52" i="238"/>
  <c r="L52" i="238"/>
  <c r="K52" i="238"/>
  <c r="J52" i="238"/>
  <c r="I52" i="238"/>
  <c r="H52" i="238"/>
  <c r="G52" i="238"/>
  <c r="F52" i="238"/>
  <c r="E52" i="238"/>
  <c r="AF48" i="238"/>
  <c r="AF56" i="238" s="1"/>
  <c r="AE48" i="238"/>
  <c r="AE56" i="238" s="1"/>
  <c r="AD48" i="238"/>
  <c r="AD56" i="238" s="1"/>
  <c r="AC48" i="238"/>
  <c r="AC56" i="238" s="1"/>
  <c r="AB48" i="238"/>
  <c r="AB56" i="238" s="1"/>
  <c r="AF47" i="238"/>
  <c r="AF55" i="238" s="1"/>
  <c r="AE47" i="238"/>
  <c r="AE55" i="238" s="1"/>
  <c r="AD47" i="238"/>
  <c r="AD55" i="238" s="1"/>
  <c r="AC47" i="238"/>
  <c r="AC55" i="238" s="1"/>
  <c r="AB47" i="238"/>
  <c r="AB55" i="238" s="1"/>
  <c r="AA47" i="238"/>
  <c r="AA55" i="238" s="1"/>
  <c r="AF46" i="238"/>
  <c r="AF54" i="238" s="1"/>
  <c r="AE46" i="238"/>
  <c r="AE54" i="238" s="1"/>
  <c r="AD46" i="238"/>
  <c r="AD54" i="238" s="1"/>
  <c r="AC46" i="238"/>
  <c r="AC54" i="238" s="1"/>
  <c r="AB46" i="238"/>
  <c r="AB54" i="238" s="1"/>
  <c r="AA46" i="238"/>
  <c r="AA54" i="238" s="1"/>
  <c r="AF45" i="238"/>
  <c r="AF53" i="238" s="1"/>
  <c r="AE45" i="238"/>
  <c r="AE53" i="238" s="1"/>
  <c r="AD45" i="238"/>
  <c r="AD53" i="238" s="1"/>
  <c r="AC45" i="238"/>
  <c r="AC53" i="238" s="1"/>
  <c r="AB45" i="238"/>
  <c r="AB53" i="238" s="1"/>
  <c r="AF44" i="238"/>
  <c r="AF52" i="238" s="1"/>
  <c r="AE44" i="238"/>
  <c r="AE52" i="238" s="1"/>
  <c r="AD44" i="238"/>
  <c r="AD52" i="238" s="1"/>
  <c r="AC44" i="238"/>
  <c r="AC52" i="238" s="1"/>
  <c r="AB44" i="238"/>
  <c r="AB52" i="238" s="1"/>
  <c r="AA44" i="238"/>
  <c r="AA52" i="238" s="1"/>
  <c r="AF13" i="238"/>
  <c r="AE13" i="238"/>
  <c r="AC13" i="238"/>
  <c r="AB13" i="238"/>
  <c r="AA13" i="238"/>
  <c r="Z13" i="238"/>
  <c r="Y13" i="238"/>
  <c r="X13" i="238"/>
  <c r="W13" i="238"/>
  <c r="U13" i="238"/>
  <c r="AF12" i="238"/>
  <c r="AE12" i="238"/>
  <c r="AD12" i="238"/>
  <c r="AC12" i="238"/>
  <c r="AB12" i="238"/>
  <c r="AA12" i="238"/>
  <c r="Z12" i="238"/>
  <c r="Y12" i="238"/>
  <c r="X12" i="238"/>
  <c r="W12" i="238"/>
  <c r="V12" i="238"/>
  <c r="U12" i="238"/>
  <c r="AF11" i="238"/>
  <c r="AE11" i="238"/>
  <c r="AD11" i="238"/>
  <c r="AC11" i="238"/>
  <c r="AB11" i="238"/>
  <c r="AA11" i="238"/>
  <c r="Z11" i="238"/>
  <c r="Y11" i="238"/>
  <c r="X11" i="238"/>
  <c r="W11" i="238"/>
  <c r="V11" i="238"/>
  <c r="U11" i="238"/>
  <c r="AF10" i="238"/>
  <c r="AE10" i="238"/>
  <c r="AD10" i="238"/>
  <c r="AC10" i="238"/>
  <c r="AB10" i="238"/>
  <c r="AA10" i="238"/>
  <c r="Z10" i="238"/>
  <c r="Y10" i="238"/>
  <c r="X10" i="238"/>
  <c r="W10" i="238"/>
  <c r="V10" i="238"/>
  <c r="U10" i="238"/>
  <c r="AF9" i="238"/>
  <c r="AE9" i="238"/>
  <c r="AD9" i="238"/>
  <c r="AD13" i="238" s="1"/>
  <c r="AC9" i="238"/>
  <c r="AB9" i="238"/>
  <c r="AA9" i="238"/>
  <c r="Z9" i="238"/>
  <c r="Y9" i="238"/>
  <c r="X9" i="238"/>
  <c r="W9" i="238"/>
  <c r="V9" i="238"/>
  <c r="V13" i="238" s="1"/>
  <c r="S11" i="246" l="1"/>
  <c r="T11" i="246"/>
  <c r="E11" i="246"/>
  <c r="H11" i="246"/>
  <c r="F11" i="246"/>
  <c r="G11" i="246"/>
  <c r="V44" i="242"/>
  <c r="T52" i="242"/>
  <c r="T53" i="242" s="1"/>
  <c r="V11" i="247"/>
  <c r="W11" i="247"/>
  <c r="X11" i="247"/>
  <c r="I11" i="246"/>
  <c r="J11" i="246"/>
  <c r="L11" i="246"/>
  <c r="K11" i="246"/>
  <c r="U34" i="247"/>
  <c r="V34" i="247"/>
  <c r="R44" i="242"/>
  <c r="X34" i="247"/>
  <c r="AA48" i="238"/>
  <c r="AA56" i="238" s="1"/>
  <c r="S44" i="242"/>
  <c r="AD17" i="110" l="1"/>
  <c r="AC17" i="110"/>
  <c r="E6" i="231" l="1"/>
  <c r="E10" i="231"/>
  <c r="G10" i="231"/>
  <c r="I10" i="231"/>
  <c r="K10" i="231"/>
  <c r="M10" i="231"/>
  <c r="O10" i="231"/>
  <c r="Q10" i="231"/>
  <c r="S10" i="231"/>
  <c r="U10" i="231"/>
  <c r="W10" i="231"/>
  <c r="Y10" i="231"/>
  <c r="AA10" i="231"/>
  <c r="AC10" i="231"/>
  <c r="AE10" i="231"/>
  <c r="AG10" i="231"/>
  <c r="AI10" i="231"/>
  <c r="AK10" i="231"/>
  <c r="AM10" i="231"/>
  <c r="AO10" i="231"/>
  <c r="AQ10" i="231"/>
  <c r="AS10" i="231"/>
  <c r="AU10" i="231"/>
  <c r="E75" i="231"/>
  <c r="G75" i="231"/>
  <c r="I75" i="231"/>
  <c r="K75" i="231"/>
  <c r="M75" i="231"/>
  <c r="O75" i="231"/>
  <c r="Q75" i="231"/>
  <c r="S75" i="231"/>
  <c r="U75" i="231"/>
  <c r="V75" i="231"/>
  <c r="X75" i="231"/>
  <c r="Z75" i="231"/>
  <c r="AB75" i="231"/>
  <c r="AD75" i="231"/>
  <c r="AF75" i="231"/>
  <c r="AH75" i="231"/>
  <c r="F35" i="220" l="1"/>
  <c r="G35" i="220" s="1"/>
  <c r="H35" i="220" s="1"/>
  <c r="I35" i="220" s="1"/>
  <c r="J35" i="220" s="1"/>
  <c r="K35" i="220" s="1"/>
  <c r="L35" i="220" s="1"/>
  <c r="M35" i="220" s="1"/>
  <c r="N35" i="220" s="1"/>
  <c r="O35" i="220" s="1"/>
  <c r="P35" i="220" s="1"/>
  <c r="Q35" i="220" s="1"/>
  <c r="R35" i="220" s="1"/>
  <c r="S35" i="220" s="1"/>
  <c r="T35" i="220" s="1"/>
  <c r="U35" i="220" s="1"/>
  <c r="V35" i="220" s="1"/>
  <c r="F30" i="220"/>
  <c r="G30" i="220" s="1"/>
  <c r="H30" i="220" s="1"/>
  <c r="I30" i="220" s="1"/>
  <c r="J30" i="220" s="1"/>
  <c r="K30" i="220" s="1"/>
  <c r="L30" i="220" s="1"/>
  <c r="M30" i="220" s="1"/>
  <c r="N30" i="220" s="1"/>
  <c r="O30" i="220" s="1"/>
  <c r="P30" i="220" s="1"/>
  <c r="Q30" i="220" s="1"/>
  <c r="R30" i="220" s="1"/>
  <c r="S30" i="220" s="1"/>
  <c r="T30" i="220" s="1"/>
  <c r="U30" i="220" s="1"/>
  <c r="V30" i="220" s="1"/>
  <c r="X10" i="220"/>
  <c r="X12" i="220" s="1"/>
  <c r="V10" i="220"/>
  <c r="V12" i="220" s="1"/>
  <c r="U10" i="220"/>
  <c r="U12" i="220" s="1"/>
  <c r="T10" i="220"/>
  <c r="S10" i="220"/>
  <c r="R10" i="220"/>
  <c r="Q10" i="220"/>
  <c r="Q11" i="220" s="1"/>
  <c r="P10" i="220"/>
  <c r="P11" i="220" s="1"/>
  <c r="O10" i="220"/>
  <c r="O11" i="220" s="1"/>
  <c r="N10" i="220"/>
  <c r="N11" i="220" s="1"/>
  <c r="M10" i="220"/>
  <c r="M11" i="220" s="1"/>
  <c r="L10" i="220"/>
  <c r="L11" i="220" s="1"/>
  <c r="K10" i="220"/>
  <c r="K11" i="220" s="1"/>
  <c r="J10" i="220"/>
  <c r="J11" i="220" s="1"/>
  <c r="I10" i="220"/>
  <c r="I11" i="220" s="1"/>
  <c r="H10" i="220"/>
  <c r="H11" i="220" s="1"/>
  <c r="G10" i="220"/>
  <c r="G11" i="220" s="1"/>
  <c r="F10" i="220"/>
  <c r="F11" i="220" s="1"/>
  <c r="E10" i="220"/>
  <c r="E11" i="220" s="1"/>
  <c r="R12" i="220" l="1"/>
  <c r="R11" i="220"/>
  <c r="S12" i="220"/>
  <c r="S11" i="220"/>
  <c r="T12" i="220"/>
  <c r="T11" i="220"/>
  <c r="U11" i="220"/>
  <c r="R49" i="219" l="1"/>
  <c r="Q49" i="219"/>
  <c r="P49" i="219"/>
  <c r="O49" i="219"/>
  <c r="N49" i="219"/>
  <c r="M49" i="219"/>
  <c r="L49" i="219"/>
  <c r="K49" i="219"/>
  <c r="J49" i="219"/>
  <c r="I49" i="219"/>
  <c r="H49" i="219"/>
  <c r="G49" i="219"/>
  <c r="R48" i="219"/>
  <c r="Q48" i="219"/>
  <c r="P48" i="219"/>
  <c r="O48" i="219"/>
  <c r="N48" i="219"/>
  <c r="M48" i="219"/>
  <c r="L48" i="219"/>
  <c r="K48" i="219"/>
  <c r="J48" i="219"/>
  <c r="I48" i="219"/>
  <c r="H48" i="219"/>
  <c r="G48" i="219"/>
  <c r="R10" i="219"/>
  <c r="Q10" i="219"/>
  <c r="P10" i="219"/>
  <c r="O10" i="219"/>
  <c r="N10" i="219"/>
  <c r="M10" i="219"/>
  <c r="L10" i="219"/>
  <c r="K10" i="219"/>
  <c r="J10" i="219"/>
  <c r="I10" i="219"/>
  <c r="H10" i="219"/>
  <c r="G10" i="219"/>
  <c r="R9" i="219"/>
  <c r="Q9" i="219"/>
  <c r="P9" i="219"/>
  <c r="O9" i="219"/>
  <c r="N9" i="219"/>
  <c r="M9" i="219"/>
  <c r="L9" i="219"/>
  <c r="K9" i="219"/>
  <c r="J9" i="219"/>
  <c r="I9" i="219"/>
  <c r="H9" i="219"/>
  <c r="G9" i="219"/>
  <c r="R62" i="210" l="1"/>
  <c r="Q62" i="210"/>
  <c r="P62" i="210"/>
  <c r="O62" i="210"/>
  <c r="N62" i="210"/>
  <c r="M62" i="210"/>
  <c r="L62" i="210"/>
  <c r="K62" i="210"/>
  <c r="J62" i="210"/>
  <c r="I62" i="210"/>
  <c r="H62" i="210"/>
  <c r="G62" i="210"/>
  <c r="R61" i="210"/>
  <c r="Q61" i="210"/>
  <c r="P61" i="210"/>
  <c r="O61" i="210"/>
  <c r="N61" i="210"/>
  <c r="M61" i="210"/>
  <c r="L61" i="210"/>
  <c r="K61" i="210"/>
  <c r="J61" i="210"/>
  <c r="I61" i="210"/>
  <c r="H61" i="210"/>
  <c r="G61" i="210"/>
  <c r="H40" i="207"/>
  <c r="G40" i="207"/>
  <c r="F40" i="207"/>
  <c r="E40" i="207"/>
  <c r="H27" i="207"/>
  <c r="G27" i="207"/>
  <c r="F27" i="207"/>
  <c r="E27" i="207"/>
  <c r="H24" i="207"/>
  <c r="G24" i="207"/>
  <c r="F24" i="207"/>
  <c r="E24" i="207"/>
  <c r="N16" i="207"/>
  <c r="M16" i="207"/>
  <c r="L16" i="207"/>
  <c r="K16" i="207"/>
  <c r="J16" i="207"/>
  <c r="I16" i="207"/>
  <c r="H16" i="207"/>
  <c r="G16" i="207"/>
  <c r="F16" i="207"/>
  <c r="E16" i="207"/>
  <c r="E17" i="207" s="1"/>
  <c r="O41" i="197"/>
  <c r="AY35" i="197"/>
  <c r="AU35" i="197"/>
  <c r="AQ35" i="197"/>
  <c r="AM35" i="197"/>
  <c r="DC133" i="195"/>
  <c r="DB133" i="195"/>
  <c r="DA133" i="195"/>
  <c r="CZ133" i="195"/>
  <c r="CY133" i="195"/>
  <c r="CX133" i="195"/>
  <c r="CW133" i="195"/>
  <c r="CV133" i="195"/>
  <c r="CU133" i="195"/>
  <c r="CT133" i="195"/>
  <c r="CS133" i="195"/>
  <c r="CR133" i="195"/>
  <c r="CQ133" i="195"/>
  <c r="CP133" i="195"/>
  <c r="CO133" i="195"/>
  <c r="CN133" i="195"/>
  <c r="CM133" i="195"/>
  <c r="CL133" i="195"/>
  <c r="CK133" i="195"/>
  <c r="CJ133" i="195"/>
  <c r="B42" i="195"/>
  <c r="CE51" i="193"/>
  <c r="CD51" i="193"/>
  <c r="CC51" i="193"/>
  <c r="CB51" i="193"/>
  <c r="CA51" i="193"/>
  <c r="BZ51" i="193"/>
  <c r="BY51" i="193"/>
  <c r="BX51" i="193"/>
  <c r="BW51" i="193"/>
  <c r="BV51" i="193"/>
  <c r="BU51" i="193"/>
  <c r="BT51" i="193"/>
  <c r="BS51" i="193"/>
  <c r="BR51" i="193"/>
  <c r="BQ51" i="193"/>
  <c r="BP51" i="193"/>
  <c r="BO51" i="193"/>
  <c r="BN51" i="193"/>
  <c r="BM51" i="193"/>
  <c r="BL51" i="193"/>
  <c r="BK51" i="193"/>
  <c r="BJ51" i="193"/>
  <c r="BI51" i="193"/>
  <c r="BH51" i="193"/>
  <c r="BG51" i="193"/>
  <c r="BF51" i="193"/>
  <c r="BE51" i="193"/>
  <c r="BD51" i="193"/>
  <c r="BC51" i="193"/>
  <c r="BB51" i="193"/>
  <c r="BA51" i="193"/>
  <c r="AZ51" i="193"/>
  <c r="AY51" i="193"/>
  <c r="AX51" i="193"/>
  <c r="AW51" i="193"/>
  <c r="AV51" i="193"/>
  <c r="AU51" i="193"/>
  <c r="AT51" i="193"/>
  <c r="AS51" i="193"/>
  <c r="AR51" i="193"/>
  <c r="AQ51" i="193"/>
  <c r="AP51" i="193"/>
  <c r="AO51" i="193"/>
  <c r="AN51" i="193"/>
  <c r="AM51" i="193"/>
  <c r="AL51" i="193"/>
  <c r="AK51" i="193"/>
  <c r="AJ51" i="193"/>
  <c r="AI51" i="193"/>
  <c r="AH51" i="193"/>
  <c r="AG51" i="193"/>
  <c r="AF51" i="193"/>
  <c r="AC51" i="193"/>
  <c r="AB51" i="193"/>
  <c r="AA51" i="193"/>
  <c r="Z51" i="193"/>
  <c r="Y51" i="193"/>
  <c r="X51" i="193"/>
  <c r="W51" i="193"/>
  <c r="V51" i="193"/>
  <c r="U51" i="193"/>
  <c r="T51" i="193"/>
  <c r="S51" i="193"/>
  <c r="R51" i="193"/>
  <c r="Q51" i="193"/>
  <c r="P51" i="193"/>
  <c r="O51" i="193"/>
  <c r="N51" i="193"/>
  <c r="M51" i="193"/>
  <c r="L51" i="193"/>
  <c r="K51" i="193"/>
  <c r="J51" i="193"/>
  <c r="I51" i="193"/>
  <c r="H51" i="193"/>
  <c r="G51" i="193"/>
  <c r="F51" i="193"/>
  <c r="E51" i="193"/>
  <c r="D51" i="193"/>
  <c r="CA49" i="193"/>
  <c r="BW49" i="193"/>
  <c r="BS49" i="193"/>
  <c r="BO49" i="193"/>
  <c r="BK49" i="193"/>
  <c r="BG49" i="193"/>
  <c r="BC49" i="193"/>
  <c r="AY49" i="193"/>
  <c r="AU49" i="193"/>
  <c r="AQ49" i="193"/>
  <c r="AM49" i="193"/>
  <c r="AI49" i="193"/>
  <c r="AC49" i="193"/>
  <c r="Y49" i="193"/>
  <c r="U49" i="193"/>
  <c r="Q49" i="193"/>
  <c r="M49" i="193"/>
  <c r="I49" i="193"/>
  <c r="E49" i="193"/>
  <c r="CH46" i="193"/>
  <c r="CG46" i="193"/>
  <c r="CF46" i="193"/>
  <c r="CE46" i="193"/>
  <c r="CD46" i="193"/>
  <c r="CC46" i="193"/>
  <c r="CB46" i="193"/>
  <c r="CA46" i="193"/>
  <c r="BZ46" i="193"/>
  <c r="BY46" i="193"/>
  <c r="BX46" i="193"/>
  <c r="BW46" i="193"/>
  <c r="BV46" i="193"/>
  <c r="BU46" i="193"/>
  <c r="BT46" i="193"/>
  <c r="BS46" i="193"/>
  <c r="BR46" i="193"/>
  <c r="BQ46" i="193"/>
  <c r="BP46" i="193"/>
  <c r="BO46" i="193"/>
  <c r="BN46" i="193"/>
  <c r="BM46" i="193"/>
  <c r="BL46" i="193"/>
  <c r="BK46" i="193"/>
  <c r="BJ46" i="193"/>
  <c r="BI46" i="193"/>
  <c r="BH46" i="193"/>
  <c r="BG46" i="193"/>
  <c r="BF46" i="193"/>
  <c r="BE46" i="193"/>
  <c r="BD46" i="193"/>
  <c r="BC46" i="193"/>
  <c r="BB46" i="193"/>
  <c r="BA46" i="193"/>
  <c r="AZ46" i="193"/>
  <c r="AY46" i="193"/>
  <c r="AX46" i="193"/>
  <c r="AW46" i="193"/>
  <c r="AV46" i="193"/>
  <c r="AU46" i="193"/>
  <c r="AT46" i="193"/>
  <c r="AS46" i="193"/>
  <c r="AR46" i="193"/>
  <c r="AQ46" i="193"/>
  <c r="AP46" i="193"/>
  <c r="AO46" i="193"/>
  <c r="AN46" i="193"/>
  <c r="AM46" i="193"/>
  <c r="AL46" i="193"/>
  <c r="AK46" i="193"/>
  <c r="AJ46" i="193"/>
  <c r="AI46" i="193"/>
  <c r="AH46" i="193"/>
  <c r="AG46" i="193"/>
  <c r="AF46" i="193"/>
  <c r="AC46" i="193"/>
  <c r="AB46" i="193"/>
  <c r="AA46" i="193"/>
  <c r="Z46" i="193"/>
  <c r="Y46" i="193"/>
  <c r="X46" i="193"/>
  <c r="W46" i="193"/>
  <c r="V46" i="193"/>
  <c r="U46" i="193"/>
  <c r="T46" i="193"/>
  <c r="S46" i="193"/>
  <c r="R46" i="193"/>
  <c r="Q46" i="193"/>
  <c r="P46" i="193"/>
  <c r="O46" i="193"/>
  <c r="N46" i="193"/>
  <c r="M46" i="193"/>
  <c r="L46" i="193"/>
  <c r="K46" i="193"/>
  <c r="J46" i="193"/>
  <c r="I46" i="193"/>
  <c r="H46" i="193"/>
  <c r="G46" i="193"/>
  <c r="F46" i="193"/>
  <c r="E46" i="193"/>
  <c r="D46" i="193"/>
  <c r="BO42" i="193"/>
  <c r="D33" i="190"/>
  <c r="AB38" i="189"/>
  <c r="AA38" i="189"/>
  <c r="Z38" i="189"/>
  <c r="Y38" i="189"/>
  <c r="X38" i="189"/>
  <c r="W38" i="189"/>
  <c r="V38" i="189"/>
  <c r="U38" i="189"/>
  <c r="T38" i="189"/>
  <c r="S38" i="189"/>
  <c r="R38" i="189"/>
  <c r="Q38" i="189"/>
  <c r="P38" i="189"/>
  <c r="O38" i="189"/>
  <c r="N38" i="189"/>
  <c r="M38" i="189"/>
  <c r="L38" i="189"/>
  <c r="K38" i="189"/>
  <c r="J38" i="189"/>
  <c r="I38" i="189"/>
  <c r="H38" i="189"/>
  <c r="G38" i="189"/>
  <c r="F38" i="189"/>
  <c r="E38" i="189"/>
  <c r="F6" i="189"/>
  <c r="B60" i="187"/>
  <c r="M48" i="193" l="1"/>
  <c r="AM48" i="193"/>
  <c r="E48" i="193"/>
  <c r="AC48" i="193"/>
  <c r="U48" i="193"/>
  <c r="BC48" i="193"/>
  <c r="AU48" i="193"/>
  <c r="BK48" i="193"/>
  <c r="I48" i="193"/>
  <c r="AI48" i="193"/>
  <c r="Q48" i="193"/>
  <c r="BO48" i="193"/>
  <c r="AQ48" i="193"/>
  <c r="AY48" i="193"/>
  <c r="BS48" i="193"/>
  <c r="Y48" i="193"/>
  <c r="BG48" i="193"/>
  <c r="CA48" i="193"/>
  <c r="BW48" i="193"/>
  <c r="F17" i="207"/>
  <c r="G17" i="207" s="1"/>
  <c r="H17" i="207" s="1"/>
  <c r="I17" i="207" s="1"/>
  <c r="J17" i="207" s="1"/>
  <c r="K17" i="207" s="1"/>
  <c r="L17" i="207" s="1"/>
  <c r="M17" i="207" s="1"/>
  <c r="N17" i="207" s="1"/>
  <c r="AN38" i="173" l="1"/>
  <c r="AN37" i="173"/>
  <c r="AN36" i="173"/>
  <c r="AN35" i="173"/>
  <c r="AN34" i="173"/>
  <c r="AN33" i="173"/>
  <c r="AN32" i="173"/>
  <c r="AN31" i="173"/>
  <c r="AN30" i="173"/>
  <c r="AN29" i="173"/>
  <c r="R23" i="173"/>
  <c r="Q23" i="173"/>
  <c r="S23" i="173" s="1"/>
  <c r="O23" i="173"/>
  <c r="N23" i="173"/>
  <c r="P23" i="173" s="1"/>
  <c r="L23" i="173"/>
  <c r="K23" i="173"/>
  <c r="I23" i="173"/>
  <c r="H23" i="173"/>
  <c r="J23" i="173" s="1"/>
  <c r="F23" i="173"/>
  <c r="E23" i="173"/>
  <c r="G23" i="173" s="1"/>
  <c r="S22" i="173"/>
  <c r="P22" i="173"/>
  <c r="M22" i="173"/>
  <c r="J22" i="173"/>
  <c r="G22" i="173"/>
  <c r="S21" i="173"/>
  <c r="P21" i="173"/>
  <c r="M21" i="173"/>
  <c r="J21" i="173"/>
  <c r="G21" i="173"/>
  <c r="S20" i="173"/>
  <c r="P20" i="173"/>
  <c r="M20" i="173"/>
  <c r="J20" i="173"/>
  <c r="G20" i="173"/>
  <c r="S19" i="173"/>
  <c r="P19" i="173"/>
  <c r="M19" i="173"/>
  <c r="J19" i="173"/>
  <c r="G19" i="173"/>
  <c r="S18" i="173"/>
  <c r="P18" i="173"/>
  <c r="M18" i="173"/>
  <c r="J18" i="173"/>
  <c r="G18" i="173"/>
  <c r="S17" i="173"/>
  <c r="P17" i="173"/>
  <c r="M17" i="173"/>
  <c r="J17" i="173"/>
  <c r="G17" i="173"/>
  <c r="S16" i="173"/>
  <c r="P16" i="173"/>
  <c r="M16" i="173"/>
  <c r="J16" i="173"/>
  <c r="G16" i="173"/>
  <c r="S15" i="173"/>
  <c r="P15" i="173"/>
  <c r="M15" i="173"/>
  <c r="J15" i="173"/>
  <c r="G15" i="173"/>
  <c r="S14" i="173"/>
  <c r="P14" i="173"/>
  <c r="M14" i="173"/>
  <c r="J14" i="173"/>
  <c r="G14" i="173"/>
  <c r="S12" i="173"/>
  <c r="P12" i="173"/>
  <c r="M12" i="173"/>
  <c r="J12" i="173"/>
  <c r="G12" i="173"/>
  <c r="S35" i="172"/>
  <c r="R35" i="172"/>
  <c r="P35" i="172"/>
  <c r="O35" i="172"/>
  <c r="M35" i="172"/>
  <c r="L35" i="172"/>
  <c r="J35" i="172"/>
  <c r="I35" i="172"/>
  <c r="G35" i="172"/>
  <c r="F35" i="172"/>
  <c r="H35" i="172" s="1"/>
  <c r="Q34" i="172"/>
  <c r="N34" i="172"/>
  <c r="K34" i="172"/>
  <c r="H34" i="172"/>
  <c r="Q33" i="172"/>
  <c r="N33" i="172"/>
  <c r="K33" i="172"/>
  <c r="H33" i="172"/>
  <c r="Q32" i="172"/>
  <c r="N32" i="172"/>
  <c r="K32" i="172"/>
  <c r="H32" i="172"/>
  <c r="Q31" i="172"/>
  <c r="N31" i="172"/>
  <c r="K31" i="172"/>
  <c r="H31" i="172"/>
  <c r="Q30" i="172"/>
  <c r="N30" i="172"/>
  <c r="K30" i="172"/>
  <c r="H30" i="172"/>
  <c r="Q29" i="172"/>
  <c r="N29" i="172"/>
  <c r="K29" i="172"/>
  <c r="H29" i="172"/>
  <c r="Q28" i="172"/>
  <c r="N28" i="172"/>
  <c r="K28" i="172"/>
  <c r="H28" i="172"/>
  <c r="Q27" i="172"/>
  <c r="N27" i="172"/>
  <c r="K27" i="172"/>
  <c r="H27" i="172"/>
  <c r="Q26" i="172"/>
  <c r="N26" i="172"/>
  <c r="K26" i="172"/>
  <c r="H26" i="172"/>
  <c r="Q21" i="172"/>
  <c r="N21" i="172"/>
  <c r="J21" i="172"/>
  <c r="I21" i="172"/>
  <c r="G21" i="172"/>
  <c r="F21" i="172"/>
  <c r="Q19" i="172"/>
  <c r="N19" i="172"/>
  <c r="K19" i="172"/>
  <c r="H19" i="172"/>
  <c r="Q18" i="172"/>
  <c r="N18" i="172"/>
  <c r="K18" i="172"/>
  <c r="H18" i="172"/>
  <c r="Q17" i="172"/>
  <c r="N17" i="172"/>
  <c r="K17" i="172"/>
  <c r="H17" i="172"/>
  <c r="Q16" i="172"/>
  <c r="N16" i="172"/>
  <c r="K16" i="172"/>
  <c r="H16" i="172"/>
  <c r="Q15" i="172"/>
  <c r="N15" i="172"/>
  <c r="K15" i="172"/>
  <c r="H15" i="172"/>
  <c r="Q14" i="172"/>
  <c r="N14" i="172"/>
  <c r="K14" i="172"/>
  <c r="H14" i="172"/>
  <c r="Q13" i="172"/>
  <c r="N13" i="172"/>
  <c r="K13" i="172"/>
  <c r="H13" i="172"/>
  <c r="Q12" i="172"/>
  <c r="N12" i="172"/>
  <c r="K12" i="172"/>
  <c r="H12" i="172"/>
  <c r="Q11" i="172"/>
  <c r="N11" i="172"/>
  <c r="K11" i="172"/>
  <c r="H11" i="172"/>
  <c r="AE20" i="171"/>
  <c r="AC20" i="171"/>
  <c r="AA20" i="171"/>
  <c r="AE19" i="171"/>
  <c r="AC19" i="171"/>
  <c r="AA19" i="171"/>
  <c r="AE17" i="171"/>
  <c r="AC17" i="171"/>
  <c r="AA17" i="171"/>
  <c r="Y17" i="171"/>
  <c r="N17" i="171"/>
  <c r="L17" i="171"/>
  <c r="J17" i="171"/>
  <c r="H17" i="171"/>
  <c r="AC14" i="171"/>
  <c r="AA14" i="171"/>
  <c r="Y14" i="171"/>
  <c r="N14" i="171"/>
  <c r="L14" i="171"/>
  <c r="J14" i="171"/>
  <c r="H14" i="171"/>
  <c r="AE13" i="171"/>
  <c r="AC13" i="171"/>
  <c r="AA13" i="171"/>
  <c r="Y13" i="171"/>
  <c r="N13" i="171"/>
  <c r="L13" i="171"/>
  <c r="J13" i="171"/>
  <c r="H13" i="171"/>
  <c r="F13" i="171"/>
  <c r="AE11" i="171"/>
  <c r="AC11" i="171"/>
  <c r="AA11" i="171"/>
  <c r="Y11" i="171"/>
  <c r="N11" i="171"/>
  <c r="L11" i="171"/>
  <c r="J11" i="171"/>
  <c r="H11" i="171"/>
  <c r="H21" i="172" l="1"/>
  <c r="K21" i="172"/>
  <c r="K35" i="172"/>
  <c r="N35" i="172"/>
  <c r="Q35" i="172"/>
  <c r="M23" i="173"/>
  <c r="Z54" i="141" l="1"/>
  <c r="Y54" i="141"/>
  <c r="X54" i="141"/>
  <c r="W54" i="141"/>
  <c r="V54" i="141"/>
  <c r="U54" i="141"/>
  <c r="T54" i="141"/>
  <c r="S54" i="141"/>
  <c r="R54" i="141"/>
  <c r="Q54" i="141"/>
  <c r="P54" i="141"/>
  <c r="O54" i="141"/>
  <c r="N54" i="141"/>
  <c r="M54" i="141"/>
  <c r="L54" i="141"/>
  <c r="K54" i="141"/>
  <c r="J54" i="141"/>
  <c r="I54" i="141"/>
  <c r="H54" i="141"/>
  <c r="G54" i="141"/>
  <c r="F54" i="141"/>
  <c r="E54" i="141"/>
  <c r="Z53" i="141"/>
  <c r="Y53" i="141"/>
  <c r="X53" i="141"/>
  <c r="W53" i="141"/>
  <c r="V53" i="141"/>
  <c r="U53" i="141"/>
  <c r="T53" i="141"/>
  <c r="S53" i="141"/>
  <c r="R53" i="141"/>
  <c r="Q53" i="141"/>
  <c r="P53" i="141"/>
  <c r="O53" i="141"/>
  <c r="N53" i="141"/>
  <c r="M53" i="141"/>
  <c r="L53" i="141"/>
  <c r="K53" i="141"/>
  <c r="J53" i="141"/>
  <c r="I53" i="141"/>
  <c r="H53" i="141"/>
  <c r="G53" i="141"/>
  <c r="F53" i="141"/>
  <c r="E53" i="141"/>
  <c r="Z52" i="141"/>
  <c r="Y52" i="141"/>
  <c r="X52" i="141"/>
  <c r="W52" i="141"/>
  <c r="V52" i="141"/>
  <c r="U52" i="141"/>
  <c r="T52" i="141"/>
  <c r="S52" i="141"/>
  <c r="R52" i="141"/>
  <c r="Q52" i="141"/>
  <c r="P52" i="141"/>
  <c r="O52" i="141"/>
  <c r="N52" i="141"/>
  <c r="M52" i="141"/>
  <c r="L52" i="141"/>
  <c r="K52" i="141"/>
  <c r="J52" i="141"/>
  <c r="I52" i="141"/>
  <c r="H52" i="141"/>
  <c r="G52" i="141"/>
  <c r="F52" i="141"/>
  <c r="E52" i="141"/>
  <c r="Z51" i="141"/>
  <c r="Y51" i="141"/>
  <c r="X51" i="141"/>
  <c r="W51" i="141"/>
  <c r="V51" i="141"/>
  <c r="U51" i="141"/>
  <c r="T51" i="141"/>
  <c r="S51" i="141"/>
  <c r="R51" i="141"/>
  <c r="Q51" i="141"/>
  <c r="P51" i="141"/>
  <c r="O51" i="141"/>
  <c r="N51" i="141"/>
  <c r="M51" i="141"/>
  <c r="L51" i="141"/>
  <c r="K51" i="141"/>
  <c r="J51" i="141"/>
  <c r="I51" i="141"/>
  <c r="H51" i="141"/>
  <c r="G51" i="141"/>
  <c r="F51" i="141"/>
  <c r="E51" i="141"/>
  <c r="Z50" i="141"/>
  <c r="Y50" i="141"/>
  <c r="X50" i="141"/>
  <c r="W50" i="141"/>
  <c r="V50" i="141"/>
  <c r="U50" i="141"/>
  <c r="T50" i="141"/>
  <c r="S50" i="141"/>
  <c r="R50" i="141"/>
  <c r="Q50" i="141"/>
  <c r="P50" i="141"/>
  <c r="O50" i="141"/>
  <c r="N50" i="141"/>
  <c r="M50" i="141"/>
  <c r="L50" i="141"/>
  <c r="K50" i="141"/>
  <c r="J50" i="141"/>
  <c r="I50" i="141"/>
  <c r="H50" i="141"/>
  <c r="G50" i="141"/>
  <c r="F50" i="141"/>
  <c r="E50" i="141"/>
  <c r="AC45" i="141"/>
  <c r="AC54" i="141" s="1"/>
  <c r="AB45" i="141"/>
  <c r="AB54" i="141" s="1"/>
  <c r="AA45" i="141"/>
  <c r="AA54" i="141" s="1"/>
  <c r="AC44" i="141"/>
  <c r="AC53" i="141" s="1"/>
  <c r="AB44" i="141"/>
  <c r="AB53" i="141" s="1"/>
  <c r="AA44" i="141"/>
  <c r="AA53" i="141" s="1"/>
  <c r="AC43" i="141"/>
  <c r="AC52" i="141" s="1"/>
  <c r="AB43" i="141"/>
  <c r="AB52" i="141" s="1"/>
  <c r="AA43" i="141"/>
  <c r="AA52" i="141" s="1"/>
  <c r="AC42" i="141"/>
  <c r="AC51" i="141" s="1"/>
  <c r="AB42" i="141"/>
  <c r="AB51" i="141" s="1"/>
  <c r="AA42" i="141"/>
  <c r="AA51" i="141" s="1"/>
  <c r="AC41" i="141"/>
  <c r="AC50" i="141" s="1"/>
  <c r="AB41" i="141"/>
  <c r="AB50" i="141" s="1"/>
  <c r="AA41" i="141"/>
  <c r="AA50" i="141" s="1"/>
  <c r="AD14" i="141"/>
  <c r="AC14" i="141"/>
  <c r="AB14" i="141"/>
  <c r="AA14" i="141"/>
  <c r="Z14" i="141"/>
  <c r="Y14" i="141"/>
  <c r="X14" i="141"/>
  <c r="W14" i="141"/>
  <c r="V14" i="141"/>
  <c r="U14" i="141"/>
  <c r="T14" i="141"/>
  <c r="S14" i="141"/>
  <c r="R14" i="141"/>
  <c r="Q14" i="141"/>
  <c r="P14" i="141"/>
  <c r="O14" i="141"/>
  <c r="AD13" i="141"/>
  <c r="AD45" i="141" s="1"/>
  <c r="AD54" i="141" s="1"/>
  <c r="AC13" i="141"/>
  <c r="AB13" i="141"/>
  <c r="AA13" i="141"/>
  <c r="Z13" i="141"/>
  <c r="Y13" i="141"/>
  <c r="X13" i="141"/>
  <c r="W13" i="141"/>
  <c r="V13" i="141"/>
  <c r="U13" i="141"/>
  <c r="AD12" i="141"/>
  <c r="AD44" i="141" s="1"/>
  <c r="AD53" i="141" s="1"/>
  <c r="AC12" i="141"/>
  <c r="AB12" i="141"/>
  <c r="AA12" i="141"/>
  <c r="Z12" i="141"/>
  <c r="Y12" i="141"/>
  <c r="X12" i="141"/>
  <c r="W12" i="141"/>
  <c r="V12" i="141"/>
  <c r="U12" i="141"/>
  <c r="AD11" i="141"/>
  <c r="AD43" i="141" s="1"/>
  <c r="AD52" i="141" s="1"/>
  <c r="AC11" i="141"/>
  <c r="AB11" i="141"/>
  <c r="AA11" i="141"/>
  <c r="Z11" i="141"/>
  <c r="Y11" i="141"/>
  <c r="X11" i="141"/>
  <c r="W11" i="141"/>
  <c r="V11" i="141"/>
  <c r="U11" i="141"/>
  <c r="AD10" i="141"/>
  <c r="AD42" i="141" s="1"/>
  <c r="AD51" i="141" s="1"/>
  <c r="AC10" i="141"/>
  <c r="AB10" i="141"/>
  <c r="AA10" i="141"/>
  <c r="Z10" i="141"/>
  <c r="Y10" i="141"/>
  <c r="X10" i="141"/>
  <c r="W10" i="141"/>
  <c r="V10" i="141"/>
  <c r="U10" i="141"/>
  <c r="AD9" i="141"/>
  <c r="AD41" i="141" s="1"/>
  <c r="AD50" i="141" s="1"/>
  <c r="AC9" i="141"/>
  <c r="AB9" i="141"/>
  <c r="AA9" i="141"/>
  <c r="Z9" i="141"/>
  <c r="Y9" i="141"/>
  <c r="X9" i="141"/>
  <c r="W9" i="141"/>
  <c r="V9" i="141"/>
  <c r="U9" i="141"/>
  <c r="AJ10" i="138" l="1"/>
  <c r="AF10" i="138"/>
  <c r="AB10" i="138"/>
  <c r="X10" i="138"/>
  <c r="T10" i="138"/>
  <c r="P10" i="138"/>
  <c r="L10" i="138"/>
  <c r="D9" i="138"/>
  <c r="E6" i="138"/>
  <c r="E6" i="136"/>
  <c r="AG76" i="135"/>
  <c r="AE76" i="135"/>
  <c r="AC76" i="135"/>
  <c r="AA76" i="135"/>
  <c r="Y76" i="135"/>
  <c r="W76" i="135"/>
  <c r="U76" i="135"/>
  <c r="S76" i="135"/>
  <c r="Q76" i="135"/>
  <c r="O76" i="135"/>
  <c r="M76" i="135"/>
  <c r="K76" i="135"/>
  <c r="I76" i="135"/>
  <c r="G76" i="135"/>
  <c r="E76" i="135"/>
  <c r="E7" i="135"/>
  <c r="G44" i="134"/>
  <c r="G43" i="134"/>
  <c r="G42" i="134"/>
  <c r="G41" i="134"/>
  <c r="G40" i="134"/>
  <c r="G39" i="134"/>
  <c r="G38" i="134"/>
  <c r="G37" i="134"/>
  <c r="G36" i="134"/>
  <c r="AK10" i="134"/>
  <c r="AI10" i="134"/>
  <c r="AG10" i="134"/>
  <c r="AE10" i="134"/>
  <c r="AC10" i="134"/>
  <c r="AA10" i="134"/>
  <c r="Y10" i="134"/>
  <c r="W10" i="134"/>
  <c r="U10" i="134"/>
  <c r="S10" i="134"/>
  <c r="Q10" i="134"/>
  <c r="O10" i="134"/>
  <c r="M10" i="134"/>
  <c r="K10" i="134"/>
  <c r="I10" i="134"/>
  <c r="G10" i="134"/>
  <c r="E10" i="134"/>
  <c r="K10" i="126" l="1"/>
  <c r="AD107" i="122" l="1"/>
  <c r="AD92" i="122"/>
  <c r="AD78" i="122"/>
  <c r="Z62" i="122"/>
  <c r="Y62" i="122"/>
  <c r="X62" i="122"/>
  <c r="W62" i="122"/>
  <c r="V62" i="122"/>
  <c r="U62" i="122"/>
  <c r="T62" i="122"/>
  <c r="S62" i="122"/>
  <c r="R62" i="122"/>
  <c r="Q62" i="122"/>
  <c r="P62" i="122"/>
  <c r="O62" i="122"/>
  <c r="N62" i="122"/>
  <c r="M62" i="122"/>
  <c r="L62" i="122"/>
  <c r="K62" i="122"/>
  <c r="J62" i="122"/>
  <c r="I62" i="122"/>
  <c r="H62" i="122"/>
  <c r="G62" i="122"/>
  <c r="F62" i="122"/>
  <c r="E62" i="122"/>
  <c r="D62" i="122"/>
  <c r="C62" i="122"/>
  <c r="AB58" i="122"/>
  <c r="AA58" i="122"/>
  <c r="AB57" i="122"/>
  <c r="AA57" i="122"/>
  <c r="AB56" i="122"/>
  <c r="AA56" i="122"/>
  <c r="AB55" i="122"/>
  <c r="AA55" i="122"/>
  <c r="AA62" i="122" s="1"/>
  <c r="Z47" i="122"/>
  <c r="Y47" i="122"/>
  <c r="X47" i="122"/>
  <c r="W47" i="122"/>
  <c r="V47" i="122"/>
  <c r="U47" i="122"/>
  <c r="T47" i="122"/>
  <c r="S47" i="122"/>
  <c r="R47" i="122"/>
  <c r="Q47" i="122"/>
  <c r="P47" i="122"/>
  <c r="O47" i="122"/>
  <c r="N47" i="122"/>
  <c r="M47" i="122"/>
  <c r="L47" i="122"/>
  <c r="K47" i="122"/>
  <c r="J47" i="122"/>
  <c r="I47" i="122"/>
  <c r="H47" i="122"/>
  <c r="G47" i="122"/>
  <c r="F47" i="122"/>
  <c r="E47" i="122"/>
  <c r="D47" i="122"/>
  <c r="C47" i="122"/>
  <c r="AC46" i="122"/>
  <c r="AC45" i="122"/>
  <c r="AB43" i="122"/>
  <c r="AA43" i="122"/>
  <c r="AB42" i="122"/>
  <c r="AA42" i="122"/>
  <c r="AB41" i="122"/>
  <c r="AA41" i="122"/>
  <c r="AB40" i="122"/>
  <c r="AA40" i="122"/>
  <c r="AA47" i="122" s="1"/>
  <c r="AB10" i="122"/>
  <c r="AA10" i="122"/>
  <c r="Z10" i="122"/>
  <c r="Y10" i="122"/>
  <c r="K11" i="120"/>
  <c r="J11" i="120"/>
  <c r="I11" i="120"/>
  <c r="H11" i="120"/>
  <c r="G11" i="120"/>
  <c r="F11" i="120"/>
  <c r="E11" i="120"/>
  <c r="C11" i="118"/>
  <c r="C2" i="117"/>
  <c r="D9" i="116"/>
  <c r="AC40" i="122" l="1"/>
  <c r="AC41" i="122"/>
  <c r="AC42" i="122"/>
  <c r="AC43" i="122"/>
  <c r="AB62" i="122"/>
  <c r="AC55" i="122"/>
  <c r="AC56" i="122"/>
  <c r="AC57" i="122"/>
  <c r="AC58" i="122"/>
  <c r="AC62" i="122"/>
  <c r="AB47" i="122"/>
  <c r="AC47" i="122" s="1"/>
  <c r="AT38" i="111" l="1"/>
  <c r="AN38" i="111"/>
  <c r="AK38" i="111"/>
  <c r="AH38" i="111"/>
  <c r="AE38" i="111"/>
  <c r="AB38" i="111"/>
  <c r="Y38" i="111"/>
  <c r="V38" i="111"/>
  <c r="S38" i="111"/>
  <c r="AT37" i="111"/>
  <c r="AN37" i="111"/>
  <c r="AK37" i="111"/>
  <c r="AH37" i="111"/>
  <c r="AE37" i="111"/>
  <c r="AB37" i="111"/>
  <c r="X37" i="111"/>
  <c r="Y37" i="111" s="1"/>
  <c r="V37" i="111"/>
  <c r="S37" i="111"/>
  <c r="AA30" i="111"/>
  <c r="Z30" i="111"/>
  <c r="Y30" i="111"/>
  <c r="V30" i="111"/>
  <c r="U30" i="111"/>
  <c r="T30" i="111"/>
  <c r="S30" i="111"/>
  <c r="R30" i="111"/>
  <c r="Q30" i="111"/>
  <c r="P30" i="111"/>
  <c r="O30" i="111"/>
  <c r="N30" i="111"/>
  <c r="M30" i="111"/>
  <c r="L30" i="111"/>
  <c r="K30" i="111"/>
  <c r="X29" i="111"/>
  <c r="X30" i="111" s="1"/>
  <c r="W29" i="111"/>
  <c r="W30" i="111" s="1"/>
  <c r="AC20" i="111"/>
  <c r="X19" i="111"/>
  <c r="W19" i="111"/>
  <c r="V19" i="111"/>
  <c r="U19" i="111"/>
  <c r="T19" i="111"/>
  <c r="S19" i="111"/>
  <c r="R19" i="111"/>
  <c r="Q19" i="111"/>
  <c r="P19" i="111"/>
  <c r="O19" i="111"/>
  <c r="N19" i="111"/>
  <c r="M19" i="111"/>
  <c r="L19" i="111"/>
  <c r="K19" i="111"/>
  <c r="J19" i="111"/>
  <c r="I19" i="111"/>
  <c r="H19" i="111"/>
  <c r="G19" i="111"/>
  <c r="F19" i="111"/>
  <c r="E19" i="111"/>
  <c r="AB18" i="111"/>
  <c r="AB19" i="111" s="1"/>
  <c r="AA18" i="111"/>
  <c r="AA19" i="111" s="1"/>
  <c r="Z18" i="111"/>
  <c r="Z19" i="111" s="1"/>
  <c r="Y18" i="111"/>
  <c r="Y19" i="111" s="1"/>
  <c r="AC17" i="111"/>
  <c r="AC16" i="111"/>
  <c r="S11" i="111"/>
  <c r="S10" i="111"/>
  <c r="AB17" i="110"/>
  <c r="Z16" i="110"/>
  <c r="Y16" i="110"/>
  <c r="Z17" i="110" s="1"/>
  <c r="X16" i="110"/>
  <c r="W16" i="110"/>
  <c r="V16" i="110"/>
  <c r="U16" i="110"/>
  <c r="T16" i="110"/>
  <c r="S16" i="110"/>
  <c r="R16" i="110"/>
  <c r="Q16" i="110"/>
  <c r="R17" i="110" s="1"/>
  <c r="P16" i="110"/>
  <c r="O16" i="110"/>
  <c r="N16" i="110"/>
  <c r="M16" i="110"/>
  <c r="L16" i="110"/>
  <c r="K16" i="110"/>
  <c r="J16" i="110"/>
  <c r="I16" i="110"/>
  <c r="J17" i="110" s="1"/>
  <c r="H16" i="110"/>
  <c r="G16" i="110"/>
  <c r="F16" i="110"/>
  <c r="E16" i="110"/>
  <c r="F17" i="110" l="1"/>
  <c r="G17" i="110"/>
  <c r="H17" i="110"/>
  <c r="K17" i="110"/>
  <c r="L17" i="110"/>
  <c r="M17" i="110"/>
  <c r="N17" i="110"/>
  <c r="O17" i="110"/>
  <c r="P17" i="110"/>
  <c r="S17" i="110"/>
  <c r="T17" i="110"/>
  <c r="U17" i="110"/>
  <c r="V17" i="110"/>
  <c r="W17" i="110"/>
  <c r="X17" i="110"/>
  <c r="AC18" i="111"/>
  <c r="AC19" i="111" s="1"/>
  <c r="I17" i="110"/>
  <c r="Q17" i="110"/>
  <c r="Y17" i="1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Tshepang Chueu</author>
  </authors>
  <commentList>
    <comment ref="D4" authorId="0" shapeId="0" xr:uid="{C976454C-3193-4D34-AA14-2A1DF780814F}">
      <text>
        <r>
          <rPr>
            <b/>
            <sz val="9"/>
            <color indexed="81"/>
            <rFont val="Tahoma"/>
            <family val="2"/>
          </rPr>
          <t>Tshepang Chueu:</t>
        </r>
        <r>
          <rPr>
            <sz val="9"/>
            <color indexed="81"/>
            <rFont val="Tahoma"/>
            <family val="2"/>
          </rPr>
          <t xml:space="preserve">
The goal timeframe is 2019 and we now on 2020 updates. Should we still keep the goal statement or whats need to be done?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Tshepang Chueu</author>
  </authors>
  <commentList>
    <comment ref="U88" authorId="0" shapeId="0" xr:uid="{FCE567D2-7607-4CF6-B342-8859EBB4F681}">
      <text>
        <r>
          <rPr>
            <b/>
            <sz val="9"/>
            <color indexed="81"/>
            <rFont val="Tahoma"/>
            <family val="2"/>
          </rPr>
          <t>Tshepang Chueu:</t>
        </r>
        <r>
          <rPr>
            <sz val="9"/>
            <color indexed="81"/>
            <rFont val="Tahoma"/>
            <family val="2"/>
          </rPr>
          <t xml:space="preserve">
GCIS did not subscribe to Ipsos for the year 2020 hence no data from IPSOS available and advised to use GCIS Tracker data as a proxy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Tshepang Chueu</author>
  </authors>
  <commentList>
    <comment ref="U7" authorId="0" shapeId="0" xr:uid="{31588D4D-3D5B-4E07-8666-DE0ABA010122}">
      <text>
        <r>
          <rPr>
            <b/>
            <sz val="9"/>
            <color indexed="81"/>
            <rFont val="Tahoma"/>
            <family val="2"/>
          </rPr>
          <t>Tshepang Chueu:</t>
        </r>
        <r>
          <rPr>
            <sz val="9"/>
            <color indexed="81"/>
            <rFont val="Tahoma"/>
            <family val="2"/>
          </rPr>
          <t xml:space="preserve">
2021 information to be expected before the end of the year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LMachitje</author>
  </authors>
  <commentList>
    <comment ref="Q18" authorId="0" shapeId="0" xr:uid="{216D7BE8-2488-4D87-B245-B5FC9FBB94F6}">
      <text>
        <r>
          <rPr>
            <b/>
            <sz val="9"/>
            <color indexed="81"/>
            <rFont val="Tahoma"/>
            <family val="2"/>
          </rPr>
          <t>LMachitje:</t>
        </r>
        <r>
          <rPr>
            <sz val="9"/>
            <color indexed="81"/>
            <rFont val="Tahoma"/>
            <family val="2"/>
          </rPr>
          <t xml:space="preserve">
2013 figures are based on figures released in 2020 as figures released in 2021 did not have 2013 figures</t>
        </r>
      </text>
    </comment>
    <comment ref="V20" authorId="0" shapeId="0" xr:uid="{9CB048DA-04B0-4E06-92FE-A8762BEE29B9}">
      <text>
        <r>
          <rPr>
            <b/>
            <sz val="9"/>
            <color indexed="81"/>
            <rFont val="Tahoma"/>
            <family val="2"/>
          </rPr>
          <t>LMachitje:</t>
        </r>
        <r>
          <rPr>
            <sz val="9"/>
            <color indexed="81"/>
            <rFont val="Tahoma"/>
            <family val="2"/>
          </rPr>
          <t xml:space="preserve">
Stats SA still working on 2019 and 2020 figures</t>
        </r>
      </text>
    </comment>
    <comment ref="Q23" authorId="0" shapeId="0" xr:uid="{C6C7528C-4219-4E95-AA94-F802095025D5}">
      <text>
        <r>
          <rPr>
            <b/>
            <sz val="9"/>
            <color indexed="81"/>
            <rFont val="Tahoma"/>
            <family val="2"/>
          </rPr>
          <t>LMachitje:</t>
        </r>
        <r>
          <rPr>
            <sz val="9"/>
            <color indexed="81"/>
            <rFont val="Tahoma"/>
            <family val="2"/>
          </rPr>
          <t xml:space="preserve">
2013 figures are based on figures released in 2020 as figures released in 2021 do not have 2013 figures</t>
        </r>
      </text>
    </comment>
  </commentList>
</comments>
</file>

<file path=xl/sharedStrings.xml><?xml version="1.0" encoding="utf-8"?>
<sst xmlns="http://schemas.openxmlformats.org/spreadsheetml/2006/main" count="8868" uniqueCount="2262">
  <si>
    <r>
      <t>Indicator</t>
    </r>
    <r>
      <rPr>
        <sz val="10"/>
        <rFont val="Arial"/>
        <family val="2"/>
      </rPr>
      <t xml:space="preserve">     </t>
    </r>
  </si>
  <si>
    <t>Revenue collection</t>
  </si>
  <si>
    <r>
      <t>Category</t>
    </r>
    <r>
      <rPr>
        <sz val="10"/>
        <rFont val="Arial"/>
        <family val="2"/>
      </rPr>
      <t xml:space="preserve">     </t>
    </r>
  </si>
  <si>
    <t>Government effectiveness</t>
  </si>
  <si>
    <t>Goal</t>
  </si>
  <si>
    <t>To strengthen the revenue-collection capacity of government</t>
  </si>
  <si>
    <t>Data</t>
  </si>
  <si>
    <t xml:space="preserve">Table </t>
  </si>
  <si>
    <t>Tax Register and Revenue Collection ( Nominal Rand)</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</si>
  <si>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</si>
  <si>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</si>
  <si>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</si>
  <si>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</si>
  <si>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</si>
  <si>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</si>
  <si>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</si>
  <si>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</si>
  <si>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</si>
  <si>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</si>
  <si>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</si>
  <si>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</si>
  <si>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</si>
  <si>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</si>
  <si>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</si>
  <si>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</si>
  <si>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</si>
  <si>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</si>
  <si>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</si>
  <si>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</si>
  <si>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</si>
  <si>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</si>
  <si>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</si>
  <si>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</si>
  <si>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</si>
  <si>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 xml:space="preserve">2021/22 </t>
  </si>
  <si>
    <t>2022/23</t>
  </si>
  <si>
    <t>Annual tax relief</t>
  </si>
  <si>
    <t xml:space="preserve"> -</t>
  </si>
  <si>
    <t>Income Tax register</t>
  </si>
  <si>
    <t>No</t>
  </si>
  <si>
    <t>Personal Income Tax</t>
  </si>
  <si>
    <t>Corporate Income Tax</t>
  </si>
  <si>
    <t>Trusts</t>
  </si>
  <si>
    <t>Value Added Tax (VAT) - Vendor register</t>
  </si>
  <si>
    <t>R 'M</t>
  </si>
  <si>
    <t>Personal Income Tax (PIT)</t>
  </si>
  <si>
    <t>Corporate Income Tax (CIT)</t>
  </si>
  <si>
    <t>Value Added Tax (VAT)</t>
  </si>
  <si>
    <t>Customs Duties</t>
  </si>
  <si>
    <t>Other tax types</t>
  </si>
  <si>
    <t>Total</t>
  </si>
  <si>
    <t>Graph</t>
  </si>
  <si>
    <t>Data format</t>
  </si>
  <si>
    <t>Number of tax payers and value of revenue in nominal rands</t>
  </si>
  <si>
    <t>Definition</t>
  </si>
  <si>
    <t>The income tax register is the sum of individual, companies and trusts registered with South African Revenue Service (SARS) for Income Tax. Revenue is the sum of taxes collected in terms of tax laws. Total revenue collection is a sum of Personal Income Tax (PIT), Corporate Income Tax (CIT), Value Added Tax (VAT) and other taxes. Suspense cases are inactive tax cases awaiting deregistration from the tax register.</t>
  </si>
  <si>
    <t>Data source</t>
  </si>
  <si>
    <t>South African Revenue Service (SARS).</t>
  </si>
  <si>
    <t>Data note</t>
  </si>
  <si>
    <t>2021/22</t>
  </si>
  <si>
    <t xml:space="preserve"> Audit Outcomes</t>
  </si>
  <si>
    <t>To reduce the number of national and provincial departments and municipalities receiving qualified, adverse and disclaimer annual audit reports to 15 departments or below - MTSF Target</t>
  </si>
  <si>
    <t>Analysis</t>
  </si>
  <si>
    <t>Audits</t>
  </si>
  <si>
    <t>National depts.</t>
  </si>
  <si>
    <t>No of nat depts. reported on</t>
  </si>
  <si>
    <t>No of qualified audits</t>
  </si>
  <si>
    <t>% of qualified audits</t>
  </si>
  <si>
    <t>Provincial depts.</t>
  </si>
  <si>
    <t>No of provincial depts. reported on</t>
  </si>
  <si>
    <t>Municipalities</t>
  </si>
  <si>
    <t>No of municipalities reported on</t>
  </si>
  <si>
    <t>Public entities</t>
  </si>
  <si>
    <t>No of public entities reported on</t>
  </si>
  <si>
    <t>`</t>
  </si>
  <si>
    <t>Numbers and Percentages</t>
  </si>
  <si>
    <t>General reports of the Auditor-General (AG).</t>
  </si>
  <si>
    <t>Corruption Perceptions</t>
  </si>
  <si>
    <t>Anti-corruption</t>
  </si>
  <si>
    <t>MTSF 2019-2024: Improvement in Corruption Perception Index ranking by 5 (to 68/100) by 2024</t>
  </si>
  <si>
    <t>Table 1</t>
  </si>
  <si>
    <t>Transparency International Corruption Perception index</t>
  </si>
  <si>
    <t>Ranking position</t>
  </si>
  <si>
    <t>Corruption perception scores</t>
  </si>
  <si>
    <t>No. of Countries</t>
  </si>
  <si>
    <t xml:space="preserve"> </t>
  </si>
  <si>
    <t>Ranking in Transparency International Corruption Perception Index (CPI)</t>
  </si>
  <si>
    <t xml:space="preserve">Transparency International (TI) defines corruption as the abuse on entrusted power for private gain. This definition encompasses corrupt practices in both the public and private sectors.
 </t>
  </si>
  <si>
    <t>The corruption perception Index (CPI) ranks countries according to perception of corruption in the public sector. The CPI is an aggregate indicator that combines different sources of information about corruption, making it possible to compare countries. The CPI uses the scale of 0 - 100 with 100 idicating a very clean and 0 is highly corrupt.</t>
  </si>
  <si>
    <t>Transparency International (www.transparency.org)</t>
  </si>
  <si>
    <t>Budget Transparency</t>
  </si>
  <si>
    <t>Good governance</t>
  </si>
  <si>
    <t xml:space="preserve">Ensure transparency and effective oversight </t>
  </si>
  <si>
    <t xml:space="preserve">Table                        </t>
  </si>
  <si>
    <t>Provides extensive information to citizens  (OBI Scores 81 - 100)</t>
  </si>
  <si>
    <t>France</t>
  </si>
  <si>
    <t>Slovenia</t>
  </si>
  <si>
    <t>United Kingdom</t>
  </si>
  <si>
    <t xml:space="preserve">South Africa </t>
  </si>
  <si>
    <t>United States</t>
  </si>
  <si>
    <t>Norway</t>
  </si>
  <si>
    <t>Sweden</t>
  </si>
  <si>
    <t>New Zealand</t>
  </si>
  <si>
    <t>South Africa</t>
  </si>
  <si>
    <t>Georgia</t>
  </si>
  <si>
    <t>Mexico</t>
  </si>
  <si>
    <t>Brazil</t>
  </si>
  <si>
    <t xml:space="preserve">New Zealand </t>
  </si>
  <si>
    <t>Provides significant information to citizens ( OBI Scores 61 - 80)</t>
  </si>
  <si>
    <t xml:space="preserve">Botswana </t>
  </si>
  <si>
    <t>Romania</t>
  </si>
  <si>
    <t>Botswana</t>
  </si>
  <si>
    <t>Germany</t>
  </si>
  <si>
    <t>Poland</t>
  </si>
  <si>
    <t>South Korea</t>
  </si>
  <si>
    <t>Czech Republic</t>
  </si>
  <si>
    <t>Peru</t>
  </si>
  <si>
    <t>Ukraine</t>
  </si>
  <si>
    <t>Russia</t>
  </si>
  <si>
    <t>Australia</t>
  </si>
  <si>
    <t>Philippines</t>
  </si>
  <si>
    <t>Dominican Republic</t>
  </si>
  <si>
    <t>Sri Lanka</t>
  </si>
  <si>
    <t>Chile</t>
  </si>
  <si>
    <t>Spain</t>
  </si>
  <si>
    <t>India</t>
  </si>
  <si>
    <t>Slovakia</t>
  </si>
  <si>
    <t>Italy</t>
  </si>
  <si>
    <t>Canada</t>
  </si>
  <si>
    <t>Bulgaria</t>
  </si>
  <si>
    <t>Indonesia</t>
  </si>
  <si>
    <t xml:space="preserve">Czech Republic </t>
  </si>
  <si>
    <t xml:space="preserve">Poland </t>
  </si>
  <si>
    <t>Colombia</t>
  </si>
  <si>
    <t>Uganda</t>
  </si>
  <si>
    <t xml:space="preserve">Indonesia </t>
  </si>
  <si>
    <t>Portugal</t>
  </si>
  <si>
    <t>Malawi</t>
  </si>
  <si>
    <t>Phillipines</t>
  </si>
  <si>
    <t>Phillippines</t>
  </si>
  <si>
    <t>Croatia</t>
  </si>
  <si>
    <t>Guatemala</t>
  </si>
  <si>
    <t>Jordan</t>
  </si>
  <si>
    <t>Kyrgyz Republic</t>
  </si>
  <si>
    <t>Japan</t>
  </si>
  <si>
    <t>Thailand</t>
  </si>
  <si>
    <t>Provides some information to citizens ( OBI Scores 41 - 60)</t>
  </si>
  <si>
    <t>Namibia</t>
  </si>
  <si>
    <t>Argentina</t>
  </si>
  <si>
    <t>Egypt</t>
  </si>
  <si>
    <t>Kenya</t>
  </si>
  <si>
    <t>Nepal</t>
  </si>
  <si>
    <t>Afghanistan</t>
  </si>
  <si>
    <t>Bangladesh</t>
  </si>
  <si>
    <t>Turkey</t>
  </si>
  <si>
    <t>Honduras</t>
  </si>
  <si>
    <t>Kazakhstan</t>
  </si>
  <si>
    <t>Costa Rica</t>
  </si>
  <si>
    <t xml:space="preserve">Jordan </t>
  </si>
  <si>
    <t>Pakistan</t>
  </si>
  <si>
    <t>Tanzania</t>
  </si>
  <si>
    <t>Macedonia</t>
  </si>
  <si>
    <t>Serbia</t>
  </si>
  <si>
    <t>Azerbaijan</t>
  </si>
  <si>
    <t>Papua New Guinea</t>
  </si>
  <si>
    <t>Moldova</t>
  </si>
  <si>
    <t>Mongolia</t>
  </si>
  <si>
    <t>Albania</t>
  </si>
  <si>
    <t>Bosnia and Herzegovina</t>
  </si>
  <si>
    <t>Ghana</t>
  </si>
  <si>
    <t>Mangolia</t>
  </si>
  <si>
    <t>El Salvador</t>
  </si>
  <si>
    <t>Sierra Leone</t>
  </si>
  <si>
    <t>Senegal</t>
  </si>
  <si>
    <t>Bosnia</t>
  </si>
  <si>
    <t>Bosnia and
 Herzegovina</t>
  </si>
  <si>
    <t>Ecuador</t>
  </si>
  <si>
    <t>Hungary</t>
  </si>
  <si>
    <t>Benin</t>
  </si>
  <si>
    <t>Zimbabwe</t>
  </si>
  <si>
    <t>Malaysia</t>
  </si>
  <si>
    <t>Mali</t>
  </si>
  <si>
    <t>Nicaragua</t>
  </si>
  <si>
    <t>Paraguay</t>
  </si>
  <si>
    <t>Zambia</t>
  </si>
  <si>
    <t>Mozambique</t>
  </si>
  <si>
    <t>Cameroon</t>
  </si>
  <si>
    <t>Morocco</t>
  </si>
  <si>
    <t>Jamaica</t>
  </si>
  <si>
    <t>Liberia</t>
  </si>
  <si>
    <t>Burkina Faso</t>
  </si>
  <si>
    <t>Tunisia</t>
  </si>
  <si>
    <t>Fiji</t>
  </si>
  <si>
    <t>Timor-Leste</t>
  </si>
  <si>
    <t>Provides minimal information to citizens  (OBI Scores 21 - 40)</t>
  </si>
  <si>
    <t>Khazakstan</t>
  </si>
  <si>
    <t>Venezuela</t>
  </si>
  <si>
    <t>Trinidada and Tobago</t>
  </si>
  <si>
    <t>Democratic Republic of Congo</t>
  </si>
  <si>
    <t>Timoor-Leste</t>
  </si>
  <si>
    <t>Madagascar</t>
  </si>
  <si>
    <t>Rwanda</t>
  </si>
  <si>
    <t xml:space="preserve">Algeria </t>
  </si>
  <si>
    <t xml:space="preserve">Cameroon </t>
  </si>
  <si>
    <t xml:space="preserve">Honduras </t>
  </si>
  <si>
    <t>Lebanon</t>
  </si>
  <si>
    <t>Morroco</t>
  </si>
  <si>
    <t>Yemen</t>
  </si>
  <si>
    <t>Tomor-Leste</t>
  </si>
  <si>
    <t>Bosnia and  Herzegovina</t>
  </si>
  <si>
    <t>Trinidad and Tobago</t>
  </si>
  <si>
    <t>Sao Tome e Principe</t>
  </si>
  <si>
    <t>Vietnam</t>
  </si>
  <si>
    <t>Niger</t>
  </si>
  <si>
    <t>Angola</t>
  </si>
  <si>
    <t>Tajikistan</t>
  </si>
  <si>
    <t>Nigeria</t>
  </si>
  <si>
    <t>Cote d'Ivoire</t>
  </si>
  <si>
    <t xml:space="preserve">El Salvador </t>
  </si>
  <si>
    <t xml:space="preserve">Uganda </t>
  </si>
  <si>
    <t>Cambodia</t>
  </si>
  <si>
    <t>Eswatini</t>
  </si>
  <si>
    <t>Lesotho</t>
  </si>
  <si>
    <t>Myanmar</t>
  </si>
  <si>
    <t>Provides scant or no information to citizens ( OBI Scores 0 - 20)</t>
  </si>
  <si>
    <t xml:space="preserve">Bolivia </t>
  </si>
  <si>
    <t xml:space="preserve">Nicaragua </t>
  </si>
  <si>
    <t>Chad</t>
  </si>
  <si>
    <t>Saudi Arabia</t>
  </si>
  <si>
    <t>Algeria</t>
  </si>
  <si>
    <t xml:space="preserve">Vietnam </t>
  </si>
  <si>
    <t>Bolivia</t>
  </si>
  <si>
    <t>China</t>
  </si>
  <si>
    <t xml:space="preserve">China </t>
  </si>
  <si>
    <t xml:space="preserve"> Tajikistan </t>
  </si>
  <si>
    <t xml:space="preserve"> Chad </t>
  </si>
  <si>
    <t xml:space="preserve">Mongolia </t>
  </si>
  <si>
    <t xml:space="preserve">Nigeria </t>
  </si>
  <si>
    <t>Sudan</t>
  </si>
  <si>
    <t>Equatorial 
Guinea</t>
  </si>
  <si>
    <t>Somalia</t>
  </si>
  <si>
    <t>Comoros</t>
  </si>
  <si>
    <t>Burundi</t>
  </si>
  <si>
    <t>Iraq</t>
  </si>
  <si>
    <t>South Sudan</t>
  </si>
  <si>
    <t>Equatorial Guinea</t>
  </si>
  <si>
    <t>Qatar</t>
  </si>
  <si>
    <t>Swaziland</t>
  </si>
  <si>
    <t>The Gambia</t>
  </si>
  <si>
    <t>Equitorial Guinea</t>
  </si>
  <si>
    <t>Houduras</t>
  </si>
  <si>
    <t>Rating</t>
  </si>
  <si>
    <t xml:space="preserve">The International Budget Partnership’s (IBP) Open Budget Survey assesses the availability in each country of eight key budget documents, as well as the apprehensiveness of the data contained in these documents. The Survey also examines the extent of effective oversight provided by legislatures and supreme audit institutions (SAI), as well as the opportunities available to the public to participate in national budget decision-making processes. The Open Budget Index is the world's only independent, comparative measure of central government budget transparency. Open Budget Survey assesses the availability in each country of eight key budget documents, as well as the comprehensiveness of the data contained in these documents.The rating is based on a questionnaire with 92 questions relating to categories of availability of budget documentation, the executive's budget proposal and the budget process.
 </t>
  </si>
  <si>
    <t>www.openbudgetindex.org</t>
  </si>
  <si>
    <t>Public opinion: Delivery of basic services</t>
  </si>
  <si>
    <t xml:space="preserve">Public trust and confidence in local government </t>
  </si>
  <si>
    <t>May</t>
  </si>
  <si>
    <t>Nov</t>
  </si>
  <si>
    <t xml:space="preserve">Nov </t>
  </si>
  <si>
    <t xml:space="preserve">May </t>
  </si>
  <si>
    <t xml:space="preserve"> Sep-20</t>
  </si>
  <si>
    <t xml:space="preserve"> Jan-21</t>
  </si>
  <si>
    <t xml:space="preserve"> Nov-21</t>
  </si>
  <si>
    <t xml:space="preserve"> Jan-22</t>
  </si>
  <si>
    <t xml:space="preserve"> Nov-22</t>
  </si>
  <si>
    <t xml:space="preserve"> Jan-23</t>
  </si>
  <si>
    <t>Performing well</t>
  </si>
  <si>
    <t>Table 2</t>
  </si>
  <si>
    <t>Major Service delivery protests</t>
  </si>
  <si>
    <t>2014 sep</t>
  </si>
  <si>
    <t>Service delivery protests</t>
  </si>
  <si>
    <t xml:space="preserve">Data is based on Ipsos' regular surveys, based on a national sample of 3,500,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 Graph uses annual average while the table uses Bi annual data. 
Municipal IQ records data on service delivery protests staged against municipalities, as recocorded by the media (or other public domain sources such as SAPS press releases). Please note that protests that are primarily against councillor candidates (a political issue), demarcation (a national decision, like that of Vuwani) and industrial relations are not included on the Municipal Hotspots Monitor.
</t>
  </si>
  <si>
    <t>Table 1) Government Communication and Information System (GCIS) based on Ipsos data. 
Table 2) Municipal IQ press release: 01 September 2022. www.MunicipalIQ.co.za</t>
  </si>
  <si>
    <t>Major service protests</t>
  </si>
  <si>
    <t>Public Opinion: Delivery of basic services</t>
  </si>
  <si>
    <t>PROVINCE</t>
  </si>
  <si>
    <t>Eastern Cape</t>
  </si>
  <si>
    <t>Free State</t>
  </si>
  <si>
    <t>Gauteng</t>
  </si>
  <si>
    <t>Kwazulu-Natal</t>
  </si>
  <si>
    <t>Limpopo</t>
  </si>
  <si>
    <t>Mpumalanga</t>
  </si>
  <si>
    <t>North West</t>
  </si>
  <si>
    <t>Northern Cape</t>
  </si>
  <si>
    <t>Western Cape</t>
  </si>
  <si>
    <t>Ease of Doing Business</t>
  </si>
  <si>
    <t>To improve government's efficiency and effectiveness in attracting investment by creating an environment conducive to business operation</t>
  </si>
  <si>
    <t>Ease of doing business-Rank</t>
  </si>
  <si>
    <t>Change in global  rank</t>
  </si>
  <si>
    <t>+</t>
  </si>
  <si>
    <t>Estonia</t>
  </si>
  <si>
    <t>-</t>
  </si>
  <si>
    <t>Mauritius</t>
  </si>
  <si>
    <t>Lithuania</t>
  </si>
  <si>
    <t>Latvia</t>
  </si>
  <si>
    <t>No Change</t>
  </si>
  <si>
    <t>Slovak Republic</t>
  </si>
  <si>
    <t>Oman</t>
  </si>
  <si>
    <t>Total number of countries</t>
  </si>
  <si>
    <t xml:space="preserve">Doing business in SA </t>
  </si>
  <si>
    <t>Key Indicators</t>
  </si>
  <si>
    <t>Change in Global Rank</t>
  </si>
  <si>
    <t>Getting Credit</t>
  </si>
  <si>
    <t>Protecting Investors</t>
  </si>
  <si>
    <t>Paying Taxes</t>
  </si>
  <si>
    <t>Starting a business</t>
  </si>
  <si>
    <t>Getting electricity</t>
  </si>
  <si>
    <t>Enforcing contracts</t>
  </si>
  <si>
    <t>Registering Property</t>
  </si>
  <si>
    <t>Trading across borders</t>
  </si>
  <si>
    <t>Normalised data of the selected economic group - Upper Middle Income Economies</t>
  </si>
  <si>
    <t xml:space="preserve">The ease of doing business is an oveall measure that gives an indication of where it is easier for domestic small and medium-size firms to do business using quantitative indicators. </t>
  </si>
  <si>
    <r>
      <t>The economies on the ease of doing business index are ranked from 1 to 190. The index is calculated as the ranking on the simple average of country percentile rankings on each of the 11 areas covered in Doing Business. The index is calculated as the ranking on the simple average of country percentile rankings on each of the 12 areas covered in Doing Business. To make the data comparable across 190 economies, Doing Business uses a standardized business that is 100% domestically owned, has start-up capital equivalent to 10 times income per capita, engages in general industrial or commercial activities and employs between 10 and 50 people within the first month of operations. The rankings for all economies are benchmarked from 01 May 2019 and reported in the country tables. This year’s rankings on the ease of doing business are the average of the economy’s rankings on the 12 areas included in this year’s aggregate ranking excluding . The number of reforms exclude those making it more difficult to do business. A positive change indicates improvement in the index between 2019 and 2020</t>
    </r>
    <r>
      <rPr>
        <sz val="10"/>
        <color rgb="FFFF0000"/>
        <rFont val="Arial"/>
        <family val="2"/>
      </rPr>
      <t xml:space="preserve"> </t>
    </r>
    <r>
      <rPr>
        <sz val="10"/>
        <rFont val="Arial"/>
        <family val="2"/>
      </rPr>
      <t>while a negative change indicates a deterioration. No change in the indication is written as such.</t>
    </r>
  </si>
  <si>
    <t>http://www.doingbusiness.org - Doing Business Database and Reports</t>
  </si>
  <si>
    <t xml:space="preserve">Gross Domestic Product (GDP) growth </t>
  </si>
  <si>
    <t>Current growth</t>
  </si>
  <si>
    <t>GDP growth of 5.4 percent per year</t>
  </si>
  <si>
    <t>Real GDP growth rate % (Year on Year) for South Africa</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</si>
  <si>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</si>
  <si>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</si>
  <si>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</si>
  <si>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</si>
  <si>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</si>
  <si>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</si>
  <si>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</si>
  <si>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</si>
  <si>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</si>
  <si>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</si>
  <si>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</si>
  <si>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</si>
  <si>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</si>
  <si>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</si>
  <si>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</si>
  <si>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</si>
  <si>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</si>
  <si>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</si>
  <si>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</si>
  <si>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</si>
  <si>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</si>
  <si>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</si>
  <si>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</si>
  <si>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</si>
  <si>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</si>
  <si>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</si>
  <si>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</si>
  <si>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</si>
  <si>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GDP growth (%)</t>
  </si>
  <si>
    <t>GDP Growth rate % country comparison (Year-on-Year)</t>
  </si>
  <si>
    <t>Iceland</t>
  </si>
  <si>
    <t>Korea, Republic</t>
  </si>
  <si>
    <t>Slovak Rep</t>
  </si>
  <si>
    <t xml:space="preserve">                                                                                                               </t>
  </si>
  <si>
    <t>Percentage change in GDP</t>
  </si>
  <si>
    <r>
      <rPr>
        <b/>
        <sz val="10"/>
        <rFont val="Arial"/>
        <family val="2"/>
      </rPr>
      <t>GDP</t>
    </r>
    <r>
      <rPr>
        <sz val="10"/>
        <rFont val="Arial"/>
        <family val="2"/>
      </rPr>
      <t xml:space="preserve"> is the total market value of all goods and services produced in a country. It includes total consumption expenditure, capital formation, government consumption expenditure and the value of exports less the value of imports</t>
    </r>
  </si>
  <si>
    <t>1. Statistics South Africa, GDP statistical releases.
2. World Bank Development Indicators, www.worldbank.org</t>
  </si>
  <si>
    <t>Data Note</t>
  </si>
  <si>
    <r>
      <rPr>
        <b/>
        <sz val="10"/>
        <rFont val="Arial"/>
        <family val="2"/>
      </rPr>
      <t>Real GDP</t>
    </r>
    <r>
      <rPr>
        <sz val="10"/>
        <rFont val="Arial"/>
        <family val="2"/>
      </rPr>
      <t xml:space="preserve"> is the nominal GDP adjusted for inflation. Annual percentage growth rates based on constant 2015 rand prices are used to calculate real GDP</t>
    </r>
  </si>
  <si>
    <t>M</t>
  </si>
  <si>
    <t>J</t>
  </si>
  <si>
    <t>S</t>
  </si>
  <si>
    <t>D</t>
  </si>
  <si>
    <r>
      <t>Indicator</t>
    </r>
    <r>
      <rPr>
        <sz val="10"/>
        <color indexed="10"/>
        <rFont val="Arial"/>
        <family val="2"/>
      </rPr>
      <t xml:space="preserve">     </t>
    </r>
  </si>
  <si>
    <t>Real per capita GDP growth</t>
  </si>
  <si>
    <r>
      <t>Category</t>
    </r>
    <r>
      <rPr>
        <sz val="10"/>
        <color indexed="10"/>
        <rFont val="Arial"/>
        <family val="2"/>
      </rPr>
      <t xml:space="preserve">     </t>
    </r>
  </si>
  <si>
    <t>To grow per capita income by 3 percent per annum</t>
  </si>
  <si>
    <t>Table</t>
  </si>
  <si>
    <t xml:space="preserve">Real per capita GDP growth </t>
  </si>
  <si>
    <t>Per Capita GDP (%)</t>
  </si>
  <si>
    <t>Annual GDP per capita at 2015 constant prices: percentage change</t>
  </si>
  <si>
    <r>
      <rPr>
        <b/>
        <sz val="10"/>
        <rFont val="Arial"/>
        <family val="2"/>
      </rPr>
      <t>GDP per capita</t>
    </r>
    <r>
      <rPr>
        <sz val="10"/>
        <rFont val="Arial"/>
        <family val="2"/>
      </rPr>
      <t xml:space="preserve"> is a measure of a country’s economic output that accounts for its number of people. </t>
    </r>
  </si>
  <si>
    <t>South African Reserve Bank (SARB) Quarterly Bulletins – No 303 – March 2022</t>
  </si>
  <si>
    <t>The quarterly data series is used  to update the graph, while the table uses annual data</t>
  </si>
  <si>
    <r>
      <rPr>
        <b/>
        <sz val="10"/>
        <rFont val="Arial"/>
        <family val="2"/>
      </rPr>
      <t>GDP per capita</t>
    </r>
    <r>
      <rPr>
        <sz val="10"/>
        <color rgb="FF000000"/>
        <rFont val="Arial"/>
        <family val="2"/>
      </rPr>
      <t xml:space="preserve"> shows the ratio between the GDP divided by the number of people in the country. </t>
    </r>
    <r>
      <rPr>
        <sz val="10"/>
        <color theme="1"/>
        <rFont val="Arial"/>
        <family val="2"/>
      </rPr>
      <t>Annual GDP per capita at 2015 constant prices are used to calculate the percentage change</t>
    </r>
  </si>
  <si>
    <t>Net Foreign Direct Investment (Net FDI)</t>
  </si>
  <si>
    <t>Sustainable growth</t>
  </si>
  <si>
    <t>To increase Foreign Direct Investment in South Africa</t>
  </si>
  <si>
    <t>R'bn</t>
  </si>
  <si>
    <t>FDI</t>
  </si>
  <si>
    <t>Annual data: display only year, not month</t>
  </si>
  <si>
    <t xml:space="preserve">Ashraf: we need to have the same data in dollar terms </t>
  </si>
  <si>
    <t>Annual figures in rand billions</t>
  </si>
  <si>
    <r>
      <rPr>
        <b/>
        <sz val="10"/>
        <rFont val="Arial"/>
        <family val="2"/>
      </rPr>
      <t>FDI</t>
    </r>
    <r>
      <rPr>
        <sz val="10"/>
        <rFont val="Arial"/>
        <family val="2"/>
      </rPr>
      <t xml:space="preserve"> is an investment in the form of a controlling ownership in a business in one country by an entity based in another country</t>
    </r>
    <r>
      <rPr>
        <b/>
        <sz val="10"/>
        <rFont val="Arial"/>
        <family val="2"/>
      </rPr>
      <t>. Net FDI</t>
    </r>
    <r>
      <rPr>
        <sz val="10"/>
        <rFont val="Arial"/>
        <family val="2"/>
      </rPr>
      <t xml:space="preserve"> is long-term direct investment by foreigners in the economy.  </t>
    </r>
  </si>
  <si>
    <r>
      <rPr>
        <b/>
        <sz val="10"/>
        <rFont val="Arial"/>
        <family val="2"/>
      </rPr>
      <t>FDI net inflows</t>
    </r>
    <r>
      <rPr>
        <sz val="10"/>
        <color theme="1"/>
        <rFont val="Arial"/>
        <family val="2"/>
      </rPr>
      <t xml:space="preserve"> are the value of inward direct investment made by non-resident investors in the reporting economy. </t>
    </r>
    <r>
      <rPr>
        <b/>
        <sz val="10"/>
        <color theme="1"/>
        <rFont val="Arial"/>
        <family val="2"/>
      </rPr>
      <t>FDI net outflows</t>
    </r>
    <r>
      <rPr>
        <sz val="10"/>
        <color theme="1"/>
        <rFont val="Arial"/>
        <family val="2"/>
      </rPr>
      <t xml:space="preserve"> are the value of outward direct investment made by the residents of the reporting economy to external economies.  </t>
    </r>
  </si>
  <si>
    <t>Gross Fixed Capital Formation (GFCF)</t>
  </si>
  <si>
    <t>The rate of investment to GDP to rise to 30 percent by 2030</t>
  </si>
  <si>
    <t>Gross Fixed Capital Formation as a Percentage of GDP</t>
  </si>
  <si>
    <t>GFCF (%)</t>
  </si>
  <si>
    <t>GFCF Quarterly at annualised rate as a percentage of GDP</t>
  </si>
  <si>
    <r>
      <rPr>
        <b/>
        <sz val="10"/>
        <rFont val="Arial"/>
        <family val="2"/>
      </rPr>
      <t>GFCF</t>
    </r>
    <r>
      <rPr>
        <sz val="10"/>
        <rFont val="Arial"/>
        <family val="2"/>
      </rPr>
      <t xml:space="preserve"> is the value of acquisitions of capital goods (e.g. machinery, equipment and buildings) by firms, adjusted for disposals, constitutes gross fixed capital formation.</t>
    </r>
  </si>
  <si>
    <t>%</t>
  </si>
  <si>
    <t>Budget Balance before borrowing</t>
  </si>
  <si>
    <t>Economic governance</t>
  </si>
  <si>
    <t>Fiscal policy adjustments to reduce the budget deficit</t>
  </si>
  <si>
    <t>Budget Balance as percentage of GDP</t>
  </si>
  <si>
    <t>1993/94</t>
  </si>
  <si>
    <t>1994/95</t>
  </si>
  <si>
    <t>1995/96</t>
  </si>
  <si>
    <t>Budget Deficit</t>
  </si>
  <si>
    <t>Budget Balance as a percentage of GDP</t>
  </si>
  <si>
    <r>
      <rPr>
        <b/>
        <sz val="10"/>
        <rFont val="Arial"/>
        <family val="2"/>
      </rPr>
      <t>Budget Balance before borrowing</t>
    </r>
    <r>
      <rPr>
        <sz val="10"/>
        <rFont val="Arial"/>
        <family val="2"/>
      </rPr>
      <t xml:space="preserve"> is the difference between total government revenue and expenditure as percentage of GDP.</t>
    </r>
  </si>
  <si>
    <t>National Treasury, Budget Review 2022</t>
  </si>
  <si>
    <r>
      <rPr>
        <b/>
        <sz val="10"/>
        <rFont val="Arial"/>
        <family val="2"/>
      </rPr>
      <t>Budget deficit</t>
    </r>
    <r>
      <rPr>
        <sz val="10"/>
        <color theme="1"/>
        <rFont val="Arial"/>
        <family val="2"/>
      </rPr>
      <t xml:space="preserve"> indicates the extent to which government expenditure exceeds government revenue. </t>
    </r>
    <r>
      <rPr>
        <b/>
        <sz val="10"/>
        <color theme="1"/>
        <rFont val="Arial"/>
        <family val="2"/>
      </rPr>
      <t>Budget surplus</t>
    </r>
    <r>
      <rPr>
        <sz val="10"/>
        <color theme="1"/>
        <rFont val="Arial"/>
        <family val="2"/>
      </rPr>
      <t xml:space="preserve"> indicates the extent to which government revenue exceeds government expenditure.</t>
    </r>
  </si>
  <si>
    <t>Government Debt</t>
  </si>
  <si>
    <t>Consolidation to stabilise and reduce government’s debt-to-GDP ratio</t>
  </si>
  <si>
    <t>Net Government debt as a percentage of GDP</t>
  </si>
  <si>
    <t>Net Government Debt</t>
  </si>
  <si>
    <t>Gross government debt as percentage of GDP</t>
  </si>
  <si>
    <r>
      <rPr>
        <b/>
        <sz val="10"/>
        <rFont val="Arial"/>
        <family val="2"/>
      </rPr>
      <t>Net loan debt</t>
    </r>
    <r>
      <rPr>
        <sz val="10"/>
        <rFont val="Arial"/>
        <family val="2"/>
      </rPr>
      <t xml:space="preserve"> is gross loan debt minus National Revenue Fund (NRF) bank balances.</t>
    </r>
  </si>
  <si>
    <t>National Treasury Budget Review 2022</t>
  </si>
  <si>
    <t xml:space="preserve">Data note </t>
  </si>
  <si>
    <r>
      <rPr>
        <b/>
        <sz val="10"/>
        <rFont val="Arial"/>
        <family val="2"/>
      </rPr>
      <t>Net loan debt</t>
    </r>
    <r>
      <rPr>
        <sz val="10"/>
        <rFont val="Arial"/>
        <family val="2"/>
      </rPr>
      <t xml:space="preserve"> is calculated with due account of the bank balances of the NRF (balances of government's accounts with the SARB and the tax and loans accounts with commercial banks). Forward estimates of foreign debt are based on National Treasury's exchange rate projections, which are based on fiscal years starting from 1 April every year. This indicator is mostly used by investors to measure the country’s ability to pay its debt commitments, it is therefore, affects it borrowing costs and the yields of its bonds.</t>
    </r>
  </si>
  <si>
    <t>Interest rates: real and nominal</t>
  </si>
  <si>
    <t>Macroeconomic stability</t>
  </si>
  <si>
    <t>Low real interest rate that promotes the sustainability of growth and employment creation</t>
  </si>
  <si>
    <t>Interest Rates (prime)</t>
  </si>
  <si>
    <t>Real Interest</t>
  </si>
  <si>
    <t>Nominal Interest</t>
  </si>
  <si>
    <t>Interest Rates (repo)</t>
  </si>
  <si>
    <t xml:space="preserve">                                                                                                                                                                                                                                     </t>
  </si>
  <si>
    <t>Rate</t>
  </si>
  <si>
    <r>
      <rPr>
        <b/>
        <sz val="10"/>
        <rFont val="Arial"/>
        <family val="2"/>
      </rPr>
      <t>Interest rate</t>
    </r>
    <r>
      <rPr>
        <sz val="10"/>
        <rFont val="Arial"/>
        <family val="2"/>
      </rPr>
      <t xml:space="preserve"> is the amount of interest (payment by a borrower to a lender for the use of funds) payable over a certain period, usually a year, expressed as a percentage of the amount borrowed.</t>
    </r>
  </si>
  <si>
    <r>
      <rPr>
        <b/>
        <sz val="10"/>
        <rFont val="Arial"/>
        <family val="2"/>
      </rPr>
      <t>Nominal interest rate</t>
    </r>
    <r>
      <rPr>
        <sz val="10"/>
        <rFont val="Arial"/>
        <family val="2"/>
      </rPr>
      <t xml:space="preserve"> is prime overdraft rate (the prime overdraft rate is the lowest rate at which a clearing bank will lend money to its clients on overdraft). </t>
    </r>
    <r>
      <rPr>
        <b/>
        <sz val="10"/>
        <rFont val="Arial"/>
        <family val="2"/>
      </rPr>
      <t>Real interest rate</t>
    </r>
    <r>
      <rPr>
        <sz val="10"/>
        <rFont val="Arial"/>
        <family val="2"/>
      </rPr>
      <t xml:space="preserve"> is prime less Consumer Price Inflation (CPI) rate (see indicator 8: Inflation Rate). </t>
    </r>
    <r>
      <rPr>
        <b/>
        <sz val="10"/>
        <rFont val="Arial"/>
        <family val="2"/>
      </rPr>
      <t>Repurchase (repo) rate:</t>
    </r>
    <r>
      <rPr>
        <sz val="10"/>
        <rFont val="Arial"/>
        <family val="2"/>
      </rPr>
      <t xml:space="preserve"> This is the policy rate that is set by the Monetary Policy Committee (MPC). It is the rate that commercial banks pay to borrow money from the Reserve Bank</t>
    </r>
  </si>
  <si>
    <t>Real interest</t>
  </si>
  <si>
    <t>Nominal interest</t>
  </si>
  <si>
    <t>Average Interest</t>
  </si>
  <si>
    <t xml:space="preserve">Average Nominal </t>
  </si>
  <si>
    <t>Real</t>
  </si>
  <si>
    <t>Nom</t>
  </si>
  <si>
    <t>CPI</t>
  </si>
  <si>
    <t>Consumer Price Index (CPI)</t>
  </si>
  <si>
    <t xml:space="preserve">Consumer price Inflation should be between 3 and 6 percent </t>
  </si>
  <si>
    <t>Consumer Price Index</t>
  </si>
  <si>
    <t>Average</t>
  </si>
  <si>
    <t>CPI Rate</t>
  </si>
  <si>
    <r>
      <rPr>
        <b/>
        <sz val="10"/>
        <rFont val="Arial"/>
        <family val="2"/>
      </rPr>
      <t>Inflation</t>
    </r>
    <r>
      <rPr>
        <sz val="10"/>
        <rFont val="Arial"/>
        <family val="2"/>
      </rPr>
      <t xml:space="preserve"> is an increase in the overall price level of goods and services in an economy over a specific period of time. </t>
    </r>
    <r>
      <rPr>
        <b/>
        <sz val="10"/>
        <rFont val="Arial"/>
        <family val="2"/>
      </rPr>
      <t>CPI</t>
    </r>
    <r>
      <rPr>
        <sz val="10"/>
        <rFont val="Arial"/>
        <family val="2"/>
      </rPr>
      <t xml:space="preserve"> is the rise in prices of a typical basket of goods, as measured by Stats SA. </t>
    </r>
  </si>
  <si>
    <t>Statistics South Africa's CPI and Consumer Price Index excluding mortgage (CPIX) costs data.</t>
  </si>
  <si>
    <r>
      <rPr>
        <b/>
        <sz val="10"/>
        <rFont val="Arial"/>
        <family val="2"/>
      </rPr>
      <t>Headline consumer price index (CPI)</t>
    </r>
    <r>
      <rPr>
        <sz val="10"/>
        <rFont val="Arial"/>
        <family val="2"/>
      </rPr>
      <t xml:space="preserve"> is a measure of price levels in all urban areas. The 12-month percentage change in headline CPI is referred to as ‘headline CPI inflation’ and reflects changes in the cost of living. The currently targeted inflation is the headline CPI for all urban areas. </t>
    </r>
    <r>
      <rPr>
        <b/>
        <sz val="10"/>
        <rFont val="Arial"/>
        <family val="2"/>
      </rPr>
      <t>CPIX</t>
    </r>
    <r>
      <rPr>
        <sz val="10"/>
        <rFont val="Arial"/>
        <family val="2"/>
      </rPr>
      <t xml:space="preserve"> is the consumer price index excluding mortgage costs. </t>
    </r>
    <r>
      <rPr>
        <b/>
        <sz val="10"/>
        <rFont val="Arial"/>
        <family val="2"/>
      </rPr>
      <t>CPIX</t>
    </r>
    <r>
      <rPr>
        <sz val="10"/>
        <rFont val="Arial"/>
        <family val="2"/>
      </rPr>
      <t xml:space="preserve"> was used between 2000 and 2009 as a measure of inflation. </t>
    </r>
  </si>
  <si>
    <t xml:space="preserve">CPI </t>
  </si>
  <si>
    <t>Bond points spread</t>
  </si>
  <si>
    <t>South Africa should pay as small a premium as possible on its bonds issue</t>
  </si>
  <si>
    <t>Bond Point Spread</t>
  </si>
  <si>
    <t>Bond Points Spread</t>
  </si>
  <si>
    <t xml:space="preserve">Rate </t>
  </si>
  <si>
    <r>
      <rPr>
        <b/>
        <sz val="10"/>
        <rFont val="Arial"/>
        <family val="2"/>
      </rPr>
      <t>Bond points spread</t>
    </r>
    <r>
      <rPr>
        <sz val="10"/>
        <rFont val="Arial"/>
        <family val="2"/>
      </rPr>
      <t xml:space="preserve"> is the measurement of risk between developed and developing economy in terms of difference paid for borrowing.</t>
    </r>
  </si>
  <si>
    <t>JP Morgan Emerging Market Bond Index, South African data via Bloomberg (JPSSGSAF index).</t>
  </si>
  <si>
    <r>
      <t xml:space="preserve">The </t>
    </r>
    <r>
      <rPr>
        <b/>
        <sz val="10"/>
        <rFont val="Arial"/>
        <family val="2"/>
      </rPr>
      <t>yield spread</t>
    </r>
    <r>
      <rPr>
        <sz val="10"/>
        <rFont val="Arial"/>
        <family val="2"/>
      </rPr>
      <t xml:space="preserve"> is a key metric that bond investors use when gauging the level of expense for a bond or group of bonds, e.g. if one bond is yielding 7 percent and another is yielding 4 percent, the spread is three percentage points, or 300 basis points.</t>
    </r>
  </si>
  <si>
    <t>Bond point spread</t>
  </si>
  <si>
    <t>Balance of Payments</t>
  </si>
  <si>
    <t>Competitiveness</t>
  </si>
  <si>
    <t>To increase the ratio of exports to GDP</t>
  </si>
  <si>
    <t>Exports, Imports, Trade balance and balance on current account</t>
  </si>
  <si>
    <t>% of GDP</t>
  </si>
  <si>
    <t xml:space="preserve">Imports </t>
  </si>
  <si>
    <t>Exports</t>
  </si>
  <si>
    <t>Trade balance</t>
  </si>
  <si>
    <t xml:space="preserve">Balance on current account </t>
  </si>
  <si>
    <t>Percentage of GDP</t>
  </si>
  <si>
    <t>Balance of Payment (BoP) is a record of transactions between the home country and the rest of the world over a specific period of time. It includes the current account and financial account.</t>
  </si>
  <si>
    <t xml:space="preserve">Trade balance refers to: Merchandise exports plus Net gold exports minus Merchandise imports (free on board)
Balance on current account refers to Trade balance + net income payments + net service payments + current transfers.
Current account of the BoP consists of net exports (exports net imports) in the trade account as well as the services, income and current transfer account.
Exports refers to: The quantity or value of all that is exported from a country Imports refers to: The quantity or value of all that is imported into a country.
</t>
  </si>
  <si>
    <t>Exports (constant 2000 prices) R'billions</t>
  </si>
  <si>
    <t xml:space="preserve">Ratio of exports to GDP </t>
  </si>
  <si>
    <t>Volume of Trade (2000=base)</t>
  </si>
  <si>
    <t>Balance of payments</t>
  </si>
  <si>
    <t>Exports (excluding gold)</t>
  </si>
  <si>
    <t>Gold exports</t>
  </si>
  <si>
    <t>Exports (including gold)</t>
  </si>
  <si>
    <t>Imports</t>
  </si>
  <si>
    <t>Net services receipts</t>
  </si>
  <si>
    <t>Net income receipts</t>
  </si>
  <si>
    <t>Current account (excluding SACU payments)</t>
  </si>
  <si>
    <t>SACU payments</t>
  </si>
  <si>
    <t>Current account (including SACU payments)</t>
  </si>
  <si>
    <t>Ratio of exports to GDP (%)</t>
  </si>
  <si>
    <t>Trade balance to GDP ratio</t>
  </si>
  <si>
    <t>ZAR/US$</t>
  </si>
  <si>
    <t xml:space="preserve">   </t>
  </si>
  <si>
    <t xml:space="preserve">Merchandise Imports (% of GDP) </t>
  </si>
  <si>
    <t xml:space="preserve">Merchandise Exports (% of GDP) </t>
  </si>
  <si>
    <t>Balance on current account  (% GDP)</t>
  </si>
  <si>
    <t>South Africa's Competitiveness Outlook</t>
  </si>
  <si>
    <t>To promote the international competitiveness of South Africa's economy</t>
  </si>
  <si>
    <t>Global Competitiveness - WEF</t>
  </si>
  <si>
    <t>Global Competitiveness - IMD</t>
  </si>
  <si>
    <t>Overall rankings</t>
  </si>
  <si>
    <t>no data</t>
  </si>
  <si>
    <t>Slovakia ( Republic)</t>
  </si>
  <si>
    <t>Ranking by category : South Africa only</t>
  </si>
  <si>
    <t>Economic performance</t>
  </si>
  <si>
    <t>Government efficiency</t>
  </si>
  <si>
    <t>Business efficiency</t>
  </si>
  <si>
    <t>Infrastructure</t>
  </si>
  <si>
    <r>
      <t xml:space="preserve">In its </t>
    </r>
    <r>
      <rPr>
        <b/>
        <sz val="10"/>
        <rFont val="Arial"/>
        <family val="2"/>
      </rPr>
      <t>Global Competitiveness Index WEF</t>
    </r>
    <r>
      <rPr>
        <sz val="10"/>
        <rFont val="Arial"/>
        <family val="2"/>
      </rPr>
      <t xml:space="preserve"> defines competitiveness as a set of institutions, policies, and factors that determine the level of productivity of a country. Data format is based on normalised data of the selected economic group - Upper Middle Income Economies. The World Competitiveness Yearbook ranks and analyses the ability of nations to create and maintain an environment in which enterprises can compete. The lower the rank the more competitive.</t>
    </r>
  </si>
  <si>
    <t xml:space="preserve">The Global Competitiveness Reports 2006-2018; World Economic Forum (WEF).www.weforum.org/reports; International Institute for Management Development (IMD) (www.imd.ch), Switzerland; Productivity Institute South Africa. </t>
  </si>
  <si>
    <t>Global Competitiveness Index - Sub indexes and Pillars</t>
  </si>
  <si>
    <t>2007-2008 Global Rank</t>
  </si>
  <si>
    <t>2006-2007 Global Rank</t>
  </si>
  <si>
    <t>2005-2006 Global Rank</t>
  </si>
  <si>
    <t>NO</t>
  </si>
  <si>
    <t>Sub Index</t>
  </si>
  <si>
    <t>Rank</t>
  </si>
  <si>
    <t>Score</t>
  </si>
  <si>
    <t>SA's Competitiveness Outlook - WEF</t>
  </si>
  <si>
    <t>First Sub Index</t>
  </si>
  <si>
    <t>1. Basic Requirements</t>
  </si>
  <si>
    <t>Pillars</t>
  </si>
  <si>
    <t>1.1. Institutions</t>
  </si>
  <si>
    <t>1.2. Infrastructure</t>
  </si>
  <si>
    <t>1.3. Macroeconomic Stability</t>
  </si>
  <si>
    <t>1.4. Health and Primary Education</t>
  </si>
  <si>
    <t>Second Sub Index</t>
  </si>
  <si>
    <t>2. Efficiency Enhancers</t>
  </si>
  <si>
    <t>2.1. Higher Education and Training</t>
  </si>
  <si>
    <t>2.2. Goods Market Efficiency</t>
  </si>
  <si>
    <t>2.3. Labour Market Efficiency</t>
  </si>
  <si>
    <t>2.4. Financial Market and Sophistication</t>
  </si>
  <si>
    <t>2.5. Technological Readiness</t>
  </si>
  <si>
    <t>2.6. Market Size</t>
  </si>
  <si>
    <t>Third Index</t>
  </si>
  <si>
    <t>3. Innovation and Sophistication Factors</t>
  </si>
  <si>
    <t>3.1. Business Sophistication</t>
  </si>
  <si>
    <t>3.2. Innovation</t>
  </si>
  <si>
    <t>2008 Global Rank</t>
  </si>
  <si>
    <t>2007 Global Rank</t>
  </si>
  <si>
    <t xml:space="preserve">SA's Competitiveness Outlook - IMD </t>
  </si>
  <si>
    <t>Normalised data of the selected economic group – Upper Middle Income Economies. It should be noted that the methodologies employed by these global indices have limitations, particular in their use of limited samples of large business leaders and their use of opinion-based data, where hard numbers could arguably provide better measurements.</t>
  </si>
  <si>
    <t>Black and Female Managers</t>
  </si>
  <si>
    <t>Transforming the Economy</t>
  </si>
  <si>
    <t xml:space="preserve">To broadly reflect the demographic composition of the country in the management of companies and organisations </t>
  </si>
  <si>
    <t>Percentage of top and senior managers who are black</t>
  </si>
  <si>
    <t>Top managers</t>
  </si>
  <si>
    <t>Senior Managers</t>
  </si>
  <si>
    <t>Percentage of top and senior managers who are female</t>
  </si>
  <si>
    <t>Top Managers</t>
  </si>
  <si>
    <t>Percentage</t>
  </si>
  <si>
    <r>
      <rPr>
        <b/>
        <sz val="10"/>
        <rFont val="Arial"/>
        <family val="2"/>
      </rPr>
      <t>Black managers</t>
    </r>
    <r>
      <rPr>
        <sz val="10"/>
        <rFont val="Arial"/>
        <family val="2"/>
      </rPr>
      <t xml:space="preserve"> include Africans, Coloureds and Indians, but data does not include male and female foreign nationals.</t>
    </r>
  </si>
  <si>
    <t xml:space="preserve">For odd years (2001, 2003, 2005, 2007, 2009 ,2011, 2013, 2015) data is based on large companies only
For even years (2002, 2004, 2006, 2008, 2010, 2012, 2014, 2016) data is based on all companies (large and small)
Employers with 150 or more employees ( large employers) are required to submit reports annually and employers with less than 150 employees (small employers) are expected to submit reports every two years to the Department of Labour
</t>
  </si>
  <si>
    <t>Department of Labour, Commission on Employment Equity Annual Report 2020-21, Appendix A Table on number of employees (including employees with disabilities).</t>
  </si>
  <si>
    <t>Top and Senior managers who are black</t>
  </si>
  <si>
    <t>Black Top managers</t>
  </si>
  <si>
    <t>Black Senior Managers</t>
  </si>
  <si>
    <t>Female Top Managers</t>
  </si>
  <si>
    <t>Female Senior Managers</t>
  </si>
  <si>
    <t>Competitive and accessible markets</t>
  </si>
  <si>
    <t>Transforming the economy</t>
  </si>
  <si>
    <t>Reduce concentration and monopolies and expanded small business sector</t>
  </si>
  <si>
    <t>Gini coefficient of firm turnover in South Africa</t>
  </si>
  <si>
    <t xml:space="preserve">Gini coefficient of firm turnover in South Africa </t>
  </si>
  <si>
    <t>Industry</t>
  </si>
  <si>
    <t>Turnover share of top 10% of firms</t>
  </si>
  <si>
    <t>Turnover share of bottom 50% of firms</t>
  </si>
  <si>
    <t>Gini Coefficient</t>
  </si>
  <si>
    <t>Agriculture</t>
  </si>
  <si>
    <t>80.7%</t>
  </si>
  <si>
    <t>1.3%</t>
  </si>
  <si>
    <t>0.824</t>
  </si>
  <si>
    <t>78.7%</t>
  </si>
  <si>
    <t>1.9%</t>
  </si>
  <si>
    <t>0.809</t>
  </si>
  <si>
    <t>Catering, accommodation and other trade</t>
  </si>
  <si>
    <t>55.7%</t>
  </si>
  <si>
    <t>5.7%</t>
  </si>
  <si>
    <t>0.675</t>
  </si>
  <si>
    <t>64.1%</t>
  </si>
  <si>
    <t>5.4%</t>
  </si>
  <si>
    <t>0.707</t>
  </si>
  <si>
    <t>Community, social and personal services</t>
  </si>
  <si>
    <t>62.2%</t>
  </si>
  <si>
    <t>7.1%</t>
  </si>
  <si>
    <t>0.692</t>
  </si>
  <si>
    <t>65.5%</t>
  </si>
  <si>
    <t>6.4%</t>
  </si>
  <si>
    <t>0.712</t>
  </si>
  <si>
    <t>Construction</t>
  </si>
  <si>
    <t>72.1%</t>
  </si>
  <si>
    <t>3.0%</t>
  </si>
  <si>
    <t>0.774</t>
  </si>
  <si>
    <t>72.4%</t>
  </si>
  <si>
    <t>3.4%</t>
  </si>
  <si>
    <t>0.770</t>
  </si>
  <si>
    <t>Electricity, gas and water</t>
  </si>
  <si>
    <t>93.3%</t>
  </si>
  <si>
    <t>0.6%</t>
  </si>
  <si>
    <t>0.871</t>
  </si>
  <si>
    <t>93.0%</t>
  </si>
  <si>
    <t>0.8%</t>
  </si>
  <si>
    <t>0.869</t>
  </si>
  <si>
    <t>Finance</t>
  </si>
  <si>
    <t>77.2%</t>
  </si>
  <si>
    <t>4.4%</t>
  </si>
  <si>
    <t>0.773</t>
  </si>
  <si>
    <t>75.5%</t>
  </si>
  <si>
    <t>4.9%</t>
  </si>
  <si>
    <t>0.762</t>
  </si>
  <si>
    <t>Manufacturing</t>
  </si>
  <si>
    <t>92.6%</t>
  </si>
  <si>
    <t>0.5%</t>
  </si>
  <si>
    <t>92.1%</t>
  </si>
  <si>
    <t>0.867</t>
  </si>
  <si>
    <t>Mining and quarrying</t>
  </si>
  <si>
    <t>97.0%</t>
  </si>
  <si>
    <t>0.2%</t>
  </si>
  <si>
    <t>0.888</t>
  </si>
  <si>
    <t>97.9%</t>
  </si>
  <si>
    <t>0.1%</t>
  </si>
  <si>
    <t>0.891</t>
  </si>
  <si>
    <t>Retail, motor trade and repair services</t>
  </si>
  <si>
    <t>84.1%</t>
  </si>
  <si>
    <t>1.2%</t>
  </si>
  <si>
    <t>0.835</t>
  </si>
  <si>
    <t>85.0%</t>
  </si>
  <si>
    <t>0.837</t>
  </si>
  <si>
    <t>Transport, storage and communication</t>
  </si>
  <si>
    <t>90.1%</t>
  </si>
  <si>
    <t>0.856</t>
  </si>
  <si>
    <t>0.9%</t>
  </si>
  <si>
    <t>0.864</t>
  </si>
  <si>
    <t>Wholesale</t>
  </si>
  <si>
    <t>88.1%</t>
  </si>
  <si>
    <t>0.854</t>
  </si>
  <si>
    <t>86.1%</t>
  </si>
  <si>
    <t>1.0%</t>
  </si>
  <si>
    <t>0.846</t>
  </si>
  <si>
    <t>All firms</t>
  </si>
  <si>
    <t>85.8%</t>
  </si>
  <si>
    <t>1.6%</t>
  </si>
  <si>
    <t>0.836</t>
  </si>
  <si>
    <t>86.4%</t>
  </si>
  <si>
    <t>The Gini coefficients of firm turnover measures the distribution of turnover through comparison of cumulative proportions of firms against cumulative proportions of income they receive. The measures range between 0 in the case of perfect equality and 1 in the case of perfect inequality. In an industry with perfect equality, the smallest 10% of firms would account for 10% of an industry’s income.</t>
  </si>
  <si>
    <t>Measurement of concentration and participation in the South African economy based on data that are consistently collected over time by the Competition Commission from its regular business and the collation of data sourced from SARS, annual reports of firms and data from other organisations.</t>
  </si>
  <si>
    <t>Competition Commission, November 2021. Measuring concentration and participation in the South African economy: levels and trends.</t>
  </si>
  <si>
    <t>Employment</t>
  </si>
  <si>
    <t>To increase employment to 24 million in 2030</t>
  </si>
  <si>
    <t>Thousands ('000)</t>
  </si>
  <si>
    <t>Informal sector employment (excl agric)</t>
  </si>
  <si>
    <t>Formal sector employement (excl agric)</t>
  </si>
  <si>
    <t>Private households</t>
  </si>
  <si>
    <t>Total Employment</t>
  </si>
  <si>
    <t>Population 15-64</t>
  </si>
  <si>
    <t>Labour absorption rate</t>
  </si>
  <si>
    <t>Labour force participation rate</t>
  </si>
  <si>
    <t>Labour absorption rate by province</t>
  </si>
  <si>
    <t>KwaZulu-Natal</t>
  </si>
  <si>
    <t>Numbers</t>
  </si>
  <si>
    <r>
      <rPr>
        <b/>
        <sz val="10"/>
        <rFont val="Arial"/>
        <family val="2"/>
      </rPr>
      <t>Employed persons</t>
    </r>
    <r>
      <rPr>
        <sz val="10"/>
        <rFont val="Arial"/>
        <family val="2"/>
      </rPr>
      <t xml:space="preserve"> are those aged 15-64, who did any work or who did not work but had a job or business in the seven days prior to the survey interview. 
</t>
    </r>
    <r>
      <rPr>
        <b/>
        <sz val="10"/>
        <rFont val="Arial"/>
        <family val="2"/>
      </rPr>
      <t>Labour force participation rate</t>
    </r>
    <r>
      <rPr>
        <sz val="10"/>
        <rFont val="Arial"/>
        <family val="2"/>
      </rPr>
      <t xml:space="preserve"> is the either proportion of the working-age population that is employed or unemployed. 
</t>
    </r>
    <r>
      <rPr>
        <b/>
        <sz val="10"/>
        <rFont val="Arial"/>
        <family val="2"/>
      </rPr>
      <t>Labour absorption rate</t>
    </r>
    <r>
      <rPr>
        <sz val="10"/>
        <rFont val="Arial"/>
        <family val="2"/>
      </rPr>
      <t xml:space="preserve"> is the proportion of the working-age population that is employed. For international comparisons, Stats SA uses the United Nations Definition of the youth as those aged between 15 and 34 years. 
According to the National Youth Commission (SAYC) Act, 1996 (Act 19 of 1996), youth is defined as young people between the ages of 15 to 34 years.
</t>
    </r>
  </si>
  <si>
    <t xml:space="preserve">Annual data is derived by pooling together the four quarters of the QLFS. For LFS annual data is obtained by averaging the biannual LFS (March and September).
</t>
  </si>
  <si>
    <t>Labour force participation rate by province</t>
  </si>
  <si>
    <t>Labour force participation rate by gender</t>
  </si>
  <si>
    <t>Male</t>
  </si>
  <si>
    <t>Female</t>
  </si>
  <si>
    <t>Labour force absorption rate by gender</t>
  </si>
  <si>
    <t>Sep</t>
  </si>
  <si>
    <t>Unemployment (broad and narrow)</t>
  </si>
  <si>
    <t>Narrow (official)</t>
  </si>
  <si>
    <t>Broad (unofficial)</t>
  </si>
  <si>
    <t>Unemployment rate by province (Official)</t>
  </si>
  <si>
    <t>Province</t>
  </si>
  <si>
    <t>Table 3</t>
  </si>
  <si>
    <t>Unemployment rate by age group - Official definition</t>
  </si>
  <si>
    <t>15-24 yrs</t>
  </si>
  <si>
    <t>25-34 yrs</t>
  </si>
  <si>
    <t>35-44 yrs</t>
  </si>
  <si>
    <t>45-54 yrs</t>
  </si>
  <si>
    <t>55-64 yrs</t>
  </si>
  <si>
    <t>Table 4</t>
  </si>
  <si>
    <t>Long and short term unemployed</t>
  </si>
  <si>
    <t>Long term unemployed</t>
  </si>
  <si>
    <t>Short term unemployed</t>
  </si>
  <si>
    <t>Total unemployed</t>
  </si>
  <si>
    <t>Long term unemployed as a share of Total</t>
  </si>
  <si>
    <t>Percentage, numbers</t>
  </si>
  <si>
    <r>
      <rPr>
        <b/>
        <sz val="10"/>
        <rFont val="Arial"/>
        <family val="2"/>
      </rPr>
      <t>Narrow (official)</t>
    </r>
    <r>
      <rPr>
        <sz val="10"/>
        <rFont val="Arial"/>
        <family val="2"/>
      </rPr>
      <t xml:space="preserve"> is the number of people who were without work in the reference week, have taken steps to look for work or start a business and were available to work. </t>
    </r>
    <r>
      <rPr>
        <b/>
        <sz val="10"/>
        <rFont val="Arial"/>
        <family val="2"/>
      </rPr>
      <t xml:space="preserve">Broad (unofficial) </t>
    </r>
    <r>
      <rPr>
        <sz val="10"/>
        <rFont val="Arial"/>
        <family val="2"/>
      </rPr>
      <t xml:space="preserve">is the number of people who were without work in the reference week and were available to work. Persons in short-term unemployment have been unemployed, available for work, and looking for a job for less than one year. </t>
    </r>
  </si>
  <si>
    <t>Annual data is derived by pooling together the four quarters of the QLFS. Individual weights are divided by four and reported numbers are the averages for the year. For LFS annual data obtained by averaging the biannual LFS (March and September).</t>
  </si>
  <si>
    <t>Unemployment rate by age group-official definition</t>
  </si>
  <si>
    <t>15 - 24</t>
  </si>
  <si>
    <t>25 - 34</t>
  </si>
  <si>
    <t>35 - 44</t>
  </si>
  <si>
    <t>45 - 54</t>
  </si>
  <si>
    <t>55 - 64</t>
  </si>
  <si>
    <t>Unemployment rate by gender-expanded definition</t>
  </si>
  <si>
    <t>Unemployment rate by age group-expanded definition</t>
  </si>
  <si>
    <t>Unemployment rate by gender-official definition</t>
  </si>
  <si>
    <t>To significantly decrease the number of young people who are not in employment, education or training by 2030</t>
  </si>
  <si>
    <t>Number of NEETs</t>
  </si>
  <si>
    <t>15-24 years</t>
  </si>
  <si>
    <t>18-24 years</t>
  </si>
  <si>
    <t>15-34 years</t>
  </si>
  <si>
    <t>Number of persons in the population aged 25-64 years by highest level of education attainment</t>
  </si>
  <si>
    <t>Education Status</t>
  </si>
  <si>
    <t>No schooling</t>
  </si>
  <si>
    <t>Less than primary completed</t>
  </si>
  <si>
    <t>Primary completed</t>
  </si>
  <si>
    <t>Secondary not completed</t>
  </si>
  <si>
    <t>Secondary completed</t>
  </si>
  <si>
    <t>Tertiary</t>
  </si>
  <si>
    <t>Other</t>
  </si>
  <si>
    <t>Number of persons in the population aged 25-34 years by highest level of education attainment</t>
  </si>
  <si>
    <t>Number of employed persons in the population aged 25-64 years by highest level of education attainment</t>
  </si>
  <si>
    <t>Table 5</t>
  </si>
  <si>
    <t>Number of employed persons in the population aged 25-34 years by highest level of education attainment</t>
  </si>
  <si>
    <t>Goal statement adopted from the National Development Plan</t>
  </si>
  <si>
    <t>Statistics South Africa, Quarterly Labour Force Surveys</t>
  </si>
  <si>
    <t xml:space="preserve">Work Opportunities created by the Expanded Public Works Programme (EPWP) </t>
  </si>
  <si>
    <t>EPWP</t>
  </si>
  <si>
    <t xml:space="preserve"> PHASE 1-3 (2004/05 to 2014/15): Gross work opportunities created</t>
  </si>
  <si>
    <t>Environment &amp; Culture</t>
  </si>
  <si>
    <t>Social</t>
  </si>
  <si>
    <t>Economic</t>
  </si>
  <si>
    <t>Non-State Sectors</t>
  </si>
  <si>
    <t>Community Works (DCoG)</t>
  </si>
  <si>
    <t>Non Profit Organisation (NPO)</t>
  </si>
  <si>
    <t>Annual total</t>
  </si>
  <si>
    <t>1 103 983</t>
  </si>
  <si>
    <t>1 016 646</t>
  </si>
  <si>
    <t>Cumulative total</t>
  </si>
  <si>
    <t>6 719 014</t>
  </si>
  <si>
    <t>7 460 554</t>
  </si>
  <si>
    <t>8 239 799</t>
  </si>
  <si>
    <t>9 140 033</t>
  </si>
  <si>
    <t>10 137 319</t>
  </si>
  <si>
    <t>11 132 018</t>
  </si>
  <si>
    <t>12 070 706</t>
  </si>
  <si>
    <t>13 087 352</t>
  </si>
  <si>
    <t>PHASE 3: EPWP Overall National Consolidated Report per sector for the period 1 April 2018 to 31 March 2019</t>
  </si>
  <si>
    <t>Number 
of Projects</t>
  </si>
  <si>
    <t>Person-years
of work
including training  (FTE)</t>
  </si>
  <si>
    <t xml:space="preserve">Person-Years 
of
training
</t>
  </si>
  <si>
    <t>Number 
of work
opportunities
created</t>
  </si>
  <si>
    <t xml:space="preserve">% of
 youth
</t>
  </si>
  <si>
    <t xml:space="preserve">% of women
</t>
  </si>
  <si>
    <t>% of people 
with
disabilities</t>
  </si>
  <si>
    <t xml:space="preserve">Infrastructure </t>
  </si>
  <si>
    <t>Environment and Culture</t>
  </si>
  <si>
    <t xml:space="preserve">Social </t>
  </si>
  <si>
    <t>PHASE 3: EPWP Overall National Consolidated Report per province for the period 1 April 2018 to 31 March 2019</t>
  </si>
  <si>
    <t>Person-years
of work
including training (FTE)</t>
  </si>
  <si>
    <t xml:space="preserve">% of 
women
</t>
  </si>
  <si>
    <t>Free Sate</t>
  </si>
  <si>
    <t>Number of work opportunities created</t>
  </si>
  <si>
    <r>
      <t xml:space="preserve">A </t>
    </r>
    <r>
      <rPr>
        <b/>
        <sz val="10"/>
        <rFont val="Arial"/>
        <family val="2"/>
      </rPr>
      <t>work opportunity</t>
    </r>
    <r>
      <rPr>
        <sz val="10"/>
        <rFont val="Arial"/>
        <family val="2"/>
      </rPr>
      <t xml:space="preserve"> is paid work created for an individual for any period. The same individual can be employed on different projects and each period of employment will be counted as a work opportunity. One Person-Year of work is equal to 230 paid working days including paid training days. Non State Sector includes Community works (DCoG) and Non-profit organisation (NPO's).</t>
    </r>
  </si>
  <si>
    <t>Department of Public Works; EPWP Phase 1-3 data; Report Quarter 4, 2016/17.</t>
  </si>
  <si>
    <t>* Work opportunities created with adjustments to account for multi-year projects.</t>
  </si>
  <si>
    <t>Expenditure on Research and Development (R&amp;D)</t>
  </si>
  <si>
    <t>Future competitiveness</t>
  </si>
  <si>
    <t xml:space="preserve">Expenditure on Research and Development as percentage of GDP </t>
  </si>
  <si>
    <t>R' thousands</t>
  </si>
  <si>
    <t>1991/92</t>
  </si>
  <si>
    <t>Business enterprise</t>
  </si>
  <si>
    <t>Government</t>
  </si>
  <si>
    <t>Higher education</t>
  </si>
  <si>
    <t>Not-for-profit</t>
  </si>
  <si>
    <t>Science councils</t>
  </si>
  <si>
    <t xml:space="preserve">Gross Expenditure on R&amp;D </t>
  </si>
  <si>
    <t>Total researchers (headcount)</t>
  </si>
  <si>
    <r>
      <t xml:space="preserve">Total researchers (FTE) </t>
    </r>
    <r>
      <rPr>
        <vertAlign val="superscript"/>
        <sz val="10"/>
        <rFont val="Arial"/>
        <family val="2"/>
      </rPr>
      <t>b</t>
    </r>
  </si>
  <si>
    <r>
      <t>Total researchers per 1000 total employment (FTE)</t>
    </r>
    <r>
      <rPr>
        <vertAlign val="superscript"/>
        <sz val="10"/>
        <rFont val="Arial"/>
        <family val="2"/>
      </rPr>
      <t>c</t>
    </r>
  </si>
  <si>
    <t>Amount of private and public funds spent on research and experimental development. R&amp;D expenditure for the government sector for the years 1993/94 and 1997/98 includes science councils. R&amp;D comprise creative work undertaken on a systematic basis in order to increase the stock of knowledge, including knowledge in humanity, culture and society, and the use of this stock of knowledge to devise new applications.   FTE = Full Time Equivalent, this conversion is used to express the amount of time a researcher spent conducting R&amp;D. Researchers are professionals engaged in the conception or creation of new knowledge, product, processes, methods and systems, and in the management of the projects concerned. Researchers includes doctoral students and postdoctoral fellows. GERD as a percentage of GDP is an indicator of R&amp;D intensity in an economy.</t>
  </si>
  <si>
    <t>Data definition</t>
  </si>
  <si>
    <r>
      <t>Expenditure on R&amp;D is the amount of private and public funds spent on research and experimental development.</t>
    </r>
    <r>
      <rPr>
        <sz val="10"/>
        <color rgb="FFFF0000"/>
        <rFont val="Arial"/>
        <family val="2"/>
      </rPr>
      <t xml:space="preserve">  </t>
    </r>
  </si>
  <si>
    <r>
      <rPr>
        <b/>
        <sz val="10"/>
        <rFont val="Arial"/>
        <family val="2"/>
      </rPr>
      <t>R&amp;D</t>
    </r>
    <r>
      <rPr>
        <sz val="10"/>
        <color theme="1"/>
        <rFont val="Arial"/>
        <family val="2"/>
      </rPr>
      <t xml:space="preserve"> comprise creative work undertaken on a systematic basis in order to increase the stock of knowledge, including knowledge in humanity, culture and society, and the use of this stock of knowledge to devise new applications. FTE = Full Time Equivalent, this conversion is used to express the amount of time a researcher spent conducting R&amp;D. Researchers are professionals engaged in the conception or creation of new knowledge, product, processes, methods and systems, and in the management of the projects concerned. Researchers includes doctoral students and postdoctoral fellows. GERD as a percentage of GDP is an indicator of R&amp;D intensity in an economy.</t>
    </r>
  </si>
  <si>
    <t>Information and communication technology</t>
  </si>
  <si>
    <t>To improve ICT infrastructure of South Africa, particularly broadband penetration to 100 percent by 2020</t>
  </si>
  <si>
    <t>Telephone, Cellular, Internet and Broadband subscribers</t>
  </si>
  <si>
    <t>Mobile cellular subscriptions</t>
  </si>
  <si>
    <t>Mobile cellular subscriptions (per 100 people)</t>
  </si>
  <si>
    <t>Telephone lines</t>
  </si>
  <si>
    <t>Telephone lines (per 100 people)</t>
  </si>
  <si>
    <t>Fixed broadband Internet subscribers</t>
  </si>
  <si>
    <t>Fixed broadband Internet subscribers (per 100 people)</t>
  </si>
  <si>
    <t>Internet users (per 100 people)</t>
  </si>
  <si>
    <t>Network readiness index</t>
  </si>
  <si>
    <t xml:space="preserve">Table 3
</t>
  </si>
  <si>
    <t>HOUSEHOLDS OWNING VARIOUS HOUSEHOLD  ICT GOODS (CENSUS)</t>
  </si>
  <si>
    <t>Cellphone</t>
  </si>
  <si>
    <t>Radio</t>
  </si>
  <si>
    <t>Computer</t>
  </si>
  <si>
    <t>Television</t>
  </si>
  <si>
    <t>Landline telephone</t>
  </si>
  <si>
    <t>Table 3.1</t>
  </si>
  <si>
    <t>HOUSEHOLDS OWNING VARIOUS HOUSEHOLD  ICT GOODS (GENERAL HOUSEHOLD SURVEY)</t>
  </si>
  <si>
    <t>Number, ratio, Index</t>
  </si>
  <si>
    <r>
      <rPr>
        <b/>
        <u/>
        <sz val="10"/>
        <rFont val="Arial"/>
        <family val="2"/>
      </rPr>
      <t>Mobile cellular telephone subscriptions</t>
    </r>
    <r>
      <rPr>
        <sz val="10"/>
        <rFont val="Arial"/>
        <family val="2"/>
      </rPr>
      <t xml:space="preserve"> are subscriptions to a public mobile telephone service using cellular technology, which provide access to the public switched telephone network. Post-paid and prepaid subscriptions are included.</t>
    </r>
    <r>
      <rPr>
        <u/>
        <sz val="10"/>
        <rFont val="Arial"/>
        <family val="2"/>
      </rPr>
      <t xml:space="preserve">
</t>
    </r>
    <r>
      <rPr>
        <b/>
        <u/>
        <sz val="10"/>
        <rFont val="Arial"/>
        <family val="2"/>
      </rPr>
      <t>Telephone line</t>
    </r>
    <r>
      <rPr>
        <u/>
        <sz val="10"/>
        <rFont val="Arial"/>
        <family val="2"/>
      </rPr>
      <t xml:space="preserve">s are </t>
    </r>
    <r>
      <rPr>
        <sz val="10"/>
        <rFont val="Arial"/>
        <family val="2"/>
      </rPr>
      <t>fixed telephone lines that connect a subscriber's terminal equipment to the public switched telephone network and that have a port on a telephone exchange. Integrated services digital network channels ands fixed wireless subscribers are included.</t>
    </r>
    <r>
      <rPr>
        <u/>
        <sz val="10"/>
        <rFont val="Arial"/>
        <family val="2"/>
      </rPr>
      <t xml:space="preserve">
</t>
    </r>
    <r>
      <rPr>
        <b/>
        <u/>
        <sz val="10"/>
        <rFont val="Arial"/>
        <family val="2"/>
      </rPr>
      <t>Fixed broadband Internet subscribers</t>
    </r>
    <r>
      <rPr>
        <u/>
        <sz val="10"/>
        <rFont val="Arial"/>
        <family val="2"/>
      </rPr>
      <t xml:space="preserve"> </t>
    </r>
    <r>
      <rPr>
        <sz val="10"/>
        <rFont val="Arial"/>
        <family val="2"/>
      </rPr>
      <t>are the number of broadband subscribers with a digital subscriber line, cable modem, or other high-speed technology.</t>
    </r>
    <r>
      <rPr>
        <u/>
        <sz val="10"/>
        <rFont val="Arial"/>
        <family val="2"/>
      </rPr>
      <t xml:space="preserve">
</t>
    </r>
    <r>
      <rPr>
        <b/>
        <u/>
        <sz val="10"/>
        <rFont val="Arial"/>
        <family val="2"/>
      </rPr>
      <t>Secure servers</t>
    </r>
    <r>
      <rPr>
        <u/>
        <sz val="10"/>
        <rFont val="Arial"/>
        <family val="2"/>
      </rPr>
      <t xml:space="preserve"> </t>
    </r>
    <r>
      <rPr>
        <sz val="10"/>
        <rFont val="Arial"/>
        <family val="2"/>
      </rPr>
      <t>are servers using encryption technology in Internet transactions.</t>
    </r>
    <r>
      <rPr>
        <u/>
        <sz val="10"/>
        <rFont val="Arial"/>
        <family val="2"/>
      </rPr>
      <t xml:space="preserve">
</t>
    </r>
    <r>
      <rPr>
        <b/>
        <u/>
        <sz val="10"/>
        <rFont val="Arial"/>
        <family val="2"/>
      </rPr>
      <t>Internet users</t>
    </r>
    <r>
      <rPr>
        <u/>
        <sz val="10"/>
        <rFont val="Arial"/>
        <family val="2"/>
      </rPr>
      <t xml:space="preserve"> </t>
    </r>
    <r>
      <rPr>
        <sz val="10"/>
        <rFont val="Arial"/>
        <family val="2"/>
      </rPr>
      <t xml:space="preserve">are people with access to the worldwide network. </t>
    </r>
    <r>
      <rPr>
        <b/>
        <u/>
        <sz val="10"/>
        <rFont val="Arial"/>
        <family val="2"/>
      </rPr>
      <t>The network readiness index</t>
    </r>
    <r>
      <rPr>
        <sz val="10"/>
        <rFont val="Arial"/>
        <family val="2"/>
      </rPr>
      <t xml:space="preserve"> details an economics' performance in each of the 54 indicators that are organized by pillars. These indicators are measured on a scale of one to seven (where one corresponds to the worst and seven correspond to best outcomes). In terms of country ranking, a rank of one represents strong performance in network readiness while a ranking of 144 represents weak performance.</t>
    </r>
    <r>
      <rPr>
        <u/>
        <sz val="10"/>
        <rFont val="Arial"/>
        <family val="2"/>
      </rPr>
      <t xml:space="preserve">
</t>
    </r>
  </si>
  <si>
    <t>Table 1) The  World Telecommunication/ICT Indicators Database . www.itu.int/en/ITU-D/Statistics
Table 2) World Economic Forum (www.weforum.org) [PDF] The Global Information Technology Report 2015 
http://data.worldbank.org/indicator/IT.NET.SECR.P6?locations=ZA
Table 3) Census 2011 Statistical release P0301.4 Page 62</t>
  </si>
  <si>
    <t>"The Network Readiness Index : The countries are ranked out of a total of 144 countries
Numbers for subscribers rounded off to the nearest
For 2013 the countries were ranked out of a total of 144 countries"</t>
  </si>
  <si>
    <t xml:space="preserve">Patents </t>
  </si>
  <si>
    <t>To improve the competitiveness of South Africa's economy</t>
  </si>
  <si>
    <t xml:space="preserve">South African Patent Office Statistics </t>
  </si>
  <si>
    <t>New Applications</t>
  </si>
  <si>
    <t>Certificates</t>
  </si>
  <si>
    <t>Renewals</t>
  </si>
  <si>
    <t>Patent Cooperation Treaty</t>
  </si>
  <si>
    <t>South African Patents granted by other patent offices</t>
  </si>
  <si>
    <t>United States of America</t>
  </si>
  <si>
    <t>European Patent Office</t>
  </si>
  <si>
    <t>Singapore</t>
  </si>
  <si>
    <t>Russian Federation</t>
  </si>
  <si>
    <t>Republic of Korea</t>
  </si>
  <si>
    <t>Others</t>
  </si>
  <si>
    <t>Table and Graph</t>
  </si>
  <si>
    <t>Patents applicants by top fields of technology  (1998 to 2014)</t>
  </si>
  <si>
    <t>1997 to 2012</t>
  </si>
  <si>
    <t>2000 to 2014</t>
  </si>
  <si>
    <t>2001 to 2015</t>
  </si>
  <si>
    <t>2002 to 2016</t>
  </si>
  <si>
    <t>Field of Technology</t>
  </si>
  <si>
    <t>Share</t>
  </si>
  <si>
    <t>Civil engineering</t>
  </si>
  <si>
    <t>Materials, metallurgy</t>
  </si>
  <si>
    <t xml:space="preserve">Basic materials chemistry </t>
  </si>
  <si>
    <t>Chemical engineering</t>
  </si>
  <si>
    <t>Medical technology</t>
  </si>
  <si>
    <t>Handling</t>
  </si>
  <si>
    <t>Furniture, games</t>
  </si>
  <si>
    <t>Other special machines</t>
  </si>
  <si>
    <t>Transport</t>
  </si>
  <si>
    <t>Electrical machinery, apparatus, energy</t>
  </si>
  <si>
    <t xml:space="preserve">National Patents Granted </t>
  </si>
  <si>
    <t>Resident</t>
  </si>
  <si>
    <t>1,010</t>
  </si>
  <si>
    <t>Non-Resident</t>
  </si>
  <si>
    <t>6,663</t>
  </si>
  <si>
    <t>6,179</t>
  </si>
  <si>
    <t>2,497</t>
  </si>
  <si>
    <t>1,858</t>
  </si>
  <si>
    <t>4,167</t>
  </si>
  <si>
    <t>4,835</t>
  </si>
  <si>
    <t>Abroad</t>
  </si>
  <si>
    <r>
      <t xml:space="preserve">A </t>
    </r>
    <r>
      <rPr>
        <b/>
        <sz val="10"/>
        <rFont val="Arial"/>
        <family val="2"/>
      </rPr>
      <t>Patent</t>
    </r>
    <r>
      <rPr>
        <sz val="10"/>
        <rFont val="Arial"/>
        <family val="2"/>
      </rPr>
      <t xml:space="preserve"> is a set of exclusive rights granted by a state (national government) to an inventor or their assignee for a limited period of time in exchange for a public disclosure of an invention. A </t>
    </r>
    <r>
      <rPr>
        <b/>
        <sz val="10"/>
        <rFont val="Arial"/>
        <family val="2"/>
      </rPr>
      <t xml:space="preserve">resident filing </t>
    </r>
    <r>
      <rPr>
        <sz val="10"/>
        <rFont val="Arial"/>
        <family val="2"/>
      </rPr>
      <t xml:space="preserve">refers to an application filed in the country by its own resident; whereas a non-resident filing refers to the one filed by a foreign applicant. An </t>
    </r>
    <r>
      <rPr>
        <b/>
        <sz val="10"/>
        <rFont val="Arial"/>
        <family val="2"/>
      </rPr>
      <t>abroad filing</t>
    </r>
    <r>
      <rPr>
        <sz val="10"/>
        <rFont val="Arial"/>
        <family val="2"/>
      </rPr>
      <t xml:space="preserve"> refers to an application filed by this country's resident at a foreign office. </t>
    </r>
  </si>
  <si>
    <t>WIPO statistics database</t>
  </si>
  <si>
    <t xml:space="preserve">The statistics are based on data collected from IP offices or extracted from the Worldwide Patent Statistical (PATSTAT) Database (for statistics by field of technology). Data might be missing for some years and offices or may be incomplete for some origins. Where an office provides total filings without breaking them down into resident and non-resident filings, WIPO divides the total count using the historical share of resident filings at that office. </t>
  </si>
  <si>
    <r>
      <t>Indicator</t>
    </r>
    <r>
      <rPr>
        <sz val="10"/>
        <rFont val="Arial"/>
        <family val="2"/>
      </rPr>
      <t xml:space="preserve">     </t>
    </r>
  </si>
  <si>
    <t>Housing needs</t>
  </si>
  <si>
    <r>
      <t>Category</t>
    </r>
    <r>
      <rPr>
        <sz val="10"/>
        <rFont val="Arial"/>
        <family val="2"/>
      </rPr>
      <t xml:space="preserve">     </t>
    </r>
  </si>
  <si>
    <t xml:space="preserve">Transforming Human Settlement </t>
  </si>
  <si>
    <r>
      <t>Meeting housing needs</t>
    </r>
    <r>
      <rPr>
        <sz val="10"/>
        <rFont val="Arial"/>
        <family val="2"/>
      </rPr>
      <t xml:space="preserve"> by creating sustainable human settlements </t>
    </r>
  </si>
  <si>
    <t>Number of households - Statistics South Africa</t>
  </si>
  <si>
    <t>Number of households (HH)</t>
  </si>
  <si>
    <t>HH in formal dwelling</t>
  </si>
  <si>
    <t>HH in formal dwelling as a % of total HH</t>
  </si>
  <si>
    <t>Tenure status for households living in formal dwellings</t>
  </si>
  <si>
    <t>Fully Owned</t>
  </si>
  <si>
    <t>Partially Owned</t>
  </si>
  <si>
    <t>Renting</t>
  </si>
  <si>
    <t>HH not in formal dwelling</t>
  </si>
  <si>
    <t xml:space="preserve">HH in traditional structures </t>
  </si>
  <si>
    <t>Subsidised Housing - Department of Human Settlements</t>
  </si>
  <si>
    <t xml:space="preserve">2003/04  </t>
  </si>
  <si>
    <t>Beneficiaries</t>
  </si>
  <si>
    <t>Subsidised Houses completed (cumulative)</t>
  </si>
  <si>
    <t>Houses completed</t>
  </si>
  <si>
    <t>Serviced sites (cumulative)</t>
  </si>
  <si>
    <t>Serviced sites completed</t>
  </si>
  <si>
    <t>Subsidised Housing by province - Department of Human Settlements Serviced Sites Completed</t>
  </si>
  <si>
    <t>Subsidised Housing by province - Department of Human Settlements - Units Completed</t>
  </si>
  <si>
    <t>Numbers, Percentage</t>
  </si>
  <si>
    <t xml:space="preserve">Formal dwelling refers to a structure built according to approved plans, i,e, house on a separate stand, flat or apartment, townhouse, room in backyard, rooms or flatlet elsewhere, Contrasted with informal dwelling and traditional dwelling, Informal dwelling is a makeshift structure not erected according to approved architectural plans, for example shacks or shanties in informal settlements or in backyards,
Beneficiaries refers to the number of beneficiaries in respect of whom subsidies have been approved for the relevent period,                                                                                                                                                                                                               
Serviced sites completed: Refers to sites (erven) in a formal township (with a township register) where occupants will have secure tenure and possibly ownership of the erf (stand),serviced sites are delivered on a project level in conjunction with township proclamation processes, where applicable, For the stand to be deemed a serviced site, the minimum level of engineering service are a metered water connection to each stand, road access for each stand, a VIP toilet or higher sanitation service for each stand and storm-water management systems for the development area,                                                                                                                                                                                                                                                                                                                                                    Houses/Units completed: Refers to separate houses and residential units (top structures) developed across any of the housing programmes whether built as separate houses or as units in multi-floor structures, including affordable rental and Community Residential Units (CRU), This excludes units re-built in the Rectification Programme, 
                                                                                    </t>
  </si>
  <si>
    <t>(Table 1) Household figures are based on Stats SA’s GHS 2002-2021.
(Table 2) Housing Subsidy System (HSS), National Department of Human Settlements.</t>
  </si>
  <si>
    <t xml:space="preserve">Housing delivery in the first five years of democracy varied greatly from year to year and from province to province as different systems of reporting and monitoring had to be unified,The difference in household figures is due to the different methodologies used by the departments where data is sourced vis a vis the various surveys conducted by Statistics SA,  
Data reported for beneficiaries  is a cumulative figure from 1994/95                                                                                                                                                                                                                                                              </t>
  </si>
  <si>
    <t>Potable water</t>
  </si>
  <si>
    <t xml:space="preserve">Table 1 </t>
  </si>
  <si>
    <t>Percentage of households with access to piped water by province</t>
  </si>
  <si>
    <t>Northen Cape</t>
  </si>
  <si>
    <t>Westen Cape</t>
  </si>
  <si>
    <t xml:space="preserve">Table 2 </t>
  </si>
  <si>
    <t>Number of households with access to piped water by province</t>
  </si>
  <si>
    <t>Households with access to potable water</t>
  </si>
  <si>
    <t>Numbers, percentage</t>
  </si>
  <si>
    <t>Piped water is water inside the household’s own dwelling or in their yard, water from a neighbour’s tap or a public tap that is not on site.</t>
  </si>
  <si>
    <t>Household figures and calculations are based on Stats SA's GHS 2002-2021.</t>
  </si>
  <si>
    <t>Data source for basic services data was changed from Department of Water Affairs to Stats SA's GHS.</t>
  </si>
  <si>
    <t>Percentage of households with access to piped water</t>
  </si>
  <si>
    <t>Sanitation</t>
  </si>
  <si>
    <t>By 2030, achieve access to adequate and equitable sanitation and hygiene for all and end open defecation, paying special attention to the needs of women and girls and those in vulnerable situations (SDG 6)</t>
  </si>
  <si>
    <t>Percentage of households with access to improved sanitation facilities by province</t>
  </si>
  <si>
    <t>Number of  households with access to improved sanitation facilities by province</t>
  </si>
  <si>
    <t xml:space="preserve">Table 3 </t>
  </si>
  <si>
    <t>Number of  households using bucket toilet system by province</t>
  </si>
  <si>
    <t xml:space="preserve">Households with with access to improved sanitation facilities 
</t>
  </si>
  <si>
    <t xml:space="preserve">The population using safely managed sanitation services, including a hand-washing facility with soap and water; is currently being measured by the proportion of the population using an improved basic sanitation facility at the household level, which is not shared with other households and where excreta are safely disposed in situ or treated off-site. ‘Improved’ sanitation facilities include flush or pour flush toilets to sewer systems, septic tanks or pit latrines, ventilated improved pit latrines, pit latrines with a slab, and composting toilets. </t>
  </si>
  <si>
    <t>Stats SA's GHS 2002-2021.</t>
  </si>
  <si>
    <t xml:space="preserve">Percentage of households with access to improved sanitation facilities </t>
  </si>
  <si>
    <t>Proportion of households with access to electricity</t>
  </si>
  <si>
    <t xml:space="preserve">The proportion of people with access to the electricity grid should increase to 90 percent by 2030, with balance met through off-grid technologies (NDP 2030) </t>
  </si>
  <si>
    <t xml:space="preserve"> Households with access to electricity</t>
  </si>
  <si>
    <t>Total number of households</t>
  </si>
  <si>
    <t>HH with access to electricity</t>
  </si>
  <si>
    <t>Percentage of household with access to grid electricity</t>
  </si>
  <si>
    <t>HH with no access to electricity</t>
  </si>
  <si>
    <t>Number of households with grid elecricity by Province,2002-2020</t>
  </si>
  <si>
    <t>Department of Mineral Resources and Energy's data on grid electrical connections</t>
  </si>
  <si>
    <t>New electrical connections</t>
  </si>
  <si>
    <t>New electrical connections(cumulative)</t>
  </si>
  <si>
    <t>Department of Mineral Resources and Energy's data on off-grid technologies connections</t>
  </si>
  <si>
    <t>Households with access to grid electricity</t>
  </si>
  <si>
    <t>Table 1 &amp; 2: Date stamp - end of March each year, cumulative numbers</t>
  </si>
  <si>
    <t>Number, Percentage</t>
  </si>
  <si>
    <t>Number of households connected to grid electricity through Eskom and municipalities.</t>
  </si>
  <si>
    <t>(Table 1) Household figures and calculations are based on Stats SA’s data GHS 2002-2020
(Table 2) Department of Energy.</t>
  </si>
  <si>
    <t>Cumulative figures calculated by adding figure for previous year to current figure. Household figures based on Department of Mineral Resources and Energy's projection using census data. Additional data disaggregated by province is available in the Excel version on the DPME website: www.thepresidency-dpme.gov.za. Data source for basic services data was changed from Department of Mineral Resources and Energy to Stats SA's GHS.</t>
  </si>
  <si>
    <t>Land restitution</t>
  </si>
  <si>
    <t>Assets</t>
  </si>
  <si>
    <t xml:space="preserve">To provide equitable redress to victims of racially motivated land dispossession, in line with the provisions of the Restitution of 1994 Land Rights Act, as amended </t>
  </si>
  <si>
    <t>Trend Analysis</t>
  </si>
  <si>
    <t>Land restitution cumulatives trends</t>
  </si>
  <si>
    <t xml:space="preserve">Cumulative Settled claims </t>
  </si>
  <si>
    <t>Cumulative Finalised claims</t>
  </si>
  <si>
    <t>Table  2</t>
  </si>
  <si>
    <t>Provincial breakdown of cumulative statistics on settled restitution claims 1995-2021/22</t>
  </si>
  <si>
    <t xml:space="preserve">GRANTS IN RANDS </t>
  </si>
  <si>
    <t>Claims</t>
  </si>
  <si>
    <t>Households</t>
  </si>
  <si>
    <t>Hectares (Ha)</t>
  </si>
  <si>
    <t>Land Cost</t>
  </si>
  <si>
    <t>Financial Compensation</t>
  </si>
  <si>
    <t xml:space="preserve">Development </t>
  </si>
  <si>
    <t>RDG</t>
  </si>
  <si>
    <t>SPG</t>
  </si>
  <si>
    <t>RSG</t>
  </si>
  <si>
    <t>TOTAL</t>
  </si>
  <si>
    <t>Cumulative numbers</t>
  </si>
  <si>
    <t xml:space="preserve">Settled claims are claims that have been resolved with an approved signed section submission or land claims court order, implementation thereof is still ongoing.
Finalised / Settled claims are claims that have been brought to completion with the transfer of land/funds to the relevant beneficiaries’ i.e. all actions pertaining to a specific claim have been dealt with; Number of land restitution claims settled. 
Development grant is where claimants have opted to become part of a housing development building of clinic or an electrification project or any infrastructure development.
Financial Compensation - where claimants have opted for monetary compensation and not restoration of original or alternative land. 
</t>
  </si>
  <si>
    <t xml:space="preserve">Department of Agriculture, Land Reform and Rural Development. Office of the Chief Land Claims Commissioner </t>
  </si>
  <si>
    <t xml:space="preserve">Statistics compiled on the information reflected in the Database of Settled Restitution claims. The database is on an ongoing basis subjected to internal audit. 
The Commission started to keep official statistics on finalised claims from 2011 and therefore can only report on the claims finalised from the 2010/2011 financial year onwards.
The Restitution Discretionary Grant was set at a maximum of R3 000 per restitution claimant household where the original land is to be restored or where compensatory land is to be granted.
The Settlement Planning Grant (SPG) was set at maximum of R1 440 per restitution claimant household to be used to enlist the services of planners and other professionals. 
The Restitution Settlement Grant was set at a maximum of R6 595 per restitution claimant household and it was introducted in 2007/08 to replace the Restitution Discretionary Grant and the Settlement Planning Grant. 
</t>
  </si>
  <si>
    <t>Promote equitable land redistribution and agricultural development by acquiring strategically located land by 2030 (NDP)</t>
  </si>
  <si>
    <t>Land redistribution-hectares delivered</t>
  </si>
  <si>
    <t>2000
(Jan-Mar)</t>
  </si>
  <si>
    <t>Annual Target</t>
  </si>
  <si>
    <t>23 973 (Revised Target: 16 473)</t>
  </si>
  <si>
    <t>Distributed hectares per year</t>
  </si>
  <si>
    <t>Cumulative</t>
  </si>
  <si>
    <t>Land redistribution-hectares delivered by province</t>
  </si>
  <si>
    <t xml:space="preserve">Hectares </t>
  </si>
  <si>
    <t>Hectares of land redistributed to previously disadvantaged individuals</t>
  </si>
  <si>
    <t>Department of Agriculture, Land Reform and Rural Development Annual reports</t>
  </si>
  <si>
    <t xml:space="preserve">Food Poverty Line </t>
  </si>
  <si>
    <t>Social Preotection, Poverty and Inequality</t>
  </si>
  <si>
    <t xml:space="preserve">Eliminate Hunger </t>
  </si>
  <si>
    <t xml:space="preserve">People Leaving Below Food Poverty Line </t>
  </si>
  <si>
    <t>African</t>
  </si>
  <si>
    <t>White</t>
  </si>
  <si>
    <t xml:space="preserve">Coloured </t>
  </si>
  <si>
    <t>Asian</t>
  </si>
  <si>
    <t xml:space="preserve">Number of People leaving below food poverty line </t>
  </si>
  <si>
    <t xml:space="preserve">Percentage of the Population leaving below food poverty line </t>
  </si>
  <si>
    <t>Percentage of the Population Living Below Food Poverty Line per Province</t>
  </si>
  <si>
    <t xml:space="preserve">Province </t>
  </si>
  <si>
    <t>North-West</t>
  </si>
  <si>
    <t>Number,Percentage.</t>
  </si>
  <si>
    <t xml:space="preserve">Food poverty line is defined by StatsSA as the level of consumption below which individuals are unable to purchase sufficient food to provide them with an adequate diet.Those below this line are either consuming insufficient calories for their nourishment, or must change their consumption patterns from those preferred by low income households. Food poverty line in 2020 was R624 per person per month.  </t>
  </si>
  <si>
    <t>StatsSA, IHS Markit Regional eXplorer version 2175</t>
  </si>
  <si>
    <t>Notes on calculation</t>
  </si>
  <si>
    <t xml:space="preserve">The ReX Poverty Model is estimated primarily from the outputs of three interlinked models; the income, household and demographic models -  Income is used only for the purposes of spatially distributing poverty. The household and population outputs are used for driving the conversion from households to individuals. This component is at the heart of the poverty model, taking into account average household size, racial breakdown and income distribution of each region which - along with additional data from the StatsSA income surveys - is used to convert households by income category into individuals by income category. </t>
  </si>
  <si>
    <t>Social-assistance support</t>
  </si>
  <si>
    <t xml:space="preserve">Improve access to social secutiy including social-assistance </t>
  </si>
  <si>
    <t>Social assistance grants recipients</t>
  </si>
  <si>
    <t>Grant type</t>
  </si>
  <si>
    <t>Old Age Grant</t>
  </si>
  <si>
    <t>3 774 604</t>
  </si>
  <si>
    <t>War Veterans Grant</t>
  </si>
  <si>
    <t>Disability Grant</t>
  </si>
  <si>
    <t>1 004 798</t>
  </si>
  <si>
    <t>Grant in Aid</t>
  </si>
  <si>
    <t>Foster Child Grant</t>
  </si>
  <si>
    <t>Child Dependency Grant</t>
  </si>
  <si>
    <t>Child Support Grant</t>
  </si>
  <si>
    <t>13 166 342</t>
  </si>
  <si>
    <t xml:space="preserve">Total </t>
  </si>
  <si>
    <t>Growth Rate</t>
  </si>
  <si>
    <t>Social assistance grants recipients per province, 31 March 2012</t>
  </si>
  <si>
    <t>Social assistance grants recipients per province, 31 March 2013</t>
  </si>
  <si>
    <t>Social assistance grants recipients per province, 31 March 2014</t>
  </si>
  <si>
    <t>Social assistance grants recipients per province, 31 March 2015</t>
  </si>
  <si>
    <t>Social grants per province, 31 March 2016</t>
  </si>
  <si>
    <t>Social grants per province, 31 March 2017</t>
  </si>
  <si>
    <t>Social grants per province, 31 March 2018</t>
  </si>
  <si>
    <t>Social grants per province, 31 March 2019</t>
  </si>
  <si>
    <t>Social grants per province, 31 March 2020</t>
  </si>
  <si>
    <t>Social grants per province, 31 March 2021</t>
  </si>
  <si>
    <t>Mpuma-langa</t>
  </si>
  <si>
    <t>Old age</t>
  </si>
  <si>
    <t>War Veteran</t>
  </si>
  <si>
    <t>Permanent disability</t>
  </si>
  <si>
    <t>Temporary disability</t>
  </si>
  <si>
    <t>Grant-in-aid</t>
  </si>
  <si>
    <t>Total 2006/07</t>
  </si>
  <si>
    <t>Total 2007/08</t>
  </si>
  <si>
    <t>Total 2008/09</t>
  </si>
  <si>
    <t>Total 2009/10</t>
  </si>
  <si>
    <t>Total 2010/11</t>
  </si>
  <si>
    <t>Total 2011/12</t>
  </si>
  <si>
    <t>Total 2012/13</t>
  </si>
  <si>
    <t>Total 2013/14</t>
  </si>
  <si>
    <t>Total 2014/15</t>
  </si>
  <si>
    <t>Total 2015/16</t>
  </si>
  <si>
    <t>Total 2016/17</t>
  </si>
  <si>
    <t>Total 2017/18</t>
  </si>
  <si>
    <t>Total 2018/19</t>
  </si>
  <si>
    <t>Total 2019/20</t>
  </si>
  <si>
    <t>Total 2020/21</t>
  </si>
  <si>
    <t>Social assistance grant expenditure</t>
  </si>
  <si>
    <t xml:space="preserve">
2013/14 </t>
  </si>
  <si>
    <t xml:space="preserve">
2014/15</t>
  </si>
  <si>
    <t xml:space="preserve">
2015/16</t>
  </si>
  <si>
    <t>Expenditure (R million)</t>
  </si>
  <si>
    <t>Number of recipients, Rand in million, Percentage of GDP</t>
  </si>
  <si>
    <t>Total number of recipients of social-assistance grants as recorded for each financial year.</t>
  </si>
  <si>
    <t>The total figures do not include Grant-in-Aid it is an additional type of grant awarded to persons who might already be receiving other forms of grants such as Old age grants, Disability or War veteran's grants as a result of being unable to care for themselves. Grant-in-Aid may create duplicates in terms of head counts. Disability Grant Total consists of Temporary Disability Grant (which is a  disability grant that is awarded  for a period no less than 6 months and not more than 12 months) and Permanent disability grant (which is a disability grant that is awarded for a period longer than 12 months). Additional data disaggregated by province available on the Excel version on the DPME website: www.thepresidency-dpme.gov.za</t>
  </si>
  <si>
    <t>People with disabilities</t>
  </si>
  <si>
    <t xml:space="preserve">Social Assistance Support </t>
  </si>
  <si>
    <t>To implement inclusive education and mainstreaming disability in South Africa</t>
  </si>
  <si>
    <t xml:space="preserve"> Statistics South Africa data on people with diabilities</t>
  </si>
  <si>
    <t>Census 1996</t>
  </si>
  <si>
    <t>Census 2001</t>
  </si>
  <si>
    <t>Community Survey 2007</t>
  </si>
  <si>
    <t>Census 2011</t>
  </si>
  <si>
    <t>% of total population</t>
  </si>
  <si>
    <t>SASSA data on Disability Grant Beneficiaries</t>
  </si>
  <si>
    <t>1996/07</t>
  </si>
  <si>
    <t>1997/08</t>
  </si>
  <si>
    <t>1998/09</t>
  </si>
  <si>
    <t>2007/08*</t>
  </si>
  <si>
    <t>Number of Care Dependency Grant Beneficiaries</t>
  </si>
  <si>
    <t>Number of Disability Grant Beneficiaries</t>
  </si>
  <si>
    <t>Total Number of Disabled Beneficiaries</t>
  </si>
  <si>
    <t>Disability grant beneficiaries as a % of total social grant beneficiaries</t>
  </si>
  <si>
    <t>Total social grant beneficiaries</t>
  </si>
  <si>
    <t>Department of Education data on Special Schools  Matric Pass Rate</t>
  </si>
  <si>
    <t>In special schools</t>
  </si>
  <si>
    <t>Number of Learners who wrote Matric in Special Schools</t>
  </si>
  <si>
    <t>Number of Learners who passed without endorsement</t>
  </si>
  <si>
    <t>Learners who received a Conditional Pass</t>
  </si>
  <si>
    <t>Learners Passed with Endorsement</t>
  </si>
  <si>
    <t>Total Pass</t>
  </si>
  <si>
    <t>Pass rate</t>
  </si>
  <si>
    <t>Department of Labour data on Employees with disabilities</t>
  </si>
  <si>
    <t>Top Management</t>
  </si>
  <si>
    <t>Senior Management</t>
  </si>
  <si>
    <t>Number of disabled population, Percentage</t>
  </si>
  <si>
    <t>Grants include Disability grant, Old age grant, War veteran grant, Care Dep, Child support, Foster care grant and does not include Grant-in-aid. The current definition of disability is "the loss or elimination of opportunities to take part in the life of the community, equitably with others that is encountered by persons having physical, sensory, psychological, developmental, learning, neurological or other impairments, which may be permanent, temporary or episodic in nature, thereby causing activity limitations and participation restriction with the mainstream society. These barriers may be due to economic, physical, social, attitudinal and/or cultural factors".</t>
  </si>
  <si>
    <r>
      <t xml:space="preserve">Table 1: Statistics South Africa, Census 1996,2001, 2011; Community Survey 2007
Table 2: South African Social Security Agency(SASSA)
Table 3: Department of Basic Education: National Senior Certificate, 2015 technical report. </t>
    </r>
    <r>
      <rPr>
        <sz val="10"/>
        <color indexed="10"/>
        <rFont val="Arial"/>
        <family val="2"/>
      </rPr>
      <t xml:space="preserve">
</t>
    </r>
    <r>
      <rPr>
        <sz val="10"/>
        <rFont val="Arial"/>
        <family val="2"/>
      </rPr>
      <t>Table 4: Department of Labour, Commission for Employment Equity(CEE) annual report verious</t>
    </r>
  </si>
  <si>
    <t>The current definition of disability is "the loss or elimination of opportunities to take part in the life of the community, equitably with others that is encountered by persons having physical, sensory, phsycological, developmental, learning, neurological or other impairments, which may be permanent, temporary or episodic in nature, thereby causing activity limitations and participation restriction with the mainstream society. These barriers may be due to economic, physical, social, attitudinal and/or cultural factors"
Census 2011 has approached the asking of question on diability in a different manner. The traditional question of " Do you have any serious disablity that prevents your full participation in life activities?" The term difficulty instead of difficulty seemed to be more acceptable among people with impairments, as a result of changes in approach the 2011 Census cannot be comparable with other Censuses. Additional data on number of people with disabilities as well as number of employees with disabilities available on the Excel version on the DPME website: www.dpme.gov.za</t>
  </si>
  <si>
    <t>Life Expectancy (LE)</t>
  </si>
  <si>
    <t>Health</t>
  </si>
  <si>
    <t>A long and healthy life for all South Africans</t>
  </si>
  <si>
    <t>Target</t>
  </si>
  <si>
    <t xml:space="preserve">NDP 2030 target: Average male and female life expectancy at birth increased to 70 years </t>
  </si>
  <si>
    <t>Life Expectancy</t>
  </si>
  <si>
    <t>LE male  StatsSA</t>
  </si>
  <si>
    <t>LE female  StatsSA</t>
  </si>
  <si>
    <t>LE combined  StatsSA</t>
  </si>
  <si>
    <t>LE male RMS</t>
  </si>
  <si>
    <t>LE female RMS</t>
  </si>
  <si>
    <t>LE combined  RMS</t>
  </si>
  <si>
    <t>Average LE for 2001-2005, 2006-2010, 2011-2015,2016-2021 periods by province</t>
  </si>
  <si>
    <t>male</t>
  </si>
  <si>
    <t>female</t>
  </si>
  <si>
    <t>2001-2006</t>
  </si>
  <si>
    <t>2006-2011</t>
  </si>
  <si>
    <t>2011-2016</t>
  </si>
  <si>
    <t>2016-2021</t>
  </si>
  <si>
    <t>Index</t>
  </si>
  <si>
    <t>Life expectancy at birth: The number of years a new-born infant would live if prevailing patterns of age-specific mortality rates at the time of birth were to stay the same throughout the child's life</t>
  </si>
  <si>
    <t>1,2,3) Life Expectancy Statistics South Africa - Mid Year Population Estimates 2021</t>
  </si>
  <si>
    <t>4,5,6) Rapid Mortality Surveillance (RMS) Report 2015, 2016,2017 and 2018.</t>
  </si>
  <si>
    <t>Infant Mortality Rate and Under-five Mortality Rate</t>
  </si>
  <si>
    <t>NDP 2030 goal: Reduce under-five mortality from 56 to below 30 per 1 000 live births
                      : Reduce infant mortality from 43 to below 20 per 1 000 live births</t>
  </si>
  <si>
    <t>Infant (under one year) and under 5 deaths per 1000 live births</t>
  </si>
  <si>
    <t xml:space="preserve"> Stats SA estimates</t>
  </si>
  <si>
    <t>Infant mortality rate (IMR)</t>
  </si>
  <si>
    <t>Under 5 mortality</t>
  </si>
  <si>
    <t xml:space="preserve">Health Systems Trust </t>
  </si>
  <si>
    <t>Infant mortality (under one year)</t>
  </si>
  <si>
    <t>Child mortality (under five years)</t>
  </si>
  <si>
    <t>Medical Research Council</t>
  </si>
  <si>
    <t>Dept of Health</t>
  </si>
  <si>
    <t xml:space="preserve">RMS </t>
  </si>
  <si>
    <t>SADHS</t>
  </si>
  <si>
    <t>Infant Mortality Rate (IMR) refers to the number of children younger than one-year-old who die in a year per 1 000 live births during that year. Under-five Mortality Rate (U5MR) refers to the number of children under five years who die per 1 000 live births during that year.</t>
  </si>
  <si>
    <t>Note that Statistics South Africa applies the country-specific UN Model Life table for South Africa in Spectrum</t>
  </si>
  <si>
    <t>Under 5 mortality rate (U5MR)</t>
  </si>
  <si>
    <t>Severe acute malnutrition under five years</t>
  </si>
  <si>
    <t xml:space="preserve">Target </t>
  </si>
  <si>
    <t xml:space="preserve">To reduce infant and under-five child morbidity and mortality </t>
  </si>
  <si>
    <t>Severe acute Malnutrition under Five years - new ambulatory</t>
  </si>
  <si>
    <t>number</t>
  </si>
  <si>
    <t>66 813</t>
  </si>
  <si>
    <t>70 276</t>
  </si>
  <si>
    <t>61 710</t>
  </si>
  <si>
    <t>39 684</t>
  </si>
  <si>
    <t>32 242</t>
  </si>
  <si>
    <t>29 005</t>
  </si>
  <si>
    <t>27 062</t>
  </si>
  <si>
    <t>27 042</t>
  </si>
  <si>
    <t>27 988</t>
  </si>
  <si>
    <t>24 955</t>
  </si>
  <si>
    <t>23 428</t>
  </si>
  <si>
    <t>20 729</t>
  </si>
  <si>
    <t>22 265</t>
  </si>
  <si>
    <t>25 235</t>
  </si>
  <si>
    <t>23 540</t>
  </si>
  <si>
    <t>21 123</t>
  </si>
  <si>
    <t>12 539</t>
  </si>
  <si>
    <t>13 005</t>
  </si>
  <si>
    <t xml:space="preserve"> age 6-71 months</t>
  </si>
  <si>
    <t>age 1-9 years</t>
  </si>
  <si>
    <t xml:space="preserve"> age 12-71 months</t>
  </si>
  <si>
    <t xml:space="preserve"> under 5 years</t>
  </si>
  <si>
    <t xml:space="preserve"> age 1-9 years</t>
  </si>
  <si>
    <t xml:space="preserve"> NYRBS</t>
  </si>
  <si>
    <t>NYRBS Grade 11</t>
  </si>
  <si>
    <t xml:space="preserve"> NYRBS Grade 8</t>
  </si>
  <si>
    <t xml:space="preserve"> NYRBS female</t>
  </si>
  <si>
    <t xml:space="preserve"> NYRBS male</t>
  </si>
  <si>
    <t xml:space="preserve"> under 15 years</t>
  </si>
  <si>
    <t xml:space="preserve">Malnutrition under five years old </t>
  </si>
  <si>
    <t>HAZ&lt;= -3</t>
  </si>
  <si>
    <t>HAZ&lt;=-2</t>
  </si>
  <si>
    <t>HAZ&lt;=-1</t>
  </si>
  <si>
    <t>WAZ&lt;=-3</t>
  </si>
  <si>
    <t>WAZ&lt;=-2</t>
  </si>
  <si>
    <t>WAZ&lt;=-1</t>
  </si>
  <si>
    <t>WHZ&lt;=-3</t>
  </si>
  <si>
    <t>WHZ&lt;=-2</t>
  </si>
  <si>
    <t>WHZ&lt;=-1</t>
  </si>
  <si>
    <t>na</t>
  </si>
  <si>
    <r>
      <t xml:space="preserve">Severe acute malnutrition is defined by a very low weight for height (below -3z scores of the median WHO growth standards), by visible serve wasting, or by the presence of nutritional oedema. </t>
    </r>
    <r>
      <rPr>
        <sz val="10"/>
        <color theme="0"/>
        <rFont val="Arial"/>
        <family val="2"/>
      </rPr>
      <t>New ambulatory
Z score Height-for-age (HAZ): HAZ&lt;= -3 = severely stunted; HAZ&lt;=-2 = stunted
Z score Weight-for-age (WAZ): WAZ&lt;=-3 = severely underweight; WAZ&lt;=-2 = underweight
Z score Weight-for Height (WHZ): WHZ&lt;=-3 = severely wasted; WHZ&lt;=-2 = wasted                                                                                                                                                                                         Stunting: Proportion of children with height for age under 2 standard deviations from the norm (reference population median).</t>
    </r>
    <r>
      <rPr>
        <sz val="10"/>
        <rFont val="Arial"/>
        <family val="2"/>
      </rPr>
      <t xml:space="preserve">
</t>
    </r>
  </si>
  <si>
    <r>
      <t xml:space="preserve">National Department of Health: District Health Information System (DHIS)
Statistics South Africa: South Africa Demographic and Health Survey: Key Indicator Report 2016
</t>
    </r>
    <r>
      <rPr>
        <sz val="10"/>
        <color theme="0"/>
        <rFont val="Arial"/>
        <family val="2"/>
      </rPr>
      <t>2)  Labadarios D, editor. The National Food Consumption Survey (NFCS): Children aged 1-9 years, South Africa, 1999. Pretoria: National Department of Health; 2010.
3)Labadarios D, Swart R, Maunder EMW, Kruger HS, Gericke GJ, Kuzwayo PMN, Ntsie PR, Steyn NP, Schloss I, Dhansay MA, Jooste PL, Dannhauser A , Nel JH, Molefe D, Kotze TJvW. The National Food Consumption Survey- Fortifi cation Baseline (NFCS-FB-I): South Africa, 2005. Directorate: Nutrition, Department of Health. Pretoria. 2007 
4) Labadarios D. (editor), Steyn NP, Mauner E, MacIntyre U, Swart R, Gericke G, Huskisson J, Dannhauser A, Vorster HH, Nesamvuni AE.  The National Food Consumption Survey (NFCS): children aged 1-9 years, South Africa, 1999. Pretoria: Department of Health, 2000. www.sahealthinfo.org/nutrition/nfcs/chapter4. Accessed December 7, 2005
5) Labadarios, D., Van Middelkoop, A. (Eds.). 1995. The South African Vitamin A Consultative Group (SAVACG). Children aged 6 to 71 months in South Africa, 1994: Their anthropometric, vitamin A, iron and immunisation coverage status. Isando: SAVACG
6)  Labadarios D, editor. The National Food Consumption Survey (NFCS): Children aged 1-9 years, South Africa, 1999. Pretoria: National Department of Health; 2010.</t>
    </r>
    <r>
      <rPr>
        <sz val="10"/>
        <rFont val="Arial"/>
        <family val="2"/>
      </rPr>
      <t xml:space="preserve">
</t>
    </r>
  </si>
  <si>
    <t>The underweight for age rate is all children that are underweight for age per 1000 children in the target population. A child is underweight for age if below the third centile but equal to or over 60% of Estimated Weight for Age (EWA) on the Road-to-Health chart (below 60% is severe malnutrition). Note that 'Not gaining weight under 5 years' is a more sensitive indicator of nutrition problems. On the Road-to-health card the most important issue to track is whether the child is increasing in weight. Children occupy the full spectrum of weights and if a child on the fiftieth percentile is not gaining weight this is as important for that child as for a child on the fifth percentile that also loses weight. The child on the fiftieth percentile has to go a lot further to reach the third percentile but all along the way the child is at increased risk of disease and infection.  Thus ‘Not gaining weight under 5 years’ allows early detection and intervention before the child become underweight or severely malnourished.</t>
  </si>
  <si>
    <t xml:space="preserve">Immunisation coverage </t>
  </si>
  <si>
    <r>
      <t xml:space="preserve">NDP 2030 goal: Reduce maternal, infant and child mortality </t>
    </r>
    <r>
      <rPr>
        <sz val="10"/>
        <color rgb="FFFF0000"/>
        <rFont val="Arial"/>
        <family val="2"/>
      </rPr>
      <t xml:space="preserve"> </t>
    </r>
  </si>
  <si>
    <t>Immunisation Coverage</t>
  </si>
  <si>
    <t>Immunisation coverage per province</t>
  </si>
  <si>
    <t>Percentage of children under one year who received all their primary vaccines for tuberculosis (TB), diphtheria, whooping cough, tetanus, polio, measles, hepatitis B and haemophilus influenzae</t>
  </si>
  <si>
    <t xml:space="preserve">Department of Health's District Health Information System (DHIS) </t>
  </si>
  <si>
    <t>Maternal Mortality Ratio (MMR)</t>
  </si>
  <si>
    <t>NDP 2030 goal: Reduce maternal, infant and child mortality</t>
  </si>
  <si>
    <t>Maternal Deaths / 100 000 live births</t>
  </si>
  <si>
    <t>*Provide a report that can be referenced and quote</t>
  </si>
  <si>
    <t>StatsSA</t>
  </si>
  <si>
    <t>RMS</t>
  </si>
  <si>
    <t>Table 2  iMMR in South Africa</t>
  </si>
  <si>
    <t>122.9</t>
  </si>
  <si>
    <t>Ratio</t>
  </si>
  <si>
    <t xml:space="preserve">Maternal Mortality Ratio (MMR) is the number of deaths per 100 000 live births. It represents the risk of death associated with pregnancy. Deaths of women while pregnant or within 42 days of termination of pregnancy from any cause related to or aggravated by the pregnancy or its management, but not from accidental or incidental causes. 
Institutional Maternal Mortality rate - </t>
  </si>
  <si>
    <t>1) Statistics SA's calculations based on civil registration and vital statistics system (CRVS) in the Country's SDG Report
2) Rapid Mortality Surveillance (RMS) Report 2012, 2015, 2016, 2017 and 2018.
3) Draft Saving Mothers and Babies 2019: Annual Report 2019</t>
  </si>
  <si>
    <t>Following a maternal death in a hospital, it is standard requirement that the department of health is notified. The Department of Health’s MMR calculation uses the reports that are completed in this process which are analysed by the National Committee of Confidential Enquiry into Maternal Death. The change of RMS report from the previous report is due to a change in estimates of the number of births based on more recent data. NCCEMD figures for 2017 in Gauteng were adjusted.</t>
  </si>
  <si>
    <t>https://bhekisisa.org/article/2018-03-28-00-maternal-mortality-ratio-south-africa-decreased-by-29</t>
  </si>
  <si>
    <t>HIV prevalence</t>
  </si>
  <si>
    <t>A long and healthy life for all South Africans.</t>
  </si>
  <si>
    <t>Total HIV prevalence</t>
  </si>
  <si>
    <t>Youth 15-24</t>
  </si>
  <si>
    <t>Adult women 15-49</t>
  </si>
  <si>
    <t>All adults 15-49</t>
  </si>
  <si>
    <t xml:space="preserve">Total Population </t>
  </si>
  <si>
    <t>Incidence 15-49</t>
  </si>
  <si>
    <t>HIV Incidence</t>
  </si>
  <si>
    <t>Mother to child transmissions</t>
  </si>
  <si>
    <t>Infant HIV - exposure prevelence</t>
  </si>
  <si>
    <t>National perinatal transmission rate (MTCT)</t>
  </si>
  <si>
    <t>Population</t>
  </si>
  <si>
    <t xml:space="preserve">Total HIV positive </t>
  </si>
  <si>
    <t>The evaluation of the effectiveneess of the national PMTCT programme to reduce perinatal transmission of HIV from mother to infants measured at 4 to 8 weeks after infant birth. Additional data disaggregated by province and by age is available in the Excel version on the DPME website: www.thepresidency-dpme.gov.za</t>
  </si>
  <si>
    <t>HIV prevalence is the percentage of people that are HIV positive in the population out of the total population at a given point in time.</t>
  </si>
  <si>
    <t>Statistics SA's Mid-year population estimates, 2021</t>
  </si>
  <si>
    <t>Adult women 20-64</t>
  </si>
  <si>
    <t>Adult men 20-64</t>
  </si>
  <si>
    <t>All adults 20-64</t>
  </si>
  <si>
    <t>Total Female Population</t>
  </si>
  <si>
    <t xml:space="preserve">Total Male Population </t>
  </si>
  <si>
    <t>HSRC, South African National HIV Prevalence, Incidence, behavious and Communication Survey, 2008</t>
  </si>
  <si>
    <r>
      <t>Indicator</t>
    </r>
    <r>
      <rPr>
        <sz val="8"/>
        <rFont val="Arial"/>
        <family val="2"/>
      </rPr>
      <t xml:space="preserve">     </t>
    </r>
  </si>
  <si>
    <t>Antiretroviral Treatment (ART)</t>
  </si>
  <si>
    <r>
      <t>Category</t>
    </r>
    <r>
      <rPr>
        <sz val="8"/>
        <rFont val="Arial"/>
        <family val="2"/>
      </rPr>
      <t xml:space="preserve">     </t>
    </r>
  </si>
  <si>
    <t xml:space="preserve">NDP 2030 goal: Average male and female life expectancy at birth increases to 70 years. </t>
  </si>
  <si>
    <t>ART</t>
  </si>
  <si>
    <t>Total remaining on ART (Adult) * (December)</t>
  </si>
  <si>
    <t>Total remaining on ART (Child) (December)</t>
  </si>
  <si>
    <t>*Remaing on ART (All)</t>
  </si>
  <si>
    <t>Number, rate,</t>
  </si>
  <si>
    <t>Tuberculosis (TB)</t>
  </si>
  <si>
    <t xml:space="preserve">NDP 2030 goal: Progressively improve TB prevention and cure </t>
  </si>
  <si>
    <t>TB prevalence</t>
  </si>
  <si>
    <r>
      <t>2013</t>
    </r>
    <r>
      <rPr>
        <sz val="8"/>
        <color theme="1"/>
        <rFont val="Calibri"/>
        <family val="2"/>
      </rPr>
      <t> </t>
    </r>
  </si>
  <si>
    <r>
      <t>2014</t>
    </r>
    <r>
      <rPr>
        <sz val="8"/>
        <color theme="1"/>
        <rFont val="Calibri"/>
        <family val="2"/>
      </rPr>
      <t> </t>
    </r>
  </si>
  <si>
    <t>TB case notification</t>
  </si>
  <si>
    <t>Treatment Success rate (%)</t>
  </si>
  <si>
    <t>Loss to Follow-up rate</t>
  </si>
  <si>
    <t>Death rate</t>
  </si>
  <si>
    <t>Number, rate</t>
  </si>
  <si>
    <t xml:space="preserve">1) TB Case Notification- Number of TB cases all types reported to the Department of Health.
2) Successful Treatment Rate- Successful completion of treatment rate.
3) Loss to follow-up -  It measures the percentage of TB patients who interrupted treatment for two concecutive months or more.  
4) Death rate - The percentage of patients who died due to TB in a given time period
</t>
  </si>
  <si>
    <t>1,2,3,4) Department of Health: ETR.net</t>
  </si>
  <si>
    <t>Multidrug-resistant TB (MDR-TB)</t>
  </si>
  <si>
    <t>Estimated incidents of ss+ MDR cases</t>
  </si>
  <si>
    <t>Diagnosed and notified</t>
  </si>
  <si>
    <t>Registered for treatment</t>
  </si>
  <si>
    <t>(-%)</t>
  </si>
  <si>
    <t>-(-%)</t>
  </si>
  <si>
    <t>4552(56%)</t>
  </si>
  <si>
    <t>4933(54%)</t>
  </si>
  <si>
    <t>5402(73%)</t>
  </si>
  <si>
    <t>GLC</t>
  </si>
  <si>
    <t>non-GLC</t>
  </si>
  <si>
    <t>Malaria</t>
  </si>
  <si>
    <t>Eliminate Malaria (zero local malaria cases and deaths) by 2030 in the region</t>
  </si>
  <si>
    <t xml:space="preserve">Malaria </t>
  </si>
  <si>
    <t>Cases</t>
  </si>
  <si>
    <t>Deaths</t>
  </si>
  <si>
    <t>Fatality Rate</t>
  </si>
  <si>
    <t>Numbers, Rate</t>
  </si>
  <si>
    <t>Fatality rate: The number of reported deaths due to malaria divided by number of malaria reported cases multiplied by 100</t>
  </si>
  <si>
    <t xml:space="preserve">Department of Health's Malaria Notification System, https://worldhealthorg.shinyapps.io/tb_profiles/?_inputs_&amp;lan=%22EN%22 </t>
  </si>
  <si>
    <t>MALARIA CASES IN SOUTH AFRICA DURING 2008</t>
  </si>
  <si>
    <t>MONTH</t>
  </si>
  <si>
    <t>Jan</t>
  </si>
  <si>
    <t>Feb</t>
  </si>
  <si>
    <t>Mar</t>
  </si>
  <si>
    <t>Apr</t>
  </si>
  <si>
    <t>Jun</t>
  </si>
  <si>
    <t>Jul</t>
  </si>
  <si>
    <t>Aug</t>
  </si>
  <si>
    <t>Oct</t>
  </si>
  <si>
    <t>Dec</t>
  </si>
  <si>
    <t>CF***</t>
  </si>
  <si>
    <t>C</t>
  </si>
  <si>
    <t>Cases*</t>
  </si>
  <si>
    <t>Deaths**</t>
  </si>
  <si>
    <t>.</t>
  </si>
  <si>
    <t>MALARIA CASES IN SOUTH AFRICA DURING 2009</t>
  </si>
  <si>
    <t>MALARIA CASES IN SOUTH AFRICA DURING 2010</t>
  </si>
  <si>
    <t>MALARIA CASES IN SOUTH AFRICA DURING 2011</t>
  </si>
  <si>
    <t>MALARIA CASES IN SOUTH AFRICA DURING 2012</t>
  </si>
  <si>
    <t>Early childhood development</t>
  </si>
  <si>
    <t>Education</t>
  </si>
  <si>
    <t>All boys and girls have access to quality early childhood development by 2030</t>
  </si>
  <si>
    <t>Children attending ECD facilities</t>
  </si>
  <si>
    <t>0-4 year olds</t>
  </si>
  <si>
    <t>3-5 year olds</t>
  </si>
  <si>
    <t>5 year olds</t>
  </si>
  <si>
    <t xml:space="preserve">6 year olds </t>
  </si>
  <si>
    <t>Apparent intake rate</t>
  </si>
  <si>
    <t>Grade 1 who attended Grade R</t>
  </si>
  <si>
    <t>n/a</t>
  </si>
  <si>
    <t>3-5 year olds attending ECD facilities and Apparent intake rate for 2009 and 2010</t>
  </si>
  <si>
    <t>ECD attendance</t>
  </si>
  <si>
    <t>Apparent intake rate (AIR)</t>
  </si>
  <si>
    <t>1.57</t>
  </si>
  <si>
    <t>Notes: For 0-4 year-olds, it is percentage attending ECD programmes</t>
  </si>
  <si>
    <t>For 3-5 year-olds, I could not replicate the results of 2014-2019, so</t>
  </si>
  <si>
    <t>I provided new numbers; and it is percentage attending either ECD or school</t>
  </si>
  <si>
    <t>For 5-year-olds, it is percentage attending an educational institution</t>
  </si>
  <si>
    <t>For 6-year-olds, it is percentage attending an educational institution</t>
  </si>
  <si>
    <t xml:space="preserve">Early Childhood Development (ECD) programme comprises of a set of activities which are meant to provide stimulation and learning appropriate to children’s developmental needs, including children with a disability, chronic illness and other special needs. </t>
  </si>
  <si>
    <t>Department of basic education, calculations are based on Stats SA's General Household Survey (GHS)2019_Focus on Schooling.</t>
  </si>
  <si>
    <t xml:space="preserve">learner - educator  ratio in public ordinary schools </t>
  </si>
  <si>
    <t>To reduce learner-educator ratios in line with relevant international standards</t>
  </si>
  <si>
    <t>Learner: Educator Ratio in Public Ordinary Schools</t>
  </si>
  <si>
    <t>Educator</t>
  </si>
  <si>
    <t>Learners</t>
  </si>
  <si>
    <t>Learner: Educator Ratio</t>
  </si>
  <si>
    <t>Learner: Educator Ratio in Public Ordinary Schools by province (2015)</t>
  </si>
  <si>
    <t>Learner: Educator Ratio in Public Ordinary Schools by province (2016)</t>
  </si>
  <si>
    <t>Learner: Educator Ratio in Public Ordinary Schools by province (2017)</t>
  </si>
  <si>
    <t>Learner: Educator Ratio in Public Ordinary Schools by province (2018)</t>
  </si>
  <si>
    <t>Table 6</t>
  </si>
  <si>
    <t>Learner: Educator Ratio in Public Ordinary Schools by province (2019)</t>
  </si>
  <si>
    <t>As % of National Total</t>
  </si>
  <si>
    <t>Educators</t>
  </si>
  <si>
    <t>Schools</t>
  </si>
  <si>
    <t>National</t>
  </si>
  <si>
    <t>Table 5: Learner: Educator Ratio in Public Ordinary Schools by province (2020)</t>
  </si>
  <si>
    <t>Table 5: Learner: Educator Ratio in Public Ordinary Schools by province (2021)</t>
  </si>
  <si>
    <t xml:space="preserve">The average number of learners per teacher in a given school year based on headcounts for both learners and teachers in public ordinary schools and independent schools( collectively reffered to as ordinary schools) that are subsidised by the Department of Basic Education (DBE).  The number of teachers includes both those that are paid by DBE and SGBs.  </t>
  </si>
  <si>
    <t>1999 data from Department of Education (DoE) (undated) Education Statistics 1999 at a Glance; February 2000 data from DoE Statistics at a glance 2000; 2001 data from DoE (2003), Education Statistics at a Glance in 2001; 2002-2005 data from Education Statistics in SA at a Glance(2005), published November 2006 with data originally sources from 2001-2005 SNAP Survey; 2006 data from DoE , 2006 School Realties, October, 2007 data from DoE. 2008 data from DoE , School Realties. 2009, 2010, 2012, 2013, 2014,2015,2018,2021  data from DBE.</t>
  </si>
  <si>
    <t>These data are from databases uploaded on the Learner Unit Record Information and Tracking System (LURITS) and Provincial Data Warehouses as at August 2018.  The figures from the School Realities publication are preliminary, and the final figures will be published in the more comprehensive Education Statistics in South Africa 2018.</t>
  </si>
  <si>
    <t>Enrolment rates: Gross Enrolment Ratio (GER), Gender Parity Index (GPI)</t>
  </si>
  <si>
    <t>To ensure that all girls and boys have access to quality education by 2030</t>
  </si>
  <si>
    <t>GER and GPI for Basic Education</t>
  </si>
  <si>
    <t xml:space="preserve">Primary   </t>
  </si>
  <si>
    <t>Primary GER of female learners</t>
  </si>
  <si>
    <t>Primary GER of male learners</t>
  </si>
  <si>
    <t>Primary GPI</t>
  </si>
  <si>
    <t>Secondary</t>
  </si>
  <si>
    <t>Secondary GER of female learners</t>
  </si>
  <si>
    <t>Secondary GER of male learners</t>
  </si>
  <si>
    <t>Secondary GPI</t>
  </si>
  <si>
    <t>Total for basic education</t>
  </si>
  <si>
    <t>Total GER of female learners</t>
  </si>
  <si>
    <t>Total GER of male learners</t>
  </si>
  <si>
    <t>Overall GPI</t>
  </si>
  <si>
    <t>GER and GPI for Universities</t>
  </si>
  <si>
    <t>Universities</t>
  </si>
  <si>
    <t>Total GER for female learners</t>
  </si>
  <si>
    <t>22.6</t>
  </si>
  <si>
    <t>Total GER for male learners</t>
  </si>
  <si>
    <t>15.9</t>
  </si>
  <si>
    <t>University GPI</t>
  </si>
  <si>
    <t>GER and GPI for TVET</t>
  </si>
  <si>
    <t>TVET</t>
  </si>
  <si>
    <t>TVET GPI</t>
  </si>
  <si>
    <t>Gross Enrolment Ratio (GER) is the total learner per education level divided by population of corresponding official age in the education level. GPI is the ratio of GER for female learners to the GER of male learners regardless of age, in public and independent ordinary schools for given year. GPI ratio measures the progress towards gender parity in education participation / learning opportunities available for females in relation to those available to males. A GPI equal to 1 indicates parity between females and males. A value less than 1 indicates disparity in favour of men, while a GPI greater than 1 indicates disparity in favour of females.</t>
  </si>
  <si>
    <t>GPI ratio measures the progress towards gender parity in education participation / learning opportunities available for women in relation to those available to men.</t>
  </si>
  <si>
    <t>A GPI equal to 1 indicates parity between females and males. A value less than 1 indicates disparity in favour of men.</t>
  </si>
  <si>
    <t>A GPI greater than 1 indicates disparity in favour of females.</t>
  </si>
  <si>
    <t>GROSS ENROLMENT RATIO  (GER) for Universities</t>
  </si>
  <si>
    <t>Race</t>
  </si>
  <si>
    <t>Gender</t>
  </si>
  <si>
    <t>African/Black</t>
  </si>
  <si>
    <t>Coulored</t>
  </si>
  <si>
    <t>Indian/Asian</t>
  </si>
  <si>
    <t>Both</t>
  </si>
  <si>
    <t>National Senior Certificate Examination Pass Rate</t>
  </si>
  <si>
    <t>To improve the number of learners eligible for bachelors programme to 300 000 by 2024</t>
  </si>
  <si>
    <t>Number Wrote</t>
  </si>
  <si>
    <t>Number Passed</t>
  </si>
  <si>
    <t>Bachelor passes</t>
  </si>
  <si>
    <t>National Senior Certificate Examination pass rate 
per province</t>
  </si>
  <si>
    <t>76.5</t>
  </si>
  <si>
    <t>73.0%</t>
  </si>
  <si>
    <t>77.3%</t>
  </si>
  <si>
    <t>88.4</t>
  </si>
  <si>
    <t>85.7%</t>
  </si>
  <si>
    <t>88.5%</t>
  </si>
  <si>
    <t>87.2</t>
  </si>
  <si>
    <t>82.8%</t>
  </si>
  <si>
    <t>84.4%</t>
  </si>
  <si>
    <t>81.3</t>
  </si>
  <si>
    <t>76.8%</t>
  </si>
  <si>
    <t>83.0%</t>
  </si>
  <si>
    <t>73.2</t>
  </si>
  <si>
    <t>66.7%</t>
  </si>
  <si>
    <t>80.3</t>
  </si>
  <si>
    <t>73.6%</t>
  </si>
  <si>
    <t>86.8</t>
  </si>
  <si>
    <t>78.2%</t>
  </si>
  <si>
    <t>79.8%</t>
  </si>
  <si>
    <t>71.4%</t>
  </si>
  <si>
    <t>74.2%</t>
  </si>
  <si>
    <t>82.3</t>
  </si>
  <si>
    <t>81.2%</t>
  </si>
  <si>
    <t>81.4%</t>
  </si>
  <si>
    <t>Total Wrote</t>
  </si>
  <si>
    <t>76.4%</t>
  </si>
  <si>
    <t>80.1%</t>
  </si>
  <si>
    <t>Number of learners, Percentage</t>
  </si>
  <si>
    <t>Number of learners who passed the senior certificate examination as a percentage of those that wrote the examinations</t>
  </si>
  <si>
    <t xml:space="preserve">NSC 2021 Examnation Report </t>
  </si>
  <si>
    <t>Mathematics passes</t>
  </si>
  <si>
    <t>Achieved at 50% and above</t>
  </si>
  <si>
    <t>Physical Science passes</t>
  </si>
  <si>
    <t>Total number of matriculants who passed Mathematics on the higher grade and standard grade. Total number of matriculants who passed Mathematics and Mathematics Literacy. Total number of matriculants who passed Physical Science.</t>
  </si>
  <si>
    <t>Adult literacy rate</t>
  </si>
  <si>
    <t>To ensure that all youth and a substantial proportion of adults achieve numeracy and literacy by 2030</t>
  </si>
  <si>
    <t>Literacy</t>
  </si>
  <si>
    <t>Total literacy - GHS</t>
  </si>
  <si>
    <t>Total literacy - OHS</t>
  </si>
  <si>
    <t>Female literacy - GHS</t>
  </si>
  <si>
    <t>Female literacy - OHS</t>
  </si>
  <si>
    <t>Illiteracy</t>
  </si>
  <si>
    <t>10.0</t>
  </si>
  <si>
    <t>Literacy rate- Census</t>
  </si>
  <si>
    <t>Total literacy</t>
  </si>
  <si>
    <t>Total Literacy the number of people in a country who can read and write as percentage of total population. In the data obtained from the General and October household surveys. literate adult is defined as a person 20 years and older who has achieved at least seven years of education (i.e. passed grade 7). Illiteracy: Percentage of persons aged 20 years and above with no formal education or highest level of education less than grade 7</t>
  </si>
  <si>
    <t>Goal statement adopted from the sustainable Development Goals</t>
  </si>
  <si>
    <t xml:space="preserve">Total literacy </t>
  </si>
  <si>
    <t xml:space="preserve">Female literacy </t>
  </si>
  <si>
    <t>Number of university students who graduate in SET expressed as a percentage of total number of students who graduated</t>
  </si>
  <si>
    <t>Education and training</t>
  </si>
  <si>
    <t>Improve global competitiveness and produce 5000 PHD graduates per year</t>
  </si>
  <si>
    <t>Higher Education</t>
  </si>
  <si>
    <t>Total Enrolment</t>
  </si>
  <si>
    <t> 760 889</t>
  </si>
  <si>
    <t> 422 402</t>
  </si>
  <si>
    <t>Total number of graduates</t>
  </si>
  <si>
    <t>Total number of SET graduates</t>
  </si>
  <si>
    <t>Unreported gender</t>
  </si>
  <si>
    <t xml:space="preserve"> -   </t>
  </si>
  <si>
    <t>SET as % of total graduates</t>
  </si>
  <si>
    <t> 74 845</t>
  </si>
  <si>
    <t> 51 773</t>
  </si>
  <si>
    <t> 760889.00</t>
  </si>
  <si>
    <t> 126618</t>
  </si>
  <si>
    <t xml:space="preserve">Number of Engineering Sciences ( excuding Technology) graduates </t>
  </si>
  <si>
    <t xml:space="preserve">Annual targets </t>
  </si>
  <si>
    <t>Table 2: Doctoral graduates in universities</t>
  </si>
  <si>
    <t xml:space="preserve">The number of graduates have also been increasing but at a lower rate than the enrollemnt. </t>
  </si>
  <si>
    <t>Educational Performance below high school</t>
  </si>
  <si>
    <t>To improve performance of learners in basic education</t>
  </si>
  <si>
    <t xml:space="preserve">Table 1      Performance of learners per province </t>
  </si>
  <si>
    <t>SACMEQ II</t>
  </si>
  <si>
    <t>SACMEQ III</t>
  </si>
  <si>
    <t>SACMEQ IV</t>
  </si>
  <si>
    <t>Reading</t>
  </si>
  <si>
    <t>Mathematics</t>
  </si>
  <si>
    <t>Mean</t>
  </si>
  <si>
    <t>SE</t>
  </si>
  <si>
    <t xml:space="preserve">Mean, Standard Error </t>
  </si>
  <si>
    <t xml:space="preserve">Table 1) SACMEQ (II ) undertaken from 1984 to 2004 and SACMEQ (III) undertaken from 2005 to 2010, targetted all pupils in Grade 6  level ( at the first week of the eighth month of the school year) who were attending registered mainstream primary school. The desired target population definition for the project was based on a grade-based description and not age based description of pupils
</t>
  </si>
  <si>
    <t xml:space="preserve">SACMEQ- Southern and Eastern African Consortium for Monitoring Educational Quality </t>
  </si>
  <si>
    <t xml:space="preserve">Table 1) SACMEQ II and III Project results (2005 to 2010): Pupil achievement levels in reading and mathematics,website - www.SACMEQ.org
</t>
  </si>
  <si>
    <t>Language Achievement</t>
  </si>
  <si>
    <t>Mathematics Achievement</t>
  </si>
  <si>
    <t>Not Achieved</t>
  </si>
  <si>
    <t>Province (%)</t>
  </si>
  <si>
    <t>Outstanding</t>
  </si>
  <si>
    <t>Achieved</t>
  </si>
  <si>
    <t>Partly Achieved</t>
  </si>
  <si>
    <t xml:space="preserve">Educational Performance ff Grade 6 students 2004 </t>
  </si>
  <si>
    <t xml:space="preserve">Overall Grade 3 Literacy and Numeracy Achievement </t>
  </si>
  <si>
    <t>Literacy Achievement</t>
  </si>
  <si>
    <t>Numeracy Achievement</t>
  </si>
  <si>
    <t xml:space="preserve">Mathematics and Science achievement   </t>
  </si>
  <si>
    <t>To increase the percentage of potential students for SET disciplines</t>
  </si>
  <si>
    <t xml:space="preserve">International students achievements in Maths and Science Average Scale score </t>
  </si>
  <si>
    <t>Science</t>
  </si>
  <si>
    <t>Maths</t>
  </si>
  <si>
    <t xml:space="preserve">Country </t>
  </si>
  <si>
    <t>435 (4.5)</t>
  </si>
  <si>
    <t>420 (4.1)</t>
  </si>
  <si>
    <t>406 (4.5)</t>
  </si>
  <si>
    <t>403 (4.9)</t>
  </si>
  <si>
    <t>411 (4.8)</t>
  </si>
  <si>
    <t>386 (4.3)</t>
  </si>
  <si>
    <t>420 (3.7)</t>
  </si>
  <si>
    <t>413 (2.9)</t>
  </si>
  <si>
    <t>439 (2.5)</t>
  </si>
  <si>
    <t>448 (2.4)</t>
  </si>
  <si>
    <t>410 (2.2)</t>
  </si>
  <si>
    <t>425 (2.8)</t>
  </si>
  <si>
    <t>430 (3.4)</t>
  </si>
  <si>
    <t>404 (2.1)</t>
  </si>
  <si>
    <t>461 (2.5)</t>
  </si>
  <si>
    <t>454(3,1)</t>
  </si>
  <si>
    <t>392 (4.4)</t>
  </si>
  <si>
    <t>387 (3.3)</t>
  </si>
  <si>
    <t>416 (2.6)</t>
  </si>
  <si>
    <t>427(3,2)</t>
  </si>
  <si>
    <t>345 (7.5)</t>
  </si>
  <si>
    <t>377 (5.8)</t>
  </si>
  <si>
    <t>345 (6.0)</t>
  </si>
  <si>
    <t>378 (5.2)</t>
  </si>
  <si>
    <t>243 (7,8)</t>
  </si>
  <si>
    <t>244 (6,7)</t>
  </si>
  <si>
    <t>332 (3,7)</t>
  </si>
  <si>
    <t>358(5,6)</t>
  </si>
  <si>
    <t>370(3.1)</t>
  </si>
  <si>
    <t>275 (6,8)</t>
  </si>
  <si>
    <t>264 (5,5)</t>
  </si>
  <si>
    <t>352 (2,5)</t>
  </si>
  <si>
    <t>372(4,5)</t>
  </si>
  <si>
    <t>389 (2,3)</t>
  </si>
  <si>
    <r>
      <t xml:space="preserve">Trends in South African Mathematics and Science achievement: 1995 to </t>
    </r>
    <r>
      <rPr>
        <b/>
        <sz val="8"/>
        <color theme="1"/>
        <rFont val="Arial"/>
        <family val="2"/>
      </rPr>
      <t>2016</t>
    </r>
  </si>
  <si>
    <t>Grade 8</t>
  </si>
  <si>
    <t>Grade 9</t>
  </si>
  <si>
    <t>276 (6,7)</t>
  </si>
  <si>
    <t>260 (7,9)</t>
  </si>
  <si>
    <t>285 (4,2)</t>
  </si>
  <si>
    <t>268 (5,5)</t>
  </si>
  <si>
    <t>370 (3.1)</t>
  </si>
  <si>
    <t>Average Science and Maths scale by province (2015 and 2016)</t>
  </si>
  <si>
    <t>change in achievement</t>
  </si>
  <si>
    <t>Kwazulu Natal</t>
  </si>
  <si>
    <t>Numbers, Average</t>
  </si>
  <si>
    <t>TIMMS was administered to Grade 8 in 1999, administered to Grades 8 and 9 in 2002 and 2011. For 2011 the HSRC conducted the study in 285 schools among 11 969 learners. Additional data disaggregated by province is available in the Excel version on the DPME website: www.dpme.gov.za
Following the TIMSS 2015 Grade 9 results, two of the higher achieving provinces, the Western Cape and Gauteng, sought a more precise provincial achievement estimate. The sample size in these two provinces, for TIMSS 2019, increased to 150 schools, while sample size in the other provinces remained at 30 schools each. The TIMSS 2019 International Results in Mathematics and Science Report, in addition to reporting information for South Africa, also reports on Western Cape and Gauteng provinces as selfstanding entities called “benchmarking participants.”</t>
  </si>
  <si>
    <t xml:space="preserve">International mathematics and Science achievement and South Africa's performance in relation to the other participating countries
</t>
  </si>
  <si>
    <t xml:space="preserve">TIMSS was administered to Grade 8 learners in 1999, administered to grades 8 and 9 in 2002, 2011 and 2015. </t>
  </si>
  <si>
    <t>To produce 30 000 artisans per year by 2030 and Expand opportunities for Work-based Learning (WBL)</t>
  </si>
  <si>
    <t>Table 1: Artisans</t>
  </si>
  <si>
    <t>Artisan learner completion</t>
  </si>
  <si>
    <t>Table 2: Internships and learnerships</t>
  </si>
  <si>
    <t>Entered</t>
  </si>
  <si>
    <t>Completed</t>
  </si>
  <si>
    <t>Learnerships: Unemployed</t>
  </si>
  <si>
    <t>64 019 </t>
  </si>
  <si>
    <t>34 392 </t>
  </si>
  <si>
    <t>Internships</t>
  </si>
  <si>
    <t>17 216 </t>
  </si>
  <si>
    <t>6 777 </t>
  </si>
  <si>
    <t>Goal statement adopted from the National Development Plan                                                                                                                                                                                                                                                                                                                                                                                                                                 Internships and learnerships only refers to those programmes that are SETA funded and excludes government and Private sector programmes.</t>
  </si>
  <si>
    <t>Pride in being South African</t>
  </si>
  <si>
    <t>Social cohesion and social capital</t>
  </si>
  <si>
    <t>Qrt 1</t>
  </si>
  <si>
    <t>Qrt 2</t>
  </si>
  <si>
    <t>Qrt 3</t>
  </si>
  <si>
    <t>Qrt 4</t>
  </si>
  <si>
    <t>Wave 1</t>
  </si>
  <si>
    <t>Wave 2</t>
  </si>
  <si>
    <t xml:space="preserve">no data </t>
  </si>
  <si>
    <t>Aug-Sep15</t>
  </si>
  <si>
    <t>Jan-Mar16</t>
  </si>
  <si>
    <t>Aug-Sep16</t>
  </si>
  <si>
    <t>Jan-Mar17</t>
  </si>
  <si>
    <t>Aug-Sep17</t>
  </si>
  <si>
    <t>Jan-Mar18</t>
  </si>
  <si>
    <t>Aug-Sep18</t>
  </si>
  <si>
    <t>Jan-Mar19</t>
  </si>
  <si>
    <t>Aug-Sep19</t>
  </si>
  <si>
    <t>Jan-Mar20</t>
  </si>
  <si>
    <t>Aug-Sep20</t>
  </si>
  <si>
    <t>Jan-Mar21</t>
  </si>
  <si>
    <t>Aug-Sep21</t>
  </si>
  <si>
    <t>Jan-Mar22</t>
  </si>
  <si>
    <t xml:space="preserve">Percentage of those surveyed who take pride to be South African </t>
  </si>
  <si>
    <t>Government Communications' (GCIS) National Tracker Survey</t>
  </si>
  <si>
    <t xml:space="preserve">The GCIS tracker survey previously conducted weekly and results presented quarterly. The survey has a cumulative sample of 3 840 until mid-2010. From mid-2010 to mid-2011, the annual sample size is 9 600 with 2 400 respondents interviewed on a quarterly basis. From mid-2012 to mid-2014, the annual sample size was 14 000 with 3 500 respondents interviewed on a quarterly basis. Quarterly data for the years 2011/12, 2012/13, 2013/14 and 2014/15 were averaged to obtain an annual data point. Sample for 2014 included younger youth (15+), after weighting there was no statistical difference. From 2015/16 the survey based on a sample of 3 500 conducted twice per financial year. Field work for this survey is nomarlly done during August/September (Wave 1) and January/March (Wave 2) of each financial year. Two data points for the financial year were averaged to obtain an annual data point. Graph uses annual average while the tables uses Bi annual data. </t>
  </si>
  <si>
    <t>Country going in the right direction</t>
  </si>
  <si>
    <t>To promote social cohesion while building the nation</t>
  </si>
  <si>
    <t>Year 1</t>
  </si>
  <si>
    <t>Year 2</t>
  </si>
  <si>
    <t>Year 3</t>
  </si>
  <si>
    <t>Year 4</t>
  </si>
  <si>
    <t>Year 5</t>
  </si>
  <si>
    <t>Q1</t>
  </si>
  <si>
    <t>Q2</t>
  </si>
  <si>
    <t>1994-1999</t>
  </si>
  <si>
    <t>1999-2004</t>
  </si>
  <si>
    <t>2004-2009</t>
  </si>
  <si>
    <t>2009-2014</t>
  </si>
  <si>
    <t>2014-2019</t>
  </si>
  <si>
    <t>2019-2024</t>
  </si>
  <si>
    <t>Year 1 (2014)</t>
  </si>
  <si>
    <t>Year 2 (2015)</t>
  </si>
  <si>
    <t>Year 3 (2016)</t>
  </si>
  <si>
    <t>Year 4 (2017/18)</t>
  </si>
  <si>
    <t>Year 5 (2018/19)</t>
  </si>
  <si>
    <t>Year 1(2019/20)</t>
  </si>
  <si>
    <t>Year 2(2020/21)</t>
  </si>
  <si>
    <t>Proportion of SA adult population who feel the country is going in the right direction</t>
  </si>
  <si>
    <t>Government Communication and Information System (GCIS) based on Markinor data.</t>
  </si>
  <si>
    <t>Ipsos (Fomer Markinor's) regular surveys, based on a national sample of 3 500 respondents,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 From year 4 data is based on GCIS Tracker survey, based on a sample of 3 500 conducted twice per financial year. Field work for this survey is nomarlly done during August/September (Wave 1) and January/March (Wave 2) of each financial year.</t>
  </si>
  <si>
    <t>Identity based on self-description</t>
  </si>
  <si>
    <t xml:space="preserve">To promote social cohesion while building the nation </t>
  </si>
  <si>
    <t xml:space="preserve">Table     </t>
  </si>
  <si>
    <t>How South Africans describe themselves (self-description)</t>
  </si>
  <si>
    <t>As an African</t>
  </si>
  <si>
    <t>As South African</t>
  </si>
  <si>
    <t>By race group</t>
  </si>
  <si>
    <t>By language group</t>
  </si>
  <si>
    <t>Rest of self descriptors</t>
  </si>
  <si>
    <t>First self-descriptors by South Africa's adult population as a form of primary identity</t>
  </si>
  <si>
    <t>Government Communication and Information System (GCIS) based on Future Fact Mindset Surveys.</t>
  </si>
  <si>
    <t xml:space="preserve">Future Fact regular surveys, based on a national sample of 3 000, conducted once a year amongst aged 15 years and older. In 2007 there were more categories included compared to 2004, but given that the figure is not very high they have been grouped under "rest of self-descriptors", including "cultural group", "religion" as well as "uncertain/don't know" category. Data for 2010 and 2013 is not available since the self-description questions were not part of the survey in these years.  From 2017/18 data is based on GCIS Tracker survey, based on a sample of 3 500 conducted twice per financial year. Field work for this survey is nomarlly done during August/September (Wave 1) and January/March (Wave 2) of each financial year.Two data points for the financial year were averaged to obtain an annual data point. </t>
  </si>
  <si>
    <t>Public opinion on race relations</t>
  </si>
  <si>
    <t xml:space="preserve">To promote social cohesion and eliminate racism while building the nation. </t>
  </si>
  <si>
    <t>Race relations improving</t>
  </si>
  <si>
    <t>Number of those who were of the opinion that race relations are improving expressed as a proportion of the total population</t>
  </si>
  <si>
    <t>Government Communication and Information System (GCIS) based on Ipsos data.</t>
  </si>
  <si>
    <t xml:space="preserve">Biannual series has been used for the graph while the table provides annual data. The annual data has been obtained by averaging the two points as obtained in May and November. Ipsos (Former Markinor) regular surveys, based on a national sample of 3 500 respondents,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  From 2017/18 data is based on GCIS Tracker survey, based on a sample of 3 500 conducted twice per financial year. Field work for this survey is nomarlly done during August/September and January/March of each financial year.Two data points for the financial year were averaged to obtain an annual data point. Graph uses annual average while the table for provincial breakdown uses Bi annual data. </t>
  </si>
  <si>
    <t xml:space="preserve">Race relations improving </t>
  </si>
  <si>
    <t>Confidence in a happy future for all races</t>
  </si>
  <si>
    <t>To promote social cohesion and eliminate racism while building the nation.</t>
  </si>
  <si>
    <t>Confident in a happy future for all races</t>
  </si>
  <si>
    <t>Aug-Sep</t>
  </si>
  <si>
    <t>Jan-Mar</t>
  </si>
  <si>
    <t>Proportion of South Africa's adult population who express confidence in a happy future for all races.</t>
  </si>
  <si>
    <t xml:space="preserve">Ipsos (Former Markinor's) regular surveys, based on a national sample of 3 500 respondents,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 From 2017/18 data is based on GCIS Tracker survey, based on a sample of 3 500 conducted twice per financial year. Field work for this survey is nomarlly done during August/September (Wave 1) and January/March (Wave 2) of each financial year.Two data points for the financial year were averaged to obtain an annual data point. Graph uses annual average while the tables uses Bi annual data. </t>
  </si>
  <si>
    <t>Voter participation</t>
  </si>
  <si>
    <t>Voice and accountability</t>
  </si>
  <si>
    <t>To promote high levels of participation of citizens in the democratic electoral process</t>
  </si>
  <si>
    <t>Voter participation in national and provincial government elections</t>
  </si>
  <si>
    <t>Voter participation in local government elections</t>
  </si>
  <si>
    <t>Voting age population (VAP)</t>
  </si>
  <si>
    <t>VAP registered</t>
  </si>
  <si>
    <t>no registration</t>
  </si>
  <si>
    <t>65.7%</t>
  </si>
  <si>
    <t xml:space="preserve">Turnout </t>
  </si>
  <si>
    <t>Turnout</t>
  </si>
  <si>
    <t>% Turnout of VAP</t>
  </si>
  <si>
    <t xml:space="preserve"> % Turnout of VAP</t>
  </si>
  <si>
    <t>30.1%</t>
  </si>
  <si>
    <t>% Turnout of registered VAP</t>
  </si>
  <si>
    <t>66.05%</t>
  </si>
  <si>
    <t>46.0%</t>
  </si>
  <si>
    <t>Under 35 years</t>
  </si>
  <si>
    <t>under 35 years</t>
  </si>
  <si>
    <t>VAP under 35</t>
  </si>
  <si>
    <t>VAP under 35 registered</t>
  </si>
  <si>
    <t>No turnout data</t>
  </si>
  <si>
    <t>Turnout under 35 years</t>
  </si>
  <si>
    <t xml:space="preserve"> % Turnout of under 35 VAP</t>
  </si>
  <si>
    <t>% Turnout of registered under 35 VAP</t>
  </si>
  <si>
    <t>Number, Percentages</t>
  </si>
  <si>
    <t>Total population of at least 18 years of age (prisoners voted in 1999 and 2004 but not in the local government elections of 2000 and 2006)
VAP refers to Voting Age Population</t>
  </si>
  <si>
    <t xml:space="preserve">Independent Electoral Commission (IEC) official statistics. STATSSA Publication P0302 - Mid-year population estimates, report tables 2021. 
</t>
  </si>
  <si>
    <t>The 2021 figures are based on 90% of voter participation data received countrywide. Voter Turnout percentage are slightly different from what is published on the IEC website due to the difference in calculation. 
IEC uses Max Votes/ (Registered Voters + MEC7 Votes) where MEC7 votes relates to a situation where a person has applied for registration, has the receipt of proof but was not included on the voter's roll. * No registration for the specific years.</t>
  </si>
  <si>
    <t>Voters per province</t>
  </si>
  <si>
    <t>To promote equal participation of all citizens in the democratic electoral process across all provinces</t>
  </si>
  <si>
    <t xml:space="preserve">Voters in national and provincial elections, disaggregated by province </t>
  </si>
  <si>
    <t>Registered</t>
  </si>
  <si>
    <t xml:space="preserve">Voted </t>
  </si>
  <si>
    <t>Voted</t>
  </si>
  <si>
    <t>Out of Country</t>
  </si>
  <si>
    <t>N/A **</t>
  </si>
  <si>
    <t>N/A</t>
  </si>
  <si>
    <t xml:space="preserve">Voters in local elections, disaggregated by province </t>
  </si>
  <si>
    <t>Numbers, Percentages</t>
  </si>
  <si>
    <t>Total population of at least 18 years of age (prisoners voted in 1999 and 2004 but not in the local government elections of 2000 and 2006)</t>
  </si>
  <si>
    <t>Independent Electoral Commission (IEC) official statistics</t>
  </si>
  <si>
    <t>The data does not include changes that occur after the first results have been published and by elections. Out of Country registrations do not include other registered voters applying to vote abroad</t>
  </si>
  <si>
    <t>Percentage of women who are members of legislative bodies</t>
  </si>
  <si>
    <t>To increase the participation and representation of women in legislative bodies</t>
  </si>
  <si>
    <t>Women members of Parliament and Provincial Legislatures</t>
  </si>
  <si>
    <t>Parliament</t>
  </si>
  <si>
    <t>Provincial Legislatures</t>
  </si>
  <si>
    <t> 92</t>
  </si>
  <si>
    <t> 428</t>
  </si>
  <si>
    <t>21,5% </t>
  </si>
  <si>
    <t> 122</t>
  </si>
  <si>
    <t> 430</t>
  </si>
  <si>
    <t>28,4% </t>
  </si>
  <si>
    <t> 139</t>
  </si>
  <si>
    <t>32,3 %</t>
  </si>
  <si>
    <t> 179</t>
  </si>
  <si>
    <t>430 </t>
  </si>
  <si>
    <t>41,6% </t>
  </si>
  <si>
    <t>181 </t>
  </si>
  <si>
    <t>42,1% </t>
  </si>
  <si>
    <t> 29</t>
  </si>
  <si>
    <t> 63</t>
  </si>
  <si>
    <t> 46,0%</t>
  </si>
  <si>
    <t> 14</t>
  </si>
  <si>
    <t> 30</t>
  </si>
  <si>
    <t> 46,7%</t>
  </si>
  <si>
    <t> 31</t>
  </si>
  <si>
    <t> 73</t>
  </si>
  <si>
    <t> 42,5%</t>
  </si>
  <si>
    <t> 34</t>
  </si>
  <si>
    <t> 80</t>
  </si>
  <si>
    <t> 24</t>
  </si>
  <si>
    <t> 49</t>
  </si>
  <si>
    <t> 49,0%</t>
  </si>
  <si>
    <t> 15</t>
  </si>
  <si>
    <t> 50,0%</t>
  </si>
  <si>
    <t> 33</t>
  </si>
  <si>
    <t> 45,5%</t>
  </si>
  <si>
    <t> 12</t>
  </si>
  <si>
    <t> 40,0%</t>
  </si>
  <si>
    <t> 42</t>
  </si>
  <si>
    <t> 35,7%</t>
  </si>
  <si>
    <t> 370</t>
  </si>
  <si>
    <t>830 </t>
  </si>
  <si>
    <t> 44,6%</t>
  </si>
  <si>
    <t xml:space="preserve">Women members of Local Government Councils as per the major Local Government Elections </t>
  </si>
  <si>
    <t>Proportional Representation</t>
  </si>
  <si>
    <t>Ward</t>
  </si>
  <si>
    <t>Overall</t>
  </si>
  <si>
    <t>Northern Province</t>
  </si>
  <si>
    <t>2 123</t>
  </si>
  <si>
    <t>4 811</t>
  </si>
  <si>
    <t>1 411</t>
  </si>
  <si>
    <t>4 277</t>
  </si>
  <si>
    <t>Member of national and provincial legislatures; member of Cabinet, Provincial Executive Councils and Local Government Councils as per each major election. PR refers to Proportional Representation</t>
  </si>
  <si>
    <t xml:space="preserve">Independent Electoral Commission (IEC) </t>
  </si>
  <si>
    <t>Greenhouse gas emissions</t>
  </si>
  <si>
    <t>Climate Change Mitigation</t>
  </si>
  <si>
    <t xml:space="preserve">South Africa continues to commit itself towards reduction of carbon emissions, creating an enabling environment to reduce and adapt to climate change impacts and facilitate the transition to a climate resilient and low carbon economy. </t>
  </si>
  <si>
    <t>National Greenhouse Gas (ghg) emissions trajectory range</t>
  </si>
  <si>
    <t xml:space="preserve">National GHG Emissions in Mt CO2-eq </t>
  </si>
  <si>
    <t xml:space="preserve">Benchmark Trajectory Upper Range </t>
  </si>
  <si>
    <t xml:space="preserve">Benchmark Trajectory Lower Range </t>
  </si>
  <si>
    <t>Actual emissions</t>
  </si>
  <si>
    <t>Megatonnes (Mt).</t>
  </si>
  <si>
    <t>The National Greenhouse Gas (GHG) Emissions Indicator measures South Africa’s actual greenhouse gas emissions against the National GHG Emissions Trajectory Range that is used as the benchmark against which the efficacy of GHG mitigation action is currently measured in terms of the National Climate Change Response Policy (2011).</t>
  </si>
  <si>
    <t>DEA, 2019. National GHG Inventory Report for South Africa: 2000 – 2015. Department of Environmental Affairs, Pretoria.</t>
  </si>
  <si>
    <t xml:space="preserve">National and Priority Area Air Quality Indicators </t>
  </si>
  <si>
    <t>Ambient Air Quality</t>
  </si>
  <si>
    <t>Ambient air quality in the national priority areas conforms to national ambient air quality standards by 2030</t>
  </si>
  <si>
    <t>Regional Air Quality Indices</t>
  </si>
  <si>
    <t>Focus</t>
  </si>
  <si>
    <t>National Air Quality Indicator (NAQI)</t>
  </si>
  <si>
    <t>Priority Area Air Quality Index for the Vaal Triangle Priority Area (PAAQI-VTPA)</t>
  </si>
  <si>
    <t>Priority Area Air Quality Index for the Highveld priority Area (PAAQI-HPA)</t>
  </si>
  <si>
    <t>AcPriority Area Air Quality Index for the Highveld Priority Area (PAAQI-WBPA)ceptability threshold</t>
  </si>
  <si>
    <t>The indicators are a ratios of annual averages against the NAAQS hence no units.</t>
  </si>
  <si>
    <t>The National/Priority Area Air Quality Index (NAQI/PAAQI) provides a measure of ambient air quality in relation to current air quality standards acrss the country (NAQI) and in recognised national air pollution hot spots, (PAAQI). Scientifically, the NAQI/PAAQI is defined as the maximum value of the normalized ratios of the annual averages of PM10 and SO2 measured by the air quality monitoring station network in priority areas for each year. Indicator values of 1 and above means that air quality does not meet ambient air quality standards. NAQI/PAAQI values below 1 means that overall, air quality complies with current ambient air quality standards.</t>
  </si>
  <si>
    <t>To derive the NAQI/PAAQI, the annual averages of PM10 and sulphur dioxide SO2 (the two most prevalent air pollutants in the country) are averaged over the national/priority area stations data in order to derive the national/priority area annual average. These averages are then normalised by the annual average National Ambient Air Quality Standard (NAAQS). Based on the normalised ratios of the average concentrations, NAQI/PAAQI is defined as the maximum between the normalised ratios of the national annual averages of PM10 and SO2 for each year.</t>
  </si>
  <si>
    <t>Ambient air quality data is available from the South African Air Quality Information System (https://saaqis.environment.gov.za/). National Ambient Air Quality Standards are published by the Minister of Environmental Affairs in terms of S.9(1) of the Air Quality Act (see Government Gazette No. 32816 of 24 December 2009 and Gazette No. 35463 of 29 June 2012).</t>
  </si>
  <si>
    <t>Terrestrial Biodiversity Protection Index</t>
  </si>
  <si>
    <t xml:space="preserve">Biodiversity </t>
  </si>
  <si>
    <t>To improve the status of biodiversity by safeguarding terrestrial ecosystems.</t>
  </si>
  <si>
    <t xml:space="preserve">There is a steady increase in the protected area network extent and the Terrestrial Biodiversity Index since 1990. The per cent land mass under protection increased from 6.36% in 1990 to 8.90% in 2019. The TBPI on the other hand increased from 4.27% in 1990 to 6.31% in 2019. Although South Africa's terrestrial conservation estate is continuously expanding, in terms of per cent land mass under conservation and the range of biodiversity represented in these protected areas, the network is unlikely to meet the Aichi target. It should however be noted that the Aichi Target of 17% by 2020 includes a broader definition of Protected Areas  that includes Other Effective Area-Based Conservation Measures (OECMs). At present, South Africa's Protected Area Database does not contain comprehensive information on OECMs.  This means that the index will show improved progress to the Aichi target once the OECM areas are incorporated into the computation. SA had not met its Outlook 10 target of 13.2% by 2019. To increase the TBPI, South Africa needs to protect and conserve under-represented ecosystem types. This target is not affected by OECMs. </t>
  </si>
  <si>
    <t>Measure/Index</t>
  </si>
  <si>
    <t>Per cent land mass under protection</t>
  </si>
  <si>
    <t>Outcome 10 Target for land mass under protection</t>
  </si>
  <si>
    <t>Aichi Target</t>
  </si>
  <si>
    <t>The Terrestrial Biodiversity Protection Index is a biodiversity related indicator that measures how extensive South Africa’s protected areas are, and how well they represent our ecosystem types.</t>
  </si>
  <si>
    <t xml:space="preserve">South Africa's terrestrial landmass is divided into various ecosystem types. Experts have set a biodiversity target for each ecosystem type (ranging between 15% and 31% depending on the species area curve of each ecosystem type). The Terrestrial Biodiversity Protection Index is calculated by summing the hectares of each ecosystem type that are protected and contribute to biodiversity targets. To do this the first step is to calculate the extent to which each ecosystem type is protected (by intersecting a protected area layer and ecosystem layer in a GIS),  the extent protected is then  compared to the target area  for each type. Once the biodiversity target has been reached for a particular ecosystem type, new hectares will not contribute to the Index. This method ensures that large protected areas covering ecosystem types that are already well protected will not unduly influence the Index. The index relies on SAPAD and consequently does not include OECMs. DEA is in the process defining OECMS in South Africa. Currently estimates of the extent of OECMS areas in South Africa vary widely (0.5 - 2million ha). In the future, with reliable information on OECMs the index will improve as a measure of South Africas progress towards the Aichi target. As a measure of progress against the outcome 10 targets the index is robust as is and not affected by the lack of OECM data. This is due to the fomulation of the Aichi target under the Convention on Biological Diversity.  </t>
  </si>
  <si>
    <t xml:space="preserve">The protected areas data is sourced from the Department of Environment Affairs' (DEA) South African Protected Areas Database (SAPAD).  The key ecosystem type data source is the Vegetation Map of South Africa, Lesotho and Swaziland, curated and updated by South African National Biodiversity Institute (SANBI). </t>
  </si>
  <si>
    <t>Marine Biodiversity Protection Index</t>
  </si>
  <si>
    <t>To improve the status of biodiversity by safeguarding marine ecosystems</t>
  </si>
  <si>
    <t>Accumulative Marine Protected Area expansion as a percentage of South Africa's Exclusive Economic Zone (EEZ)</t>
  </si>
  <si>
    <t>Total MPA (% of EEZ)</t>
  </si>
  <si>
    <t>Marine Biodiversity Protection (MBP) Index: MPA contributing to biodiversity targets (% of EEZ)</t>
  </si>
  <si>
    <t>Outcome 10 target (linked to Total MPAs)</t>
  </si>
  <si>
    <t>South Africa's Continental Mainland Exclusive Economic Zone (EEZ) is divided into various ecosystem types. Experts have set a biodiversity target of 20% for each marine ecosystem type. The MBPI is calculated by first determining the extent to which each marine ecosystem type is protected (at each time point) and sums up their extent (area in km2). The extent protected is then compared to the target area for each ecosystem type. Once the biodiversity target has been reached for a particular ecosystem type, additional hectares will not be added to the Index.  This method ensures that large protected areas covering ecosystem types that are already well protected will not unduly influence the Index. MBPI and the total Marine Protected Areas Network is expressed as a percentage of South Africa's continental mainland Exclusive Economic Zone (EEZ) being 1,074,272 km2. The Prince Edward Islands MPA  which covers 35% of the South Africa's sub-Antarctic EEZ is not included in the calculation of the Marine Biodiversity Protection Index. The ecosystem types for sub-Antarctic territories and surrounding seas will be released as part of the National Biodiversity Assessment in 2019. When this happens the MBPI will be expanded to include the PEI EEZ  in addition to the continental mainland EEZ. Other Effective Area-Based Conservaiton Measures (OECMs) have not yet been defined and mapped in marine environment in South Africa, and are not included in the computations.</t>
  </si>
  <si>
    <t>Aichi target (linked to MBP Index)</t>
  </si>
  <si>
    <t>Percenatge</t>
  </si>
  <si>
    <t>The Marine Biodiversity Protection Index (MBPI) is a biodiversity-related indicator that measure how extensive South Africa's protected areas are and how well they represent the marine ecosystem types.</t>
  </si>
  <si>
    <t>uth Africa's Continental Mainland Exclusive Economic Zone (EEZ) is divided into various ecosystem types. Experts have set a biodiversity target of 20% for each marine ecosystem type. The MBPI is calculated by first determining the extent to which each marine ecosystem type is protected (at each time point) and sums up their extent (area in km2). The extent protected is then compared to the target area for each ecosystem type. Once the biodiversity target has been reached for a particular ecosystem type, additional hectares will not be added to the Index.  This method ensures that large protected areas covering ecosystem types that are already well protected will not unduly influence the Index. MBPI and the total Marine Protected Areas Network is expressed as a percentage of South Africa's continental mainland Exclusive Economic Zone (EEZ) being 1,074,272 km2. The Prince Edward Islands MPA  which covers 35% of the South Africa's sub-Antarctic EEZ is not included in the calculation of the Marine Biodiversity Protection Index. The ecosystem types for sub-Antarctic territories and surrounding seas will be released as part of the National Biodiversity Assessment in 2019. When this happens the MBPI will be expanded to include the PEI EEZ  in addition to the continental mainland EEZ. Other Effective Area-Based Conservaiton Measures (OECMs) have not yet been defined and mapped in marine environment in South Africa, and are not included in the computations.</t>
  </si>
  <si>
    <t xml:space="preserve">The protected areas data sourced is from the Department of Environmental Affairs (DEA) South African Protected Areas Database (SAPAD). The marine ecosystem map is maintained by South African National Biodiversity Institute (SANBI). Territorial Waters and EEZ data were sourced from the South African Navy Hydrographers Office (SANHO).    </t>
  </si>
  <si>
    <t>COMPETITIVE AND ACCESSIBLE MARKETS</t>
  </si>
  <si>
    <t>Table  1</t>
  </si>
  <si>
    <t>Turnover share
of bottom 50% of
firms</t>
  </si>
  <si>
    <t>Turnover share of
top 10% of firms</t>
  </si>
  <si>
    <t>Catering, accomodation and other trade</t>
  </si>
  <si>
    <t>The Gini coefficients of firm turnover measures the distribution of turnover through comparison of cumulative
proportions of firms against cumulative proportions of income they receive. The measures range between 0 in
the case of perfect equality and 1 in the case of perfect inequality. In an industry with perfect equality, the smallest
10% of firms would account for 10% of an industry’s income.</t>
  </si>
  <si>
    <t>Measurement of concentration and participation in the South African economy based on data that are
consistently collected over time by the Competition Commission from its regular business and the collation of
data sourced from SARS, annual reports of firms and data from other organisations.</t>
  </si>
  <si>
    <t>Competition Commission, November 2021. Measuring concentration and participation in the South African
economy: levels and trends.</t>
  </si>
  <si>
    <r>
      <t>Indicator</t>
    </r>
    <r>
      <rPr>
        <sz val="10"/>
        <rFont val="Arial Narrow"/>
        <family val="2"/>
      </rPr>
      <t xml:space="preserve">     </t>
    </r>
  </si>
  <si>
    <t>South Africa Multidimensional poverty Index (SAMPI)</t>
  </si>
  <si>
    <r>
      <t>Category</t>
    </r>
    <r>
      <rPr>
        <sz val="10"/>
        <rFont val="Arial Narrow"/>
        <family val="2"/>
      </rPr>
      <t xml:space="preserve">     </t>
    </r>
  </si>
  <si>
    <t xml:space="preserve">Poverty </t>
  </si>
  <si>
    <t>To reduce the poverty gap and the severity of poverty</t>
  </si>
  <si>
    <t xml:space="preserve">                                               Table:  Povery Measures </t>
  </si>
  <si>
    <t>Headcount (H)</t>
  </si>
  <si>
    <t>Intensity (A)</t>
  </si>
  <si>
    <t>SAMPI score</t>
  </si>
  <si>
    <t>RSA</t>
  </si>
  <si>
    <t>KwaZulu Natal</t>
  </si>
  <si>
    <r>
      <t xml:space="preserve">South African Multidimensional poverty index (SAMPI) :Is a non monetory measure of poverty taking into account the social aspects of poverty besides income and expenditure. The index encompasses the various deprivations experienced of the poor – such as poor health, lack of education, inadequate living standards and unemployment. It defined a combination of access to municipal services, assets and economic activity. </t>
    </r>
    <r>
      <rPr>
        <b/>
        <sz val="10"/>
        <rFont val="Arial Narrow"/>
        <family val="2"/>
      </rPr>
      <t>Headcount</t>
    </r>
    <r>
      <rPr>
        <sz val="10"/>
        <rFont val="Arial Narrow"/>
        <family val="2"/>
      </rPr>
      <t xml:space="preserve"> is the proportion of households defined as multidimensionally poor using the poverty cut-off. </t>
    </r>
    <r>
      <rPr>
        <b/>
        <sz val="10"/>
        <rFont val="Arial Narrow"/>
        <family val="2"/>
      </rPr>
      <t>Intensity of the poverty</t>
    </r>
    <r>
      <rPr>
        <sz val="10"/>
        <rFont val="Arial Narrow"/>
        <family val="2"/>
      </rPr>
      <t xml:space="preserve"> is defined as the average proportion of indicators in which poor households are deprived.</t>
    </r>
  </si>
  <si>
    <t>The South African MPI: Creating a multidimensional poverty index using census data, StatsSA</t>
  </si>
  <si>
    <t>Notes on calculations</t>
  </si>
  <si>
    <t xml:space="preserve">SAMPI score is derived from the product of the headcount, known as H and the intensity of the poverty experienced, known as A. The SAMPI is not intended to replace the poverty headcounts and gaps produced by Stats SA using the national poverty lines that have been developed . SAMPI should rather be seen as a complementary measure to these money-metric measures. </t>
  </si>
  <si>
    <t>Poverty headcount index</t>
  </si>
  <si>
    <t>Poverty and inequality</t>
  </si>
  <si>
    <t xml:space="preserve">Eliminate income poverty </t>
  </si>
  <si>
    <t>Poverty Headcount Index</t>
  </si>
  <si>
    <t>Percentage of the population that is UBPL poor</t>
  </si>
  <si>
    <t>Number of UBPL poor persons (in millions)</t>
  </si>
  <si>
    <t>Percentage of the population that is LBPL poor</t>
  </si>
  <si>
    <t>Number of LBPL poor persons (in millions)</t>
  </si>
  <si>
    <t>Percentage of the population living in extreme poverty (below FPL)</t>
  </si>
  <si>
    <t>Number of extremely poor persons (in millions)</t>
  </si>
  <si>
    <t>Percentage.</t>
  </si>
  <si>
    <t xml:space="preserve">Poverty headcount index is the share of the population whose in-kind consumption is below the upper bound poverty line; that is, the share of the population that cannot meet its basic needs (this is also referred to as P0).
</t>
  </si>
  <si>
    <t>Poverty trends in South Africa: An examination of absolute poverty between 2006 and 2015/ Statistics South Africa, 2017.</t>
  </si>
  <si>
    <t xml:space="preserve">The upper bound poverty line was used to determine the poverty headcount index. Cost of goods (food, clothing, etc.) and services (taxi fare, electricity, etc.), as well as consumption patterns are key drivers in the design of the poverty lines. The prices of goods and services are expected to change over time, though in different ways and at different rates. With time, changes in the cost of living affect purchasing power or value implied by poverty lines. To maintain integrity in the absolute poverty lines, two types of updates are required. These include adjustments by means of inflation index (updating happens annually based on CPI data) or construction of new lines (done once every five years based on new household expenditure data collected through an IES or LCS). </t>
  </si>
  <si>
    <t>POVERTY HEADCOUNT INDEX</t>
  </si>
  <si>
    <t>Inequality measures</t>
  </si>
  <si>
    <t>To reduce income inequality to 0.6 by 2030</t>
  </si>
  <si>
    <t>NIDS</t>
  </si>
  <si>
    <t>Gini coefficient</t>
  </si>
  <si>
    <t xml:space="preserve"> Income</t>
  </si>
  <si>
    <t>Coloured</t>
  </si>
  <si>
    <t xml:space="preserve"> Expenditure</t>
  </si>
  <si>
    <t>Theil (0)</t>
  </si>
  <si>
    <t>Within-Race</t>
  </si>
  <si>
    <t>Expenditure</t>
  </si>
  <si>
    <t>Between-Share</t>
  </si>
  <si>
    <t>Income</t>
  </si>
  <si>
    <t>Between-Race</t>
  </si>
  <si>
    <t>Theil (1)</t>
  </si>
  <si>
    <t>Gini Coefficient by province</t>
  </si>
  <si>
    <t xml:space="preserve">Gauteng </t>
  </si>
  <si>
    <t>0.70</t>
  </si>
  <si>
    <t>0.68</t>
  </si>
  <si>
    <t>0.67</t>
  </si>
  <si>
    <t>0.65</t>
  </si>
  <si>
    <t>0.71</t>
  </si>
  <si>
    <t>0.62</t>
  </si>
  <si>
    <t>0.61</t>
  </si>
  <si>
    <t>0.60</t>
  </si>
  <si>
    <t>0.63</t>
  </si>
  <si>
    <t>0.54</t>
  </si>
  <si>
    <t>0.58</t>
  </si>
  <si>
    <t>0.56</t>
  </si>
  <si>
    <t>0.53</t>
  </si>
  <si>
    <t>0.55</t>
  </si>
  <si>
    <t>0.59</t>
  </si>
  <si>
    <t>0.45</t>
  </si>
  <si>
    <t>0.50</t>
  </si>
  <si>
    <t>0.44</t>
  </si>
  <si>
    <t>0.51</t>
  </si>
  <si>
    <t>0.49</t>
  </si>
  <si>
    <t>0.48</t>
  </si>
  <si>
    <t>0.47</t>
  </si>
  <si>
    <t>0.43</t>
  </si>
  <si>
    <t>Gini (per capita income)</t>
  </si>
  <si>
    <t>Gini (per capita expenditure)</t>
  </si>
  <si>
    <t xml:space="preserve">Gini coefficient measures the inequality as a proportion of its theoretical maximum. The Gini coefficient can range from 0 (no inequality) to one (complete inequality).            </t>
  </si>
  <si>
    <t>National Income Dynamic Survey, 2017.</t>
  </si>
  <si>
    <t>The NIDS data for wave 1 were collected in 2008, while the data for wave 2 were collected in 2010 and 2011. The wave 2 data have first been adjusted for "within-wave" inflation, before being adjusted to their real 2011 values. The welfare measure used here is real household income per capita. For the purposes of comparison, household income excludes implied rental income from owner-occupied housing. All observations are weighted using the post-stratification weights that were released along with the data in both waves. Despite NIDS being a panel, we treat both waves as cross-sections in this analysis. The wave 2 data contained some extremely large outliers in the post-stratified weight variable, and the 5 highest values were omitted from the analysis of this data due to their extremely large influence on some of the findings. The PPP Dollar poverty lines of $1.25/day and $2/day correspond to monthly poverty lines of R191 and R305 in constant 2011 rands respectively.
For the LCS and IES expenditure does not include taxes while income encompasses wages, social grants and salaries at constant 2011 prices</t>
  </si>
  <si>
    <t>Poverty gap analysis: Poverty Gap Index (P1) and Squared Poverty Gap Index (P2)</t>
  </si>
  <si>
    <t>P1: Poverty Gap</t>
  </si>
  <si>
    <t xml:space="preserve">P2: Severity of poverty </t>
  </si>
  <si>
    <t xml:space="preserve">Percentage. </t>
  </si>
  <si>
    <t xml:space="preserve">Depth of poverty (P1) is based on how far below the poverty line the average income, i.e. how deep their poverty is. This provides the mean distance of the population from the poverty line relative to the poverty line. Severity of poverty (P2) is based on the square of the gap between the poverty line and the incomes of the poor, thus it gives great weight to those who are most deeply in poverty. This takes into account not only the distance separating the population from the poverty line (the poverty gap), but also the inequality among the poor. That is, a higher weight is placed on those households/individuals who are further away from the poverty line. </t>
  </si>
  <si>
    <t xml:space="preserve">Household expenditure surveys used, like the Income and Expenditure Survey (IES) And Living Conditions Survey (LCS). 
</t>
  </si>
  <si>
    <r>
      <rPr>
        <b/>
        <sz val="10"/>
        <color indexed="10"/>
        <rFont val="Arial"/>
        <family val="2"/>
      </rPr>
      <t>Indicator</t>
    </r>
    <r>
      <rPr>
        <sz val="10"/>
        <rFont val="Arial"/>
        <family val="2"/>
      </rPr>
      <t xml:space="preserve">     </t>
    </r>
  </si>
  <si>
    <t>UN Police to Population Ratio</t>
  </si>
  <si>
    <r>
      <rPr>
        <b/>
        <sz val="10"/>
        <color indexed="10"/>
        <rFont val="Arial"/>
        <family val="2"/>
      </rPr>
      <t>Category</t>
    </r>
    <r>
      <rPr>
        <sz val="10"/>
        <rFont val="Arial"/>
        <family val="2"/>
      </rPr>
      <t xml:space="preserve">     </t>
    </r>
  </si>
  <si>
    <t>Public safety</t>
  </si>
  <si>
    <t xml:space="preserve">To builder safer communities by resourcing Police services </t>
  </si>
  <si>
    <t>2005/6</t>
  </si>
  <si>
    <t xml:space="preserve">SAPS Population ratio per </t>
  </si>
  <si>
    <t>Number of Stations</t>
  </si>
  <si>
    <t>1 123</t>
  </si>
  <si>
    <t>1 137</t>
  </si>
  <si>
    <t>1 138</t>
  </si>
  <si>
    <t>1 140</t>
  </si>
  <si>
    <t>Total number of Establishment</t>
  </si>
  <si>
    <t>195 000</t>
  </si>
  <si>
    <t>193 892</t>
  </si>
  <si>
    <t>194 853</t>
  </si>
  <si>
    <t>192 742</t>
  </si>
  <si>
    <t>194 730</t>
  </si>
  <si>
    <t>194 605</t>
  </si>
  <si>
    <t>193 297</t>
  </si>
  <si>
    <t>182 120</t>
  </si>
  <si>
    <t>182 126</t>
  </si>
  <si>
    <t>SAPS Personnel</t>
  </si>
  <si>
    <t>129 721</t>
  </si>
  <si>
    <t>137 079</t>
  </si>
  <si>
    <t>145 170</t>
  </si>
  <si>
    <t>139 901</t>
  </si>
  <si>
    <t xml:space="preserve">PSA Act personnel </t>
  </si>
  <si>
    <t>37 873</t>
  </si>
  <si>
    <t xml:space="preserve">Total crimes </t>
  </si>
  <si>
    <t>Ratio of all Police officers per 10 000 South African population/inhabitants</t>
  </si>
  <si>
    <t>UN Police to Population Ratio reduces everything to common denominator that enables one to make comparisons with other countries in terms number of police to acquire to be able to be resourcefully aligned to combta crime efficiently.</t>
  </si>
  <si>
    <t>Civillian Secretary of Police</t>
  </si>
  <si>
    <t xml:space="preserve">South Africa Police Annual Report </t>
  </si>
  <si>
    <r>
      <rPr>
        <b/>
        <sz val="10"/>
        <color indexed="10"/>
        <rFont val="Arial"/>
        <family val="2"/>
      </rPr>
      <t>Indicator</t>
    </r>
    <r>
      <rPr>
        <sz val="11"/>
        <color theme="1"/>
        <rFont val="Calibri"/>
        <family val="2"/>
        <scheme val="minor"/>
      </rPr>
      <t xml:space="preserve">     </t>
    </r>
  </si>
  <si>
    <t>Victims of crime</t>
  </si>
  <si>
    <r>
      <rPr>
        <b/>
        <sz val="10"/>
        <color indexed="10"/>
        <rFont val="Arial"/>
        <family val="2"/>
      </rPr>
      <t>Category</t>
    </r>
    <r>
      <rPr>
        <sz val="11"/>
        <color theme="1"/>
        <rFont val="Calibri"/>
        <family val="2"/>
        <scheme val="minor"/>
      </rPr>
      <t xml:space="preserve">     </t>
    </r>
  </si>
  <si>
    <t>Perception of crime among the population managed and improved</t>
  </si>
  <si>
    <t>Table 1 : PERCENTAGE OF HOUSEHOLDS WHO FEEL SAFE WALKING ALONE IN THEIR AREA DURING THE DAY AND WHEN IT IS DARK</t>
  </si>
  <si>
    <t>Safe during the day</t>
  </si>
  <si>
    <t>Safe at night</t>
  </si>
  <si>
    <t xml:space="preserve">Table 2 : PERCEPTION OF CHANGES IN VIOLENT CRIME LEVELS DURING THE PERIOD 2010 TO 2016 IN THE HOUSEHOLD’S PLACE OF RESIDENCE BY PROVINCE </t>
  </si>
  <si>
    <t>2010-2013</t>
  </si>
  <si>
    <t>2011-2014</t>
  </si>
  <si>
    <t>Stayed 
the same</t>
  </si>
  <si>
    <t>Increased</t>
  </si>
  <si>
    <t>Decreased</t>
  </si>
  <si>
    <t xml:space="preserve">No New Data points as survey Questionnaire not asked </t>
  </si>
  <si>
    <t xml:space="preserve">Free State </t>
  </si>
  <si>
    <t xml:space="preserve">KwaZulu-Natal </t>
  </si>
  <si>
    <t xml:space="preserve">Mpumalanga </t>
  </si>
  <si>
    <t xml:space="preserve">Northern Cape </t>
  </si>
  <si>
    <t xml:space="preserve">Table 3 : </t>
  </si>
  <si>
    <t>The percentage of individuals who felt safe walking alone in their areas of residence</t>
  </si>
  <si>
    <t xml:space="preserve">No New Data points </t>
  </si>
  <si>
    <t xml:space="preserve">Table 4 </t>
  </si>
  <si>
    <t xml:space="preserve">Percentage of Households 'satisfaction with the way in which Courts generally deal with perpetrators of crime by Province </t>
  </si>
  <si>
    <t>Percentages</t>
  </si>
  <si>
    <t xml:space="preserve">VoCS 2015/16 covers estimates of crimes as from April 2015 to March 2016 thus covering full years that previous surveys. Data collection for VoCS 2011 and 2012 were conducted from January to March of that year and referred to incidents of crime experienced during the previous year ( January to December). Since 2013, StatsSA has changed the data collection methodology to continuous data collection. Data collection for 2013/14 started in April 2012 and concluded in March 2014 with reference to the crimes that were experienced during the past twelve months (April 2012 to February 2014). The period is referred to as the moving reference period, this is different from 2011 and 2012 collection which were done from January to March and had a fixed reference period from January to December of the previous year. Sample has been distributed evenly over the collection period in the form of quarterly allocations. VoCS 2013/14 is comparable to the previous years VOCS in that several questions have remained unchanged over time. </t>
  </si>
  <si>
    <t>Crime Rate</t>
  </si>
  <si>
    <t xml:space="preserve">To builder safer communities by reducing serious crime </t>
  </si>
  <si>
    <t>All crimes rate - per 100 000 of population</t>
  </si>
  <si>
    <t>Property Crimes</t>
  </si>
  <si>
    <t>Contact Crimes</t>
  </si>
  <si>
    <t>Theft and commercial crime</t>
  </si>
  <si>
    <t>Damage to property and arson</t>
  </si>
  <si>
    <t>Ratio of all crimes per 100 000 of the population</t>
  </si>
  <si>
    <t>Crime rate is a serious crimes as a combination of contact crimes, contact related crimes, property crimes and Theft and commercial crime. Crimes dependent on police action were previously measured under this category, but from 14/15 onwards crimes dependent on police action will be measured separately. Statistics on firearms, alcohol and drugs are not included in these totals; these types of crime are mostly detected as a result of police action.</t>
  </si>
  <si>
    <t>South African Police Service (SAPS) annual reports and Crime Statistics 2018/19  * CRIME TARGETS WERE REVISITED</t>
  </si>
  <si>
    <t>The graph is based on change-over-time series using 1994/95 as base year for calculating change over time, while the table uses ratio of crimes committed per 100 000 of the population.
Line on fire arms, alcohol and drugs has been omitted as there crimes are more dependent of police action and are not reported under serious crimes.</t>
  </si>
  <si>
    <t xml:space="preserve">Property-related crime </t>
  </si>
  <si>
    <t>To reduce the levels of property-related crime</t>
  </si>
  <si>
    <t>Property-Related Crime rate - per 100 000 of population</t>
  </si>
  <si>
    <t xml:space="preserve">Residential burglary </t>
  </si>
  <si>
    <t>Non-residential burglary</t>
  </si>
  <si>
    <t>Theft of motor vehicle</t>
  </si>
  <si>
    <t>Theft out of or from motor vehicle</t>
  </si>
  <si>
    <t>Stock theft</t>
  </si>
  <si>
    <t xml:space="preserve">Data format </t>
  </si>
  <si>
    <t>Ratio of property-related  crimes per 100 000 of the population based on the 2015 mid-year population estimates</t>
  </si>
  <si>
    <t>property-related crime is made up of burglary residential and business, theft of and out of motor vehicle and stock theft</t>
  </si>
  <si>
    <t>SAPS annual reports and Crime Statistics</t>
  </si>
  <si>
    <t>The graph is based on change-over-time series using 1994/95 as base year for calculating change over time, while the table uses ratio of crimes committed per 100 000 of the population.</t>
  </si>
  <si>
    <t>Property Crime rate - per 100 000 of population</t>
  </si>
  <si>
    <t>Theft out of vehicle</t>
  </si>
  <si>
    <t>Theft of motot vehicle</t>
  </si>
  <si>
    <t>To reduce contact crime</t>
  </si>
  <si>
    <t>Contact Crimes rate - per 100 000 of population</t>
  </si>
  <si>
    <t>Social Contact crimes</t>
  </si>
  <si>
    <t>Murder</t>
  </si>
  <si>
    <t>Attempted Murder</t>
  </si>
  <si>
    <t>Common Assault</t>
  </si>
  <si>
    <t>Assault Grievous Body Harm</t>
  </si>
  <si>
    <t>Sexual Offences</t>
  </si>
  <si>
    <t>Aggravated Robbery</t>
  </si>
  <si>
    <t>Common Robbery</t>
  </si>
  <si>
    <t>Ratio of contact crimes per 100 000 of the population</t>
  </si>
  <si>
    <t>the category of contact crime is made up of murder, attempted murder aggravated robbery , common robbery, assault causing grievous bodily harm (GBH), common and sexual offences</t>
  </si>
  <si>
    <t>SAPS annual reports and Crime Statistics 2018/19</t>
  </si>
  <si>
    <t>Aggravated robberies</t>
  </si>
  <si>
    <t>To reduce level of aggravated robberies</t>
  </si>
  <si>
    <t>Selected aggravated robberies - reported cases</t>
  </si>
  <si>
    <t xml:space="preserve">% Change </t>
  </si>
  <si>
    <t>Carjacking</t>
  </si>
  <si>
    <t>Truck jacking</t>
  </si>
  <si>
    <t>Robbery of cash in transit(CIT)</t>
  </si>
  <si>
    <t>Common Robberies</t>
  </si>
  <si>
    <t>Bank robbery</t>
  </si>
  <si>
    <t>Robbery at residential premises</t>
  </si>
  <si>
    <t>Robbery at non-residential premises</t>
  </si>
  <si>
    <t>Number of organised crimes</t>
  </si>
  <si>
    <t xml:space="preserve">Aggravated robberies refers to cases of armed robbery, and the trio crimes </t>
  </si>
  <si>
    <t xml:space="preserve">SAPS annual reports and Crime Statistics </t>
  </si>
  <si>
    <t>The graph is based on change-over-time series using 2004/05 as base year for calculating change over time, while the table uses number of reported cases for selected crimes.</t>
  </si>
  <si>
    <t>2007/8</t>
  </si>
  <si>
    <t>Robbery of cash in transit</t>
  </si>
  <si>
    <t xml:space="preserve">Drug-Related Crime </t>
  </si>
  <si>
    <t>To increase the reported crimes for unlawful possession of and dealing in drugs</t>
  </si>
  <si>
    <t>Reported Cases</t>
  </si>
  <si>
    <t>Reported cases</t>
  </si>
  <si>
    <t>Crime Ratio per 100 000 of the population</t>
  </si>
  <si>
    <t>Crime ratio</t>
  </si>
  <si>
    <t>Percentage difference on reported cases</t>
  </si>
  <si>
    <t>2003/04-2004/05</t>
  </si>
  <si>
    <t>2004/05-2005/06</t>
  </si>
  <si>
    <t>2005/06-2006/07</t>
  </si>
  <si>
    <t>2006/07-2007/08</t>
  </si>
  <si>
    <t>2007/08-2008/09</t>
  </si>
  <si>
    <t>2008/09-2009/10</t>
  </si>
  <si>
    <t>2009/10-2010/11</t>
  </si>
  <si>
    <t>2010/11-2011/12</t>
  </si>
  <si>
    <t>2011/12-2012/13</t>
  </si>
  <si>
    <t>2012/13-2013/14</t>
  </si>
  <si>
    <t>2013/14-2014/15</t>
  </si>
  <si>
    <t>2014/15-2015/16</t>
  </si>
  <si>
    <t>2015/16 - 2016/17</t>
  </si>
  <si>
    <t>2016/17-2017/18</t>
  </si>
  <si>
    <t>2017/18-2018/19</t>
  </si>
  <si>
    <t>2018/19-2019/20</t>
  </si>
  <si>
    <t>2019/20-2020/21</t>
  </si>
  <si>
    <t>2020/21-2021/22</t>
  </si>
  <si>
    <t>Ratio of Drug-related crime per 100 000 of the population</t>
  </si>
  <si>
    <t>Drug-related crimes include possession, usage, handling, dealing, smuggling and manufacturing.</t>
  </si>
  <si>
    <t>Financial year</t>
  </si>
  <si>
    <t>Drug-related crime reported per 100 000 population</t>
  </si>
  <si>
    <t xml:space="preserve">Sexual Offences </t>
  </si>
  <si>
    <t>To reduce the overall level of sexual offences</t>
  </si>
  <si>
    <t>2003/4-2004/5</t>
  </si>
  <si>
    <t>2004/5- 2005/6</t>
  </si>
  <si>
    <t>2005/6-2006/7</t>
  </si>
  <si>
    <t>2006/7- 2007/8</t>
  </si>
  <si>
    <t>2007/8- 2008/9</t>
  </si>
  <si>
    <t>2008/9- 2009/10</t>
  </si>
  <si>
    <t>2015/16-2016/17</t>
  </si>
  <si>
    <t>2018/19 - 2019/20</t>
  </si>
  <si>
    <t>2019/20 - 2020/21</t>
  </si>
  <si>
    <t>2019/20 - 2021/22</t>
  </si>
  <si>
    <t>Ratio of Sexual offenses  per 100 000 of the population</t>
  </si>
  <si>
    <t>Sexual offences are defined by Criminal Law (Sexual Offences and Related Matters) Amendment Act, 2007 (Act 32 of 2007).. Sexual offences is a category of crime which includes rape , sexual assault, contact sexual assault  and sexual offences due to police action</t>
  </si>
  <si>
    <t> Financial Years</t>
  </si>
  <si>
    <t>Sexual offences reported per 100 000 population</t>
  </si>
  <si>
    <r>
      <rPr>
        <b/>
        <sz val="10"/>
        <color indexed="10"/>
        <rFont val="Arial"/>
        <family val="2"/>
      </rPr>
      <t>Indicator</t>
    </r>
    <r>
      <rPr>
        <b/>
        <sz val="10"/>
        <rFont val="Arial"/>
        <family val="2"/>
      </rPr>
      <t xml:space="preserve">     </t>
    </r>
  </si>
  <si>
    <t>Specialised  Cyber-related crime investigations</t>
  </si>
  <si>
    <r>
      <rPr>
        <b/>
        <sz val="10"/>
        <color indexed="10"/>
        <rFont val="Arial"/>
        <family val="2"/>
      </rPr>
      <t>Category</t>
    </r>
    <r>
      <rPr>
        <b/>
        <sz val="10"/>
        <rFont val="Arial"/>
        <family val="2"/>
      </rPr>
      <t xml:space="preserve">     </t>
    </r>
  </si>
  <si>
    <t>Safer Communities</t>
  </si>
  <si>
    <t>Specialised  Cyber-related crime successfully  investigated</t>
  </si>
  <si>
    <t>Successfully investigated 65 percent or higher - To measure whether Cyber- related crimes dealt with by the DPCI</t>
  </si>
  <si>
    <t>Table 1: Number of Cyber-related crime cases successfully investigated</t>
  </si>
  <si>
    <t>Cyber-Related crimes</t>
  </si>
  <si>
    <t>Year on Year change</t>
  </si>
  <si>
    <t>Percentage of specialised cyber-related crime investigative support case files successfully investigated, within 90 calendar days</t>
  </si>
  <si>
    <t xml:space="preserve">Number of Cases successfully investigated </t>
  </si>
  <si>
    <t>125/182</t>
  </si>
  <si>
    <t>93/207</t>
  </si>
  <si>
    <t>48/130</t>
  </si>
  <si>
    <t>104/130</t>
  </si>
  <si>
    <t>73/91</t>
  </si>
  <si>
    <t>67/103</t>
  </si>
  <si>
    <t>53/66</t>
  </si>
  <si>
    <t xml:space="preserve">     Table 2 : Assets forfeiture and Freeze Assets</t>
  </si>
  <si>
    <t>Convictions Rates</t>
  </si>
  <si>
    <t xml:space="preserve">Number of Verdicts </t>
  </si>
  <si>
    <t>Number of Cyber-related crimes investigated usefully and convicted, percentage and number of cases</t>
  </si>
  <si>
    <r>
      <rPr>
        <b/>
        <sz val="10"/>
        <color theme="1"/>
        <rFont val="Arial"/>
        <family val="2"/>
      </rPr>
      <t>Cyber-related crime -</t>
    </r>
    <r>
      <rPr>
        <sz val="10"/>
        <color theme="1"/>
        <rFont val="Arial"/>
        <family val="2"/>
      </rPr>
      <t xml:space="preserve"> The percentage indicator relates to the successfully provisioning of an investigative report on the investigation of Specialised </t>
    </r>
    <r>
      <rPr>
        <b/>
        <sz val="10"/>
        <color theme="1"/>
        <rFont val="Arial"/>
        <family val="2"/>
      </rPr>
      <t>Cyber-Related Crimes Investigate Support Case File</t>
    </r>
    <r>
      <rPr>
        <sz val="10"/>
        <color theme="1"/>
        <rFont val="Arial"/>
        <family val="2"/>
      </rPr>
      <t xml:space="preserve"> (</t>
    </r>
    <r>
      <rPr>
        <b/>
        <sz val="10"/>
        <color theme="1"/>
        <rFont val="Arial"/>
        <family val="2"/>
      </rPr>
      <t>SCRCISF</t>
    </r>
    <r>
      <rPr>
        <sz val="10"/>
        <color theme="1"/>
        <rFont val="Arial"/>
        <family val="2"/>
      </rPr>
      <t>) within a predetermined period. Cyber-related crime refers to internet-related fraud and incident contravening the</t>
    </r>
    <r>
      <rPr>
        <b/>
        <sz val="10"/>
        <color theme="1"/>
        <rFont val="Arial"/>
        <family val="2"/>
      </rPr>
      <t xml:space="preserve"> Electronic Communications and Transactions (ECT) Act,2002</t>
    </r>
    <r>
      <rPr>
        <sz val="10"/>
        <color theme="1"/>
        <rFont val="Arial"/>
        <family val="2"/>
      </rPr>
      <t xml:space="preserve"> (Act No.25 of 2002). The content of the investigative report on the investigation of SCRCISF enables the detection, prevention, prevention, combatting and or investigation of cyber-related crime by investigative components. The request for specialised investigative support is finalised (successfully completed) when an investigative report has been finalised and the case file has been closed. Successfully finalised does not imply that a positive link to a crime was detected. </t>
    </r>
    <r>
      <rPr>
        <b/>
        <sz val="10"/>
        <color theme="1"/>
        <rFont val="Arial"/>
        <family val="2"/>
      </rPr>
      <t xml:space="preserve"> </t>
    </r>
    <r>
      <rPr>
        <sz val="10"/>
        <color theme="1"/>
        <rFont val="Arial"/>
        <family val="2"/>
      </rPr>
      <t xml:space="preserve">
</t>
    </r>
    <r>
      <rPr>
        <b/>
        <sz val="10"/>
        <color theme="1"/>
        <rFont val="Arial"/>
        <family val="2"/>
      </rPr>
      <t xml:space="preserve">Method of measurement: </t>
    </r>
    <r>
      <rPr>
        <sz val="10"/>
        <color theme="1"/>
        <rFont val="Arial"/>
        <family val="2"/>
      </rPr>
      <t xml:space="preserve">The number of enquiries finalised within 90 Calendar days, divided by the number of enquiries finalised (during the reporting period) which exceed the 90 days calendar day period, multiplied by 100, therefore, expressed as percentage. </t>
    </r>
    <r>
      <rPr>
        <b/>
        <sz val="10"/>
        <color theme="1"/>
        <rFont val="Arial"/>
        <family val="2"/>
      </rPr>
      <t xml:space="preserve">
Cyber-related crime - R</t>
    </r>
    <r>
      <rPr>
        <sz val="10"/>
        <color theme="1"/>
        <rFont val="Arial"/>
        <family val="2"/>
      </rPr>
      <t>eported Quarterly, Bi-Annually and Annually</t>
    </r>
  </si>
  <si>
    <t xml:space="preserve">Reporting period </t>
  </si>
  <si>
    <t>Quarterly, Bi-annually and Annual. Quarter (Q)1 = Q1; Q1+Q2=Q2; Q1+Q2+Q3+Q4=Annual. Record of all of all the SCRCISF closed during the reporting period, which is inclusive of initial request date, the finalisation date of the request and the outcome of the service request. Relevant schedule and data dump. Assumptions: The Accuracy of the performance data generated by the Case Control Database, is dependent on the accurate of the performance data.</t>
  </si>
  <si>
    <t xml:space="preserve">  National Head of Directorate of Public Prosecution Investigation (DPCI). The data start 2021/22 Financial Year</t>
  </si>
  <si>
    <t>Corruption in public and private sector</t>
  </si>
  <si>
    <t>Corruption combatted and reduced</t>
  </si>
  <si>
    <t>Reduced corruption by 50% in 2024 - To measure whether serious corruption is being successfully dealt with by the JCPS</t>
  </si>
  <si>
    <t>Table 1: Number of persons convicted on Priority Corruption cases enrolled</t>
  </si>
  <si>
    <t>Corruption Cases</t>
  </si>
  <si>
    <t>Persons Convicted with Priority Corruption cases enrolled</t>
  </si>
  <si>
    <t>Government officials convicted</t>
  </si>
  <si>
    <t>Freeze Assets completed</t>
  </si>
  <si>
    <t xml:space="preserve">Target of Freeze Orders enrolled </t>
  </si>
  <si>
    <t xml:space="preserve">Number of persons convicted, Percentage and Rands </t>
  </si>
  <si>
    <r>
      <rPr>
        <b/>
        <sz val="10"/>
        <color theme="1"/>
        <rFont val="Arial"/>
        <family val="2"/>
      </rPr>
      <t>Corruption</t>
    </r>
    <r>
      <rPr>
        <sz val="10"/>
        <color theme="1"/>
        <rFont val="Arial"/>
        <family val="2"/>
      </rPr>
      <t xml:space="preserve"> should be understood as the misuse of public and private office or position or resources with a corrupt intent, and may include acts of bribery, nepotism, extortion, fraud and theft and any offence committed in terms of the Prevention and Combating of Corrupt Activities Act, 12 of 2004 either as main charge or as the alternative charge. 
</t>
    </r>
    <r>
      <rPr>
        <b/>
        <sz val="10"/>
        <color theme="1"/>
        <rFont val="Arial"/>
        <family val="2"/>
      </rPr>
      <t xml:space="preserve">Method of measurement: </t>
    </r>
    <r>
      <rPr>
        <sz val="10"/>
        <color theme="1"/>
        <rFont val="Arial"/>
        <family val="2"/>
      </rPr>
      <t xml:space="preserve">Conviction of persons for the offence of corruption and/or offences relating to corruption where the amount involved exceeds R5 million per case: Each person convicted of corruption and/or offences related to corruption in the reporting period is counted (where the amount involved in the case exceeds R5 million); Number of government officials convicted for corruption or offences related to corruption: The total number of </t>
    </r>
    <r>
      <rPr>
        <b/>
        <sz val="10"/>
        <color theme="1"/>
        <rFont val="Arial"/>
        <family val="2"/>
      </rPr>
      <t>government officials</t>
    </r>
    <r>
      <rPr>
        <sz val="10"/>
        <color theme="1"/>
        <rFont val="Arial"/>
        <family val="2"/>
      </rPr>
      <t xml:space="preserve"> (or former officials) convicted of corruption in the reporting period is counted; Number of persons convicted of private sector corruption: Simple count of persons/companies convicted of private sector corruption
Assets forfeiture and Freeze Assets </t>
    </r>
  </si>
  <si>
    <r>
      <rPr>
        <b/>
        <sz val="10"/>
        <rFont val="Arial"/>
        <family val="2"/>
      </rPr>
      <t>Priority Corruption Case</t>
    </r>
    <r>
      <rPr>
        <sz val="10"/>
        <rFont val="Arial"/>
        <family val="2"/>
      </rPr>
      <t xml:space="preserve">
A priority corruption case is a case identified by each DPP for fast tracking as well as cases identified in consultation with DPCI for prioritisation including those identified by the ACTT to be dealt with in accordance with the Terms of Reference of the ACTT. Identified priority corruption cases should have impact on the reduction of corruption in the country.</t>
    </r>
  </si>
  <si>
    <t>Department of  National Prosecuting Authority, Anti-Corruption Task Team and Department of Justice and Constitutional Development. The data start 2011/12 Financial Years</t>
  </si>
  <si>
    <t>Conviction rate</t>
  </si>
  <si>
    <t>National Prosecuting Authority</t>
  </si>
  <si>
    <t>To ensure successful prosecution</t>
  </si>
  <si>
    <t xml:space="preserve">National Prosecuting Authority (NPA) data </t>
  </si>
  <si>
    <t>All criminal courts</t>
  </si>
  <si>
    <t>New cases in court</t>
  </si>
  <si>
    <t>LC</t>
  </si>
  <si>
    <t>HC</t>
  </si>
  <si>
    <t>Finalised cases</t>
  </si>
  <si>
    <t>2.2.1</t>
  </si>
  <si>
    <t>Verdict cases</t>
  </si>
  <si>
    <t>2.2.1.1</t>
  </si>
  <si>
    <t>Convictions</t>
  </si>
  <si>
    <t>2.2.2</t>
  </si>
  <si>
    <t>ADRM</t>
  </si>
  <si>
    <t>diversions</t>
  </si>
  <si>
    <t>CJA</t>
  </si>
  <si>
    <t>mediations</t>
  </si>
  <si>
    <t>105 789</t>
  </si>
  <si>
    <t>Cases remaining in the system</t>
  </si>
  <si>
    <t>Table 2          Various ratios</t>
  </si>
  <si>
    <t>District courts</t>
  </si>
  <si>
    <t>Regional courts</t>
  </si>
  <si>
    <t>High courts</t>
  </si>
  <si>
    <t xml:space="preserve">Number and percentage </t>
  </si>
  <si>
    <r>
      <t xml:space="preserve">The indicator displays the successful prosecution of cases. </t>
    </r>
    <r>
      <rPr>
        <b/>
        <sz val="10"/>
        <rFont val="Arial"/>
        <family val="2"/>
      </rPr>
      <t>Conviction rate</t>
    </r>
    <r>
      <rPr>
        <sz val="10"/>
        <rFont val="Arial"/>
        <family val="2"/>
      </rPr>
      <t xml:space="preserve"> is defined as the percentage of cases finalised with a verdict in which a guilty verdict was obtained - different targets are set for different forums. ADRM is Alternative Dispute Resolution Methods. </t>
    </r>
    <r>
      <rPr>
        <b/>
        <sz val="10"/>
        <rFont val="Arial"/>
        <family val="2"/>
      </rPr>
      <t>Cases finalised</t>
    </r>
    <r>
      <rPr>
        <sz val="10"/>
        <rFont val="Arial"/>
        <family val="2"/>
      </rPr>
      <t xml:space="preserve"> includes verdict cases and ADRM. </t>
    </r>
  </si>
  <si>
    <t xml:space="preserve">Table 1 and Table 2 data sourced from National Prosecuting Authority Annual 2018/19 report. The 2018 publication will show the different levels of courts(District, Regional and High Courts) for annual performances. Cases removed from the Roll and cases disposed are no longer reported by NPA </t>
  </si>
  <si>
    <r>
      <rPr>
        <sz val="10"/>
        <color theme="1"/>
        <rFont val="Arial"/>
        <family val="2"/>
      </rPr>
      <t>2.2.1 (Verdict cases) + 2.2.2 (ADRM) = 2.2 (Finalised cases) . 2.2.1.1 (Convictions) + Acquittals(</t>
    </r>
    <r>
      <rPr>
        <i/>
        <sz val="10"/>
        <color theme="1"/>
        <rFont val="Arial"/>
        <family val="2"/>
      </rPr>
      <t>Not presented here</t>
    </r>
    <r>
      <rPr>
        <sz val="10"/>
        <color theme="1"/>
        <rFont val="Arial"/>
        <family val="2"/>
      </rPr>
      <t>) = 2.2.1 (Verdict cases)
The ADRM includes  Diversions, Informal Mediations and  Child Justice Act diversions.
The definition of number of verdict cases has been amended from 2009/10 to regard Section 57A payments as convictions.</t>
    </r>
  </si>
  <si>
    <t xml:space="preserve">Total number of inmates </t>
  </si>
  <si>
    <t>Safe and humane incarceration</t>
  </si>
  <si>
    <t>Community safety</t>
  </si>
  <si>
    <t>Number of inmates in correctional facilities (correctional centres and remand detention facilities)</t>
  </si>
  <si>
    <t>Sentenced Offenders</t>
  </si>
  <si>
    <t>Unsentenced Inmates</t>
  </si>
  <si>
    <t>Percentage (%)</t>
  </si>
  <si>
    <t>Female inmates</t>
  </si>
  <si>
    <t>Male inmates</t>
  </si>
  <si>
    <t>Number</t>
  </si>
  <si>
    <t xml:space="preserve">The Department is responsible to keep inmates detained in correctional facilities in safe custody until they are legally released.  During the period of incarceration, offenders have access to services and programmes in line with their CSP for optimal rehabilitation and social reintegration.  While adhering to its mandate, the Department acknowledges the fundamental rights of inmates, which are embodied in the law and in particular the Constitution and the Correctional Services Act (Act No. 111 of 1998).  The Department is also committed to maintaining universally acceptable standards and norms with regard to the treatment of inmates as set out in The Mandela Rules (also known as the Standard Minimum Rules for the Treatment of Prisoners).  Remand detainees are classified as unsentenced inmates consisting of those in pre-trial (bail application phase), in trial, and those who have been convicted (but not yet sentenced).   </t>
  </si>
  <si>
    <t>Department of Correctional services annual report 2018/19, personal communication</t>
  </si>
  <si>
    <t>Rehabilitation of offenders</t>
  </si>
  <si>
    <t>Reduction of repeat-offending and social re-integration</t>
  </si>
  <si>
    <t>Transform offenders into law abiding citizens by providing correctional and development programs</t>
  </si>
  <si>
    <t>Number of offenders that benefitted from rehabilitation</t>
  </si>
  <si>
    <t>Correctional Programmes</t>
  </si>
  <si>
    <t>Development Programmes</t>
  </si>
  <si>
    <t>Skills</t>
  </si>
  <si>
    <t>Production workshops (workteams)</t>
  </si>
  <si>
    <t>Agriculture (workteams)</t>
  </si>
  <si>
    <t>Psychological Services</t>
  </si>
  <si>
    <t>Social work</t>
  </si>
  <si>
    <t>Spiritual care</t>
  </si>
  <si>
    <t>Caseload per year</t>
  </si>
  <si>
    <t>Parolees</t>
  </si>
  <si>
    <t>Probationers</t>
  </si>
  <si>
    <r>
      <rPr>
        <sz val="10"/>
        <rFont val="Arial"/>
        <family val="2"/>
      </rPr>
      <t>Rehabilitation programmes as provided by Department of correctional services. Rehabilitation in the Department of Correctional services context is a holistic process where offenders are encouraged to discard negative values and change their offending behaviours, to take responsibility for the harm they caused to victims in particular society in general, in an enabling environment.</t>
    </r>
    <r>
      <rPr>
        <sz val="10"/>
        <color rgb="FFFF0000"/>
        <rFont val="Arial"/>
        <family val="2"/>
      </rPr>
      <t xml:space="preserve"> Offenders are comprehensively assessed to determine their risks and needs and the resulting profile is utilised to recommend needs based rehabilitation interventions which are encapsulated in individual  correctional sentence plans to guide their rehabilitation paths. </t>
    </r>
    <r>
      <rPr>
        <sz val="10"/>
        <rFont val="Arial"/>
        <family val="2"/>
      </rPr>
      <t>Correctional programmes provides needs based correctional programmes in line with the correctional sentence plans, which entail targeting all elements associated with offending behaviours and focusing on the offences for which persons are incarcerated. Development programmes provides programmes and services aimed at developing competencies by providing opportunities for skills and social development. Psychological services, Social work, Spiritual care services need based programmes and services are aimed at maintaining the personal wellbeing of the incarcerated persons be facilitating social functioning, spiritual, moral and psychological wellbeing.</t>
    </r>
  </si>
  <si>
    <t xml:space="preserve">Parolees and Probationers </t>
  </si>
  <si>
    <t>Effective supervision of parolees and probationers</t>
  </si>
  <si>
    <t xml:space="preserve">Percentage of Parolees and Probationers without violations </t>
  </si>
  <si>
    <t>Parolee Caseload</t>
  </si>
  <si>
    <t>Parolee without Violations</t>
  </si>
  <si>
    <t>Percentage of Parolees without violations</t>
  </si>
  <si>
    <t>Probation</t>
  </si>
  <si>
    <t xml:space="preserve">Probationer Caseload </t>
  </si>
  <si>
    <t>Probationer without Violations</t>
  </si>
  <si>
    <t>Percentage of Probationers without violations</t>
  </si>
  <si>
    <t>Number, Rate, Percent and Index</t>
  </si>
  <si>
    <t>Definitions</t>
  </si>
  <si>
    <t xml:space="preserve">Community Corrections is mandated to provide effective supervision of offenders (probationers, parolees and awaiting-trial persons (ATPs) placed under the system of Community Corrections in order to enhance public safety.  Reintegration of offenders under the system of Community Corrections provides offenders with an opportunity to lead a socially responsible and crime-free life.  Corrections is a societal responsibility, and it is therefore important to note that the Department cannot perform its function successfully without other stakeholders.  Social reintegration entails various services and programmes, such as halfway houses, service points, restorative justice, community projects, formalisation of partnerships, community profiling, and imbizo.  There are 218 Community Corrections offices that serve parolees, probationers and ATPs for effective monitoring and supervision of offenders under the system of Community Corrections.  Community Corrections provides an alternative to incarceration, resulting in a reduced incarcerated offender population by expanding the utilisation of community-based sentences.  
</t>
  </si>
  <si>
    <t>Road accidents</t>
  </si>
  <si>
    <t>To reduce the number of road accidents and fatalities</t>
  </si>
  <si>
    <t>Trend analysis</t>
  </si>
  <si>
    <t>Road accidents and fatalities</t>
  </si>
  <si>
    <t>Motorised vehicles registered</t>
  </si>
  <si>
    <t>Fatal road accidents (per 10 000 motorised vehicles)</t>
  </si>
  <si>
    <t>Fatalities (per 10 000 motorised vehicles)</t>
  </si>
  <si>
    <t>Road accidents as a % of motorised vehicle registered</t>
  </si>
  <si>
    <t>Number of fatal road accidents</t>
  </si>
  <si>
    <t>Number of fatalities</t>
  </si>
  <si>
    <t>Fatalities refer to road accidents which resulted in death; fatal road accidents refer to motor vehicle crashes in which at least one person was killed.</t>
  </si>
  <si>
    <t>Road traffic offence index refer to a combination of critical offences (speed, alcohol and some driver and vehicle fitness aspects) expressed in terms of present standards for the various offences.</t>
  </si>
  <si>
    <t>Road Traffic Management Corporation (RTMC) Annual Report 2020. Additional data on available in the Excel version on the DPME website: www.dpme.gov.za</t>
  </si>
  <si>
    <t>Development cooperation</t>
  </si>
  <si>
    <t xml:space="preserve">Sustainable development </t>
  </si>
  <si>
    <t>Contribute to sustainable development and an economically integrated Africa by supporting regional and continental processes so as to significantly increase intra-Africa trade and to champion sustainable development and opportunities in Africa</t>
  </si>
  <si>
    <t>Countries assisted through development cooperation's</t>
  </si>
  <si>
    <t>Number of initiatives</t>
  </si>
  <si>
    <t>Amount (R 'million)</t>
  </si>
  <si>
    <t>4*</t>
  </si>
  <si>
    <t>43.6</t>
  </si>
  <si>
    <t>Number, Amount in millions of rands</t>
  </si>
  <si>
    <t>Initiatives refer to countries who are assisted through African Renaissance Fund (ARF)</t>
  </si>
  <si>
    <t xml:space="preserve">Department of International Relations and Cooperation (DIRCO). </t>
  </si>
  <si>
    <t>*Expenditure is only recognised once concurrence is granted by the Minister of Finance. For financial year 2010/11 other projects that were funded were not recognised as expenditure against the fund. Where applicable, exchange rate of R11.58 for 2014 is used to compare with the US dollar</t>
  </si>
  <si>
    <t>Sustainable tourism</t>
  </si>
  <si>
    <t>Economic growth and Employment</t>
  </si>
  <si>
    <t>To increase foreign tourism to South Africa and create conditions for sustainable tourism growth</t>
  </si>
  <si>
    <t>Tourism in South Africa</t>
  </si>
  <si>
    <t>1.</t>
  </si>
  <si>
    <t>Total Tourist Arrivals (excluding Transit)</t>
  </si>
  <si>
    <t>Total Africa (including Indian Ocean Islands)</t>
  </si>
  <si>
    <t>Total Overseas</t>
  </si>
  <si>
    <t>Unspecified</t>
  </si>
  <si>
    <t>Contribution to employment</t>
  </si>
  <si>
    <t>2.</t>
  </si>
  <si>
    <t>Direct Contribution to employment</t>
  </si>
  <si>
    <t>Direct Contribution of travel and tourism as % of total SA employment</t>
  </si>
  <si>
    <t>3.</t>
  </si>
  <si>
    <t>Total (Direct and Indirect) contribution of Travel and tourism to employment</t>
  </si>
  <si>
    <t>1  253 500</t>
  </si>
  <si>
    <t>Total contribution (Direct and Indirect) of travel and tourism as % total SA employment</t>
  </si>
  <si>
    <t>4.</t>
  </si>
  <si>
    <t>Contribution to Gross Domestic Product</t>
  </si>
  <si>
    <t>Direct contribution to Gross domestic Product (GDP)</t>
  </si>
  <si>
    <t>139.7</t>
  </si>
  <si>
    <t xml:space="preserve"> Direct contribution of travel and tourism as % of SA GDP</t>
  </si>
  <si>
    <t>5.</t>
  </si>
  <si>
    <t xml:space="preserve">Total (Direct and Indirect)contribution of travel and Tourism to GDP </t>
  </si>
  <si>
    <t>386.2</t>
  </si>
  <si>
    <t>Total (Direct and Indirect) contribution of travel and tourism as % of total SA GDP</t>
  </si>
  <si>
    <t>Numbers, Rands in billion</t>
  </si>
  <si>
    <t>1. Statistics South Africa :  Tourism and Migration Report for December 2020 and data cuts
2,4. Statistics South Africa's National accounts, Tourism Satellite Accounts for South Africa (Final 2016, Provisional 2017 and 2018)
3,5. World Travel and Tourism council (WTTC): 2019 data cuts and Travel and Tourism  Economic Impact 2021 Report for South Africa</t>
  </si>
  <si>
    <t xml:space="preserve">The tourism industries supply goods and services to both tourists and non tourists
</t>
  </si>
  <si>
    <t>UNWTO (United Nations World Tourism Organisation) defines a traveller as  someone who moves between different geographical locations for any purpose or duration. A foreign traveller refers to a traveller who is not a South African citizen or permanent resident. Total employment in the tourism industry refers to employees who supply goods and services to both tourists and non tourists while Tourism direct employment refers to employees who are directly engaged producing goods and services consumed by tourists only.
Foreign tourist is any visitor travelling to a place other than that of his /her usual environment for more than one night but less that twelve months, and whose main purpose of the trip is other than the exercise of an activity remunerated from within the place visited</t>
  </si>
  <si>
    <t>Mission operations and diplomats trained</t>
  </si>
  <si>
    <t>Bilateral political and economic relations</t>
  </si>
  <si>
    <t>To conduct and co-ordinate South Africa’s international relations and promote its foreign-policy objectives and to promote and protect South Africa's national interests and values through bilateral and multilateral interactions</t>
  </si>
  <si>
    <t xml:space="preserve">The number of missions remained stable at 125 from 2010/11 to 2014/15, but with a slight reduction in  2015/16.  However, since 2018/19 the number of missions slightly increased to 125. Through this stability, South Africa is able to maintain a strong diplomatic presence across the world.  Although the number of  diplomatic missions, consulates-general, consulates and international organizations in South Africa decreased from 327 in 2018/19 to 322 in 2019/20, South Africa is still hosting a large number of diplomatic offices accredited to a country. </t>
  </si>
  <si>
    <t xml:space="preserve">Mission operations </t>
  </si>
  <si>
    <t>Africa</t>
  </si>
  <si>
    <t>Latin America</t>
  </si>
  <si>
    <t>Asia/ Australasia</t>
  </si>
  <si>
    <t>North America</t>
  </si>
  <si>
    <t>Europe</t>
  </si>
  <si>
    <t>All Missions</t>
  </si>
  <si>
    <t>Diplomats trained</t>
  </si>
  <si>
    <t>Foreign Service/Diplomatic training: Foreign Affairs</t>
  </si>
  <si>
    <t>hyt</t>
  </si>
  <si>
    <t>Heads of Mission training</t>
  </si>
  <si>
    <t>Foreign Language training</t>
  </si>
  <si>
    <t>Foreign representation in South Africa</t>
  </si>
  <si>
    <t>Diplomatic missions</t>
  </si>
  <si>
    <t>Non-Resident representatives</t>
  </si>
  <si>
    <t>16</t>
  </si>
  <si>
    <t>Consular Posts</t>
  </si>
  <si>
    <t>Honorary consular posts</t>
  </si>
  <si>
    <t>International organisations</t>
  </si>
  <si>
    <t>Other (Taipei Liaison office)</t>
  </si>
  <si>
    <t>Total foreign representation</t>
  </si>
  <si>
    <t xml:space="preserve">Number 
</t>
  </si>
  <si>
    <t xml:space="preserve">A mission is defined as an important assignment carried out for political, religious or commercial purposes, typically involving travel. Training that is offered to officials in preparation for Foreign Services and Heads of Mission (Ambassadors , High Commissioners and Consul-Generals) who have been appointed to represent government in enhancing and promoting relations with other governments. It also includes officials who are sent to represent South Africa at the various multilateral fora including the UN, AU, SADC and other international fora. International training programmes include Foreign Service training, language and other international programmes. </t>
  </si>
  <si>
    <t>No new missions were opened from the 2009/10 financial year onwards. Foreign language training undertaken on a financial year basis. Additional data on diplomats trained available in the Excel version on the DPME website: www.dpme.gov.za</t>
  </si>
  <si>
    <t xml:space="preserve"> Department of International Relations and Cooperation
</t>
  </si>
  <si>
    <t>All missions</t>
  </si>
  <si>
    <t>International Agreements</t>
  </si>
  <si>
    <t>Multilateral and bilateral political and economic relations</t>
  </si>
  <si>
    <t>To conduct and co-ordinate South Africa's international relations and promote its foreign policy objectives</t>
  </si>
  <si>
    <t>South Africa's International Agreements</t>
  </si>
  <si>
    <t>Number per year</t>
  </si>
  <si>
    <t>Multilateral</t>
  </si>
  <si>
    <t>Bilateral</t>
  </si>
  <si>
    <t>Treaties, Conventions, protocols, MOU's.</t>
  </si>
  <si>
    <t>International agreements concluded by South Africa with one or more states/ organisations.</t>
  </si>
  <si>
    <t>Number of agreements ( Bilateral or Multilateral) refer to annual aggregated total agreements per year and are cumulative. For example in 2010 there were 80 agreements in existence and in 2011, 4 new agreements were added, aggregating the figure to 84. Where there are fewer agreements, it means that some have lapsed compared to the pervious year.</t>
  </si>
  <si>
    <t xml:space="preserve">Official South African Treaty Register of the Republic of South Africa, data supplied by Department of International Relations and Cooperation. </t>
  </si>
  <si>
    <t>'2022</t>
  </si>
  <si>
    <t>Stats SA’s LFS (2001-2007) and QLFS (2008-2022)</t>
  </si>
  <si>
    <t>Stats SA’s LFS (2001-2007) and QLFS (2008-2022).</t>
  </si>
  <si>
    <t>75.2%</t>
  </si>
  <si>
    <t>127.8</t>
  </si>
  <si>
    <t>126.5</t>
  </si>
  <si>
    <t>116.0</t>
  </si>
  <si>
    <t>109.3</t>
  </si>
  <si>
    <t>104.2</t>
  </si>
  <si>
    <t>93.1</t>
  </si>
  <si>
    <t>105.7</t>
  </si>
  <si>
    <t>132.4</t>
  </si>
  <si>
    <t>101.2</t>
  </si>
  <si>
    <t>5 284 236</t>
  </si>
  <si>
    <t>125 225</t>
  </si>
  <si>
    <t>5 401 981</t>
  </si>
  <si>
    <t>Table 1: Education statistics in South Africa at a Glance (2006), published February 2008, with data originally sourced from 2001 - 2006 SNAP surveys (conducted on the 10th school day), School Realities 2017 publications, Department of Basic Education.
Table 2: Department of Higher Education and Training's (DHET) Higher Education Management Information System (HEMIS) database and the Technical and Vocational Education and Training Management Information System (TVETMIS).</t>
  </si>
  <si>
    <t>The data on the GER (primary and sec) have been distorted in 2010 owing to changes in the way Stats SA has calculated its 2010 population estimates. Hence changes to the trend line. The GER for universities is calculated based on the population aged 20-24 years, while the GER for TVET colleges is based on the population aged 16-20 years.</t>
  </si>
  <si>
    <t>Percentage of university graduates with degrees in SET (Science Engineering and Technology). SET refers to the following Subject Matter Categories: Agriculture: Agriculture, Agricultural Operations and Related Sciences, Architecture and the Built Environment, Computer and Information Sciences, Engineering, Health Professions and Related Clinical Sciences, Family Ecology and Consumer Services, Life and Physical Science, Mathematics, Statistics and Military Science.</t>
  </si>
  <si>
    <t>Department of Higher Education and Training’s Higher Education Management Information System (HEMIS).</t>
  </si>
  <si>
    <t xml:space="preserve">The skills Development Act (RSA, 1998) defines an artisan as a person who has been certified as being competent to perform a listed trade. Learnerships: A learning programme that leads to an occupational qualification or part qualification and includes an apprenticeship and cadetship  Internships: refers to the structured work experience component of an occupational qualification registered by the Quality Council for Trades and Occupations (QCTO). </t>
  </si>
  <si>
    <t>Department of Higher Education and Training's National Artisan Development Support Centre (NADSC) – National Artisan Development (NAD) database management system and Sector Education and Training Management Information System (SETMIS).</t>
  </si>
  <si>
    <t>2022</t>
  </si>
  <si>
    <t>To increase broadband penetration so that at least 80 percent of population have access to internet
by 2024</t>
  </si>
  <si>
    <t>MTSF 2019-2024: To spend 1,1 percent pf GDP by 2024 and 1,5 percent of GDP on R&amp;D by 2030</t>
  </si>
  <si>
    <t>To provide 5 million work opportunities created through EPWP by 2024. Implementation of phase 4 of the EPWP to provide 5 000 000 work opportunities by 2024.</t>
  </si>
  <si>
    <t>The goal is to reduce unemployment rate to 6 percent in 2030</t>
  </si>
  <si>
    <t>A diverse socially cohesive society with a common national identity</t>
  </si>
  <si>
    <t>To promote social cohesion and national identity 90 percent of population aware of the constitution
and its values by 2024 and 95 percent of citizen who show strong devotion to the country</t>
  </si>
  <si>
    <t>Correct</t>
  </si>
  <si>
    <t>Changed</t>
  </si>
  <si>
    <t>Personal Income Tax (PIT) and Corporate Income Tax (CIT)  are taxes on income and profits and are the sum of Pay-As-You-Earn (PAYE), provisional payments, assessment payments, royalties, interest on overdue taxes less refunds and personal income tax  employment tax incentives. VAT, is an indirect tax levied on final consumption and fixed investment by households and government as well as imports less refunds. The income tax register include suspense cases from 1996/97 to 2001/02 and exclude suspense cases from 2002/03 until present. Bar graph reflects disaggregated revenue collection according to different tax types.</t>
  </si>
  <si>
    <t>Commentary</t>
  </si>
  <si>
    <t xml:space="preserve">Preliminary tax revenue collection totalling R1 687.5 billion (revised) was estimated for 2022/23. The revenue collection represents a deficit of R R4.0 billion from R1 683.5 billion against 2021/22 revenue collection of R1 563.8 billion. Between 2013/14 and 2021/22, tax revenue collection has maintained a positive trend increasing from  R900.0 billion in 2013/14 to the current level with the exception of a single drop by 8% in 2020/22. The tax register has broadened substantially over the past decade and has been the driver of improved tax compliance and collections. For instance, the Personal Income Tax (PIT) register increased by  6.1 million from 19.8 million in 2013/14 to 25.9  million in 2022/23. About 3.9 million companies are reported to have registered for Income Tax in 2022/23. In 2010, the South African Revenue Services (SARS) introduced a revised filing and employee registration process which helped to expand the PIT register. SARS has also improved its administrative efficiencies through, among other measures, the ongoing technology upgrading that makes it easy for taxpayers to comply, including more recently the use of machine learning to address non-compliance and support the active maintenance of taxpayer registers, improved SARS staff morale and the citizen’s trust and confidence in SARS. The composition of main sources of tax revenue has remained steady over time. Figures for 2022/23 however indicate a slight shift, with PIT contributing 35,8% compared to the 35,5% reported for the previous year and the contribution of Corporate Income Tax (CIT) remaining constant at 20,7%. Other sources are Value Added Tax (VAT) which contributed about 25,1% and the fuels levy, customs duties and others which contributed 18,4% in 2022/23 tax collections. 
</t>
  </si>
  <si>
    <r>
      <rPr>
        <i/>
        <sz val="10"/>
        <rFont val="Arial"/>
        <family val="2"/>
      </rPr>
      <t>Qualified audits is defined by the Auditor-General (AG) to include qualified, adverse and disclaimer opinions.</t>
    </r>
    <r>
      <rPr>
        <sz val="10"/>
        <rFont val="Arial"/>
        <family val="2"/>
      </rPr>
      <t xml:space="preserve">
A </t>
    </r>
    <r>
      <rPr>
        <b/>
        <sz val="10"/>
        <rFont val="Arial"/>
        <family val="2"/>
      </rPr>
      <t>qualified opinion with findings</t>
    </r>
    <r>
      <rPr>
        <sz val="10"/>
        <rFont val="Arial"/>
        <family val="2"/>
      </rPr>
      <t xml:space="preserve"> means the auditee produced financial statements containing material misstatements that were not corrected before the financial statements were published. The auditee also had challenges with the quality of the performance report and/or compliance with key legislation.
The financial statements of an auditee with an </t>
    </r>
    <r>
      <rPr>
        <b/>
        <sz val="10"/>
        <rFont val="Arial"/>
        <family val="2"/>
      </rPr>
      <t>adverse opinion with findings</t>
    </r>
    <r>
      <rPr>
        <sz val="10"/>
        <rFont val="Arial"/>
        <family val="2"/>
      </rPr>
      <t xml:space="preserve"> means the auditee included so many material misstatements that the auditor disagreed with virtually all the amounts and disclosures in the financial statements. 
An auditee with a </t>
    </r>
    <r>
      <rPr>
        <b/>
        <sz val="10"/>
        <rFont val="Arial"/>
        <family val="2"/>
      </rPr>
      <t xml:space="preserve">disclaimed opinion with findings </t>
    </r>
    <r>
      <rPr>
        <sz val="10"/>
        <rFont val="Arial"/>
        <family val="2"/>
      </rPr>
      <t xml:space="preserve">could not provide the auditor with evidence for most of the amounts and disclosures in its financial statements. The auditor was therefore unable to conclude or express an opinion on the credibility of the financial statements. Auditees with adverse and disclaimed opinions are typically also unable to provide sufficient supporting documents for the achievements they report in their performance reports, and do not comply with key legislation.
A </t>
    </r>
    <r>
      <rPr>
        <b/>
        <sz val="10"/>
        <rFont val="Arial"/>
        <family val="2"/>
      </rPr>
      <t>material misstatement</t>
    </r>
    <r>
      <rPr>
        <sz val="10"/>
        <rFont val="Arial"/>
        <family val="2"/>
      </rPr>
      <t xml:space="preserve"> is an error or omission that is significant enough to influence the opinions or decisions of users of the reported information. Materiality is considered in terms of either its rand value or the nature and cause of the misstatement, or both these aspects.
</t>
    </r>
  </si>
  <si>
    <t>2022/23 (estimate)</t>
  </si>
  <si>
    <t>Number of persons who are Not in Employment, Education or Training (NEET) &amp; Highest level of education attainment</t>
  </si>
  <si>
    <t>Department of Science and Innovation, South African National Survey of Research and Experimental Development, Statistical report 2020/21</t>
  </si>
  <si>
    <t xml:space="preserve">Ensure that all South Africans have access to clean running water in their homes (National Development
Plan 2030) </t>
  </si>
  <si>
    <t xml:space="preserve">Table 1 and Table 2: South African Social Security Agency's (SASSA) Social Security Pension System (Socpen),  
Table 3: National Treasury's Budget Review 2012-2019
</t>
  </si>
  <si>
    <t>Table1: Stats SA’s Mid-year population estimates 2021.
Table 2: Medical Research Council’s Rapid Mortality Surveillance (RMS) Reports 2015, 2016 and 2018.
Table 3: South Africa Demographic and Health Survey 2016</t>
  </si>
  <si>
    <t xml:space="preserve">Total remaining on ART is defined as all patients started ART, all patients transferred in, minus patients died, lost to follow up and transferred out. Patients reaching 1 year on treatment in a given reporting year will have started in the previous year, whereas those who could have reached 5 years on ART will have started 5 years previously. </t>
  </si>
  <si>
    <t>Number of candidates  with mathematics and physical science passes</t>
  </si>
  <si>
    <t>Skills and Training</t>
  </si>
  <si>
    <t>Contact crime rate</t>
  </si>
  <si>
    <t>Value of Forfeiture Assets(Rand in millions)</t>
  </si>
  <si>
    <t>Y-o-Y change</t>
  </si>
  <si>
    <t>Trade Account of the Balance of Payments</t>
  </si>
  <si>
    <t>Foreign Trade</t>
  </si>
  <si>
    <t>(R millions)</t>
  </si>
  <si>
    <t>Trade account by sector</t>
  </si>
  <si>
    <t>Mining</t>
  </si>
  <si>
    <t>Other1</t>
  </si>
  <si>
    <t>Total merchandise exports</t>
  </si>
  <si>
    <t>Total merchandise imports</t>
  </si>
  <si>
    <t>Trade account by largest trading countries</t>
  </si>
  <si>
    <t>Merchandise exports (R millions)</t>
  </si>
  <si>
    <t>Nertherlands</t>
  </si>
  <si>
    <t>Merchandise imports (R millions)</t>
  </si>
  <si>
    <t>Trade account by economic activity</t>
  </si>
  <si>
    <t>Base metals and articles thereof.</t>
  </si>
  <si>
    <t>Mineral products</t>
  </si>
  <si>
    <t>Net gold exports</t>
  </si>
  <si>
    <t>Platinum group metals</t>
  </si>
  <si>
    <t>Chemical products</t>
  </si>
  <si>
    <t>Machinery and electrical equipment</t>
  </si>
  <si>
    <t>Vehicles and transport equipment</t>
  </si>
  <si>
    <t>Vegetable products</t>
  </si>
  <si>
    <t>Base metals and articles thereof</t>
  </si>
  <si>
    <t>Trade account by largest contributing products</t>
  </si>
  <si>
    <t>Chromium ores and concentrates</t>
  </si>
  <si>
    <t>Coal</t>
  </si>
  <si>
    <t>Ferro-alloys</t>
  </si>
  <si>
    <t>Iron ores and concentrates</t>
  </si>
  <si>
    <t>Manganese ores and concentrates</t>
  </si>
  <si>
    <t>Motor vehicles for the transport of goods</t>
  </si>
  <si>
    <t>Motor vehicles for the transport of people</t>
  </si>
  <si>
    <t>Refined petroleum products</t>
  </si>
  <si>
    <t>Table 7</t>
  </si>
  <si>
    <t>Aircraft</t>
  </si>
  <si>
    <t>Computers and related equipment</t>
  </si>
  <si>
    <t>Crude oil</t>
  </si>
  <si>
    <t>Medicaments</t>
  </si>
  <si>
    <t>Original motor vehicle components</t>
  </si>
  <si>
    <t>Parts and accessories of motor vehicles</t>
  </si>
  <si>
    <t>Foreing Trade refers to the exchange of goods and services between South Africa and other countries.</t>
  </si>
  <si>
    <t xml:space="preserve">Foreing Trade includes value of imported goods and services and value of exported goods and services: Import Trade is when the goods or services are purchased from other countries 
it is called import trade and Export trade is when the goods are sold to other countries, it is called export trade.
Merchandise exports: Merchandise exports plus gold exports (free on board)
Merchandise exports: Merchandise imports (free on board)
</t>
  </si>
  <si>
    <t>Merchandise exports (Percentage of total)</t>
  </si>
  <si>
    <t>Merchandise imports (Percentage of total)</t>
  </si>
  <si>
    <t>Mining exports</t>
  </si>
  <si>
    <t>Manufacturing exports</t>
  </si>
  <si>
    <t>Agriculture exports</t>
  </si>
  <si>
    <t>Mining imports</t>
  </si>
  <si>
    <t>Manufacturing imports</t>
  </si>
  <si>
    <t>Agriculture imports</t>
  </si>
  <si>
    <t>Increase Intra Trade per annum</t>
  </si>
  <si>
    <t>Statistics SA's various October Household Surveys (OHS) and General Household Surveys (GHS) 2002-2021, Census 1996, 2001 and 2011</t>
  </si>
  <si>
    <t>Number of graduates for doctral degrees</t>
  </si>
  <si>
    <t>Land Redistribution and Tenure Reform</t>
  </si>
  <si>
    <t xml:space="preserve">Progress has been made in addressing equitable access to land to historically disadvantaged persons by the department. A total of more than 5,2 million hectares have been acquired through the Land Redistribution and Tenure Reform Programmes since 1994. This progress has contributed to the National Development Plan target of 16.4 million hectares which is to be redistributed by 2030. The intervention has benefitted women, youth, people with disability, Agricultural Graduates and Military Veterans. From 1994 to 2019, a total of 2.9 million hectares had been redistributed to municipalities under Commonage grant (COMG), for settlement under Settlement Land Acquisition Grant (SLAG) for agricultural purpose under Land Redistribution for Agricultural Development (LRAD) and this land is held in title by communities and individual beneficiaries of land reform programme.  Currently, more than 2.3 million hectares have been acquired through PLAS and leased out on a long term basis.
</t>
  </si>
  <si>
    <t>The SLAG, LRAD and COMG were discontinued/phased out due to conflicts amongst beneficiaries and instances of the disposal of land back to the previous land owners without consent of the State thereby reversing the gains of land reform. To address this deficiency, the department introduced the Proactive Land Acquisition Strategy (PLAS) in 2009 to acquire land and hold it in the name of the State and that was in turn leased out to the beneficiaries.</t>
  </si>
  <si>
    <t xml:space="preserve">NB: Please note that performance for financial years 2018/2019, 2019/2020 and 2020/2021 is still going through departmental verification process and may be updated at a later stage. 
Based on the above statement, the number of hectares have now been verified and updated. </t>
  </si>
  <si>
    <t>ke</t>
  </si>
  <si>
    <t xml:space="preserve"> as</t>
  </si>
  <si>
    <t xml:space="preserve">Victims of Crime Survey (VoCS) is a countrywide households-based survey that provide about the dynamics of crime from the perspective of households and victims of crime. Explore public perceptions of the activities of the Police, Prosecutors, Courts and Correctional Services(Criminal Justice System) in the prevention of crime and victimisation. Provide complementary data on level of crime within South Africa(RSA) in additions to the statistics published annually by the South African Police Service(SAPS). The GPSJS is a countrywide household-based survey that aims to bridge the statistical information gaps in  the field of governance statistics by conducting interviews with households and individuals and collecting the data items needed for planning and monitoring. </t>
  </si>
  <si>
    <t>Statistics South Africa Victims of Crime Survey (VoCS) 2011,2012, 2013/14, 2014/15, 2016/17 and 2018/19. The GPSJS was conducted for the first time in South Africa in 2018/19 as an updated version of the long-running Victims of Crime Survey (VOCS) to include themes on governance</t>
  </si>
  <si>
    <t>Department of Correctional services annual report, personal communication</t>
  </si>
  <si>
    <t>To increase the number of National Senior Certificate passes with Mathematics and Physical Science to 450 000 by 2030</t>
  </si>
  <si>
    <t>Years</t>
  </si>
  <si>
    <t>Cybercrime Prosecutions</t>
  </si>
  <si>
    <t xml:space="preserve">     Table 2 : Cybercrime Prosectutions Cases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</si>
</sst>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43" formatCode="_-* #,##0.00_-;\-* #,##0.00_-;_-* &quot;-&quot;??_-;_-@_-"/>
    <numFmt numFmtId="164" formatCode="_(* #,##0.00_);_(* \(#,##0.00\);_(* &quot;-&quot;??_);_(@_)"/>
    <numFmt numFmtId="165" formatCode="0.0"/>
    <numFmt numFmtId="166" formatCode="#,##0.0_);\(#,##0.0\)"/>
    <numFmt numFmtId="167" formatCode="#,##0.0"/>
    <numFmt numFmtId="168" formatCode="_ * #,##0.00_ ;_ * \-#,##0.00_ ;_ * &quot;-&quot;??_ ;_ @_ "/>
    <numFmt numFmtId="169" formatCode="_ * #,##0.0_ ;_ * \-#,##0.0_ ;_ * &quot;-&quot;??_ ;_ @_ "/>
    <numFmt numFmtId="170" formatCode="0.0%"/>
    <numFmt numFmtId="171" formatCode="yyyy"/>
    <numFmt numFmtId="172" formatCode="#,##0.000"/>
    <numFmt numFmtId="173" formatCode="_ * #,##0_ ;_ * \-#,##0_ ;_ * &quot;-&quot;??_ ;_ @_ "/>
    <numFmt numFmtId="174" formatCode="0.000"/>
    <numFmt numFmtId="175" formatCode="dd\-mmm\-yyyy"/>
    <numFmt numFmtId="176" formatCode="#,###,###"/>
    <numFmt numFmtId="177" formatCode="###\ ###\ ###\ ###\ ###"/>
    <numFmt numFmtId="178" formatCode="#.0"/>
    <numFmt numFmtId="179" formatCode="###,###,###,###"/>
    <numFmt numFmtId="180" formatCode="0.0#%"/>
    <numFmt numFmtId="181" formatCode="##,###,###"/>
    <numFmt numFmtId="182" formatCode="###,###,###,###.0"/>
    <numFmt numFmtId="183" formatCode="#\ ###"/>
    <numFmt numFmtId="184" formatCode="#\ ###\ ##0"/>
    <numFmt numFmtId="185" formatCode="###,###,###"/>
    <numFmt numFmtId="186" formatCode="#,##0_ ;\-#,##0\ "/>
    <numFmt numFmtId="187" formatCode="_(* #,##0_);_(* \(#,##0\);_(* &quot;-&quot;??_);_(@_)"/>
    <numFmt numFmtId="188" formatCode="[$R-1C09]\ #,##0"/>
    <numFmt numFmtId="189" formatCode="_-* #,##0.00_-;_-* #,##0.00\-;_-* &quot;-&quot;??_-;_-@_-"/>
    <numFmt numFmtId="190" formatCode="mmm\ yyyy"/>
    <numFmt numFmtId="191" formatCode="###\ ###\ ###\ ###"/>
    <numFmt numFmtId="192" formatCode="#,###,###,###"/>
    <numFmt numFmtId="193" formatCode="#,##0_ ;[Red]\-#,##0\ "/>
    <numFmt numFmtId="194" formatCode="0.000%"/>
    <numFmt numFmtId="195" formatCode="#"/>
    <numFmt numFmtId="196" formatCode=".\ ###\ ##00;"/>
    <numFmt numFmtId="197" formatCode="\-"/>
    <numFmt numFmtId="198" formatCode="#.#\ ##0"/>
    <numFmt numFmtId="199" formatCode="#\ ##0"/>
    <numFmt numFmtId="200" formatCode="##,###,###.0"/>
    <numFmt numFmtId="201" formatCode="_ [$R-1C09]\ * #,##0_ ;_ [$R-1C09]\ * \-#,##0_ ;_ [$R-1C09]\ * &quot;-&quot;??_ ;_ @_ "/>
    <numFmt numFmtId="202" formatCode="#,###,###.0"/>
    <numFmt numFmtId="203" formatCode="#,###,##0.000"/>
    <numFmt numFmtId="204" formatCode="#,###,##0.00"/>
    <numFmt numFmtId="205" formatCode="#,###,##0.0"/>
    <numFmt numFmtId="206" formatCode="#,###,##0"/>
    <numFmt numFmtId="207" formatCode="###\ ###\ ###"/>
    <numFmt numFmtId="208" formatCode="#,###"/>
    <numFmt numFmtId="209" formatCode="_(* #,##0.0_);_(* \(#,##0.0\);_(* &quot;-&quot;??_);_(@_)"/>
    <numFmt numFmtId="210" formatCode="_-* #,##0.0_-;\-* #,##0.0_-;_-* &quot;-&quot;?_-;_-@_-"/>
    <numFmt numFmtId="211" formatCode="_-* #,##0_-;\-* #,##0_-;_-* &quot;-&quot;??_-;_-@_-"/>
    <numFmt numFmtId="212" formatCode="_ * #,##0.0_ ;_ * \-#,##0.0_ ;_ * &quot;-&quot;?_ ;_ @_ "/>
    <numFmt numFmtId="213" formatCode="_-* #,##0.0_-;\-* #,##0.0_-;_-* &quot;-&quot;??_-;_-@_-"/>
  </numFmts>
  <fonts count="18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b/>
      <sz val="10"/>
      <color indexed="10"/>
      <name val="Arial"/>
      <family val="2"/>
    </font>
    <font>
      <sz val="11"/>
      <name val="Arial"/>
      <family val="2"/>
    </font>
    <font>
      <b/>
      <sz val="8"/>
      <name val="Arial"/>
      <family val="2"/>
    </font>
    <font>
      <sz val="8"/>
      <name val="Arial"/>
      <family val="2"/>
    </font>
    <font>
      <sz val="10"/>
      <name val="Courier"/>
      <family val="3"/>
    </font>
    <font>
      <b/>
      <sz val="8"/>
      <color indexed="8"/>
      <name val="Arial"/>
      <family val="2"/>
    </font>
    <font>
      <sz val="8"/>
      <color theme="1"/>
      <name val="Arial"/>
      <family val="2"/>
    </font>
    <font>
      <sz val="9"/>
      <name val="Arial"/>
      <family val="2"/>
    </font>
    <font>
      <b/>
      <sz val="8"/>
      <color indexed="10"/>
      <name val="Arial"/>
      <family val="2"/>
    </font>
    <font>
      <b/>
      <sz val="8"/>
      <color theme="1"/>
      <name val="Arial"/>
      <family val="2"/>
    </font>
    <font>
      <b/>
      <sz val="10"/>
      <name val="Arial"/>
      <family val="2"/>
    </font>
    <font>
      <b/>
      <sz val="10"/>
      <color theme="2" tint="-0.249977111117893"/>
      <name val="Arial"/>
      <family val="2"/>
    </font>
    <font>
      <sz val="10"/>
      <color theme="2" tint="-0.249977111117893"/>
      <name val="Arial"/>
      <family val="2"/>
    </font>
    <font>
      <sz val="8"/>
      <color theme="2" tint="-0.249977111117893"/>
      <name val="Arial"/>
      <family val="2"/>
    </font>
    <font>
      <sz val="11"/>
      <color theme="2" tint="-0.249977111117893"/>
      <name val="Calibri"/>
      <family val="2"/>
      <scheme val="minor"/>
    </font>
    <font>
      <b/>
      <sz val="11"/>
      <color indexed="10"/>
      <name val="Arial"/>
      <family val="2"/>
    </font>
    <font>
      <sz val="11"/>
      <color rgb="FFFFFF00"/>
      <name val="Calibri"/>
      <family val="2"/>
      <scheme val="minor"/>
    </font>
    <font>
      <sz val="10"/>
      <color indexed="10"/>
      <name val="Arial"/>
      <family val="2"/>
    </font>
    <font>
      <sz val="8"/>
      <color theme="1"/>
      <name val="Arial Narrow"/>
      <family val="2"/>
    </font>
    <font>
      <sz val="10"/>
      <color rgb="FF000000"/>
      <name val="Arial"/>
      <family val="2"/>
    </font>
    <font>
      <sz val="10"/>
      <color theme="1"/>
      <name val="Arial"/>
      <family val="2"/>
    </font>
    <font>
      <sz val="11"/>
      <name val="Calibri"/>
      <family val="2"/>
      <scheme val="minor"/>
    </font>
    <font>
      <b/>
      <sz val="10"/>
      <color theme="1"/>
      <name val="Arial"/>
      <family val="2"/>
    </font>
    <font>
      <sz val="8"/>
      <name val="Arial Narrow"/>
      <family val="2"/>
    </font>
    <font>
      <sz val="10"/>
      <color rgb="FFFFFF00"/>
      <name val="Arial"/>
      <family val="2"/>
    </font>
    <font>
      <sz val="8"/>
      <color indexed="8"/>
      <name val="Arial Narrow"/>
      <family val="2"/>
    </font>
    <font>
      <sz val="8"/>
      <color indexed="10"/>
      <name val="Arial"/>
      <family val="2"/>
    </font>
    <font>
      <b/>
      <sz val="9"/>
      <name val="Arial"/>
      <family val="2"/>
    </font>
    <font>
      <sz val="9"/>
      <color theme="2" tint="-0.249977111117893"/>
      <name val="Arial"/>
      <family val="2"/>
    </font>
    <font>
      <b/>
      <sz val="9"/>
      <color indexed="10"/>
      <name val="Arial"/>
      <family val="2"/>
    </font>
    <font>
      <sz val="9"/>
      <color theme="2" tint="-0.249977111117893"/>
      <name val="Calibri"/>
      <family val="2"/>
      <scheme val="minor"/>
    </font>
    <font>
      <sz val="9"/>
      <color theme="1"/>
      <name val="Calibri"/>
      <family val="2"/>
      <scheme val="minor"/>
    </font>
    <font>
      <sz val="9"/>
      <name val="Calibri"/>
      <family val="2"/>
      <scheme val="minor"/>
    </font>
    <font>
      <vertAlign val="superscript"/>
      <sz val="8"/>
      <name val="Arial"/>
      <family val="2"/>
    </font>
    <font>
      <vertAlign val="superscript"/>
      <sz val="10"/>
      <name val="Arial"/>
      <family val="2"/>
    </font>
    <font>
      <sz val="10"/>
      <color rgb="FFFF0000"/>
      <name val="Arial"/>
      <family val="2"/>
    </font>
    <font>
      <b/>
      <sz val="8"/>
      <name val="Arial Narrow"/>
      <family val="2"/>
    </font>
    <font>
      <i/>
      <sz val="10"/>
      <color indexed="10"/>
      <name val="Arial"/>
      <family val="2"/>
    </font>
    <font>
      <i/>
      <sz val="10"/>
      <name val="Arial"/>
      <family val="2"/>
    </font>
    <font>
      <sz val="8"/>
      <color rgb="FFFF0000"/>
      <name val="Arial"/>
      <family val="2"/>
    </font>
    <font>
      <sz val="8"/>
      <color rgb="FF000000"/>
      <name val="Arial"/>
      <family val="2"/>
    </font>
    <font>
      <i/>
      <sz val="8"/>
      <color theme="1"/>
      <name val="Arial"/>
      <family val="2"/>
    </font>
    <font>
      <b/>
      <u/>
      <sz val="10"/>
      <name val="Arial"/>
      <family val="2"/>
    </font>
    <font>
      <u/>
      <sz val="10"/>
      <name val="Arial"/>
      <family val="2"/>
    </font>
    <font>
      <b/>
      <sz val="8"/>
      <color rgb="FF000000"/>
      <name val="Arial"/>
      <family val="2"/>
    </font>
    <font>
      <b/>
      <sz val="12"/>
      <color rgb="FF3B3B3B"/>
      <name val="Arial"/>
      <family val="2"/>
    </font>
    <font>
      <b/>
      <i/>
      <sz val="8"/>
      <color indexed="10"/>
      <name val="Arial"/>
      <family val="2"/>
    </font>
    <font>
      <i/>
      <sz val="8"/>
      <name val="Arial"/>
      <family val="2"/>
    </font>
    <font>
      <i/>
      <sz val="8"/>
      <color rgb="FF000000"/>
      <name val="Arial"/>
      <family val="2"/>
    </font>
    <font>
      <b/>
      <i/>
      <sz val="9"/>
      <color rgb="FF000000"/>
      <name val="Arial"/>
      <family val="2"/>
    </font>
    <font>
      <i/>
      <sz val="9"/>
      <color rgb="FF000000"/>
      <name val="Arial"/>
      <family val="2"/>
    </font>
    <font>
      <sz val="9"/>
      <color rgb="FF000000"/>
      <name val="Arial"/>
      <family val="2"/>
    </font>
    <font>
      <b/>
      <sz val="8"/>
      <color theme="1"/>
      <name val="Arial Narrow"/>
      <family val="2"/>
    </font>
    <font>
      <b/>
      <sz val="8"/>
      <color rgb="FF00B0F0"/>
      <name val="Arial"/>
      <family val="2"/>
    </font>
    <font>
      <sz val="8"/>
      <color indexed="8"/>
      <name val="Arial"/>
      <family val="2"/>
    </font>
    <font>
      <b/>
      <sz val="8"/>
      <color indexed="17"/>
      <name val="Arial"/>
      <family val="2"/>
    </font>
    <font>
      <b/>
      <sz val="8"/>
      <color indexed="63"/>
      <name val="Verdana"/>
      <family val="2"/>
    </font>
    <font>
      <b/>
      <sz val="8"/>
      <color indexed="18"/>
      <name val="Verdana"/>
      <family val="2"/>
    </font>
    <font>
      <b/>
      <sz val="8"/>
      <color rgb="FFFF0000"/>
      <name val="Arial"/>
      <family val="2"/>
    </font>
    <font>
      <sz val="10"/>
      <color rgb="FF231F20"/>
      <name val="Arial"/>
      <family val="2"/>
    </font>
    <font>
      <b/>
      <sz val="10"/>
      <color theme="0" tint="-0.34998626667073579"/>
      <name val="Arial"/>
      <family val="2"/>
    </font>
    <font>
      <sz val="10"/>
      <color theme="0" tint="-0.34998626667073579"/>
      <name val="Arial"/>
      <family val="2"/>
    </font>
    <font>
      <sz val="8"/>
      <color theme="0" tint="-0.34998626667073579"/>
      <name val="Arial"/>
      <family val="2"/>
    </font>
    <font>
      <b/>
      <sz val="8"/>
      <color theme="0" tint="-0.34998626667073579"/>
      <name val="Arial"/>
      <family val="2"/>
    </font>
    <font>
      <b/>
      <sz val="10"/>
      <color rgb="FFFF0000"/>
      <name val="Arial"/>
      <family val="2"/>
    </font>
    <font>
      <sz val="8"/>
      <name val="Calibri"/>
      <family val="2"/>
      <scheme val="minor"/>
    </font>
    <font>
      <b/>
      <sz val="8"/>
      <name val="Calibri"/>
      <family val="2"/>
      <scheme val="minor"/>
    </font>
    <font>
      <b/>
      <sz val="9"/>
      <color indexed="81"/>
      <name val="Tahoma"/>
      <family val="2"/>
    </font>
    <font>
      <sz val="9"/>
      <color indexed="81"/>
      <name val="Tahoma"/>
      <family val="2"/>
    </font>
    <font>
      <sz val="10"/>
      <name val="Helv"/>
    </font>
    <font>
      <sz val="9"/>
      <color theme="0"/>
      <name val="Arial"/>
      <family val="2"/>
    </font>
    <font>
      <sz val="8"/>
      <color indexed="48"/>
      <name val="Arial"/>
      <family val="2"/>
    </font>
    <font>
      <sz val="8"/>
      <color theme="1"/>
      <name val="Calibri"/>
      <family val="2"/>
      <scheme val="minor"/>
    </font>
    <font>
      <u/>
      <sz val="8"/>
      <name val="Arial"/>
      <family val="2"/>
    </font>
    <font>
      <u/>
      <sz val="11"/>
      <name val="Arial"/>
      <family val="2"/>
    </font>
    <font>
      <sz val="11"/>
      <color indexed="10"/>
      <name val="Arial"/>
      <family val="2"/>
    </font>
    <font>
      <b/>
      <sz val="8"/>
      <color rgb="FF00B050"/>
      <name val="Arial"/>
      <family val="2"/>
    </font>
    <font>
      <b/>
      <u/>
      <sz val="8"/>
      <name val="Arial"/>
      <family val="2"/>
    </font>
    <font>
      <sz val="10"/>
      <color theme="0"/>
      <name val="Arial"/>
      <family val="2"/>
    </font>
    <font>
      <sz val="11"/>
      <color theme="2" tint="-0.249977111117893"/>
      <name val="Arial"/>
      <family val="2"/>
    </font>
    <font>
      <b/>
      <sz val="8"/>
      <color theme="0"/>
      <name val="Arial"/>
      <family val="2"/>
    </font>
    <font>
      <i/>
      <sz val="11"/>
      <name val="Arial"/>
      <family val="2"/>
    </font>
    <font>
      <u/>
      <sz val="10"/>
      <color indexed="12"/>
      <name val="Arial"/>
      <family val="2"/>
    </font>
    <font>
      <u/>
      <sz val="10"/>
      <color theme="2" tint="-0.249977111117893"/>
      <name val="Arial"/>
      <family val="2"/>
    </font>
    <font>
      <u/>
      <sz val="11"/>
      <color indexed="12"/>
      <name val="Arial"/>
      <family val="2"/>
    </font>
    <font>
      <b/>
      <sz val="8"/>
      <color indexed="57"/>
      <name val="Arial"/>
      <family val="2"/>
    </font>
    <font>
      <sz val="8"/>
      <color theme="1"/>
      <name val="Calibri"/>
      <family val="2"/>
    </font>
    <font>
      <sz val="12"/>
      <color theme="2" tint="-0.249977111117893"/>
      <name val="Arial"/>
      <family val="2"/>
    </font>
    <font>
      <b/>
      <sz val="11"/>
      <color theme="2" tint="-0.249977111117893"/>
      <name val="Calibri"/>
      <family val="2"/>
      <scheme val="minor"/>
    </font>
    <font>
      <sz val="10"/>
      <color indexed="14"/>
      <name val="Arial"/>
      <family val="2"/>
    </font>
    <font>
      <sz val="8"/>
      <color indexed="14"/>
      <name val="Arial"/>
      <family val="2"/>
    </font>
    <font>
      <b/>
      <sz val="10"/>
      <color rgb="FFFFFF00"/>
      <name val="Arial"/>
      <family val="2"/>
    </font>
    <font>
      <sz val="8"/>
      <color rgb="FFFFFF00"/>
      <name val="Arial"/>
      <family val="2"/>
    </font>
    <font>
      <b/>
      <sz val="8"/>
      <color rgb="FFFFFF00"/>
      <name val="Arial"/>
      <family val="2"/>
    </font>
    <font>
      <sz val="11"/>
      <color theme="1"/>
      <name val="Arial"/>
      <family val="2"/>
    </font>
    <font>
      <b/>
      <sz val="11"/>
      <color theme="1"/>
      <name val="Arial"/>
      <family val="2"/>
    </font>
    <font>
      <sz val="10"/>
      <name val="Times New Roman"/>
      <family val="1"/>
    </font>
    <font>
      <b/>
      <sz val="11"/>
      <color rgb="FF000000"/>
      <name val="Calibri"/>
      <family val="2"/>
    </font>
    <font>
      <b/>
      <sz val="8"/>
      <name val="Tahoma"/>
      <family val="2"/>
    </font>
    <font>
      <sz val="8"/>
      <name val="Tahoma"/>
      <family val="2"/>
    </font>
    <font>
      <b/>
      <i/>
      <sz val="8"/>
      <name val="Arial"/>
      <family val="2"/>
    </font>
    <font>
      <sz val="9"/>
      <color theme="1"/>
      <name val="Arial Narrow"/>
      <family val="2"/>
    </font>
    <font>
      <sz val="12"/>
      <name val="Arial"/>
      <family val="2"/>
    </font>
    <font>
      <b/>
      <sz val="12"/>
      <name val="Arial"/>
      <family val="2"/>
    </font>
    <font>
      <sz val="9"/>
      <color rgb="FF000000"/>
      <name val="Calibri"/>
      <family val="2"/>
    </font>
    <font>
      <b/>
      <sz val="10"/>
      <color indexed="8"/>
      <name val="Arial"/>
      <family val="2"/>
    </font>
    <font>
      <b/>
      <sz val="11"/>
      <name val="Calibri"/>
      <family val="2"/>
      <scheme val="minor"/>
    </font>
    <font>
      <sz val="11"/>
      <color theme="0" tint="-0.34998626667073579"/>
      <name val="Calibri"/>
      <family val="2"/>
      <scheme val="minor"/>
    </font>
    <font>
      <b/>
      <sz val="9"/>
      <color rgb="FFFF0000"/>
      <name val="Arial"/>
      <family val="2"/>
    </font>
    <font>
      <sz val="10"/>
      <color indexed="12"/>
      <name val="Arial"/>
      <family val="2"/>
    </font>
    <font>
      <sz val="9"/>
      <color rgb="FFFF0000"/>
      <name val="Arial"/>
      <family val="2"/>
    </font>
    <font>
      <sz val="11"/>
      <color rgb="FF008000"/>
      <name val="Calibri"/>
      <family val="2"/>
      <scheme val="minor"/>
    </font>
    <font>
      <b/>
      <sz val="10"/>
      <color indexed="48"/>
      <name val="Arial"/>
      <family val="2"/>
    </font>
    <font>
      <sz val="10"/>
      <color indexed="48"/>
      <name val="Arial"/>
      <family val="2"/>
    </font>
    <font>
      <b/>
      <sz val="10"/>
      <color indexed="12"/>
      <name val="Arial"/>
      <family val="2"/>
    </font>
    <font>
      <b/>
      <sz val="10"/>
      <color indexed="57"/>
      <name val="Arial"/>
      <family val="2"/>
    </font>
    <font>
      <sz val="10"/>
      <color indexed="57"/>
      <name val="Arial"/>
      <family val="2"/>
    </font>
    <font>
      <sz val="8"/>
      <color indexed="57"/>
      <name val="Arial"/>
      <family val="2"/>
    </font>
    <font>
      <b/>
      <sz val="10"/>
      <color theme="1"/>
      <name val="Calibri"/>
      <family val="2"/>
      <scheme val="minor"/>
    </font>
    <font>
      <b/>
      <sz val="10"/>
      <name val="Calibri"/>
      <family val="2"/>
      <scheme val="minor"/>
    </font>
    <font>
      <sz val="10"/>
      <color theme="1"/>
      <name val="Calibri"/>
      <family val="2"/>
      <scheme val="minor"/>
    </font>
    <font>
      <sz val="10"/>
      <name val="Calibri"/>
      <family val="2"/>
      <scheme val="minor"/>
    </font>
    <font>
      <sz val="10"/>
      <color rgb="FFFF0000"/>
      <name val="Calibri"/>
      <family val="2"/>
      <scheme val="minor"/>
    </font>
    <font>
      <sz val="8"/>
      <color rgb="FF00B050"/>
      <name val="Arial"/>
      <family val="2"/>
    </font>
    <font>
      <sz val="8"/>
      <color rgb="FF008000"/>
      <name val="Arial"/>
      <family val="2"/>
    </font>
    <font>
      <b/>
      <sz val="8"/>
      <color rgb="FF008000"/>
      <name val="Arial"/>
      <family val="2"/>
    </font>
    <font>
      <sz val="11"/>
      <color rgb="FFFF0000"/>
      <name val="Arial"/>
      <family val="2"/>
    </font>
    <font>
      <sz val="9"/>
      <color rgb="FFFF0000"/>
      <name val="Calibri"/>
      <family val="2"/>
      <scheme val="minor"/>
    </font>
    <font>
      <sz val="8"/>
      <color indexed="55"/>
      <name val="Arial"/>
      <family val="2"/>
    </font>
    <font>
      <i/>
      <sz val="10"/>
      <color theme="1"/>
      <name val="Arial"/>
      <family val="2"/>
    </font>
    <font>
      <sz val="9"/>
      <color theme="1"/>
      <name val="Arial"/>
      <family val="2"/>
    </font>
    <font>
      <sz val="10"/>
      <color theme="1"/>
      <name val="Calibri"/>
      <family val="2"/>
    </font>
    <font>
      <sz val="9"/>
      <color theme="1"/>
      <name val="Calibri"/>
      <family val="2"/>
    </font>
    <font>
      <sz val="11"/>
      <color theme="1"/>
      <name val="Arial Narrow"/>
      <family val="2"/>
    </font>
    <font>
      <b/>
      <sz val="10"/>
      <color indexed="10"/>
      <name val="Arial Narrow"/>
      <family val="2"/>
    </font>
    <font>
      <sz val="10"/>
      <name val="Arial Narrow"/>
      <family val="2"/>
    </font>
    <font>
      <b/>
      <sz val="11"/>
      <color indexed="10"/>
      <name val="Arial Narrow"/>
      <family val="2"/>
    </font>
    <font>
      <b/>
      <sz val="10"/>
      <name val="Arial Narrow"/>
      <family val="2"/>
    </font>
    <font>
      <b/>
      <sz val="9"/>
      <name val="Arial Narrow"/>
      <family val="2"/>
    </font>
    <font>
      <sz val="9"/>
      <name val="Arial Narrow"/>
      <family val="2"/>
    </font>
    <font>
      <sz val="10"/>
      <color theme="1"/>
      <name val="Arial Narrow"/>
      <family val="2"/>
    </font>
    <font>
      <sz val="12"/>
      <name val="Times New Roman"/>
      <family val="1"/>
    </font>
    <font>
      <sz val="8"/>
      <color indexed="19"/>
      <name val="Arial"/>
      <family val="2"/>
    </font>
    <font>
      <b/>
      <sz val="8"/>
      <color indexed="19"/>
      <name val="Arial"/>
      <family val="2"/>
    </font>
    <font>
      <i/>
      <sz val="8"/>
      <name val="Arial Narrow"/>
      <family val="2"/>
    </font>
    <font>
      <strike/>
      <sz val="11"/>
      <name val="Arial"/>
      <family val="2"/>
    </font>
    <font>
      <b/>
      <sz val="11"/>
      <name val="Arial"/>
      <family val="2"/>
    </font>
    <font>
      <b/>
      <sz val="8"/>
      <color theme="0" tint="-0.499984740745262"/>
      <name val="Arial"/>
      <family val="2"/>
    </font>
    <font>
      <sz val="9"/>
      <color theme="0" tint="-0.499984740745262"/>
      <name val="Arial"/>
      <family val="2"/>
    </font>
    <font>
      <b/>
      <i/>
      <sz val="10"/>
      <color indexed="10"/>
      <name val="Arial"/>
      <family val="2"/>
    </font>
    <font>
      <i/>
      <sz val="11"/>
      <color theme="1"/>
      <name val="Calibri"/>
      <family val="2"/>
      <scheme val="minor"/>
    </font>
    <font>
      <b/>
      <i/>
      <sz val="8"/>
      <color indexed="19"/>
      <name val="Arial"/>
      <family val="2"/>
    </font>
    <font>
      <sz val="9"/>
      <color indexed="10"/>
      <name val="Arial"/>
      <family val="2"/>
    </font>
    <font>
      <b/>
      <sz val="8"/>
      <color indexed="12"/>
      <name val="Arial"/>
      <family val="2"/>
    </font>
    <font>
      <sz val="11"/>
      <color rgb="FF424548"/>
      <name val="Times New Roman"/>
      <family val="1"/>
    </font>
    <font>
      <i/>
      <sz val="9"/>
      <name val="Arial"/>
      <family val="2"/>
    </font>
    <font>
      <b/>
      <i/>
      <sz val="10"/>
      <name val="Arial"/>
      <family val="2"/>
    </font>
    <font>
      <b/>
      <i/>
      <sz val="9"/>
      <name val="Arial"/>
      <family val="2"/>
    </font>
    <font>
      <sz val="9"/>
      <color theme="0" tint="-0.34998626667073579"/>
      <name val="Arial"/>
      <family val="2"/>
    </font>
    <font>
      <sz val="9"/>
      <color theme="0" tint="-0.14999847407452621"/>
      <name val="Arial"/>
      <family val="2"/>
    </font>
    <font>
      <sz val="8"/>
      <color rgb="FF000000"/>
      <name val="Arial Narrow"/>
      <family val="2"/>
    </font>
    <font>
      <sz val="11"/>
      <color theme="1"/>
      <name val="Calibri"/>
      <family val="2"/>
    </font>
    <font>
      <b/>
      <sz val="10"/>
      <color rgb="FF000000"/>
      <name val="Arial"/>
      <family val="2"/>
    </font>
    <font>
      <sz val="11"/>
      <color rgb="FF000000"/>
      <name val="Calibri"/>
      <family val="2"/>
    </font>
    <font>
      <sz val="12"/>
      <color rgb="FF000000"/>
      <name val="Times New Roman"/>
      <family val="1"/>
    </font>
    <font>
      <sz val="11"/>
      <name val="Calibri"/>
      <family val="2"/>
    </font>
    <font>
      <b/>
      <sz val="11"/>
      <color rgb="FFFF0000"/>
      <name val="Arial"/>
      <family val="2"/>
    </font>
    <font>
      <sz val="10"/>
      <color theme="1"/>
      <name val="Times New Roman"/>
      <family val="1"/>
    </font>
    <font>
      <b/>
      <sz val="10.5"/>
      <color theme="1"/>
      <name val="Times New Roman"/>
      <family val="1"/>
    </font>
    <font>
      <sz val="10.5"/>
      <color theme="1"/>
      <name val="Times New Roman"/>
      <family val="1"/>
    </font>
    <font>
      <u/>
      <sz val="10"/>
      <color rgb="FFFF0000"/>
      <name val="Arial"/>
      <family val="2"/>
    </font>
    <font>
      <sz val="9"/>
      <name val="Calibri"/>
      <family val="2"/>
    </font>
    <font>
      <sz val="8"/>
      <color indexed="12"/>
      <name val="Arial"/>
      <family val="2"/>
    </font>
    <font>
      <sz val="9"/>
      <color rgb="FF00B050"/>
      <name val="Calibri"/>
      <family val="2"/>
      <scheme val="minor"/>
    </font>
    <font>
      <b/>
      <sz val="11"/>
      <color rgb="FFFF0000"/>
      <name val="Calibri"/>
      <family val="2"/>
      <scheme val="minor"/>
    </font>
    <font>
      <sz val="10"/>
      <color rgb="FFFF0000"/>
      <name val="Calibri"/>
      <family val="2"/>
    </font>
    <font>
      <sz val="9"/>
      <color rgb="FFFF0000"/>
      <name val="Calibri"/>
      <family val="2"/>
    </font>
  </fonts>
  <fills count="2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0C0FF"/>
        <bgColor indexed="64"/>
      </patternFill>
    </fill>
    <fill>
      <patternFill patternType="solid">
        <fgColor indexed="15"/>
        <bgColor indexed="64"/>
      </patternFill>
    </fill>
    <fill>
      <patternFill patternType="solid">
        <fgColor indexed="9"/>
        <bgColor indexed="34"/>
      </patternFill>
    </fill>
    <fill>
      <patternFill patternType="solid">
        <fgColor theme="0"/>
        <bgColor indexed="34"/>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rgb="FFFF0000"/>
        <bgColor indexed="64"/>
      </patternFill>
    </fill>
    <fill>
      <patternFill patternType="solid">
        <fgColor theme="1" tint="0.249977111117893"/>
        <bgColor indexed="64"/>
      </patternFill>
    </fill>
    <fill>
      <patternFill patternType="solid">
        <fgColor theme="4" tint="0.79998168889431442"/>
        <bgColor theme="4" tint="0.79998168889431442"/>
      </patternFill>
    </fill>
    <fill>
      <patternFill patternType="solid">
        <fgColor theme="5" tint="-0.249977111117893"/>
        <bgColor indexed="64"/>
      </patternFill>
    </fill>
    <fill>
      <patternFill patternType="solid">
        <fgColor theme="0"/>
        <bgColor theme="4" tint="0.79998168889431442"/>
      </patternFill>
    </fill>
    <fill>
      <patternFill patternType="solid">
        <fgColor rgb="FFFFB35F"/>
        <bgColor indexed="64"/>
      </patternFill>
    </fill>
    <fill>
      <patternFill patternType="solid">
        <fgColor rgb="FFEFCBA0"/>
        <bgColor indexed="64"/>
      </patternFill>
    </fill>
    <fill>
      <patternFill patternType="solid">
        <fgColor rgb="FFFFFFFF"/>
        <bgColor indexed="64"/>
      </patternFill>
    </fill>
    <fill>
      <patternFill patternType="solid">
        <fgColor theme="1"/>
        <bgColor indexed="64"/>
      </patternFill>
    </fill>
    <fill>
      <patternFill patternType="solid">
        <fgColor rgb="FFFF6600"/>
        <bgColor indexed="64"/>
      </patternFill>
    </fill>
    <fill>
      <patternFill patternType="solid">
        <fgColor indexed="13"/>
        <bgColor indexed="64"/>
      </patternFill>
    </fill>
    <fill>
      <patternFill patternType="solid">
        <fgColor indexed="65"/>
        <bgColor indexed="64"/>
      </patternFill>
    </fill>
    <fill>
      <patternFill patternType="solid">
        <fgColor indexed="45"/>
        <bgColor indexed="64"/>
      </patternFill>
    </fill>
    <fill>
      <patternFill patternType="solid">
        <fgColor rgb="FFFFFFFF"/>
        <bgColor rgb="FF000000"/>
      </patternFill>
    </fill>
    <fill>
      <patternFill patternType="solid">
        <fgColor theme="0"/>
        <bgColor rgb="FF000000"/>
      </patternFill>
    </fill>
    <fill>
      <patternFill patternType="solid">
        <fgColor theme="0" tint="-0.499984740745262"/>
        <bgColor indexed="64"/>
      </patternFill>
    </fill>
    <fill>
      <patternFill patternType="solid">
        <fgColor theme="4" tint="0.79998168889431442"/>
        <bgColor indexed="64"/>
      </patternFill>
    </fill>
  </fills>
  <borders count="19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hair">
        <color indexed="64"/>
      </left>
      <right/>
      <top/>
      <bottom/>
      <diagonal/>
    </border>
    <border>
      <left/>
      <right/>
      <top style="hair">
        <color indexed="64"/>
      </top>
      <bottom/>
      <diagonal/>
    </border>
    <border>
      <left/>
      <right/>
      <top style="thin">
        <color indexed="64"/>
      </top>
      <bottom/>
      <diagonal/>
    </border>
    <border>
      <left/>
      <right style="thin">
        <color indexed="64"/>
      </right>
      <top style="thin">
        <color indexed="64"/>
      </top>
      <bottom/>
      <diagonal/>
    </border>
    <border>
      <left/>
      <right style="hair">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8"/>
      </top>
      <bottom/>
      <diagonal/>
    </border>
    <border>
      <left/>
      <right style="thin">
        <color indexed="64"/>
      </right>
      <top style="thin">
        <color indexed="8"/>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top style="thin">
        <color indexed="8"/>
      </top>
      <bottom style="hair">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thin">
        <color indexed="64"/>
      </right>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rgb="FF000000"/>
      </right>
      <top style="thin">
        <color auto="1"/>
      </top>
      <bottom style="thin">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thin">
        <color indexed="64"/>
      </left>
      <right style="thin">
        <color indexed="64"/>
      </right>
      <top/>
      <bottom/>
      <diagonal/>
    </border>
    <border>
      <left/>
      <right style="hair">
        <color indexed="64"/>
      </right>
      <top style="thin">
        <color indexed="64"/>
      </top>
      <bottom style="hair">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right style="dotted">
        <color indexed="64"/>
      </right>
      <top/>
      <bottom/>
      <diagonal/>
    </border>
    <border>
      <left/>
      <right style="dashed">
        <color indexed="64"/>
      </right>
      <top style="thin">
        <color indexed="64"/>
      </top>
      <bottom/>
      <diagonal/>
    </border>
    <border>
      <left/>
      <right style="dashed">
        <color indexed="64"/>
      </right>
      <top/>
      <bottom style="thin">
        <color indexed="64"/>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medium">
        <color rgb="FFFFFFFF"/>
      </top>
      <bottom style="medium">
        <color rgb="FFFFFFFF"/>
      </bottom>
      <diagonal/>
    </border>
    <border>
      <left style="thin">
        <color theme="0"/>
      </left>
      <right style="thin">
        <color theme="0"/>
      </right>
      <top style="thin">
        <color theme="0"/>
      </top>
      <bottom style="thin">
        <color theme="0"/>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right/>
      <top/>
      <bottom style="medium">
        <color rgb="FFFFFFFF"/>
      </bottom>
      <diagonal/>
    </border>
    <border>
      <left/>
      <right/>
      <top style="thin">
        <color theme="0"/>
      </top>
      <bottom/>
      <diagonal/>
    </border>
    <border>
      <left style="thin">
        <color indexed="64"/>
      </left>
      <right style="dashed">
        <color indexed="64"/>
      </right>
      <top style="thin">
        <color indexed="64"/>
      </top>
      <bottom style="thin">
        <color indexed="64"/>
      </bottom>
      <diagonal/>
    </border>
    <border>
      <left/>
      <right style="dashed">
        <color indexed="64"/>
      </right>
      <top style="thin">
        <color indexed="64"/>
      </top>
      <bottom style="thin">
        <color indexed="64"/>
      </bottom>
      <diagonal/>
    </border>
    <border>
      <left style="thin">
        <color indexed="64"/>
      </left>
      <right style="dashed">
        <color indexed="64"/>
      </right>
      <top/>
      <bottom/>
      <diagonal/>
    </border>
    <border>
      <left/>
      <right style="dashed">
        <color indexed="64"/>
      </right>
      <top/>
      <bottom/>
      <diagonal/>
    </border>
    <border>
      <left style="thin">
        <color indexed="64"/>
      </left>
      <right style="dashed">
        <color indexed="64"/>
      </right>
      <top/>
      <bottom style="thin">
        <color indexed="64"/>
      </bottom>
      <diagonal/>
    </border>
    <border>
      <left style="dashed">
        <color indexed="64"/>
      </left>
      <right style="hair">
        <color indexed="64"/>
      </right>
      <top/>
      <bottom style="thin">
        <color indexed="64"/>
      </bottom>
      <diagonal/>
    </border>
    <border>
      <left/>
      <right style="dashed">
        <color indexed="64"/>
      </right>
      <top style="thin">
        <color indexed="64"/>
      </top>
      <bottom style="hair">
        <color indexed="64"/>
      </bottom>
      <diagonal/>
    </border>
    <border>
      <left style="dashed">
        <color indexed="64"/>
      </left>
      <right/>
      <top style="thin">
        <color indexed="64"/>
      </top>
      <bottom style="hair">
        <color indexed="64"/>
      </bottom>
      <diagonal/>
    </border>
    <border>
      <left/>
      <right style="dotted">
        <color indexed="64"/>
      </right>
      <top style="thin">
        <color indexed="64"/>
      </top>
      <bottom style="hair">
        <color indexed="64"/>
      </bottom>
      <diagonal/>
    </border>
    <border>
      <left style="dashed">
        <color indexed="64"/>
      </left>
      <right/>
      <top/>
      <bottom style="thin">
        <color indexed="64"/>
      </bottom>
      <diagonal/>
    </border>
    <border>
      <left/>
      <right style="dotted">
        <color indexed="64"/>
      </right>
      <top/>
      <bottom style="thin">
        <color indexed="64"/>
      </bottom>
      <diagonal/>
    </border>
    <border>
      <left/>
      <right/>
      <top/>
      <bottom style="dotted">
        <color indexed="64"/>
      </bottom>
      <diagonal/>
    </border>
    <border>
      <left style="hair">
        <color indexed="64"/>
      </left>
      <right/>
      <top style="dotted">
        <color indexed="64"/>
      </top>
      <bottom style="hair">
        <color indexed="64"/>
      </bottom>
      <diagonal/>
    </border>
    <border>
      <left/>
      <right/>
      <top style="dotted">
        <color indexed="64"/>
      </top>
      <bottom style="hair">
        <color indexed="64"/>
      </bottom>
      <diagonal/>
    </border>
    <border>
      <left/>
      <right style="hair">
        <color indexed="64"/>
      </right>
      <top style="dotted">
        <color indexed="64"/>
      </top>
      <bottom style="hair">
        <color indexed="64"/>
      </bottom>
      <diagonal/>
    </border>
    <border>
      <left/>
      <right/>
      <top style="thin">
        <color auto="1"/>
      </top>
      <bottom/>
      <diagonal/>
    </border>
    <border>
      <left style="thin">
        <color indexed="64"/>
      </left>
      <right style="hair">
        <color indexed="64"/>
      </right>
      <top style="thin">
        <color indexed="64"/>
      </top>
      <bottom/>
      <diagonal/>
    </border>
    <border>
      <left style="thin">
        <color indexed="64"/>
      </left>
      <right style="thin">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top/>
      <bottom style="hair">
        <color auto="1"/>
      </bottom>
      <diagonal/>
    </border>
    <border>
      <left/>
      <right style="thin">
        <color auto="1"/>
      </right>
      <top style="thin">
        <color auto="1"/>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bottom/>
      <diagonal/>
    </border>
    <border>
      <left style="dashed">
        <color indexed="64"/>
      </left>
      <right style="dashed">
        <color indexed="64"/>
      </right>
      <top/>
      <bottom style="thin">
        <color indexed="64"/>
      </bottom>
      <diagonal/>
    </border>
    <border>
      <left/>
      <right style="thin">
        <color auto="1"/>
      </right>
      <top/>
      <bottom style="dotted">
        <color auto="1"/>
      </bottom>
      <diagonal/>
    </border>
    <border>
      <left style="hair">
        <color auto="1"/>
      </left>
      <right style="hair">
        <color auto="1"/>
      </right>
      <top style="hair">
        <color auto="1"/>
      </top>
      <bottom style="hair">
        <color auto="1"/>
      </bottom>
      <diagonal/>
    </border>
    <border>
      <left style="thin">
        <color indexed="9"/>
      </left>
      <right style="thin">
        <color indexed="9"/>
      </right>
      <top style="thin">
        <color indexed="9"/>
      </top>
      <bottom style="thin">
        <color indexed="64"/>
      </bottom>
      <diagonal/>
    </border>
    <border>
      <left style="thin">
        <color indexed="64"/>
      </left>
      <right/>
      <top style="hair">
        <color indexed="64"/>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top/>
      <bottom style="hair">
        <color indexed="8"/>
      </bottom>
      <diagonal/>
    </border>
    <border>
      <left/>
      <right/>
      <top/>
      <bottom style="hair">
        <color indexed="64"/>
      </bottom>
      <diagonal/>
    </border>
    <border>
      <left/>
      <right style="thin">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style="hair">
        <color auto="1"/>
      </left>
      <right/>
      <top/>
      <bottom style="hair">
        <color auto="1"/>
      </bottom>
      <diagonal/>
    </border>
    <border>
      <left/>
      <right style="medium">
        <color indexed="64"/>
      </right>
      <top/>
      <bottom style="hair">
        <color indexed="64"/>
      </bottom>
      <diagonal/>
    </border>
    <border>
      <left style="thin">
        <color indexed="64"/>
      </left>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top style="hair">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right style="thin">
        <color indexed="64"/>
      </right>
      <top style="hair">
        <color indexed="64"/>
      </top>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top style="hair">
        <color indexed="8"/>
      </top>
      <bottom style="hair">
        <color indexed="8"/>
      </bottom>
      <diagonal/>
    </border>
    <border>
      <left style="thin">
        <color indexed="64"/>
      </left>
      <right/>
      <top style="hair">
        <color indexed="64"/>
      </top>
      <bottom style="thin">
        <color indexed="64"/>
      </bottom>
      <diagonal/>
    </border>
    <border>
      <left/>
      <right/>
      <top style="hair">
        <color indexed="8"/>
      </top>
      <bottom style="thin">
        <color indexed="8"/>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top style="thin">
        <color auto="1"/>
      </top>
      <bottom style="thin">
        <color auto="1"/>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right/>
      <top style="hair">
        <color auto="1"/>
      </top>
      <bottom style="thin">
        <color auto="1"/>
      </bottom>
      <diagonal/>
    </border>
    <border>
      <left/>
      <right/>
      <top style="hair">
        <color auto="1"/>
      </top>
      <bottom/>
      <diagonal/>
    </border>
    <border>
      <left/>
      <right style="thin">
        <color auto="1"/>
      </right>
      <top style="hair">
        <color auto="1"/>
      </top>
      <bottom/>
      <diagonal/>
    </border>
    <border>
      <left/>
      <right style="thin">
        <color auto="1"/>
      </right>
      <top style="thin">
        <color auto="1"/>
      </top>
      <bottom style="thin">
        <color auto="1"/>
      </bottom>
      <diagonal/>
    </border>
    <border>
      <left/>
      <right style="hair">
        <color indexed="64"/>
      </right>
      <top style="thin">
        <color indexed="64"/>
      </top>
      <bottom/>
      <diagonal/>
    </border>
    <border>
      <left style="hair">
        <color indexed="64"/>
      </left>
      <right/>
      <top style="hair">
        <color indexed="64"/>
      </top>
      <bottom/>
      <diagonal/>
    </border>
    <border>
      <left/>
      <right style="hair">
        <color indexed="64"/>
      </right>
      <top style="hair">
        <color indexed="64"/>
      </top>
      <bottom/>
      <diagonal/>
    </border>
    <border>
      <left/>
      <right style="thin">
        <color indexed="64"/>
      </right>
      <top style="hair">
        <color indexed="64"/>
      </top>
      <bottom style="thin">
        <color indexed="64"/>
      </bottom>
      <diagonal/>
    </border>
  </borders>
  <cellStyleXfs count="47">
    <xf numFmtId="0" fontId="0" fillId="0" borderId="0"/>
    <xf numFmtId="9" fontId="1" fillId="0" borderId="0" applyFont="0" applyFill="0" applyBorder="0" applyAlignment="0" applyProtection="0"/>
    <xf numFmtId="0" fontId="4" fillId="0" borderId="0"/>
    <xf numFmtId="0" fontId="4" fillId="0" borderId="0"/>
    <xf numFmtId="166" fontId="9" fillId="0" borderId="0"/>
    <xf numFmtId="0" fontId="4" fillId="0" borderId="0"/>
    <xf numFmtId="0" fontId="12" fillId="0" borderId="0"/>
    <xf numFmtId="168" fontId="1" fillId="0" borderId="0" applyFont="0" applyFill="0" applyBorder="0" applyAlignment="0" applyProtection="0"/>
    <xf numFmtId="0" fontId="4" fillId="0" borderId="0"/>
    <xf numFmtId="0" fontId="4" fillId="0" borderId="0"/>
    <xf numFmtId="0" fontId="12" fillId="0" borderId="0"/>
    <xf numFmtId="0" fontId="4" fillId="9" borderId="0">
      <protection locked="0"/>
    </xf>
    <xf numFmtId="0" fontId="4" fillId="9" borderId="0">
      <protection locked="0"/>
    </xf>
    <xf numFmtId="0" fontId="4" fillId="0" borderId="0"/>
    <xf numFmtId="164" fontId="4" fillId="0" borderId="0" applyFont="0" applyFill="0" applyBorder="0" applyAlignment="0" applyProtection="0"/>
    <xf numFmtId="0" fontId="4" fillId="0" borderId="0"/>
    <xf numFmtId="0" fontId="9" fillId="0" borderId="0"/>
    <xf numFmtId="9" fontId="4" fillId="0" borderId="0" applyFont="0" applyFill="0" applyBorder="0" applyAlignment="0" applyProtection="0"/>
    <xf numFmtId="164" fontId="1"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188" fontId="4" fillId="0" borderId="0"/>
    <xf numFmtId="189" fontId="1" fillId="0" borderId="0" applyFont="0" applyFill="0" applyBorder="0" applyAlignment="0" applyProtection="0"/>
    <xf numFmtId="164" fontId="4" fillId="0" borderId="0" applyFont="0" applyFill="0" applyBorder="0" applyAlignment="0" applyProtection="0"/>
    <xf numFmtId="0" fontId="1" fillId="0" borderId="0"/>
    <xf numFmtId="0" fontId="4" fillId="0" borderId="0"/>
    <xf numFmtId="0" fontId="1" fillId="0" borderId="0"/>
    <xf numFmtId="0" fontId="4" fillId="0" borderId="0" applyFont="0" applyFill="0" applyBorder="0" applyAlignment="0" applyProtection="0"/>
    <xf numFmtId="3" fontId="4" fillId="0" borderId="0"/>
    <xf numFmtId="190" fontId="4" fillId="0" borderId="0" applyFont="0" applyFill="0" applyBorder="0" applyAlignment="0" applyProtection="0"/>
    <xf numFmtId="164" fontId="74" fillId="0" borderId="33" applyFill="0" applyAlignment="0"/>
    <xf numFmtId="0" fontId="1" fillId="0" borderId="0"/>
    <xf numFmtId="0" fontId="87" fillId="0" borderId="0" applyNumberFormat="0" applyFill="0" applyBorder="0" applyAlignment="0" applyProtection="0">
      <alignment vertical="top"/>
      <protection locked="0"/>
    </xf>
    <xf numFmtId="0" fontId="4" fillId="0" borderId="0"/>
    <xf numFmtId="164" fontId="4"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5153">
    <xf numFmtId="0" fontId="0" fillId="0" borderId="0" xfId="0"/>
    <xf numFmtId="165" fontId="5" fillId="0" borderId="0" xfId="2" applyNumberFormat="1" applyFont="1" applyAlignment="1" applyProtection="1">
      <alignment horizontal="right" vertical="top"/>
      <protection locked="0"/>
    </xf>
    <xf numFmtId="0" fontId="1" fillId="0" borderId="0" xfId="2" applyFont="1" applyAlignment="1" applyProtection="1">
      <alignment horizontal="left" vertical="top"/>
      <protection locked="0"/>
    </xf>
    <xf numFmtId="0" fontId="1" fillId="0" borderId="0" xfId="2" applyFont="1" applyAlignment="1" applyProtection="1">
      <alignment horizontal="right" vertical="top"/>
      <protection locked="0"/>
    </xf>
    <xf numFmtId="0" fontId="1" fillId="0" borderId="0" xfId="2" applyFont="1" applyProtection="1">
      <protection locked="0"/>
    </xf>
    <xf numFmtId="0" fontId="5" fillId="0" borderId="0" xfId="2" applyFont="1" applyAlignment="1" applyProtection="1">
      <alignment horizontal="right" vertical="top"/>
      <protection locked="0"/>
    </xf>
    <xf numFmtId="0" fontId="5" fillId="0" borderId="0" xfId="2" applyFont="1" applyAlignment="1" applyProtection="1">
      <alignment horizontal="left" vertical="top"/>
      <protection locked="0"/>
    </xf>
    <xf numFmtId="0" fontId="4" fillId="0" borderId="0" xfId="2" applyAlignment="1" applyProtection="1">
      <alignment horizontal="left" vertical="top" wrapText="1"/>
      <protection locked="0"/>
    </xf>
    <xf numFmtId="0" fontId="6" fillId="0" borderId="0" xfId="2" applyFont="1" applyAlignment="1" applyProtection="1">
      <alignment horizontal="left" vertical="top"/>
      <protection locked="0"/>
    </xf>
    <xf numFmtId="0" fontId="7" fillId="0" borderId="0" xfId="2" applyFont="1" applyProtection="1">
      <protection locked="0"/>
    </xf>
    <xf numFmtId="0" fontId="8" fillId="0" borderId="0" xfId="2" applyFont="1" applyProtection="1">
      <protection locked="0"/>
    </xf>
    <xf numFmtId="0" fontId="8" fillId="0" borderId="4" xfId="2" applyFont="1" applyBorder="1" applyAlignment="1" applyProtection="1">
      <alignment horizontal="left"/>
      <protection locked="0"/>
    </xf>
    <xf numFmtId="166" fontId="10" fillId="0" borderId="2" xfId="4" quotePrefix="1" applyFont="1" applyBorder="1" applyAlignment="1" applyProtection="1">
      <alignment horizontal="right"/>
      <protection locked="0"/>
    </xf>
    <xf numFmtId="165" fontId="8" fillId="0" borderId="0" xfId="6" applyNumberFormat="1" applyFont="1" applyAlignment="1" applyProtection="1">
      <alignment horizontal="center"/>
      <protection locked="0"/>
    </xf>
    <xf numFmtId="0" fontId="8" fillId="0" borderId="0" xfId="2" applyFont="1" applyAlignment="1" applyProtection="1">
      <alignment horizontal="left"/>
      <protection locked="0"/>
    </xf>
    <xf numFmtId="165" fontId="0" fillId="0" borderId="0" xfId="0" applyNumberFormat="1"/>
    <xf numFmtId="165" fontId="8" fillId="0" borderId="0" xfId="2" applyNumberFormat="1" applyFont="1" applyProtection="1">
      <protection locked="0"/>
    </xf>
    <xf numFmtId="165" fontId="8" fillId="2" borderId="0" xfId="2" applyNumberFormat="1" applyFont="1" applyFill="1" applyProtection="1">
      <protection locked="0"/>
    </xf>
    <xf numFmtId="0" fontId="13" fillId="0" borderId="0" xfId="2" applyFont="1" applyAlignment="1" applyProtection="1">
      <alignment horizontal="right" vertical="top"/>
      <protection locked="0"/>
    </xf>
    <xf numFmtId="0" fontId="8" fillId="0" borderId="0" xfId="2" applyFont="1" applyAlignment="1" applyProtection="1">
      <alignment horizontal="left" vertical="top"/>
      <protection locked="0"/>
    </xf>
    <xf numFmtId="0" fontId="8" fillId="0" borderId="0" xfId="2" applyFont="1" applyAlignment="1" applyProtection="1">
      <alignment horizontal="right" vertical="top"/>
      <protection locked="0"/>
    </xf>
    <xf numFmtId="0" fontId="7" fillId="0" borderId="0" xfId="2" applyFont="1" applyAlignment="1" applyProtection="1">
      <alignment horizontal="left"/>
      <protection locked="0"/>
    </xf>
    <xf numFmtId="165" fontId="7" fillId="0" borderId="0" xfId="2" applyNumberFormat="1" applyFont="1" applyProtection="1">
      <protection locked="0"/>
    </xf>
    <xf numFmtId="0" fontId="8" fillId="0" borderId="7" xfId="2" applyFont="1" applyBorder="1" applyAlignment="1" applyProtection="1">
      <alignment horizontal="left"/>
      <protection locked="0"/>
    </xf>
    <xf numFmtId="165" fontId="7" fillId="0" borderId="8" xfId="2" quotePrefix="1" applyNumberFormat="1" applyFont="1" applyBorder="1" applyAlignment="1" applyProtection="1">
      <alignment horizontal="right"/>
      <protection locked="0"/>
    </xf>
    <xf numFmtId="0" fontId="14" fillId="2" borderId="8" xfId="5" applyFont="1" applyFill="1" applyBorder="1" applyAlignment="1">
      <alignment horizontal="right" vertical="top"/>
    </xf>
    <xf numFmtId="0" fontId="10" fillId="0" borderId="8" xfId="4" quotePrefix="1" applyNumberFormat="1" applyFont="1" applyBorder="1" applyAlignment="1" applyProtection="1">
      <alignment horizontal="right"/>
      <protection locked="0"/>
    </xf>
    <xf numFmtId="0" fontId="10" fillId="0" borderId="9" xfId="4" quotePrefix="1" applyNumberFormat="1" applyFont="1" applyBorder="1" applyAlignment="1" applyProtection="1">
      <alignment horizontal="right"/>
      <protection locked="0"/>
    </xf>
    <xf numFmtId="0" fontId="8" fillId="0" borderId="10" xfId="5" applyFont="1" applyBorder="1"/>
    <xf numFmtId="165" fontId="11" fillId="0" borderId="0" xfId="0" applyNumberFormat="1" applyFont="1"/>
    <xf numFmtId="165" fontId="11" fillId="0" borderId="11" xfId="0" applyNumberFormat="1" applyFont="1" applyBorder="1"/>
    <xf numFmtId="0" fontId="8" fillId="0" borderId="12" xfId="5" applyFont="1" applyBorder="1"/>
    <xf numFmtId="165" fontId="11" fillId="0" borderId="13" xfId="0" applyNumberFormat="1" applyFont="1" applyBorder="1"/>
    <xf numFmtId="165" fontId="11" fillId="0" borderId="14" xfId="0" applyNumberFormat="1" applyFont="1" applyBorder="1"/>
    <xf numFmtId="0" fontId="1" fillId="2" borderId="0" xfId="2" applyFont="1" applyFill="1" applyProtection="1">
      <protection locked="0"/>
    </xf>
    <xf numFmtId="0" fontId="13" fillId="0" borderId="0" xfId="2" applyFont="1" applyProtection="1">
      <protection locked="0"/>
    </xf>
    <xf numFmtId="0" fontId="5" fillId="0" borderId="0" xfId="2" applyFont="1" applyAlignment="1" applyProtection="1">
      <alignment horizontal="right" vertical="top" wrapText="1"/>
      <protection locked="0"/>
    </xf>
    <xf numFmtId="0" fontId="5" fillId="0" borderId="0" xfId="2" applyFont="1" applyAlignment="1" applyProtection="1">
      <alignment horizontal="left" vertical="top" wrapText="1"/>
      <protection locked="0"/>
    </xf>
    <xf numFmtId="0" fontId="4" fillId="0" borderId="0" xfId="2" applyProtection="1">
      <protection locked="0"/>
    </xf>
    <xf numFmtId="0" fontId="16" fillId="0" borderId="0" xfId="2" applyFont="1" applyAlignment="1" applyProtection="1">
      <alignment horizontal="left" vertical="top"/>
      <protection locked="0"/>
    </xf>
    <xf numFmtId="0" fontId="16" fillId="0" borderId="0" xfId="2" applyFont="1" applyAlignment="1" applyProtection="1">
      <alignment horizontal="right" vertical="top"/>
      <protection locked="0"/>
    </xf>
    <xf numFmtId="0" fontId="17" fillId="0" borderId="15" xfId="2" applyFont="1" applyBorder="1" applyAlignment="1" applyProtection="1">
      <alignment horizontal="right" vertical="top" wrapText="1"/>
      <protection locked="0"/>
    </xf>
    <xf numFmtId="0" fontId="17" fillId="0" borderId="0" xfId="2" applyFont="1" applyAlignment="1" applyProtection="1">
      <alignment horizontal="right" vertical="top" wrapText="1"/>
      <protection locked="0"/>
    </xf>
    <xf numFmtId="17" fontId="17" fillId="0" borderId="16" xfId="2" applyNumberFormat="1" applyFont="1" applyBorder="1" applyAlignment="1" applyProtection="1">
      <alignment horizontal="right" vertical="top" wrapText="1"/>
      <protection locked="0"/>
    </xf>
    <xf numFmtId="0" fontId="17" fillId="3" borderId="15" xfId="2" applyFont="1" applyFill="1" applyBorder="1" applyAlignment="1" applyProtection="1">
      <alignment horizontal="right" vertical="top" wrapText="1"/>
      <protection locked="0"/>
    </xf>
    <xf numFmtId="0" fontId="17" fillId="3" borderId="0" xfId="2" applyFont="1" applyFill="1" applyAlignment="1" applyProtection="1">
      <alignment horizontal="right" vertical="top" wrapText="1"/>
      <protection locked="0"/>
    </xf>
    <xf numFmtId="17" fontId="17" fillId="3" borderId="16" xfId="2" applyNumberFormat="1" applyFont="1" applyFill="1" applyBorder="1" applyAlignment="1" applyProtection="1">
      <alignment horizontal="right" vertical="top" wrapText="1"/>
      <protection locked="0"/>
    </xf>
    <xf numFmtId="0" fontId="19" fillId="0" borderId="0" xfId="2" applyFont="1" applyProtection="1">
      <protection locked="0"/>
    </xf>
    <xf numFmtId="0" fontId="18" fillId="0" borderId="0" xfId="2" applyFont="1" applyAlignment="1" applyProtection="1">
      <alignment horizontal="right" vertical="top" wrapText="1"/>
      <protection locked="0"/>
    </xf>
    <xf numFmtId="165" fontId="19" fillId="0" borderId="5" xfId="2" applyNumberFormat="1" applyFont="1" applyBorder="1" applyProtection="1">
      <protection locked="0"/>
    </xf>
    <xf numFmtId="165" fontId="19" fillId="0" borderId="6" xfId="2" applyNumberFormat="1" applyFont="1" applyBorder="1" applyProtection="1">
      <protection locked="0"/>
    </xf>
    <xf numFmtId="165" fontId="19" fillId="0" borderId="17" xfId="2" applyNumberFormat="1" applyFont="1" applyBorder="1" applyProtection="1">
      <protection locked="0"/>
    </xf>
    <xf numFmtId="165" fontId="19" fillId="3" borderId="5" xfId="2" applyNumberFormat="1" applyFont="1" applyFill="1" applyBorder="1" applyProtection="1">
      <protection locked="0"/>
    </xf>
    <xf numFmtId="165" fontId="19" fillId="3" borderId="6" xfId="2" applyNumberFormat="1" applyFont="1" applyFill="1" applyBorder="1" applyProtection="1">
      <protection locked="0"/>
    </xf>
    <xf numFmtId="165" fontId="19" fillId="3" borderId="17" xfId="2" applyNumberFormat="1" applyFont="1" applyFill="1" applyBorder="1" applyProtection="1">
      <protection locked="0"/>
    </xf>
    <xf numFmtId="165" fontId="1" fillId="0" borderId="0" xfId="2" applyNumberFormat="1" applyFont="1" applyProtection="1">
      <protection locked="0"/>
    </xf>
    <xf numFmtId="165" fontId="20" fillId="0" borderId="0" xfId="2" applyNumberFormat="1" applyFont="1" applyProtection="1">
      <protection locked="0"/>
    </xf>
    <xf numFmtId="165" fontId="20" fillId="0" borderId="0" xfId="2" applyNumberFormat="1" applyFont="1" applyAlignment="1" applyProtection="1">
      <alignment vertical="top" wrapText="1"/>
      <protection locked="0"/>
    </xf>
    <xf numFmtId="0" fontId="20" fillId="0" borderId="0" xfId="2" applyFont="1" applyProtection="1">
      <protection locked="0"/>
    </xf>
    <xf numFmtId="0" fontId="20" fillId="0" borderId="0" xfId="2" applyFont="1" applyAlignment="1" applyProtection="1">
      <alignment vertical="top" wrapText="1"/>
      <protection locked="0"/>
    </xf>
    <xf numFmtId="0" fontId="20" fillId="0" borderId="0" xfId="2" applyFont="1" applyAlignment="1" applyProtection="1">
      <alignment horizontal="left" vertical="top" wrapText="1"/>
      <protection locked="0"/>
    </xf>
    <xf numFmtId="0" fontId="20" fillId="0" borderId="0" xfId="2" applyFont="1" applyAlignment="1" applyProtection="1">
      <alignment horizontal="right" vertical="top" wrapText="1"/>
      <protection locked="0"/>
    </xf>
    <xf numFmtId="0" fontId="20" fillId="0" borderId="0" xfId="2" applyFont="1" applyAlignment="1" applyProtection="1">
      <alignment horizontal="left" vertical="top"/>
      <protection locked="0"/>
    </xf>
    <xf numFmtId="0" fontId="20" fillId="0" borderId="0" xfId="2" applyFont="1" applyAlignment="1" applyProtection="1">
      <alignment horizontal="right" vertical="top"/>
      <protection locked="0"/>
    </xf>
    <xf numFmtId="0" fontId="21" fillId="0" borderId="0" xfId="2" applyFont="1" applyProtection="1">
      <protection locked="0"/>
    </xf>
    <xf numFmtId="165" fontId="5" fillId="0" borderId="0" xfId="2" applyNumberFormat="1" applyFont="1" applyAlignment="1">
      <alignment horizontal="right" vertical="top"/>
    </xf>
    <xf numFmtId="0" fontId="1" fillId="0" borderId="0" xfId="2" applyFont="1" applyAlignment="1">
      <alignment horizontal="left" vertical="top"/>
    </xf>
    <xf numFmtId="0" fontId="1" fillId="0" borderId="0" xfId="2" applyFont="1" applyAlignment="1">
      <alignment horizontal="right" vertical="top"/>
    </xf>
    <xf numFmtId="0" fontId="1" fillId="0" borderId="0" xfId="2" applyFont="1"/>
    <xf numFmtId="0" fontId="5" fillId="0" borderId="0" xfId="2" applyFont="1" applyAlignment="1">
      <alignment horizontal="right" vertical="top"/>
    </xf>
    <xf numFmtId="0" fontId="5" fillId="0" borderId="0" xfId="2" applyFont="1" applyAlignment="1">
      <alignment horizontal="left" vertical="top"/>
    </xf>
    <xf numFmtId="0" fontId="7" fillId="0" borderId="0" xfId="2" applyFont="1"/>
    <xf numFmtId="0" fontId="7" fillId="0" borderId="6" xfId="2" applyFont="1" applyBorder="1"/>
    <xf numFmtId="0" fontId="1" fillId="0" borderId="6" xfId="2" applyFont="1" applyBorder="1"/>
    <xf numFmtId="0" fontId="8" fillId="0" borderId="1" xfId="2" applyFont="1" applyBorder="1" applyAlignment="1">
      <alignment horizontal="left" wrapText="1"/>
    </xf>
    <xf numFmtId="0" fontId="1" fillId="0" borderId="3" xfId="2" applyFont="1" applyBorder="1" applyProtection="1">
      <protection locked="0"/>
    </xf>
    <xf numFmtId="0" fontId="7" fillId="0" borderId="2" xfId="2" applyFont="1" applyBorder="1" applyAlignment="1">
      <alignment horizontal="left" wrapText="1"/>
    </xf>
    <xf numFmtId="166" fontId="10" fillId="0" borderId="2" xfId="4" quotePrefix="1" applyFont="1" applyBorder="1" applyAlignment="1">
      <alignment horizontal="right"/>
    </xf>
    <xf numFmtId="0" fontId="10" fillId="0" borderId="2" xfId="4" quotePrefix="1" applyNumberFormat="1" applyFont="1" applyBorder="1" applyAlignment="1">
      <alignment horizontal="right"/>
    </xf>
    <xf numFmtId="0" fontId="13" fillId="0" borderId="0" xfId="2" applyFont="1" applyAlignment="1">
      <alignment horizontal="right" vertical="top"/>
    </xf>
    <xf numFmtId="0" fontId="8" fillId="0" borderId="0" xfId="2" applyFont="1" applyAlignment="1">
      <alignment horizontal="left" vertical="top"/>
    </xf>
    <xf numFmtId="0" fontId="8" fillId="0" borderId="0" xfId="2" applyFont="1" applyAlignment="1">
      <alignment horizontal="right" vertical="top"/>
    </xf>
    <xf numFmtId="0" fontId="8" fillId="0" borderId="5" xfId="2" applyFont="1" applyBorder="1" applyAlignment="1">
      <alignment wrapText="1"/>
    </xf>
    <xf numFmtId="0" fontId="8" fillId="0" borderId="17" xfId="2" applyFont="1" applyBorder="1" applyProtection="1">
      <protection locked="0"/>
    </xf>
    <xf numFmtId="165" fontId="23" fillId="0" borderId="6" xfId="2" applyNumberFormat="1" applyFont="1" applyBorder="1" applyProtection="1">
      <protection locked="0"/>
    </xf>
    <xf numFmtId="169" fontId="23" fillId="2" borderId="6" xfId="7" applyNumberFormat="1" applyFont="1" applyFill="1" applyBorder="1" applyProtection="1">
      <protection locked="0"/>
    </xf>
    <xf numFmtId="165" fontId="23" fillId="0" borderId="17" xfId="2" applyNumberFormat="1" applyFont="1" applyBorder="1" applyProtection="1">
      <protection locked="0"/>
    </xf>
    <xf numFmtId="0" fontId="8" fillId="0" borderId="0" xfId="2" applyFont="1" applyAlignment="1">
      <alignment wrapText="1"/>
    </xf>
    <xf numFmtId="0" fontId="8" fillId="0" borderId="0" xfId="2" applyFont="1"/>
    <xf numFmtId="0" fontId="13" fillId="0" borderId="0" xfId="2" applyFont="1"/>
    <xf numFmtId="0" fontId="5" fillId="0" borderId="0" xfId="2" applyFont="1" applyAlignment="1">
      <alignment horizontal="right" vertical="top" wrapText="1"/>
    </xf>
    <xf numFmtId="0" fontId="5" fillId="0" borderId="0" xfId="2" applyFont="1" applyAlignment="1">
      <alignment horizontal="left" vertical="top" wrapText="1"/>
    </xf>
    <xf numFmtId="0" fontId="19" fillId="0" borderId="0" xfId="2" applyFont="1" applyAlignment="1">
      <alignment horizontal="right" vertical="top"/>
    </xf>
    <xf numFmtId="165" fontId="4" fillId="3" borderId="0" xfId="5" applyNumberFormat="1" applyFill="1"/>
    <xf numFmtId="170" fontId="1" fillId="0" borderId="0" xfId="1" applyNumberFormat="1" applyFont="1" applyFill="1" applyProtection="1">
      <protection locked="0"/>
    </xf>
    <xf numFmtId="0" fontId="8" fillId="0" borderId="6" xfId="2" applyFont="1" applyBorder="1"/>
    <xf numFmtId="171" fontId="5" fillId="0" borderId="0" xfId="2" applyNumberFormat="1" applyFont="1" applyAlignment="1">
      <alignment horizontal="right" vertical="top"/>
    </xf>
    <xf numFmtId="171" fontId="1" fillId="0" borderId="0" xfId="2" applyNumberFormat="1" applyFont="1" applyAlignment="1">
      <alignment horizontal="left" vertical="top"/>
    </xf>
    <xf numFmtId="171" fontId="1" fillId="0" borderId="0" xfId="2" applyNumberFormat="1" applyFont="1" applyAlignment="1">
      <alignment horizontal="right" vertical="top"/>
    </xf>
    <xf numFmtId="0" fontId="8" fillId="0" borderId="4" xfId="2" applyFont="1" applyBorder="1"/>
    <xf numFmtId="171" fontId="7" fillId="0" borderId="0" xfId="4" quotePrefix="1" applyNumberFormat="1" applyFont="1" applyAlignment="1">
      <alignment horizontal="right"/>
    </xf>
    <xf numFmtId="171" fontId="1" fillId="0" borderId="0" xfId="2" applyNumberFormat="1" applyFont="1" applyAlignment="1" applyProtection="1">
      <alignment horizontal="right"/>
      <protection locked="0"/>
    </xf>
    <xf numFmtId="172" fontId="11" fillId="0" borderId="6" xfId="6" applyNumberFormat="1" applyFont="1" applyBorder="1"/>
    <xf numFmtId="4" fontId="23" fillId="0" borderId="6" xfId="6" applyNumberFormat="1" applyFont="1" applyBorder="1"/>
    <xf numFmtId="4" fontId="23" fillId="0" borderId="6" xfId="2" applyNumberFormat="1" applyFont="1" applyBorder="1"/>
    <xf numFmtId="4" fontId="23" fillId="4" borderId="6" xfId="2" applyNumberFormat="1" applyFont="1" applyFill="1" applyBorder="1"/>
    <xf numFmtId="4" fontId="23" fillId="2" borderId="6" xfId="2" applyNumberFormat="1" applyFont="1" applyFill="1" applyBorder="1"/>
    <xf numFmtId="4" fontId="23" fillId="0" borderId="17" xfId="2" applyNumberFormat="1" applyFont="1" applyBorder="1"/>
    <xf numFmtId="3" fontId="8" fillId="0" borderId="0" xfId="6" applyNumberFormat="1" applyFont="1"/>
    <xf numFmtId="3" fontId="8" fillId="0" borderId="0" xfId="2" applyNumberFormat="1" applyFont="1"/>
    <xf numFmtId="0" fontId="26" fillId="0" borderId="0" xfId="0" applyFont="1"/>
    <xf numFmtId="173" fontId="26" fillId="0" borderId="0" xfId="7" applyNumberFormat="1" applyFont="1" applyFill="1"/>
    <xf numFmtId="174" fontId="1" fillId="0" borderId="0" xfId="2" applyNumberFormat="1" applyFont="1" applyProtection="1">
      <protection locked="0"/>
    </xf>
    <xf numFmtId="0" fontId="0" fillId="0" borderId="0" xfId="2" applyFont="1" applyProtection="1">
      <protection locked="0"/>
    </xf>
    <xf numFmtId="174" fontId="0" fillId="0" borderId="0" xfId="2" applyNumberFormat="1" applyFont="1" applyProtection="1">
      <protection locked="0"/>
    </xf>
    <xf numFmtId="0" fontId="2" fillId="0" borderId="0" xfId="0" applyFont="1"/>
    <xf numFmtId="0" fontId="27" fillId="0" borderId="0" xfId="2" applyFont="1" applyAlignment="1">
      <alignment horizontal="right" vertical="top"/>
    </xf>
    <xf numFmtId="172" fontId="11" fillId="0" borderId="0" xfId="6" applyNumberFormat="1" applyFont="1"/>
    <xf numFmtId="172" fontId="11" fillId="0" borderId="0" xfId="2" applyNumberFormat="1" applyFont="1"/>
    <xf numFmtId="172" fontId="11" fillId="4" borderId="0" xfId="2" applyNumberFormat="1" applyFont="1" applyFill="1"/>
    <xf numFmtId="172" fontId="11" fillId="2" borderId="0" xfId="2" applyNumberFormat="1" applyFont="1" applyFill="1"/>
    <xf numFmtId="172" fontId="11" fillId="3" borderId="0" xfId="2" applyNumberFormat="1" applyFont="1" applyFill="1"/>
    <xf numFmtId="172" fontId="1" fillId="0" borderId="0" xfId="2" applyNumberFormat="1" applyFont="1" applyProtection="1">
      <protection locked="0"/>
    </xf>
    <xf numFmtId="0" fontId="1" fillId="0" borderId="0" xfId="2" applyFont="1" applyAlignment="1" applyProtection="1">
      <alignment readingOrder="1"/>
      <protection locked="0"/>
    </xf>
    <xf numFmtId="0" fontId="4" fillId="0" borderId="0" xfId="2" applyAlignment="1" applyProtection="1">
      <alignment horizontal="left" vertical="top"/>
      <protection locked="0"/>
    </xf>
    <xf numFmtId="0" fontId="4" fillId="0" borderId="22" xfId="2" applyBorder="1" applyAlignment="1" applyProtection="1">
      <alignment horizontal="left" vertical="top"/>
      <protection locked="0"/>
    </xf>
    <xf numFmtId="0" fontId="7" fillId="0" borderId="6" xfId="2" applyFont="1" applyBorder="1" applyAlignment="1">
      <alignment wrapText="1" readingOrder="1"/>
    </xf>
    <xf numFmtId="0" fontId="7" fillId="0" borderId="0" xfId="2" applyFont="1" applyAlignment="1">
      <alignment wrapText="1" readingOrder="1"/>
    </xf>
    <xf numFmtId="0" fontId="7" fillId="0" borderId="2" xfId="2" applyFont="1" applyBorder="1" applyAlignment="1">
      <alignment horizontal="right"/>
    </xf>
    <xf numFmtId="0" fontId="7" fillId="0" borderId="3" xfId="2" applyFont="1" applyBorder="1" applyAlignment="1">
      <alignment horizontal="right"/>
    </xf>
    <xf numFmtId="0" fontId="7" fillId="0" borderId="5" xfId="2" applyFont="1" applyBorder="1" applyAlignment="1">
      <alignment wrapText="1"/>
    </xf>
    <xf numFmtId="0" fontId="7" fillId="0" borderId="0" xfId="2" applyFont="1" applyAlignment="1">
      <alignment wrapText="1"/>
    </xf>
    <xf numFmtId="165" fontId="8" fillId="0" borderId="0" xfId="2" applyNumberFormat="1" applyFont="1" applyAlignment="1">
      <alignment horizontal="right" wrapText="1"/>
    </xf>
    <xf numFmtId="165" fontId="28" fillId="2" borderId="0" xfId="0" applyNumberFormat="1" applyFont="1" applyFill="1" applyAlignment="1">
      <alignment horizontal="center"/>
    </xf>
    <xf numFmtId="2" fontId="26" fillId="0" borderId="0" xfId="0" applyNumberFormat="1" applyFont="1"/>
    <xf numFmtId="0" fontId="8" fillId="0" borderId="0" xfId="2" applyFont="1" applyAlignment="1">
      <alignment horizontal="right" wrapText="1"/>
    </xf>
    <xf numFmtId="165" fontId="8" fillId="0" borderId="0" xfId="2" applyNumberFormat="1" applyFont="1"/>
    <xf numFmtId="165" fontId="26" fillId="0" borderId="0" xfId="0" applyNumberFormat="1" applyFont="1" applyAlignment="1">
      <alignment horizontal="center"/>
    </xf>
    <xf numFmtId="0" fontId="7" fillId="0" borderId="6" xfId="2" applyFont="1" applyBorder="1" applyAlignment="1">
      <alignment horizontal="left" vertical="top"/>
    </xf>
    <xf numFmtId="0" fontId="7" fillId="0" borderId="6" xfId="2" applyFont="1" applyBorder="1" applyAlignment="1">
      <alignment horizontal="right" vertical="top"/>
    </xf>
    <xf numFmtId="0" fontId="7" fillId="0" borderId="6" xfId="2" applyFont="1" applyBorder="1" applyProtection="1">
      <protection locked="0"/>
    </xf>
    <xf numFmtId="0" fontId="1" fillId="0" borderId="6" xfId="2" applyFont="1" applyBorder="1" applyProtection="1">
      <protection locked="0"/>
    </xf>
    <xf numFmtId="0" fontId="8" fillId="0" borderId="6" xfId="2" applyFont="1" applyBorder="1" applyProtection="1">
      <protection locked="0"/>
    </xf>
    <xf numFmtId="0" fontId="7" fillId="0" borderId="0" xfId="2" applyFont="1" applyAlignment="1">
      <alignment horizontal="left" vertical="top"/>
    </xf>
    <xf numFmtId="0" fontId="7" fillId="0" borderId="0" xfId="2" applyFont="1" applyAlignment="1">
      <alignment horizontal="right" vertical="top"/>
    </xf>
    <xf numFmtId="0" fontId="22" fillId="0" borderId="0" xfId="2" applyFont="1" applyAlignment="1">
      <alignment horizontal="right" vertical="top"/>
    </xf>
    <xf numFmtId="0" fontId="4" fillId="0" borderId="23" xfId="2" applyBorder="1" applyAlignment="1">
      <alignment horizontal="right" vertical="top" wrapText="1"/>
    </xf>
    <xf numFmtId="17" fontId="4" fillId="0" borderId="23" xfId="2" applyNumberFormat="1" applyBorder="1" applyAlignment="1">
      <alignment horizontal="right" vertical="top" wrapText="1"/>
    </xf>
    <xf numFmtId="0" fontId="29" fillId="0" borderId="23" xfId="2" applyFont="1" applyBorder="1" applyAlignment="1">
      <alignment horizontal="right" vertical="top" wrapText="1"/>
    </xf>
    <xf numFmtId="17" fontId="29" fillId="0" borderId="23" xfId="2" applyNumberFormat="1" applyFont="1" applyBorder="1" applyAlignment="1">
      <alignment horizontal="right" vertical="top" wrapText="1"/>
    </xf>
    <xf numFmtId="0" fontId="0" fillId="0" borderId="0" xfId="2" applyFont="1" applyAlignment="1">
      <alignment horizontal="left" vertical="top"/>
    </xf>
    <xf numFmtId="2" fontId="26" fillId="5" borderId="0" xfId="0" applyNumberFormat="1" applyFont="1" applyFill="1" applyAlignment="1">
      <alignment horizontal="center"/>
    </xf>
    <xf numFmtId="0" fontId="26" fillId="5" borderId="0" xfId="0" applyFont="1" applyFill="1" applyAlignment="1">
      <alignment horizontal="center"/>
    </xf>
    <xf numFmtId="0" fontId="26" fillId="0" borderId="0" xfId="0" applyFont="1" applyAlignment="1">
      <alignment horizontal="center"/>
    </xf>
    <xf numFmtId="0" fontId="21" fillId="5" borderId="0" xfId="0" applyFont="1" applyFill="1" applyAlignment="1">
      <alignment horizontal="center"/>
    </xf>
    <xf numFmtId="2" fontId="26" fillId="0" borderId="0" xfId="0" applyNumberFormat="1" applyFont="1" applyAlignment="1">
      <alignment horizontal="center"/>
    </xf>
    <xf numFmtId="165" fontId="26" fillId="5" borderId="0" xfId="0" applyNumberFormat="1" applyFont="1" applyFill="1" applyAlignment="1">
      <alignment horizontal="center"/>
    </xf>
    <xf numFmtId="0" fontId="15" fillId="0" borderId="0" xfId="2" applyFont="1" applyAlignment="1">
      <alignment horizontal="left" vertical="top"/>
    </xf>
    <xf numFmtId="0" fontId="15" fillId="0" borderId="0" xfId="2" applyFont="1" applyAlignment="1">
      <alignment horizontal="right" vertical="top"/>
    </xf>
    <xf numFmtId="0" fontId="8" fillId="0" borderId="1" xfId="2" applyFont="1" applyBorder="1"/>
    <xf numFmtId="166" fontId="7" fillId="0" borderId="2" xfId="4" applyFont="1" applyBorder="1" applyAlignment="1">
      <alignment horizontal="right"/>
    </xf>
    <xf numFmtId="166" fontId="7" fillId="0" borderId="2" xfId="4" quotePrefix="1" applyFont="1" applyBorder="1" applyAlignment="1">
      <alignment horizontal="right"/>
    </xf>
    <xf numFmtId="0" fontId="15" fillId="0" borderId="0" xfId="2" applyFont="1" applyProtection="1">
      <protection locked="0"/>
    </xf>
    <xf numFmtId="0" fontId="28" fillId="2" borderId="6" xfId="0" applyFont="1" applyFill="1" applyBorder="1"/>
    <xf numFmtId="0" fontId="28" fillId="2" borderId="0" xfId="0" applyFont="1" applyFill="1"/>
    <xf numFmtId="167" fontId="8" fillId="0" borderId="0" xfId="4" applyNumberFormat="1" applyFont="1"/>
    <xf numFmtId="0" fontId="26" fillId="0" borderId="0" xfId="5" applyFont="1"/>
    <xf numFmtId="166" fontId="7" fillId="0" borderId="0" xfId="4" applyFont="1" applyAlignment="1">
      <alignment horizontal="right"/>
    </xf>
    <xf numFmtId="166" fontId="7" fillId="0" borderId="0" xfId="4" quotePrefix="1" applyFont="1" applyAlignment="1">
      <alignment horizontal="right"/>
    </xf>
    <xf numFmtId="49" fontId="7" fillId="0" borderId="0" xfId="4" applyNumberFormat="1" applyFont="1" applyAlignment="1">
      <alignment horizontal="right"/>
    </xf>
    <xf numFmtId="0" fontId="26" fillId="5" borderId="0" xfId="0" applyFont="1" applyFill="1"/>
    <xf numFmtId="166" fontId="10" fillId="0" borderId="0" xfId="4" applyFont="1" applyAlignment="1" applyProtection="1">
      <alignment horizontal="right"/>
      <protection locked="0"/>
    </xf>
    <xf numFmtId="166" fontId="10" fillId="0" borderId="0" xfId="4" quotePrefix="1" applyFont="1" applyAlignment="1" applyProtection="1">
      <alignment horizontal="right"/>
      <protection locked="0"/>
    </xf>
    <xf numFmtId="0" fontId="8" fillId="0" borderId="0" xfId="2" applyFont="1" applyAlignment="1" applyProtection="1">
      <alignment wrapText="1"/>
      <protection locked="0"/>
    </xf>
    <xf numFmtId="167" fontId="30" fillId="0" borderId="0" xfId="4" applyNumberFormat="1" applyFont="1" applyProtection="1">
      <protection locked="0"/>
    </xf>
    <xf numFmtId="0" fontId="1" fillId="0" borderId="0" xfId="2" quotePrefix="1" applyFont="1" applyProtection="1">
      <protection locked="0"/>
    </xf>
    <xf numFmtId="165" fontId="28" fillId="0" borderId="6" xfId="2" applyNumberFormat="1" applyFont="1" applyBorder="1" applyProtection="1">
      <protection locked="0"/>
    </xf>
    <xf numFmtId="165" fontId="26" fillId="0" borderId="0" xfId="0" applyNumberFormat="1" applyFont="1"/>
    <xf numFmtId="0" fontId="8" fillId="0" borderId="0" xfId="2" applyFont="1" applyAlignment="1">
      <alignment horizontal="center"/>
    </xf>
    <xf numFmtId="0" fontId="6" fillId="0" borderId="0" xfId="2" applyFont="1" applyAlignment="1" applyProtection="1">
      <alignment horizontal="center" vertical="top"/>
      <protection locked="0"/>
    </xf>
    <xf numFmtId="0" fontId="4" fillId="0" borderId="0" xfId="3" applyAlignment="1">
      <alignment horizontal="left" vertical="top"/>
    </xf>
    <xf numFmtId="0" fontId="8" fillId="0" borderId="15" xfId="2" applyFont="1" applyBorder="1"/>
    <xf numFmtId="165" fontId="8" fillId="2" borderId="0" xfId="2" applyNumberFormat="1" applyFont="1" applyFill="1"/>
    <xf numFmtId="165" fontId="8" fillId="0" borderId="16" xfId="2" applyNumberFormat="1" applyFont="1" applyBorder="1"/>
    <xf numFmtId="165" fontId="8" fillId="0" borderId="5" xfId="2" applyNumberFormat="1" applyFont="1" applyBorder="1"/>
    <xf numFmtId="165" fontId="8" fillId="2" borderId="6" xfId="0" applyNumberFormat="1" applyFont="1" applyFill="1" applyBorder="1"/>
    <xf numFmtId="0" fontId="8" fillId="2" borderId="6" xfId="0" applyFont="1" applyFill="1" applyBorder="1"/>
    <xf numFmtId="165" fontId="8" fillId="2" borderId="6" xfId="2" applyNumberFormat="1" applyFont="1" applyFill="1" applyBorder="1"/>
    <xf numFmtId="165" fontId="8" fillId="0" borderId="6" xfId="2" applyNumberFormat="1" applyFont="1" applyBorder="1"/>
    <xf numFmtId="165" fontId="8" fillId="0" borderId="17" xfId="2" applyNumberFormat="1" applyFont="1" applyBorder="1"/>
    <xf numFmtId="165" fontId="31" fillId="0" borderId="0" xfId="2" applyNumberFormat="1" applyFont="1" applyAlignment="1">
      <alignment horizontal="center"/>
    </xf>
    <xf numFmtId="0" fontId="31" fillId="0" borderId="0" xfId="2" applyFont="1" applyProtection="1">
      <protection locked="0"/>
    </xf>
    <xf numFmtId="0" fontId="31" fillId="0" borderId="0" xfId="2" applyFont="1"/>
    <xf numFmtId="0" fontId="32" fillId="0" borderId="0" xfId="2" applyFont="1" applyAlignment="1">
      <alignment vertical="top"/>
    </xf>
    <xf numFmtId="0" fontId="33" fillId="0" borderId="0" xfId="2" applyFont="1" applyAlignment="1">
      <alignment vertical="top"/>
    </xf>
    <xf numFmtId="0" fontId="33" fillId="0" borderId="0" xfId="2" quotePrefix="1" applyFont="1" applyAlignment="1">
      <alignment vertical="top" wrapText="1"/>
    </xf>
    <xf numFmtId="0" fontId="12" fillId="0" borderId="0" xfId="2" applyFont="1" applyProtection="1">
      <protection locked="0"/>
    </xf>
    <xf numFmtId="0" fontId="33" fillId="0" borderId="0" xfId="2" applyFont="1" applyAlignment="1">
      <alignment vertical="top" wrapText="1"/>
    </xf>
    <xf numFmtId="0" fontId="33" fillId="0" borderId="15" xfId="2" applyFont="1" applyBorder="1" applyAlignment="1">
      <alignment vertical="top" wrapText="1"/>
    </xf>
    <xf numFmtId="17" fontId="33" fillId="0" borderId="16" xfId="2" applyNumberFormat="1" applyFont="1" applyBorder="1" applyAlignment="1">
      <alignment vertical="top" wrapText="1"/>
    </xf>
    <xf numFmtId="0" fontId="33" fillId="3" borderId="15" xfId="2" applyFont="1" applyFill="1" applyBorder="1" applyAlignment="1">
      <alignment vertical="top" wrapText="1"/>
    </xf>
    <xf numFmtId="0" fontId="33" fillId="3" borderId="0" xfId="2" applyFont="1" applyFill="1" applyAlignment="1">
      <alignment vertical="top" wrapText="1"/>
    </xf>
    <xf numFmtId="17" fontId="33" fillId="3" borderId="16" xfId="2" applyNumberFormat="1" applyFont="1" applyFill="1" applyBorder="1" applyAlignment="1">
      <alignment vertical="top" wrapText="1"/>
    </xf>
    <xf numFmtId="0" fontId="34" fillId="0" borderId="0" xfId="2" applyFont="1" applyAlignment="1">
      <alignment vertical="top"/>
    </xf>
    <xf numFmtId="0" fontId="35" fillId="0" borderId="0" xfId="2" applyFont="1" applyAlignment="1">
      <alignment vertical="top"/>
    </xf>
    <xf numFmtId="165" fontId="33" fillId="0" borderId="0" xfId="2" applyNumberFormat="1" applyFont="1" applyProtection="1">
      <protection locked="0"/>
    </xf>
    <xf numFmtId="165" fontId="33" fillId="3" borderId="0" xfId="2" applyNumberFormat="1" applyFont="1" applyFill="1" applyProtection="1">
      <protection locked="0"/>
    </xf>
    <xf numFmtId="0" fontId="36" fillId="0" borderId="0" xfId="2" applyFont="1" applyProtection="1">
      <protection locked="0"/>
    </xf>
    <xf numFmtId="165" fontId="19" fillId="0" borderId="0" xfId="2" applyNumberFormat="1" applyFont="1" applyProtection="1">
      <protection locked="0"/>
    </xf>
    <xf numFmtId="165" fontId="19" fillId="3" borderId="0" xfId="2" applyNumberFormat="1" applyFont="1" applyFill="1" applyProtection="1">
      <protection locked="0"/>
    </xf>
    <xf numFmtId="165" fontId="33" fillId="0" borderId="15" xfId="2" applyNumberFormat="1" applyFont="1" applyBorder="1" applyProtection="1">
      <protection locked="0"/>
    </xf>
    <xf numFmtId="0" fontId="35" fillId="0" borderId="0" xfId="2" applyFont="1" applyProtection="1">
      <protection locked="0"/>
    </xf>
    <xf numFmtId="165" fontId="35" fillId="0" borderId="16" xfId="2" applyNumberFormat="1" applyFont="1" applyBorder="1" applyProtection="1">
      <protection locked="0"/>
    </xf>
    <xf numFmtId="0" fontId="35" fillId="0" borderId="16" xfId="2" applyFont="1" applyBorder="1" applyProtection="1">
      <protection locked="0"/>
    </xf>
    <xf numFmtId="165" fontId="33" fillId="3" borderId="15" xfId="2" applyNumberFormat="1" applyFont="1" applyFill="1" applyBorder="1" applyProtection="1">
      <protection locked="0"/>
    </xf>
    <xf numFmtId="0" fontId="35" fillId="3" borderId="0" xfId="2" applyFont="1" applyFill="1" applyProtection="1">
      <protection locked="0"/>
    </xf>
    <xf numFmtId="0" fontId="35" fillId="3" borderId="16" xfId="2" applyFont="1" applyFill="1" applyBorder="1" applyProtection="1">
      <protection locked="0"/>
    </xf>
    <xf numFmtId="165" fontId="33" fillId="0" borderId="0" xfId="2" applyNumberFormat="1" applyFont="1" applyAlignment="1" applyProtection="1">
      <alignment wrapText="1"/>
      <protection locked="0"/>
    </xf>
    <xf numFmtId="165" fontId="33" fillId="0" borderId="5" xfId="2" applyNumberFormat="1" applyFont="1" applyBorder="1" applyProtection="1">
      <protection locked="0"/>
    </xf>
    <xf numFmtId="0" fontId="35" fillId="0" borderId="6" xfId="2" applyFont="1" applyBorder="1" applyProtection="1">
      <protection locked="0"/>
    </xf>
    <xf numFmtId="165" fontId="35" fillId="0" borderId="17" xfId="2" applyNumberFormat="1" applyFont="1" applyBorder="1" applyProtection="1">
      <protection locked="0"/>
    </xf>
    <xf numFmtId="0" fontId="35" fillId="0" borderId="17" xfId="2" applyFont="1" applyBorder="1" applyProtection="1">
      <protection locked="0"/>
    </xf>
    <xf numFmtId="165" fontId="33" fillId="3" borderId="5" xfId="2" applyNumberFormat="1" applyFont="1" applyFill="1" applyBorder="1" applyProtection="1">
      <protection locked="0"/>
    </xf>
    <xf numFmtId="0" fontId="35" fillId="3" borderId="6" xfId="2" applyFont="1" applyFill="1" applyBorder="1" applyProtection="1">
      <protection locked="0"/>
    </xf>
    <xf numFmtId="0" fontId="35" fillId="3" borderId="17" xfId="2" applyFont="1" applyFill="1" applyBorder="1" applyProtection="1">
      <protection locked="0"/>
    </xf>
    <xf numFmtId="0" fontId="36" fillId="0" borderId="0" xfId="2" applyFont="1" applyAlignment="1">
      <alignment vertical="top"/>
    </xf>
    <xf numFmtId="165" fontId="37" fillId="0" borderId="0" xfId="0" applyNumberFormat="1" applyFont="1"/>
    <xf numFmtId="165" fontId="37" fillId="0" borderId="15" xfId="0" applyNumberFormat="1" applyFont="1" applyBorder="1"/>
    <xf numFmtId="165" fontId="37" fillId="0" borderId="16" xfId="0" applyNumberFormat="1" applyFont="1" applyBorder="1"/>
    <xf numFmtId="165" fontId="8" fillId="0" borderId="16" xfId="2" applyNumberFormat="1" applyFont="1" applyBorder="1" applyProtection="1">
      <protection locked="0"/>
    </xf>
    <xf numFmtId="165" fontId="8" fillId="0" borderId="15" xfId="2" applyNumberFormat="1" applyFont="1" applyBorder="1" applyProtection="1">
      <protection locked="0"/>
    </xf>
    <xf numFmtId="165" fontId="4" fillId="0" borderId="15" xfId="2" applyNumberFormat="1" applyBorder="1" applyProtection="1">
      <protection locked="0"/>
    </xf>
    <xf numFmtId="165" fontId="4" fillId="0" borderId="0" xfId="2" applyNumberFormat="1" applyProtection="1">
      <protection locked="0"/>
    </xf>
    <xf numFmtId="165" fontId="4" fillId="0" borderId="16" xfId="2" applyNumberFormat="1" applyBorder="1" applyProtection="1">
      <protection locked="0"/>
    </xf>
    <xf numFmtId="0" fontId="8" fillId="0" borderId="16" xfId="2" applyFont="1" applyBorder="1" applyProtection="1">
      <protection locked="0"/>
    </xf>
    <xf numFmtId="0" fontId="1" fillId="0" borderId="15" xfId="2" applyFont="1" applyBorder="1" applyAlignment="1">
      <alignment horizontal="left" vertical="top"/>
    </xf>
    <xf numFmtId="165" fontId="26" fillId="0" borderId="17" xfId="0" applyNumberFormat="1" applyFont="1" applyBorder="1" applyAlignment="1">
      <alignment horizontal="center"/>
    </xf>
    <xf numFmtId="165" fontId="26" fillId="0" borderId="5" xfId="0" applyNumberFormat="1" applyFont="1" applyBorder="1" applyAlignment="1">
      <alignment horizontal="center"/>
    </xf>
    <xf numFmtId="165" fontId="26" fillId="0" borderId="6" xfId="0" applyNumberFormat="1" applyFont="1" applyBorder="1" applyAlignment="1">
      <alignment horizontal="center"/>
    </xf>
    <xf numFmtId="0" fontId="26" fillId="0" borderId="17" xfId="0" applyFont="1" applyBorder="1" applyAlignment="1">
      <alignment horizontal="center"/>
    </xf>
    <xf numFmtId="0" fontId="26" fillId="0" borderId="6" xfId="0" applyFont="1" applyBorder="1" applyAlignment="1">
      <alignment horizontal="center"/>
    </xf>
    <xf numFmtId="0" fontId="4" fillId="0" borderId="0" xfId="2" applyAlignment="1">
      <alignment horizontal="left" vertical="top"/>
    </xf>
    <xf numFmtId="0" fontId="4" fillId="0" borderId="0" xfId="2" applyAlignment="1">
      <alignment horizontal="right" vertical="top"/>
    </xf>
    <xf numFmtId="0" fontId="1" fillId="0" borderId="4" xfId="2" applyFont="1" applyBorder="1"/>
    <xf numFmtId="166" fontId="14" fillId="0" borderId="2" xfId="4" quotePrefix="1" applyFont="1" applyBorder="1" applyAlignment="1">
      <alignment horizontal="right"/>
    </xf>
    <xf numFmtId="166" fontId="14" fillId="0" borderId="3" xfId="4" quotePrefix="1" applyFont="1" applyBorder="1" applyAlignment="1">
      <alignment horizontal="right"/>
    </xf>
    <xf numFmtId="0" fontId="8" fillId="0" borderId="5" xfId="2" applyFont="1" applyBorder="1"/>
    <xf numFmtId="165" fontId="11" fillId="0" borderId="6" xfId="2" applyNumberFormat="1" applyFont="1" applyBorder="1"/>
    <xf numFmtId="165" fontId="11" fillId="0" borderId="17" xfId="2" applyNumberFormat="1" applyFont="1" applyBorder="1"/>
    <xf numFmtId="165" fontId="0" fillId="2" borderId="0" xfId="0" applyNumberFormat="1" applyFill="1"/>
    <xf numFmtId="165" fontId="26" fillId="2" borderId="0" xfId="0" applyNumberFormat="1" applyFont="1" applyFill="1"/>
    <xf numFmtId="175" fontId="8" fillId="0" borderId="0" xfId="6" applyNumberFormat="1" applyFont="1" applyProtection="1">
      <protection locked="0"/>
    </xf>
    <xf numFmtId="175" fontId="8" fillId="0" borderId="0" xfId="2" applyNumberFormat="1" applyFont="1" applyAlignment="1" applyProtection="1">
      <alignment horizontal="center"/>
      <protection locked="0"/>
    </xf>
    <xf numFmtId="0" fontId="18" fillId="0" borderId="0" xfId="2" applyFont="1" applyAlignment="1">
      <alignment horizontal="left" vertical="top"/>
    </xf>
    <xf numFmtId="0" fontId="18" fillId="0" borderId="0" xfId="2" applyFont="1" applyAlignment="1">
      <alignment horizontal="right" vertical="top"/>
    </xf>
    <xf numFmtId="0" fontId="17" fillId="0" borderId="0" xfId="2" applyFont="1" applyProtection="1">
      <protection locked="0"/>
    </xf>
    <xf numFmtId="0" fontId="17" fillId="0" borderId="0" xfId="2" applyFont="1" applyAlignment="1">
      <alignment horizontal="left" vertical="top"/>
    </xf>
    <xf numFmtId="0" fontId="17" fillId="0" borderId="0" xfId="2" applyFont="1" applyAlignment="1">
      <alignment horizontal="right" vertical="top"/>
    </xf>
    <xf numFmtId="0" fontId="17" fillId="0" borderId="15" xfId="2" applyFont="1" applyBorder="1" applyAlignment="1">
      <alignment horizontal="right" vertical="top" wrapText="1"/>
    </xf>
    <xf numFmtId="0" fontId="17" fillId="0" borderId="0" xfId="2" applyFont="1" applyAlignment="1">
      <alignment horizontal="right" vertical="top" wrapText="1"/>
    </xf>
    <xf numFmtId="17" fontId="17" fillId="0" borderId="16" xfId="2" applyNumberFormat="1" applyFont="1" applyBorder="1" applyAlignment="1">
      <alignment horizontal="right" vertical="top" wrapText="1"/>
    </xf>
    <xf numFmtId="0" fontId="17" fillId="3" borderId="15" xfId="2" applyFont="1" applyFill="1" applyBorder="1" applyAlignment="1">
      <alignment horizontal="right" vertical="top" wrapText="1"/>
    </xf>
    <xf numFmtId="0" fontId="17" fillId="3" borderId="0" xfId="2" applyFont="1" applyFill="1" applyAlignment="1">
      <alignment horizontal="right" vertical="top" wrapText="1"/>
    </xf>
    <xf numFmtId="17" fontId="17" fillId="3" borderId="16" xfId="2" applyNumberFormat="1" applyFont="1" applyFill="1" applyBorder="1" applyAlignment="1">
      <alignment horizontal="right" vertical="top" wrapText="1"/>
    </xf>
    <xf numFmtId="0" fontId="18" fillId="0" borderId="0" xfId="2" applyFont="1" applyAlignment="1">
      <alignment horizontal="left" vertical="top" wrapText="1"/>
    </xf>
    <xf numFmtId="165" fontId="18" fillId="0" borderId="15" xfId="2" applyNumberFormat="1" applyFont="1" applyBorder="1" applyProtection="1">
      <protection locked="0"/>
    </xf>
    <xf numFmtId="165" fontId="18" fillId="0" borderId="0" xfId="2" applyNumberFormat="1" applyFont="1" applyProtection="1">
      <protection locked="0"/>
    </xf>
    <xf numFmtId="165" fontId="18" fillId="0" borderId="16" xfId="2" applyNumberFormat="1" applyFont="1" applyBorder="1" applyProtection="1">
      <protection locked="0"/>
    </xf>
    <xf numFmtId="165" fontId="18" fillId="3" borderId="15" xfId="2" applyNumberFormat="1" applyFont="1" applyFill="1" applyBorder="1" applyProtection="1">
      <protection locked="0"/>
    </xf>
    <xf numFmtId="165" fontId="18" fillId="3" borderId="0" xfId="2" applyNumberFormat="1" applyFont="1" applyFill="1" applyProtection="1">
      <protection locked="0"/>
    </xf>
    <xf numFmtId="165" fontId="18" fillId="3" borderId="16" xfId="2" applyNumberFormat="1" applyFont="1" applyFill="1" applyBorder="1" applyProtection="1">
      <protection locked="0"/>
    </xf>
    <xf numFmtId="0" fontId="19" fillId="0" borderId="0" xfId="2" applyFont="1" applyAlignment="1">
      <alignment horizontal="left" vertical="top"/>
    </xf>
    <xf numFmtId="165" fontId="18" fillId="0" borderId="0" xfId="2" applyNumberFormat="1" applyFont="1" applyAlignment="1" applyProtection="1">
      <alignment horizontal="center"/>
      <protection locked="0"/>
    </xf>
    <xf numFmtId="165" fontId="19" fillId="2" borderId="0" xfId="0" applyNumberFormat="1" applyFont="1" applyFill="1" applyAlignment="1">
      <alignment horizontal="center"/>
    </xf>
    <xf numFmtId="0" fontId="6" fillId="2" borderId="0" xfId="2" applyFont="1" applyFill="1" applyAlignment="1" applyProtection="1">
      <alignment horizontal="left" vertical="top"/>
      <protection locked="0"/>
    </xf>
    <xf numFmtId="0" fontId="0" fillId="0" borderId="0" xfId="0" applyAlignment="1">
      <alignment horizontal="center"/>
    </xf>
    <xf numFmtId="171" fontId="7" fillId="0" borderId="2" xfId="2" applyNumberFormat="1" applyFont="1" applyBorder="1" applyAlignment="1">
      <alignment horizontal="right"/>
    </xf>
    <xf numFmtId="171" fontId="14" fillId="2" borderId="2" xfId="2" applyNumberFormat="1" applyFont="1" applyFill="1" applyBorder="1" applyAlignment="1">
      <alignment horizontal="right"/>
    </xf>
    <xf numFmtId="171" fontId="14" fillId="2" borderId="2" xfId="2" quotePrefix="1" applyNumberFormat="1" applyFont="1" applyFill="1" applyBorder="1" applyAlignment="1">
      <alignment horizontal="right"/>
    </xf>
    <xf numFmtId="171" fontId="14" fillId="2" borderId="3" xfId="2" quotePrefix="1" applyNumberFormat="1" applyFont="1" applyFill="1" applyBorder="1" applyAlignment="1">
      <alignment horizontal="right"/>
    </xf>
    <xf numFmtId="0" fontId="8" fillId="0" borderId="5" xfId="2" applyFont="1" applyBorder="1" applyAlignment="1">
      <alignment horizontal="left" wrapText="1"/>
    </xf>
    <xf numFmtId="0" fontId="11" fillId="0" borderId="2" xfId="0" applyFont="1" applyBorder="1"/>
    <xf numFmtId="0" fontId="11" fillId="2" borderId="2" xfId="0" applyFont="1" applyFill="1" applyBorder="1"/>
    <xf numFmtId="0" fontId="11" fillId="2" borderId="3" xfId="0" applyFont="1" applyFill="1" applyBorder="1"/>
    <xf numFmtId="1" fontId="8" fillId="0" borderId="0" xfId="2" applyNumberFormat="1" applyFont="1"/>
    <xf numFmtId="0" fontId="5" fillId="0" borderId="0" xfId="2" applyFont="1"/>
    <xf numFmtId="17" fontId="1" fillId="0" borderId="0" xfId="2" applyNumberFormat="1" applyFont="1" applyProtection="1">
      <protection locked="0"/>
    </xf>
    <xf numFmtId="17" fontId="1" fillId="2" borderId="0" xfId="2" applyNumberFormat="1" applyFont="1" applyFill="1" applyProtection="1">
      <protection locked="0"/>
    </xf>
    <xf numFmtId="1" fontId="1" fillId="0" borderId="0" xfId="2" applyNumberFormat="1" applyFont="1" applyProtection="1">
      <protection locked="0"/>
    </xf>
    <xf numFmtId="17" fontId="8" fillId="0" borderId="0" xfId="2" applyNumberFormat="1" applyFont="1" applyProtection="1">
      <protection locked="0"/>
    </xf>
    <xf numFmtId="0" fontId="19" fillId="2" borderId="0" xfId="2" applyFont="1" applyFill="1" applyProtection="1">
      <protection locked="0"/>
    </xf>
    <xf numFmtId="17" fontId="17" fillId="0" borderId="0" xfId="2" applyNumberFormat="1" applyFont="1" applyAlignment="1">
      <alignment horizontal="right" vertical="top" wrapText="1"/>
    </xf>
    <xf numFmtId="17" fontId="17" fillId="2" borderId="0" xfId="2" applyNumberFormat="1" applyFont="1" applyFill="1" applyAlignment="1">
      <alignment horizontal="right" vertical="top" wrapText="1"/>
    </xf>
    <xf numFmtId="0" fontId="17" fillId="2" borderId="0" xfId="2" applyFont="1" applyFill="1" applyAlignment="1">
      <alignment horizontal="right" vertical="top" wrapText="1"/>
    </xf>
    <xf numFmtId="0" fontId="17" fillId="0" borderId="0" xfId="2" applyFont="1" applyAlignment="1" applyProtection="1">
      <alignment horizontal="right"/>
      <protection locked="0"/>
    </xf>
    <xf numFmtId="0" fontId="19" fillId="0" borderId="0" xfId="2" applyFont="1" applyAlignment="1" applyProtection="1">
      <alignment horizontal="right"/>
      <protection locked="0"/>
    </xf>
    <xf numFmtId="0" fontId="8" fillId="0" borderId="6" xfId="2" applyFont="1" applyBorder="1" applyAlignment="1">
      <alignment horizontal="left" vertical="top" wrapText="1"/>
    </xf>
    <xf numFmtId="0" fontId="18" fillId="0" borderId="0" xfId="2" applyFont="1" applyAlignment="1">
      <alignment horizontal="right" vertical="top" wrapText="1"/>
    </xf>
    <xf numFmtId="0" fontId="17" fillId="2" borderId="15" xfId="2" applyFont="1" applyFill="1" applyBorder="1" applyAlignment="1">
      <alignment horizontal="right" vertical="top" wrapText="1"/>
    </xf>
    <xf numFmtId="1" fontId="19" fillId="0" borderId="0" xfId="2" applyNumberFormat="1" applyFont="1" applyProtection="1">
      <protection locked="0"/>
    </xf>
    <xf numFmtId="1" fontId="17" fillId="0" borderId="5" xfId="2" applyNumberFormat="1" applyFont="1" applyBorder="1" applyProtection="1">
      <protection locked="0"/>
    </xf>
    <xf numFmtId="1" fontId="17" fillId="0" borderId="6" xfId="2" applyNumberFormat="1" applyFont="1" applyBorder="1" applyProtection="1">
      <protection locked="0"/>
    </xf>
    <xf numFmtId="1" fontId="17" fillId="0" borderId="17" xfId="2" applyNumberFormat="1" applyFont="1" applyBorder="1" applyProtection="1">
      <protection locked="0"/>
    </xf>
    <xf numFmtId="1" fontId="17" fillId="2" borderId="5" xfId="2" applyNumberFormat="1" applyFont="1" applyFill="1" applyBorder="1" applyProtection="1">
      <protection locked="0"/>
    </xf>
    <xf numFmtId="1" fontId="17" fillId="2" borderId="6" xfId="2" applyNumberFormat="1" applyFont="1" applyFill="1" applyBorder="1" applyProtection="1">
      <protection locked="0"/>
    </xf>
    <xf numFmtId="1" fontId="17" fillId="0" borderId="24" xfId="2" applyNumberFormat="1" applyFont="1" applyBorder="1" applyProtection="1">
      <protection locked="0"/>
    </xf>
    <xf numFmtId="1" fontId="19" fillId="2" borderId="0" xfId="0" applyNumberFormat="1" applyFont="1" applyFill="1" applyAlignment="1">
      <alignment horizontal="center"/>
    </xf>
    <xf numFmtId="1" fontId="0" fillId="2" borderId="0" xfId="0" applyNumberFormat="1" applyFill="1" applyAlignment="1">
      <alignment horizontal="center"/>
    </xf>
    <xf numFmtId="0" fontId="0" fillId="2" borderId="0" xfId="0" applyFill="1" applyAlignment="1">
      <alignment horizontal="center"/>
    </xf>
    <xf numFmtId="0" fontId="4" fillId="0" borderId="0" xfId="2" applyAlignment="1">
      <alignment vertical="top"/>
    </xf>
    <xf numFmtId="0" fontId="38" fillId="0" borderId="0" xfId="2" applyFont="1" applyAlignment="1">
      <alignment wrapText="1"/>
    </xf>
    <xf numFmtId="3" fontId="8" fillId="0" borderId="0" xfId="2" applyNumberFormat="1" applyFont="1" applyAlignment="1">
      <alignment wrapText="1"/>
    </xf>
    <xf numFmtId="0" fontId="7" fillId="0" borderId="0" xfId="2" applyFont="1" applyAlignment="1">
      <alignment horizontal="right"/>
    </xf>
    <xf numFmtId="0" fontId="31" fillId="0" borderId="0" xfId="2" applyFont="1" applyAlignment="1">
      <alignment horizontal="right" vertical="top"/>
    </xf>
    <xf numFmtId="0" fontId="7" fillId="0" borderId="25" xfId="8" applyFont="1" applyBorder="1" applyAlignment="1">
      <alignment horizontal="right"/>
    </xf>
    <xf numFmtId="49" fontId="7" fillId="0" borderId="25" xfId="8" applyNumberFormat="1" applyFont="1" applyBorder="1" applyAlignment="1">
      <alignment horizontal="right"/>
    </xf>
    <xf numFmtId="49" fontId="7" fillId="7" borderId="25" xfId="8" applyNumberFormat="1" applyFont="1" applyFill="1" applyBorder="1" applyAlignment="1">
      <alignment horizontal="right"/>
    </xf>
    <xf numFmtId="49" fontId="7" fillId="8" borderId="25" xfId="8" applyNumberFormat="1" applyFont="1" applyFill="1" applyBorder="1" applyAlignment="1">
      <alignment horizontal="right"/>
    </xf>
    <xf numFmtId="49" fontId="14" fillId="0" borderId="26" xfId="8" applyNumberFormat="1" applyFont="1" applyBorder="1" applyAlignment="1">
      <alignment horizontal="right"/>
    </xf>
    <xf numFmtId="0" fontId="8" fillId="0" borderId="0" xfId="8" applyFont="1" applyAlignment="1">
      <alignment horizontal="right"/>
    </xf>
    <xf numFmtId="176" fontId="8" fillId="0" borderId="0" xfId="8" applyNumberFormat="1" applyFont="1" applyAlignment="1">
      <alignment horizontal="right"/>
    </xf>
    <xf numFmtId="176" fontId="8" fillId="7" borderId="0" xfId="8" applyNumberFormat="1" applyFont="1" applyFill="1" applyAlignment="1">
      <alignment horizontal="right"/>
    </xf>
    <xf numFmtId="176" fontId="8" fillId="8" borderId="0" xfId="8" applyNumberFormat="1" applyFont="1" applyFill="1" applyAlignment="1">
      <alignment horizontal="right"/>
    </xf>
    <xf numFmtId="0" fontId="8" fillId="0" borderId="27" xfId="2" applyFont="1" applyBorder="1"/>
    <xf numFmtId="0" fontId="7" fillId="0" borderId="15" xfId="2" applyFont="1" applyBorder="1"/>
    <xf numFmtId="176" fontId="7" fillId="0" borderId="0" xfId="8" applyNumberFormat="1" applyFont="1" applyAlignment="1">
      <alignment horizontal="right"/>
    </xf>
    <xf numFmtId="176" fontId="7" fillId="7" borderId="0" xfId="8" applyNumberFormat="1" applyFont="1" applyFill="1" applyAlignment="1">
      <alignment horizontal="right"/>
    </xf>
    <xf numFmtId="176" fontId="7" fillId="8" borderId="0" xfId="8" applyNumberFormat="1" applyFont="1" applyFill="1" applyAlignment="1">
      <alignment horizontal="right"/>
    </xf>
    <xf numFmtId="2" fontId="8" fillId="0" borderId="0" xfId="8" applyNumberFormat="1" applyFont="1" applyAlignment="1">
      <alignment horizontal="right"/>
    </xf>
    <xf numFmtId="0" fontId="8" fillId="7" borderId="0" xfId="8" applyFont="1" applyFill="1" applyAlignment="1">
      <alignment horizontal="right"/>
    </xf>
    <xf numFmtId="0" fontId="8" fillId="8" borderId="0" xfId="8" applyFont="1" applyFill="1" applyAlignment="1">
      <alignment horizontal="right"/>
    </xf>
    <xf numFmtId="0" fontId="8" fillId="0" borderId="28" xfId="2" applyFont="1" applyBorder="1"/>
    <xf numFmtId="0" fontId="8" fillId="0" borderId="29" xfId="8" applyFont="1" applyBorder="1" applyAlignment="1">
      <alignment horizontal="right"/>
    </xf>
    <xf numFmtId="176" fontId="8" fillId="0" borderId="29" xfId="8" applyNumberFormat="1" applyFont="1" applyBorder="1" applyAlignment="1">
      <alignment horizontal="right"/>
    </xf>
    <xf numFmtId="176" fontId="8" fillId="7" borderId="29" xfId="8" applyNumberFormat="1" applyFont="1" applyFill="1" applyBorder="1" applyAlignment="1">
      <alignment horizontal="right"/>
    </xf>
    <xf numFmtId="176" fontId="8" fillId="8" borderId="29" xfId="8" applyNumberFormat="1" applyFont="1" applyFill="1" applyBorder="1" applyAlignment="1">
      <alignment horizontal="right"/>
    </xf>
    <xf numFmtId="176" fontId="1" fillId="0" borderId="0" xfId="2" applyNumberFormat="1" applyFont="1" applyProtection="1">
      <protection locked="0"/>
    </xf>
    <xf numFmtId="0" fontId="7" fillId="0" borderId="0" xfId="9" applyFont="1"/>
    <xf numFmtId="177" fontId="7" fillId="0" borderId="0" xfId="9" applyNumberFormat="1" applyFont="1" applyAlignment="1">
      <alignment horizontal="right"/>
    </xf>
    <xf numFmtId="170" fontId="8" fillId="0" borderId="0" xfId="9" applyNumberFormat="1" applyFont="1" applyAlignment="1">
      <alignment horizontal="right"/>
    </xf>
    <xf numFmtId="0" fontId="8" fillId="0" borderId="0" xfId="9" applyFont="1"/>
    <xf numFmtId="177" fontId="8" fillId="0" borderId="0" xfId="9" applyNumberFormat="1" applyFont="1"/>
    <xf numFmtId="178" fontId="8" fillId="0" borderId="0" xfId="9" applyNumberFormat="1" applyFont="1"/>
    <xf numFmtId="165" fontId="8" fillId="0" borderId="0" xfId="9" applyNumberFormat="1" applyFont="1"/>
    <xf numFmtId="0" fontId="4" fillId="0" borderId="0" xfId="2" applyAlignment="1">
      <alignment vertical="top" wrapText="1"/>
    </xf>
    <xf numFmtId="0" fontId="25" fillId="0" borderId="0" xfId="0" applyFont="1"/>
    <xf numFmtId="0" fontId="5" fillId="0" borderId="0" xfId="2" applyFont="1" applyAlignment="1">
      <alignment horizontal="right"/>
    </xf>
    <xf numFmtId="0" fontId="5" fillId="0" borderId="0" xfId="2" applyFont="1" applyAlignment="1">
      <alignment horizontal="left"/>
    </xf>
    <xf numFmtId="165" fontId="5" fillId="0" borderId="0" xfId="3" applyNumberFormat="1" applyFont="1" applyAlignment="1" applyProtection="1">
      <alignment horizontal="right" vertical="top"/>
      <protection locked="0"/>
    </xf>
    <xf numFmtId="0" fontId="1" fillId="0" borderId="0" xfId="3" applyFont="1" applyAlignment="1" applyProtection="1">
      <alignment horizontal="left" vertical="top"/>
      <protection locked="0"/>
    </xf>
    <xf numFmtId="0" fontId="1" fillId="0" borderId="0" xfId="3" applyFont="1" applyAlignment="1" applyProtection="1">
      <alignment horizontal="right" vertical="top"/>
      <protection locked="0"/>
    </xf>
    <xf numFmtId="0" fontId="1" fillId="0" borderId="0" xfId="3" applyFont="1" applyProtection="1">
      <protection locked="0"/>
    </xf>
    <xf numFmtId="0" fontId="5" fillId="0" borderId="0" xfId="3" applyFont="1" applyAlignment="1" applyProtection="1">
      <alignment horizontal="right" vertical="top"/>
      <protection locked="0"/>
    </xf>
    <xf numFmtId="0" fontId="5" fillId="0" borderId="0" xfId="3" applyFont="1" applyAlignment="1" applyProtection="1">
      <alignment horizontal="left" vertical="top"/>
      <protection locked="0"/>
    </xf>
    <xf numFmtId="0" fontId="7" fillId="0" borderId="0" xfId="3" applyFont="1" applyProtection="1">
      <protection locked="0"/>
    </xf>
    <xf numFmtId="0" fontId="15" fillId="0" borderId="0" xfId="3" applyFont="1" applyProtection="1">
      <protection locked="0"/>
    </xf>
    <xf numFmtId="0" fontId="8" fillId="0" borderId="0" xfId="3" applyFont="1" applyProtection="1">
      <protection locked="0"/>
    </xf>
    <xf numFmtId="0" fontId="3" fillId="0" borderId="0" xfId="3" applyFont="1" applyAlignment="1" applyProtection="1">
      <alignment horizontal="left" vertical="top"/>
      <protection locked="0"/>
    </xf>
    <xf numFmtId="0" fontId="3" fillId="0" borderId="0" xfId="3" applyFont="1" applyAlignment="1" applyProtection="1">
      <alignment horizontal="right" vertical="top"/>
      <protection locked="0"/>
    </xf>
    <xf numFmtId="0" fontId="41" fillId="2" borderId="4" xfId="3" applyFont="1" applyFill="1" applyBorder="1" applyAlignment="1" applyProtection="1">
      <alignment horizontal="left"/>
      <protection locked="0"/>
    </xf>
    <xf numFmtId="0" fontId="7" fillId="2" borderId="2" xfId="3" applyFont="1" applyFill="1" applyBorder="1" applyProtection="1">
      <protection locked="0"/>
    </xf>
    <xf numFmtId="0" fontId="7" fillId="0" borderId="2" xfId="3" applyFont="1" applyBorder="1" applyProtection="1">
      <protection locked="0"/>
    </xf>
    <xf numFmtId="0" fontId="7" fillId="0" borderId="3" xfId="3" applyFont="1" applyBorder="1" applyProtection="1">
      <protection locked="0"/>
    </xf>
    <xf numFmtId="0" fontId="3" fillId="0" borderId="0" xfId="3" applyFont="1" applyProtection="1">
      <protection locked="0"/>
    </xf>
    <xf numFmtId="0" fontId="23" fillId="2" borderId="15" xfId="0" applyFont="1" applyFill="1" applyBorder="1" applyAlignment="1">
      <alignment wrapText="1"/>
    </xf>
    <xf numFmtId="179" fontId="11" fillId="2" borderId="0" xfId="0" applyNumberFormat="1" applyFont="1" applyFill="1"/>
    <xf numFmtId="179" fontId="11" fillId="0" borderId="0" xfId="0" applyNumberFormat="1" applyFont="1"/>
    <xf numFmtId="179" fontId="11" fillId="0" borderId="20" xfId="0" applyNumberFormat="1" applyFont="1" applyBorder="1"/>
    <xf numFmtId="179" fontId="11" fillId="0" borderId="21" xfId="0" applyNumberFormat="1" applyFont="1" applyBorder="1"/>
    <xf numFmtId="165" fontId="11" fillId="2" borderId="0" xfId="0" applyNumberFormat="1" applyFont="1" applyFill="1"/>
    <xf numFmtId="165" fontId="11" fillId="0" borderId="16" xfId="0" applyNumberFormat="1" applyFont="1" applyBorder="1"/>
    <xf numFmtId="179" fontId="11" fillId="0" borderId="16" xfId="0" applyNumberFormat="1" applyFont="1" applyBorder="1"/>
    <xf numFmtId="0" fontId="42" fillId="0" borderId="0" xfId="3" applyFont="1" applyAlignment="1" applyProtection="1">
      <alignment horizontal="right" vertical="top"/>
      <protection locked="0"/>
    </xf>
    <xf numFmtId="0" fontId="43" fillId="0" borderId="0" xfId="3" applyFont="1" applyAlignment="1" applyProtection="1">
      <alignment horizontal="left" vertical="top"/>
      <protection locked="0"/>
    </xf>
    <xf numFmtId="0" fontId="43" fillId="0" borderId="0" xfId="3" applyFont="1" applyAlignment="1" applyProtection="1">
      <alignment horizontal="right" vertical="top"/>
      <protection locked="0"/>
    </xf>
    <xf numFmtId="0" fontId="43" fillId="0" borderId="0" xfId="3" applyFont="1" applyProtection="1">
      <protection locked="0"/>
    </xf>
    <xf numFmtId="0" fontId="11" fillId="2" borderId="0" xfId="0" applyFont="1" applyFill="1"/>
    <xf numFmtId="0" fontId="23" fillId="2" borderId="5" xfId="0" applyFont="1" applyFill="1" applyBorder="1" applyAlignment="1">
      <alignment wrapText="1"/>
    </xf>
    <xf numFmtId="165" fontId="11" fillId="2" borderId="6" xfId="0" applyNumberFormat="1" applyFont="1" applyFill="1" applyBorder="1"/>
    <xf numFmtId="165" fontId="11" fillId="0" borderId="6" xfId="0" applyNumberFormat="1" applyFont="1" applyBorder="1"/>
    <xf numFmtId="165" fontId="44" fillId="0" borderId="6" xfId="0" applyNumberFormat="1" applyFont="1" applyBorder="1"/>
    <xf numFmtId="165" fontId="44" fillId="0" borderId="17" xfId="0" applyNumberFormat="1" applyFont="1" applyBorder="1"/>
    <xf numFmtId="165" fontId="8" fillId="0" borderId="0" xfId="10" applyNumberFormat="1" applyFont="1" applyAlignment="1" applyProtection="1">
      <alignment horizontal="center"/>
      <protection locked="0"/>
    </xf>
    <xf numFmtId="0" fontId="0" fillId="2" borderId="0" xfId="0" applyFill="1"/>
    <xf numFmtId="165" fontId="8" fillId="0" borderId="0" xfId="3" applyNumberFormat="1" applyFont="1" applyProtection="1">
      <protection locked="0"/>
    </xf>
    <xf numFmtId="165" fontId="8" fillId="2" borderId="0" xfId="3" applyNumberFormat="1" applyFont="1" applyFill="1" applyProtection="1">
      <protection locked="0"/>
    </xf>
    <xf numFmtId="165" fontId="7" fillId="0" borderId="0" xfId="10" applyNumberFormat="1" applyFont="1" applyAlignment="1" applyProtection="1">
      <alignment horizontal="center"/>
      <protection locked="0"/>
    </xf>
    <xf numFmtId="0" fontId="8" fillId="0" borderId="0" xfId="3" applyFont="1" applyAlignment="1" applyProtection="1">
      <alignment horizontal="left"/>
      <protection locked="0"/>
    </xf>
    <xf numFmtId="1" fontId="8" fillId="0" borderId="0" xfId="3" applyNumberFormat="1" applyFont="1" applyAlignment="1" applyProtection="1">
      <alignment horizontal="right"/>
      <protection locked="0"/>
    </xf>
    <xf numFmtId="1" fontId="8" fillId="2" borderId="0" xfId="3" applyNumberFormat="1" applyFont="1" applyFill="1" applyAlignment="1" applyProtection="1">
      <alignment horizontal="right"/>
      <protection locked="0"/>
    </xf>
    <xf numFmtId="0" fontId="1" fillId="2" borderId="0" xfId="3" applyFont="1" applyFill="1" applyProtection="1">
      <protection locked="0"/>
    </xf>
    <xf numFmtId="0" fontId="5" fillId="0" borderId="0" xfId="3" applyFont="1" applyAlignment="1" applyProtection="1">
      <alignment horizontal="right" vertical="top" wrapText="1"/>
      <protection locked="0"/>
    </xf>
    <xf numFmtId="0" fontId="5" fillId="0" borderId="0" xfId="3" applyFont="1" applyAlignment="1" applyProtection="1">
      <alignment horizontal="left" vertical="top" wrapText="1"/>
      <protection locked="0"/>
    </xf>
    <xf numFmtId="175" fontId="13" fillId="0" borderId="0" xfId="10" applyNumberFormat="1" applyFont="1" applyProtection="1">
      <protection locked="0"/>
    </xf>
    <xf numFmtId="165" fontId="13" fillId="0" borderId="0" xfId="3" applyNumberFormat="1" applyFont="1" applyProtection="1">
      <protection locked="0"/>
    </xf>
    <xf numFmtId="0" fontId="13" fillId="0" borderId="0" xfId="3" applyFont="1" applyProtection="1">
      <protection locked="0"/>
    </xf>
    <xf numFmtId="0" fontId="20" fillId="0" borderId="0" xfId="3" applyFont="1" applyProtection="1">
      <protection locked="0"/>
    </xf>
    <xf numFmtId="0" fontId="20" fillId="0" borderId="0" xfId="3" applyFont="1" applyAlignment="1" applyProtection="1">
      <alignment horizontal="left" vertical="top" wrapText="1"/>
      <protection locked="0"/>
    </xf>
    <xf numFmtId="0" fontId="20" fillId="0" borderId="0" xfId="3" applyFont="1" applyAlignment="1" applyProtection="1">
      <alignment horizontal="right" vertical="top" wrapText="1"/>
      <protection locked="0"/>
    </xf>
    <xf numFmtId="0" fontId="20" fillId="0" borderId="0" xfId="3" applyFont="1" applyAlignment="1" applyProtection="1">
      <alignment vertical="top" wrapText="1"/>
      <protection locked="0"/>
    </xf>
    <xf numFmtId="0" fontId="20" fillId="0" borderId="0" xfId="3" applyFont="1" applyAlignment="1" applyProtection="1">
      <alignment horizontal="left" vertical="top"/>
      <protection locked="0"/>
    </xf>
    <xf numFmtId="0" fontId="20" fillId="0" borderId="0" xfId="3" applyFont="1" applyAlignment="1" applyProtection="1">
      <alignment horizontal="right" vertical="top"/>
      <protection locked="0"/>
    </xf>
    <xf numFmtId="3" fontId="8" fillId="0" borderId="6" xfId="2" applyNumberFormat="1" applyFont="1" applyBorder="1"/>
    <xf numFmtId="0" fontId="7" fillId="0" borderId="4" xfId="2" applyFont="1" applyBorder="1"/>
    <xf numFmtId="0" fontId="7" fillId="0" borderId="2" xfId="2" applyFont="1" applyBorder="1"/>
    <xf numFmtId="49" fontId="7" fillId="0" borderId="2" xfId="2" applyNumberFormat="1" applyFont="1" applyBorder="1" applyAlignment="1">
      <alignment horizontal="right"/>
    </xf>
    <xf numFmtId="49" fontId="7" fillId="0" borderId="3" xfId="2" applyNumberFormat="1" applyFont="1" applyBorder="1" applyAlignment="1">
      <alignment horizontal="right"/>
    </xf>
    <xf numFmtId="177" fontId="8" fillId="0" borderId="0" xfId="2" applyNumberFormat="1" applyFont="1"/>
    <xf numFmtId="177" fontId="8" fillId="2" borderId="0" xfId="2" applyNumberFormat="1" applyFont="1" applyFill="1"/>
    <xf numFmtId="177" fontId="8" fillId="0" borderId="16" xfId="2" applyNumberFormat="1" applyFont="1" applyBorder="1"/>
    <xf numFmtId="177" fontId="8" fillId="0" borderId="6" xfId="2" applyNumberFormat="1" applyFont="1" applyBorder="1"/>
    <xf numFmtId="177" fontId="8" fillId="2" borderId="6" xfId="2" applyNumberFormat="1" applyFont="1" applyFill="1" applyBorder="1"/>
    <xf numFmtId="177" fontId="8" fillId="0" borderId="17" xfId="2" applyNumberFormat="1" applyFont="1" applyBorder="1"/>
    <xf numFmtId="0" fontId="8" fillId="0" borderId="0" xfId="2" applyFont="1" applyAlignment="1">
      <alignment horizontal="right"/>
    </xf>
    <xf numFmtId="0" fontId="8" fillId="2" borderId="0" xfId="2" applyFont="1" applyFill="1" applyAlignment="1">
      <alignment horizontal="right"/>
    </xf>
    <xf numFmtId="0" fontId="8" fillId="0" borderId="0" xfId="2" quotePrefix="1" applyFont="1" applyAlignment="1">
      <alignment horizontal="right"/>
    </xf>
    <xf numFmtId="0" fontId="8" fillId="0" borderId="16" xfId="2" applyFont="1" applyBorder="1" applyAlignment="1">
      <alignment horizontal="right"/>
    </xf>
    <xf numFmtId="0" fontId="8" fillId="2" borderId="0" xfId="2" quotePrefix="1" applyFont="1" applyFill="1" applyAlignment="1">
      <alignment horizontal="right"/>
    </xf>
    <xf numFmtId="0" fontId="8" fillId="0" borderId="16" xfId="2" quotePrefix="1" applyFont="1" applyBorder="1" applyAlignment="1">
      <alignment horizontal="right"/>
    </xf>
    <xf numFmtId="3" fontId="8" fillId="0" borderId="0" xfId="2" applyNumberFormat="1" applyFont="1" applyAlignment="1">
      <alignment horizontal="right"/>
    </xf>
    <xf numFmtId="3" fontId="8" fillId="2" borderId="0" xfId="2" applyNumberFormat="1" applyFont="1" applyFill="1" applyAlignment="1">
      <alignment horizontal="right"/>
    </xf>
    <xf numFmtId="3" fontId="8" fillId="0" borderId="16" xfId="2" applyNumberFormat="1" applyFont="1" applyBorder="1" applyAlignment="1">
      <alignment horizontal="right"/>
    </xf>
    <xf numFmtId="0" fontId="8" fillId="0" borderId="15" xfId="2" applyFont="1" applyBorder="1" applyProtection="1">
      <protection locked="0"/>
    </xf>
    <xf numFmtId="3" fontId="8" fillId="0" borderId="0" xfId="2" quotePrefix="1" applyNumberFormat="1" applyFont="1" applyAlignment="1">
      <alignment horizontal="right"/>
    </xf>
    <xf numFmtId="0" fontId="8" fillId="0" borderId="27" xfId="2" applyFont="1" applyBorder="1" applyProtection="1">
      <protection locked="0"/>
    </xf>
    <xf numFmtId="0" fontId="45" fillId="0" borderId="15" xfId="13" applyFont="1" applyBorder="1" applyAlignment="1">
      <alignment horizontal="left" wrapText="1"/>
    </xf>
    <xf numFmtId="0" fontId="8" fillId="2" borderId="0" xfId="2" applyFont="1" applyFill="1" applyProtection="1">
      <protection locked="0"/>
    </xf>
    <xf numFmtId="0" fontId="50" fillId="0" borderId="0" xfId="0" applyFont="1" applyAlignment="1">
      <alignment vertical="center"/>
    </xf>
    <xf numFmtId="0" fontId="50" fillId="0" borderId="0" xfId="0" applyFont="1" applyAlignment="1">
      <alignment horizontal="right" vertical="center"/>
    </xf>
    <xf numFmtId="0" fontId="45" fillId="0" borderId="0" xfId="13" applyFont="1" applyAlignment="1">
      <alignment horizontal="left"/>
    </xf>
    <xf numFmtId="0" fontId="45" fillId="0" borderId="0" xfId="13" applyFont="1" applyAlignment="1">
      <alignment horizontal="right"/>
    </xf>
    <xf numFmtId="0" fontId="49" fillId="0" borderId="4" xfId="13" applyFont="1" applyBorder="1" applyAlignment="1">
      <alignment horizontal="left" wrapText="1"/>
    </xf>
    <xf numFmtId="179" fontId="45" fillId="0" borderId="0" xfId="13" applyNumberFormat="1" applyFont="1" applyAlignment="1">
      <alignment horizontal="right" wrapText="1"/>
    </xf>
    <xf numFmtId="179" fontId="8" fillId="0" borderId="0" xfId="13" applyNumberFormat="1" applyFont="1" applyAlignment="1">
      <alignment horizontal="right" wrapText="1"/>
    </xf>
    <xf numFmtId="179" fontId="8" fillId="2" borderId="0" xfId="13" applyNumberFormat="1" applyFont="1" applyFill="1" applyAlignment="1">
      <alignment horizontal="right" wrapText="1"/>
    </xf>
    <xf numFmtId="179" fontId="8" fillId="0" borderId="16" xfId="13" applyNumberFormat="1" applyFont="1" applyBorder="1" applyAlignment="1">
      <alignment horizontal="right" wrapText="1"/>
    </xf>
    <xf numFmtId="0" fontId="51" fillId="0" borderId="0" xfId="2" applyFont="1" applyAlignment="1">
      <alignment horizontal="right" vertical="top"/>
    </xf>
    <xf numFmtId="0" fontId="52" fillId="0" borderId="0" xfId="2" applyFont="1" applyAlignment="1">
      <alignment horizontal="left" vertical="top"/>
    </xf>
    <xf numFmtId="0" fontId="52" fillId="0" borderId="0" xfId="2" applyFont="1" applyAlignment="1">
      <alignment horizontal="right" vertical="top"/>
    </xf>
    <xf numFmtId="0" fontId="53" fillId="0" borderId="27" xfId="13" applyFont="1" applyBorder="1" applyAlignment="1">
      <alignment horizontal="left" wrapText="1"/>
    </xf>
    <xf numFmtId="0" fontId="54" fillId="0" borderId="0" xfId="13" applyFont="1" applyAlignment="1">
      <alignment horizontal="right" wrapText="1"/>
    </xf>
    <xf numFmtId="0" fontId="52" fillId="0" borderId="0" xfId="2" applyFont="1" applyProtection="1">
      <protection locked="0"/>
    </xf>
    <xf numFmtId="181" fontId="45" fillId="0" borderId="0" xfId="13" applyNumberFormat="1" applyFont="1" applyAlignment="1">
      <alignment horizontal="right" wrapText="1"/>
    </xf>
    <xf numFmtId="181" fontId="8" fillId="0" borderId="0" xfId="13" applyNumberFormat="1" applyFont="1" applyAlignment="1">
      <alignment horizontal="right" wrapText="1"/>
    </xf>
    <xf numFmtId="181" fontId="8" fillId="2" borderId="0" xfId="13" applyNumberFormat="1" applyFont="1" applyFill="1" applyAlignment="1">
      <alignment horizontal="right" wrapText="1"/>
    </xf>
    <xf numFmtId="181" fontId="8" fillId="0" borderId="16" xfId="13" applyNumberFormat="1" applyFont="1" applyBorder="1" applyAlignment="1">
      <alignment horizontal="right" wrapText="1"/>
    </xf>
    <xf numFmtId="0" fontId="55" fillId="0" borderId="0" xfId="13" applyFont="1" applyAlignment="1">
      <alignment horizontal="right" wrapText="1"/>
    </xf>
    <xf numFmtId="0" fontId="56" fillId="0" borderId="0" xfId="13" applyFont="1" applyAlignment="1">
      <alignment horizontal="right" wrapText="1"/>
    </xf>
    <xf numFmtId="0" fontId="53" fillId="0" borderId="5" xfId="13" applyFont="1" applyBorder="1" applyAlignment="1">
      <alignment horizontal="left" wrapText="1"/>
    </xf>
    <xf numFmtId="0" fontId="53" fillId="0" borderId="6" xfId="13" applyFont="1" applyBorder="1" applyAlignment="1">
      <alignment horizontal="right" wrapText="1"/>
    </xf>
    <xf numFmtId="0" fontId="52" fillId="2" borderId="6" xfId="13" applyFont="1" applyFill="1" applyBorder="1" applyAlignment="1">
      <alignment horizontal="right" wrapText="1"/>
    </xf>
    <xf numFmtId="0" fontId="52" fillId="0" borderId="6" xfId="13" applyFont="1" applyBorder="1" applyAlignment="1">
      <alignment horizontal="right" wrapText="1"/>
    </xf>
    <xf numFmtId="0" fontId="52" fillId="0" borderId="17" xfId="13" applyFont="1" applyBorder="1" applyAlignment="1">
      <alignment horizontal="right" wrapText="1"/>
    </xf>
    <xf numFmtId="0" fontId="53" fillId="0" borderId="0" xfId="13" applyFont="1" applyAlignment="1">
      <alignment horizontal="left" wrapText="1"/>
    </xf>
    <xf numFmtId="0" fontId="53" fillId="0" borderId="0" xfId="13" applyFont="1" applyAlignment="1">
      <alignment horizontal="right" wrapText="1"/>
    </xf>
    <xf numFmtId="0" fontId="55" fillId="0" borderId="0" xfId="13" applyFont="1" applyAlignment="1">
      <alignment horizontal="left" wrapText="1"/>
    </xf>
    <xf numFmtId="0" fontId="15" fillId="2" borderId="0" xfId="2" applyFont="1" applyFill="1" applyAlignment="1">
      <alignment horizontal="right" vertical="top"/>
    </xf>
    <xf numFmtId="0" fontId="26" fillId="2" borderId="0" xfId="2" applyFont="1" applyFill="1" applyAlignment="1">
      <alignment horizontal="right" vertical="top"/>
    </xf>
    <xf numFmtId="0" fontId="26" fillId="2" borderId="0" xfId="2" applyFont="1" applyFill="1"/>
    <xf numFmtId="0" fontId="26" fillId="2" borderId="0" xfId="2" applyFont="1" applyFill="1" applyProtection="1">
      <protection locked="0"/>
    </xf>
    <xf numFmtId="0" fontId="7" fillId="2" borderId="6" xfId="2" applyFont="1" applyFill="1" applyBorder="1"/>
    <xf numFmtId="0" fontId="8" fillId="2" borderId="6" xfId="2" applyFont="1" applyFill="1" applyBorder="1"/>
    <xf numFmtId="0" fontId="8" fillId="2" borderId="0" xfId="2" applyFont="1" applyFill="1"/>
    <xf numFmtId="171" fontId="8" fillId="2" borderId="0" xfId="6" applyNumberFormat="1" applyFont="1" applyFill="1"/>
    <xf numFmtId="0" fontId="8" fillId="2" borderId="4" xfId="2" applyFont="1" applyFill="1" applyBorder="1"/>
    <xf numFmtId="171" fontId="7" fillId="2" borderId="0" xfId="6" applyNumberFormat="1" applyFont="1" applyFill="1" applyAlignment="1">
      <alignment horizontal="right"/>
    </xf>
    <xf numFmtId="171" fontId="41" fillId="2" borderId="0" xfId="6" applyNumberFormat="1" applyFont="1" applyFill="1" applyAlignment="1">
      <alignment horizontal="right"/>
    </xf>
    <xf numFmtId="0" fontId="8" fillId="2" borderId="15" xfId="2" applyFont="1" applyFill="1" applyBorder="1"/>
    <xf numFmtId="0" fontId="8" fillId="2" borderId="27" xfId="2" applyFont="1" applyFill="1" applyBorder="1"/>
    <xf numFmtId="0" fontId="8" fillId="2" borderId="5" xfId="2" applyFont="1" applyFill="1" applyBorder="1" applyAlignment="1">
      <alignment wrapText="1"/>
    </xf>
    <xf numFmtId="165" fontId="26" fillId="2" borderId="0" xfId="2" applyNumberFormat="1" applyFont="1" applyFill="1" applyProtection="1">
      <protection locked="0"/>
    </xf>
    <xf numFmtId="0" fontId="8" fillId="2" borderId="0" xfId="2" applyFont="1" applyFill="1" applyAlignment="1">
      <alignment wrapText="1"/>
    </xf>
    <xf numFmtId="168" fontId="8" fillId="2" borderId="0" xfId="14" applyNumberFormat="1" applyFont="1" applyFill="1" applyAlignment="1">
      <alignment horizontal="center"/>
    </xf>
    <xf numFmtId="0" fontId="4" fillId="2" borderId="0" xfId="15" applyFill="1"/>
    <xf numFmtId="0" fontId="7" fillId="2" borderId="0" xfId="2" applyFont="1" applyFill="1"/>
    <xf numFmtId="168" fontId="8" fillId="2" borderId="0" xfId="14" applyNumberFormat="1" applyFont="1" applyFill="1" applyBorder="1" applyAlignment="1">
      <alignment horizontal="center"/>
    </xf>
    <xf numFmtId="0" fontId="4" fillId="2" borderId="0" xfId="2" applyFill="1" applyAlignment="1" applyProtection="1">
      <alignment horizontal="left" vertical="top" wrapText="1"/>
      <protection locked="0"/>
    </xf>
    <xf numFmtId="0" fontId="15" fillId="2" borderId="0" xfId="2" applyFont="1" applyFill="1" applyAlignment="1">
      <alignment horizontal="right" vertical="top" wrapText="1"/>
    </xf>
    <xf numFmtId="0" fontId="4" fillId="2" borderId="0" xfId="2" applyFill="1" applyProtection="1">
      <protection locked="0"/>
    </xf>
    <xf numFmtId="0" fontId="4" fillId="2" borderId="0" xfId="2" applyFill="1" applyAlignment="1">
      <alignment horizontal="right" vertical="top"/>
    </xf>
    <xf numFmtId="0" fontId="8" fillId="2" borderId="0" xfId="2" applyFont="1" applyFill="1" applyAlignment="1">
      <alignment horizontal="right" vertical="top"/>
    </xf>
    <xf numFmtId="175" fontId="8" fillId="2" borderId="0" xfId="6" applyNumberFormat="1" applyFont="1" applyFill="1" applyProtection="1">
      <protection locked="0"/>
    </xf>
    <xf numFmtId="175" fontId="8" fillId="2" borderId="0" xfId="2" applyNumberFormat="1" applyFont="1" applyFill="1" applyAlignment="1" applyProtection="1">
      <alignment horizontal="center"/>
      <protection locked="0"/>
    </xf>
    <xf numFmtId="0" fontId="8" fillId="2" borderId="6" xfId="2" applyFont="1" applyFill="1" applyBorder="1" applyAlignment="1">
      <alignment horizontal="right" vertical="top" wrapText="1"/>
    </xf>
    <xf numFmtId="165" fontId="8" fillId="2" borderId="6" xfId="2" applyNumberFormat="1" applyFont="1" applyFill="1" applyBorder="1" applyProtection="1">
      <protection locked="0"/>
    </xf>
    <xf numFmtId="175" fontId="7" fillId="2" borderId="0" xfId="6" applyNumberFormat="1" applyFont="1" applyFill="1"/>
    <xf numFmtId="0" fontId="8" fillId="2" borderId="0" xfId="6" applyFont="1" applyFill="1"/>
    <xf numFmtId="1" fontId="8" fillId="2" borderId="0" xfId="6" applyNumberFormat="1" applyFont="1" applyFill="1"/>
    <xf numFmtId="173" fontId="8" fillId="2" borderId="0" xfId="14" applyNumberFormat="1" applyFont="1" applyFill="1" applyAlignment="1"/>
    <xf numFmtId="1" fontId="8" fillId="2" borderId="0" xfId="2" applyNumberFormat="1" applyFont="1" applyFill="1"/>
    <xf numFmtId="173" fontId="8" fillId="2" borderId="0" xfId="2" applyNumberFormat="1" applyFont="1" applyFill="1"/>
    <xf numFmtId="0" fontId="26" fillId="2" borderId="0" xfId="2" applyFont="1" applyFill="1" applyAlignment="1">
      <alignment vertical="top"/>
    </xf>
    <xf numFmtId="0" fontId="8" fillId="2" borderId="0" xfId="2" applyFont="1" applyFill="1" applyAlignment="1">
      <alignment horizontal="left" vertical="top"/>
    </xf>
    <xf numFmtId="2" fontId="8" fillId="2" borderId="0" xfId="2" applyNumberFormat="1" applyFont="1" applyFill="1" applyAlignment="1">
      <alignment horizontal="right"/>
    </xf>
    <xf numFmtId="0" fontId="8" fillId="2" borderId="6" xfId="2" applyFont="1" applyFill="1" applyBorder="1" applyAlignment="1">
      <alignment horizontal="left" vertical="top"/>
    </xf>
    <xf numFmtId="2" fontId="8" fillId="2" borderId="6" xfId="2" applyNumberFormat="1" applyFont="1" applyFill="1" applyBorder="1" applyAlignment="1">
      <alignment horizontal="right"/>
    </xf>
    <xf numFmtId="2" fontId="26" fillId="2" borderId="0" xfId="2" applyNumberFormat="1" applyFont="1" applyFill="1" applyAlignment="1">
      <alignment vertical="top"/>
    </xf>
    <xf numFmtId="2" fontId="26" fillId="2" borderId="0" xfId="2" applyNumberFormat="1" applyFont="1" applyFill="1"/>
    <xf numFmtId="0" fontId="4" fillId="2" borderId="0" xfId="2" applyFill="1" applyAlignment="1">
      <alignment horizontal="left" wrapText="1"/>
    </xf>
    <xf numFmtId="0" fontId="4" fillId="2" borderId="3" xfId="2" quotePrefix="1" applyFill="1" applyBorder="1" applyAlignment="1">
      <alignment vertical="top" wrapText="1"/>
    </xf>
    <xf numFmtId="0" fontId="29" fillId="2" borderId="3" xfId="2" quotePrefix="1" applyFont="1" applyFill="1" applyBorder="1" applyAlignment="1">
      <alignment vertical="top" wrapText="1"/>
    </xf>
    <xf numFmtId="0" fontId="4" fillId="2" borderId="0" xfId="2" applyFill="1" applyAlignment="1">
      <alignment horizontal="right" vertical="top" wrapText="1"/>
    </xf>
    <xf numFmtId="0" fontId="29" fillId="2" borderId="0" xfId="2" applyFont="1" applyFill="1" applyAlignment="1">
      <alignment horizontal="right" vertical="top" wrapText="1"/>
    </xf>
    <xf numFmtId="165" fontId="4" fillId="2" borderId="0" xfId="15" applyNumberFormat="1" applyFill="1"/>
    <xf numFmtId="165" fontId="21" fillId="2" borderId="0" xfId="2" applyNumberFormat="1" applyFont="1" applyFill="1" applyProtection="1">
      <protection locked="0"/>
    </xf>
    <xf numFmtId="0" fontId="21" fillId="2" borderId="0" xfId="2" applyFont="1" applyFill="1" applyProtection="1">
      <protection locked="0"/>
    </xf>
    <xf numFmtId="0" fontId="20" fillId="0" borderId="0" xfId="2" applyFont="1" applyAlignment="1">
      <alignment vertical="top"/>
    </xf>
    <xf numFmtId="0" fontId="6" fillId="0" borderId="0" xfId="2" applyFont="1" applyAlignment="1">
      <alignment vertical="top"/>
    </xf>
    <xf numFmtId="0" fontId="6" fillId="0" borderId="0" xfId="2" applyFont="1"/>
    <xf numFmtId="0" fontId="5" fillId="0" borderId="0" xfId="2" applyFont="1" applyAlignment="1">
      <alignment vertical="top"/>
    </xf>
    <xf numFmtId="0" fontId="4" fillId="0" borderId="0" xfId="2"/>
    <xf numFmtId="0" fontId="4" fillId="0" borderId="0" xfId="2" applyAlignment="1">
      <alignment wrapText="1"/>
    </xf>
    <xf numFmtId="0" fontId="12" fillId="0" borderId="0" xfId="2" applyFont="1"/>
    <xf numFmtId="0" fontId="12" fillId="2" borderId="0" xfId="2" applyFont="1" applyFill="1"/>
    <xf numFmtId="0" fontId="8" fillId="2" borderId="15" xfId="2" applyFont="1" applyFill="1" applyBorder="1" applyAlignment="1">
      <alignment horizontal="left"/>
    </xf>
    <xf numFmtId="0" fontId="8" fillId="2" borderId="16" xfId="2" applyFont="1" applyFill="1" applyBorder="1" applyAlignment="1">
      <alignment horizontal="right"/>
    </xf>
    <xf numFmtId="0" fontId="58" fillId="2" borderId="15" xfId="2" applyFont="1" applyFill="1" applyBorder="1"/>
    <xf numFmtId="0" fontId="58" fillId="2" borderId="0" xfId="2" applyFont="1" applyFill="1"/>
    <xf numFmtId="0" fontId="58" fillId="2" borderId="0" xfId="2" applyFont="1" applyFill="1" applyAlignment="1">
      <alignment horizontal="right"/>
    </xf>
    <xf numFmtId="0" fontId="58" fillId="2" borderId="16" xfId="2" applyFont="1" applyFill="1" applyBorder="1" applyAlignment="1">
      <alignment horizontal="right"/>
    </xf>
    <xf numFmtId="0" fontId="59" fillId="2" borderId="15" xfId="2" applyFont="1" applyFill="1" applyBorder="1" applyAlignment="1">
      <alignment horizontal="left"/>
    </xf>
    <xf numFmtId="0" fontId="8" fillId="2" borderId="5" xfId="2" applyFont="1" applyFill="1" applyBorder="1" applyAlignment="1">
      <alignment horizontal="left"/>
    </xf>
    <xf numFmtId="0" fontId="8" fillId="2" borderId="6" xfId="2" applyFont="1" applyFill="1" applyBorder="1" applyAlignment="1">
      <alignment horizontal="right"/>
    </xf>
    <xf numFmtId="0" fontId="10" fillId="2" borderId="1" xfId="2" applyFont="1" applyFill="1" applyBorder="1" applyAlignment="1">
      <alignment horizontal="left"/>
    </xf>
    <xf numFmtId="0" fontId="7" fillId="2" borderId="2" xfId="2" applyFont="1" applyFill="1" applyBorder="1"/>
    <xf numFmtId="0" fontId="7" fillId="2" borderId="3" xfId="2" applyFont="1" applyFill="1" applyBorder="1"/>
    <xf numFmtId="0" fontId="59" fillId="2" borderId="0" xfId="2" applyFont="1" applyFill="1" applyAlignment="1">
      <alignment horizontal="left"/>
    </xf>
    <xf numFmtId="0" fontId="12" fillId="0" borderId="0" xfId="2" applyFont="1" applyAlignment="1">
      <alignment vertical="top"/>
    </xf>
    <xf numFmtId="0" fontId="8" fillId="2" borderId="0" xfId="2" applyFont="1" applyFill="1" applyAlignment="1">
      <alignment horizontal="left"/>
    </xf>
    <xf numFmtId="0" fontId="12" fillId="4" borderId="0" xfId="2" applyFont="1" applyFill="1"/>
    <xf numFmtId="0" fontId="7" fillId="2" borderId="27" xfId="2" applyFont="1" applyFill="1" applyBorder="1"/>
    <xf numFmtId="0" fontId="15" fillId="0" borderId="0" xfId="2" applyFont="1" applyAlignment="1">
      <alignment vertical="top"/>
    </xf>
    <xf numFmtId="0" fontId="32" fillId="0" borderId="0" xfId="2" applyFont="1" applyAlignment="1">
      <alignment horizontal="left"/>
    </xf>
    <xf numFmtId="0" fontId="15" fillId="0" borderId="0" xfId="2" applyFont="1" applyAlignment="1">
      <alignment vertical="top" wrapText="1"/>
    </xf>
    <xf numFmtId="0" fontId="8" fillId="2" borderId="16" xfId="2" applyFont="1" applyFill="1" applyBorder="1"/>
    <xf numFmtId="0" fontId="15" fillId="0" borderId="0" xfId="16" applyFont="1" applyAlignment="1">
      <alignment vertical="top"/>
    </xf>
    <xf numFmtId="0" fontId="60" fillId="2" borderId="15" xfId="2" applyFont="1" applyFill="1" applyBorder="1"/>
    <xf numFmtId="0" fontId="60" fillId="2" borderId="0" xfId="2" applyFont="1" applyFill="1"/>
    <xf numFmtId="0" fontId="60" fillId="2" borderId="16" xfId="2" applyFont="1" applyFill="1" applyBorder="1"/>
    <xf numFmtId="0" fontId="8" fillId="2" borderId="27" xfId="2" applyFont="1" applyFill="1" applyBorder="1" applyAlignment="1">
      <alignment horizontal="left"/>
    </xf>
    <xf numFmtId="0" fontId="7" fillId="2" borderId="15" xfId="2" applyFont="1" applyFill="1" applyBorder="1"/>
    <xf numFmtId="0" fontId="8" fillId="2" borderId="5" xfId="2" applyFont="1" applyFill="1" applyBorder="1"/>
    <xf numFmtId="0" fontId="8" fillId="2" borderId="17" xfId="2" applyFont="1" applyFill="1" applyBorder="1"/>
    <xf numFmtId="0" fontId="10" fillId="0" borderId="0" xfId="2" applyFont="1" applyAlignment="1">
      <alignment horizontal="left"/>
    </xf>
    <xf numFmtId="0" fontId="7" fillId="4" borderId="0" xfId="2" applyFont="1" applyFill="1"/>
    <xf numFmtId="0" fontId="12" fillId="0" borderId="0" xfId="2" applyFont="1" applyAlignment="1">
      <alignment horizontal="left"/>
    </xf>
    <xf numFmtId="0" fontId="5" fillId="0" borderId="0" xfId="2" applyFont="1" applyAlignment="1">
      <alignment vertical="top" wrapText="1"/>
    </xf>
    <xf numFmtId="0" fontId="12" fillId="0" borderId="0" xfId="2" applyFont="1" applyAlignment="1" applyProtection="1">
      <alignment vertical="top"/>
      <protection hidden="1"/>
    </xf>
    <xf numFmtId="0" fontId="15" fillId="0" borderId="0" xfId="2" applyFont="1"/>
    <xf numFmtId="173" fontId="8" fillId="0" borderId="0" xfId="14" applyNumberFormat="1" applyFont="1" applyFill="1" applyBorder="1" applyAlignment="1">
      <alignment horizontal="left"/>
    </xf>
    <xf numFmtId="0" fontId="8" fillId="0" borderId="0" xfId="2" applyFont="1" applyAlignment="1">
      <alignment horizontal="left"/>
    </xf>
    <xf numFmtId="0" fontId="8" fillId="0" borderId="6" xfId="2" applyFont="1" applyBorder="1" applyAlignment="1">
      <alignment horizontal="left"/>
    </xf>
    <xf numFmtId="0" fontId="61" fillId="11" borderId="33" xfId="2" applyFont="1" applyFill="1" applyBorder="1" applyAlignment="1">
      <alignment horizontal="center" wrapText="1"/>
    </xf>
    <xf numFmtId="0" fontId="61" fillId="11" borderId="23" xfId="2" applyFont="1" applyFill="1" applyBorder="1" applyAlignment="1">
      <alignment horizontal="center" wrapText="1"/>
    </xf>
    <xf numFmtId="0" fontId="61" fillId="11" borderId="34" xfId="2" applyFont="1" applyFill="1" applyBorder="1" applyAlignment="1">
      <alignment horizontal="center" wrapText="1"/>
    </xf>
    <xf numFmtId="0" fontId="8" fillId="0" borderId="6" xfId="2" applyFont="1" applyBorder="1" applyAlignment="1">
      <alignment horizontal="right"/>
    </xf>
    <xf numFmtId="0" fontId="15" fillId="9" borderId="33" xfId="2" applyFont="1" applyFill="1" applyBorder="1"/>
    <xf numFmtId="0" fontId="61" fillId="9" borderId="23" xfId="2" applyFont="1" applyFill="1" applyBorder="1" applyAlignment="1">
      <alignment horizontal="left" wrapText="1"/>
    </xf>
    <xf numFmtId="0" fontId="61" fillId="9" borderId="23" xfId="2" applyFont="1" applyFill="1" applyBorder="1" applyAlignment="1">
      <alignment horizontal="center" wrapText="1"/>
    </xf>
    <xf numFmtId="0" fontId="61" fillId="9" borderId="34" xfId="2" applyFont="1" applyFill="1" applyBorder="1" applyAlignment="1">
      <alignment horizontal="center" wrapText="1"/>
    </xf>
    <xf numFmtId="0" fontId="62" fillId="9" borderId="23" xfId="2" applyFont="1" applyFill="1" applyBorder="1" applyAlignment="1">
      <alignment horizontal="left" wrapText="1"/>
    </xf>
    <xf numFmtId="0" fontId="62" fillId="9" borderId="23" xfId="2" applyFont="1" applyFill="1" applyBorder="1" applyAlignment="1">
      <alignment horizontal="center" wrapText="1"/>
    </xf>
    <xf numFmtId="0" fontId="62" fillId="9" borderId="34" xfId="2" applyFont="1" applyFill="1" applyBorder="1" applyAlignment="1">
      <alignment horizontal="center" wrapText="1"/>
    </xf>
    <xf numFmtId="0" fontId="1" fillId="9" borderId="33" xfId="2" applyFont="1" applyFill="1" applyBorder="1"/>
    <xf numFmtId="0" fontId="10" fillId="0" borderId="0" xfId="2" applyFont="1" applyAlignment="1">
      <alignment horizontal="right"/>
    </xf>
    <xf numFmtId="0" fontId="62" fillId="9" borderId="36" xfId="2" applyFont="1" applyFill="1" applyBorder="1" applyAlignment="1">
      <alignment horizontal="left" wrapText="1"/>
    </xf>
    <xf numFmtId="0" fontId="62" fillId="9" borderId="36" xfId="2" applyFont="1" applyFill="1" applyBorder="1" applyAlignment="1">
      <alignment horizontal="center" wrapText="1"/>
    </xf>
    <xf numFmtId="0" fontId="62" fillId="9" borderId="37" xfId="2" applyFont="1" applyFill="1" applyBorder="1" applyAlignment="1">
      <alignment horizontal="center" wrapText="1"/>
    </xf>
    <xf numFmtId="0" fontId="1" fillId="0" borderId="0" xfId="2" applyFont="1" applyAlignment="1">
      <alignment vertical="top"/>
    </xf>
    <xf numFmtId="0" fontId="2" fillId="0" borderId="0" xfId="2" applyFont="1"/>
    <xf numFmtId="0" fontId="2" fillId="0" borderId="0" xfId="2" applyFont="1" applyProtection="1">
      <protection locked="0"/>
    </xf>
    <xf numFmtId="0" fontId="63" fillId="0" borderId="0" xfId="2" applyFont="1"/>
    <xf numFmtId="0" fontId="44" fillId="0" borderId="0" xfId="2" applyFont="1"/>
    <xf numFmtId="170" fontId="14" fillId="0" borderId="38" xfId="1" applyNumberFormat="1" applyFont="1" applyFill="1" applyBorder="1" applyAlignment="1" applyProtection="1">
      <alignment horizontal="right"/>
    </xf>
    <xf numFmtId="170" fontId="14" fillId="2" borderId="38" xfId="1" applyNumberFormat="1" applyFont="1" applyFill="1" applyBorder="1" applyAlignment="1" applyProtection="1">
      <alignment horizontal="right"/>
    </xf>
    <xf numFmtId="170" fontId="14" fillId="2" borderId="39" xfId="1" applyNumberFormat="1" applyFont="1" applyFill="1" applyBorder="1" applyAlignment="1" applyProtection="1">
      <alignment horizontal="right"/>
    </xf>
    <xf numFmtId="1" fontId="14" fillId="0" borderId="38" xfId="1" applyNumberFormat="1" applyFont="1" applyFill="1" applyBorder="1" applyAlignment="1" applyProtection="1">
      <alignment horizontal="right"/>
    </xf>
    <xf numFmtId="170" fontId="14" fillId="0" borderId="39" xfId="1" applyNumberFormat="1" applyFont="1" applyFill="1" applyBorder="1" applyAlignment="1" applyProtection="1">
      <alignment horizontal="right"/>
    </xf>
    <xf numFmtId="49" fontId="14" fillId="0" borderId="40" xfId="2" applyNumberFormat="1" applyFont="1" applyBorder="1" applyAlignment="1">
      <alignment horizontal="right"/>
    </xf>
    <xf numFmtId="0" fontId="8" fillId="0" borderId="15" xfId="2" applyFont="1" applyBorder="1" applyAlignment="1">
      <alignment wrapText="1"/>
    </xf>
    <xf numFmtId="170" fontId="11" fillId="0" borderId="41" xfId="1" applyNumberFormat="1" applyFont="1" applyFill="1" applyBorder="1" applyProtection="1"/>
    <xf numFmtId="170" fontId="11" fillId="2" borderId="41" xfId="1" applyNumberFormat="1" applyFont="1" applyFill="1" applyBorder="1" applyProtection="1"/>
    <xf numFmtId="170" fontId="11" fillId="2" borderId="18" xfId="1" applyNumberFormat="1" applyFont="1" applyFill="1" applyBorder="1" applyProtection="1"/>
    <xf numFmtId="170" fontId="11" fillId="0" borderId="42" xfId="1" applyNumberFormat="1" applyFont="1" applyFill="1" applyBorder="1" applyProtection="1"/>
    <xf numFmtId="170" fontId="11" fillId="0" borderId="43" xfId="1" applyNumberFormat="1" applyFont="1" applyFill="1" applyBorder="1" applyProtection="1"/>
    <xf numFmtId="170" fontId="11" fillId="0" borderId="44" xfId="1" applyNumberFormat="1" applyFont="1" applyFill="1" applyBorder="1" applyProtection="1"/>
    <xf numFmtId="170" fontId="11" fillId="2" borderId="44" xfId="1" applyNumberFormat="1" applyFont="1" applyFill="1" applyBorder="1" applyProtection="1"/>
    <xf numFmtId="170" fontId="11" fillId="2" borderId="45" xfId="1" applyNumberFormat="1" applyFont="1" applyFill="1" applyBorder="1" applyProtection="1"/>
    <xf numFmtId="170" fontId="11" fillId="2" borderId="46" xfId="1" applyNumberFormat="1" applyFont="1" applyFill="1" applyBorder="1" applyProtection="1"/>
    <xf numFmtId="170" fontId="11" fillId="0" borderId="0" xfId="17" applyNumberFormat="1" applyFont="1" applyFill="1" applyBorder="1" applyProtection="1"/>
    <xf numFmtId="170" fontId="11" fillId="2" borderId="0" xfId="17" applyNumberFormat="1" applyFont="1" applyFill="1" applyBorder="1" applyProtection="1"/>
    <xf numFmtId="0" fontId="14" fillId="0" borderId="0" xfId="2" applyFont="1" applyAlignment="1">
      <alignment wrapText="1"/>
    </xf>
    <xf numFmtId="170" fontId="14" fillId="0" borderId="0" xfId="17" applyNumberFormat="1" applyFont="1" applyFill="1" applyBorder="1" applyProtection="1"/>
    <xf numFmtId="0" fontId="11" fillId="0" borderId="1" xfId="2" applyFont="1" applyBorder="1" applyAlignment="1">
      <alignment wrapText="1"/>
    </xf>
    <xf numFmtId="49" fontId="14" fillId="0" borderId="38" xfId="2" applyNumberFormat="1" applyFont="1" applyBorder="1" applyAlignment="1">
      <alignment horizontal="right"/>
    </xf>
    <xf numFmtId="49" fontId="14" fillId="2" borderId="38" xfId="2" applyNumberFormat="1" applyFont="1" applyFill="1" applyBorder="1" applyAlignment="1">
      <alignment horizontal="right"/>
    </xf>
    <xf numFmtId="49" fontId="14" fillId="0" borderId="39" xfId="2" applyNumberFormat="1" applyFont="1" applyBorder="1" applyAlignment="1">
      <alignment horizontal="right"/>
    </xf>
    <xf numFmtId="0" fontId="11" fillId="0" borderId="15" xfId="2" applyFont="1" applyBorder="1" applyAlignment="1">
      <alignment wrapText="1"/>
    </xf>
    <xf numFmtId="170" fontId="11" fillId="0" borderId="41" xfId="17" applyNumberFormat="1" applyFont="1" applyFill="1" applyBorder="1" applyProtection="1"/>
    <xf numFmtId="170" fontId="11" fillId="2" borderId="41" xfId="17" applyNumberFormat="1" applyFont="1" applyFill="1" applyBorder="1" applyProtection="1"/>
    <xf numFmtId="170" fontId="11" fillId="2" borderId="18" xfId="17" applyNumberFormat="1" applyFont="1" applyFill="1" applyBorder="1" applyProtection="1"/>
    <xf numFmtId="170" fontId="11" fillId="0" borderId="47" xfId="1" applyNumberFormat="1" applyFont="1" applyFill="1" applyBorder="1" applyProtection="1"/>
    <xf numFmtId="170" fontId="11" fillId="0" borderId="48" xfId="1" applyNumberFormat="1" applyFont="1" applyFill="1" applyBorder="1" applyProtection="1"/>
    <xf numFmtId="0" fontId="11" fillId="0" borderId="5" xfId="2" applyFont="1" applyBorder="1" applyAlignment="1">
      <alignment wrapText="1"/>
    </xf>
    <xf numFmtId="170" fontId="11" fillId="0" borderId="44" xfId="17" applyNumberFormat="1" applyFont="1" applyFill="1" applyBorder="1" applyProtection="1"/>
    <xf numFmtId="170" fontId="11" fillId="2" borderId="44" xfId="17" applyNumberFormat="1" applyFont="1" applyFill="1" applyBorder="1" applyProtection="1"/>
    <xf numFmtId="170" fontId="11" fillId="2" borderId="45" xfId="17" applyNumberFormat="1" applyFont="1" applyFill="1" applyBorder="1" applyProtection="1"/>
    <xf numFmtId="170" fontId="11" fillId="0" borderId="45" xfId="17" applyNumberFormat="1" applyFont="1" applyFill="1" applyBorder="1" applyProtection="1"/>
    <xf numFmtId="170" fontId="11" fillId="0" borderId="46" xfId="17" applyNumberFormat="1" applyFont="1" applyFill="1" applyBorder="1" applyProtection="1"/>
    <xf numFmtId="0" fontId="11" fillId="0" borderId="0" xfId="2" applyFont="1" applyAlignment="1">
      <alignment wrapText="1"/>
    </xf>
    <xf numFmtId="170" fontId="44" fillId="0" borderId="0" xfId="17" applyNumberFormat="1" applyFont="1" applyFill="1" applyBorder="1" applyProtection="1"/>
    <xf numFmtId="170" fontId="44" fillId="2" borderId="0" xfId="17" applyNumberFormat="1" applyFont="1" applyFill="1" applyBorder="1" applyProtection="1"/>
    <xf numFmtId="170" fontId="8" fillId="0" borderId="0" xfId="17" applyNumberFormat="1" applyFont="1" applyFill="1" applyBorder="1" applyProtection="1"/>
    <xf numFmtId="170" fontId="8" fillId="2" borderId="0" xfId="17" applyNumberFormat="1" applyFont="1" applyFill="1" applyBorder="1" applyProtection="1"/>
    <xf numFmtId="0" fontId="44" fillId="0" borderId="0" xfId="2" applyFont="1" applyAlignment="1">
      <alignment wrapText="1"/>
    </xf>
    <xf numFmtId="0" fontId="1" fillId="0" borderId="0" xfId="2" applyFont="1" applyAlignment="1" applyProtection="1">
      <alignment wrapText="1"/>
      <protection locked="0"/>
    </xf>
    <xf numFmtId="0" fontId="26" fillId="0" borderId="0" xfId="2" applyFont="1"/>
    <xf numFmtId="0" fontId="26" fillId="0" borderId="0" xfId="2" applyFont="1" applyProtection="1">
      <protection locked="0"/>
    </xf>
    <xf numFmtId="170" fontId="8" fillId="3" borderId="0" xfId="17" applyNumberFormat="1" applyFont="1" applyFill="1" applyBorder="1" applyProtection="1"/>
    <xf numFmtId="170" fontId="44" fillId="0" borderId="47" xfId="17" applyNumberFormat="1" applyFont="1" applyFill="1" applyBorder="1" applyProtection="1"/>
    <xf numFmtId="170" fontId="11" fillId="0" borderId="47" xfId="17" applyNumberFormat="1" applyFont="1" applyFill="1" applyBorder="1" applyProtection="1"/>
    <xf numFmtId="0" fontId="8" fillId="0" borderId="6" xfId="2" applyFont="1" applyBorder="1" applyAlignment="1">
      <alignment wrapText="1"/>
    </xf>
    <xf numFmtId="170" fontId="8" fillId="0" borderId="6" xfId="17" applyNumberFormat="1" applyFont="1" applyFill="1" applyBorder="1" applyProtection="1"/>
    <xf numFmtId="170" fontId="8" fillId="2" borderId="6" xfId="17" applyNumberFormat="1" applyFont="1" applyFill="1" applyBorder="1" applyProtection="1"/>
    <xf numFmtId="170" fontId="8" fillId="0" borderId="6" xfId="1" applyNumberFormat="1" applyFont="1" applyFill="1" applyBorder="1" applyProtection="1"/>
    <xf numFmtId="170" fontId="8" fillId="3" borderId="6" xfId="1" applyNumberFormat="1" applyFont="1" applyFill="1" applyBorder="1" applyProtection="1"/>
    <xf numFmtId="170" fontId="44" fillId="2" borderId="44" xfId="1" applyNumberFormat="1" applyFont="1" applyFill="1" applyBorder="1" applyProtection="1"/>
    <xf numFmtId="170" fontId="7" fillId="0" borderId="0" xfId="17" applyNumberFormat="1" applyFont="1" applyFill="1" applyBorder="1" applyProtection="1"/>
    <xf numFmtId="170" fontId="8" fillId="3" borderId="6" xfId="17" applyNumberFormat="1" applyFont="1" applyFill="1" applyBorder="1" applyProtection="1"/>
    <xf numFmtId="2" fontId="8" fillId="8" borderId="0" xfId="8" applyNumberFormat="1" applyFont="1" applyFill="1" applyAlignment="1">
      <alignment horizontal="right"/>
    </xf>
    <xf numFmtId="0" fontId="5" fillId="0" borderId="0" xfId="5" applyFont="1" applyAlignment="1">
      <alignment vertical="top"/>
    </xf>
    <xf numFmtId="0" fontId="4" fillId="0" borderId="0" xfId="5" applyAlignment="1">
      <alignment vertical="top"/>
    </xf>
    <xf numFmtId="0" fontId="4" fillId="0" borderId="0" xfId="5"/>
    <xf numFmtId="0" fontId="4" fillId="0" borderId="0" xfId="5" applyProtection="1">
      <protection locked="0"/>
    </xf>
    <xf numFmtId="0" fontId="8" fillId="0" borderId="0" xfId="5" applyFont="1" applyProtection="1">
      <protection locked="0"/>
    </xf>
    <xf numFmtId="179" fontId="8" fillId="0" borderId="0" xfId="15" applyNumberFormat="1" applyFont="1" applyAlignment="1">
      <alignment horizontal="right"/>
    </xf>
    <xf numFmtId="0" fontId="7" fillId="0" borderId="0" xfId="5" applyFont="1"/>
    <xf numFmtId="0" fontId="8" fillId="0" borderId="0" xfId="5" applyFont="1"/>
    <xf numFmtId="179" fontId="8" fillId="0" borderId="6" xfId="15" applyNumberFormat="1" applyFont="1" applyBorder="1" applyAlignment="1">
      <alignment horizontal="right"/>
    </xf>
    <xf numFmtId="0" fontId="7" fillId="0" borderId="49" xfId="15" quotePrefix="1" applyFont="1" applyBorder="1" applyAlignment="1" applyProtection="1">
      <alignment horizontal="center"/>
      <protection locked="0"/>
    </xf>
    <xf numFmtId="0" fontId="7" fillId="0" borderId="0" xfId="5" applyFont="1" applyProtection="1">
      <protection locked="0"/>
    </xf>
    <xf numFmtId="0" fontId="7" fillId="0" borderId="22" xfId="15" applyFont="1" applyBorder="1" applyAlignment="1" applyProtection="1">
      <alignment horizontal="right"/>
      <protection locked="0"/>
    </xf>
    <xf numFmtId="0" fontId="8" fillId="0" borderId="0" xfId="5" applyFont="1" applyAlignment="1">
      <alignment vertical="top" wrapText="1"/>
    </xf>
    <xf numFmtId="173" fontId="8" fillId="2" borderId="22" xfId="18" applyNumberFormat="1" applyFont="1" applyFill="1" applyBorder="1"/>
    <xf numFmtId="0" fontId="8" fillId="0" borderId="0" xfId="5" applyFont="1" applyAlignment="1">
      <alignment vertical="top"/>
    </xf>
    <xf numFmtId="0" fontId="7" fillId="0" borderId="6" xfId="5" applyFont="1" applyBorder="1" applyAlignment="1">
      <alignment wrapText="1"/>
    </xf>
    <xf numFmtId="173" fontId="7" fillId="0" borderId="6" xfId="7" applyNumberFormat="1" applyFont="1" applyFill="1" applyBorder="1" applyAlignment="1" applyProtection="1">
      <alignment wrapText="1"/>
    </xf>
    <xf numFmtId="179" fontId="7" fillId="0" borderId="50" xfId="15" applyNumberFormat="1" applyFont="1" applyBorder="1" applyAlignment="1">
      <alignment horizontal="right"/>
    </xf>
    <xf numFmtId="179" fontId="7" fillId="0" borderId="0" xfId="15" applyNumberFormat="1" applyFont="1" applyAlignment="1">
      <alignment horizontal="right"/>
    </xf>
    <xf numFmtId="179" fontId="7" fillId="2" borderId="0" xfId="15" applyNumberFormat="1" applyFont="1" applyFill="1" applyAlignment="1">
      <alignment horizontal="right"/>
    </xf>
    <xf numFmtId="0" fontId="8" fillId="0" borderId="6" xfId="5" applyFont="1" applyBorder="1" applyAlignment="1">
      <alignment wrapText="1"/>
    </xf>
    <xf numFmtId="182" fontId="8" fillId="0" borderId="50" xfId="15" applyNumberFormat="1" applyFont="1" applyBorder="1" applyAlignment="1">
      <alignment horizontal="right"/>
    </xf>
    <xf numFmtId="0" fontId="8" fillId="0" borderId="0" xfId="5" applyFont="1" applyAlignment="1">
      <alignment wrapText="1"/>
    </xf>
    <xf numFmtId="182" fontId="8" fillId="0" borderId="0" xfId="15" applyNumberFormat="1" applyFont="1" applyAlignment="1">
      <alignment horizontal="right"/>
    </xf>
    <xf numFmtId="182" fontId="8" fillId="2" borderId="0" xfId="15" applyNumberFormat="1" applyFont="1" applyFill="1" applyAlignment="1">
      <alignment horizontal="right"/>
    </xf>
    <xf numFmtId="0" fontId="4" fillId="0" borderId="0" xfId="15" applyProtection="1">
      <protection locked="0"/>
    </xf>
    <xf numFmtId="0" fontId="7" fillId="0" borderId="0" xfId="15" applyFont="1"/>
    <xf numFmtId="182" fontId="8" fillId="2" borderId="6" xfId="15" applyNumberFormat="1" applyFont="1" applyFill="1" applyBorder="1" applyAlignment="1">
      <alignment horizontal="right"/>
    </xf>
    <xf numFmtId="0" fontId="4" fillId="0" borderId="6" xfId="15" applyBorder="1" applyProtection="1">
      <protection locked="0"/>
    </xf>
    <xf numFmtId="0" fontId="4" fillId="0" borderId="6" xfId="5" applyBorder="1" applyProtection="1">
      <protection locked="0"/>
    </xf>
    <xf numFmtId="0" fontId="8" fillId="0" borderId="0" xfId="15" applyFont="1" applyAlignment="1">
      <alignment vertical="top" wrapText="1"/>
    </xf>
    <xf numFmtId="182" fontId="8" fillId="0" borderId="22" xfId="15" applyNumberFormat="1" applyFont="1" applyBorder="1" applyAlignment="1">
      <alignment horizontal="right"/>
    </xf>
    <xf numFmtId="0" fontId="15" fillId="0" borderId="0" xfId="5" applyFont="1" applyAlignment="1">
      <alignment vertical="top"/>
    </xf>
    <xf numFmtId="0" fontId="7" fillId="0" borderId="6" xfId="5" applyFont="1" applyBorder="1" applyAlignment="1">
      <alignment vertical="top" wrapText="1"/>
    </xf>
    <xf numFmtId="182" fontId="7" fillId="0" borderId="50" xfId="15" applyNumberFormat="1" applyFont="1" applyBorder="1" applyAlignment="1">
      <alignment horizontal="right"/>
    </xf>
    <xf numFmtId="0" fontId="15" fillId="0" borderId="0" xfId="5" applyFont="1" applyProtection="1">
      <protection locked="0"/>
    </xf>
    <xf numFmtId="0" fontId="13" fillId="0" borderId="0" xfId="5" applyFont="1"/>
    <xf numFmtId="0" fontId="5" fillId="0" borderId="0" xfId="5" applyFont="1" applyAlignment="1">
      <alignment vertical="top" wrapText="1"/>
    </xf>
    <xf numFmtId="0" fontId="5" fillId="0" borderId="0" xfId="15" applyFont="1" applyAlignment="1">
      <alignment vertical="top"/>
    </xf>
    <xf numFmtId="0" fontId="4" fillId="0" borderId="0" xfId="15" applyAlignment="1">
      <alignment vertical="top"/>
    </xf>
    <xf numFmtId="183" fontId="7" fillId="0" borderId="0" xfId="15" applyNumberFormat="1" applyFont="1"/>
    <xf numFmtId="0" fontId="8" fillId="0" borderId="0" xfId="15" applyFont="1"/>
    <xf numFmtId="0" fontId="8" fillId="2" borderId="0" xfId="15" applyFont="1" applyFill="1"/>
    <xf numFmtId="0" fontId="7" fillId="0" borderId="0" xfId="15" applyFont="1" applyProtection="1">
      <protection locked="0"/>
    </xf>
    <xf numFmtId="179" fontId="8" fillId="0" borderId="22" xfId="15" applyNumberFormat="1" applyFont="1" applyBorder="1" applyAlignment="1">
      <alignment horizontal="right"/>
    </xf>
    <xf numFmtId="0" fontId="7" fillId="0" borderId="2" xfId="15" applyFont="1" applyBorder="1" applyAlignment="1">
      <alignment vertical="top" wrapText="1"/>
    </xf>
    <xf numFmtId="182" fontId="63" fillId="15" borderId="51" xfId="15" applyNumberFormat="1" applyFont="1" applyFill="1" applyBorder="1" applyAlignment="1">
      <alignment horizontal="right"/>
    </xf>
    <xf numFmtId="0" fontId="4" fillId="2" borderId="0" xfId="15" applyFill="1" applyProtection="1">
      <protection locked="0"/>
    </xf>
    <xf numFmtId="182" fontId="8" fillId="2" borderId="41" xfId="15" applyNumberFormat="1" applyFont="1" applyFill="1" applyBorder="1" applyAlignment="1">
      <alignment horizontal="right"/>
    </xf>
    <xf numFmtId="182" fontId="7" fillId="0" borderId="51" xfId="15" applyNumberFormat="1" applyFont="1" applyBorder="1" applyAlignment="1">
      <alignment horizontal="right"/>
    </xf>
    <xf numFmtId="183" fontId="7" fillId="0" borderId="0" xfId="5" applyNumberFormat="1" applyFont="1"/>
    <xf numFmtId="0" fontId="7" fillId="0" borderId="49" xfId="5" quotePrefix="1" applyFont="1" applyBorder="1" applyAlignment="1" applyProtection="1">
      <alignment horizontal="right"/>
      <protection locked="0"/>
    </xf>
    <xf numFmtId="0" fontId="7" fillId="0" borderId="49" xfId="5" applyFont="1" applyBorder="1" applyAlignment="1" applyProtection="1">
      <alignment horizontal="center"/>
      <protection locked="0"/>
    </xf>
    <xf numFmtId="0" fontId="7" fillId="0" borderId="42" xfId="5" applyFont="1" applyBorder="1" applyAlignment="1" applyProtection="1">
      <alignment horizontal="center"/>
      <protection locked="0"/>
    </xf>
    <xf numFmtId="0" fontId="7" fillId="4" borderId="47" xfId="5" applyFont="1" applyFill="1" applyBorder="1" applyAlignment="1" applyProtection="1">
      <alignment horizontal="center"/>
      <protection locked="0"/>
    </xf>
    <xf numFmtId="0" fontId="7" fillId="4" borderId="0" xfId="5" applyFont="1" applyFill="1" applyAlignment="1" applyProtection="1">
      <alignment horizontal="center"/>
      <protection locked="0"/>
    </xf>
    <xf numFmtId="0" fontId="7" fillId="0" borderId="0" xfId="5" applyFont="1" applyAlignment="1" applyProtection="1">
      <alignment horizontal="center"/>
      <protection locked="0"/>
    </xf>
    <xf numFmtId="0" fontId="7" fillId="0" borderId="22" xfId="5" applyFont="1" applyBorder="1" applyAlignment="1" applyProtection="1">
      <alignment horizontal="right"/>
      <protection locked="0"/>
    </xf>
    <xf numFmtId="0" fontId="7" fillId="0" borderId="41" xfId="5" applyFont="1" applyBorder="1" applyAlignment="1" applyProtection="1">
      <alignment horizontal="right"/>
      <protection locked="0"/>
    </xf>
    <xf numFmtId="0" fontId="7" fillId="2" borderId="41" xfId="5" applyFont="1" applyFill="1" applyBorder="1" applyAlignment="1" applyProtection="1">
      <alignment horizontal="right"/>
      <protection locked="0"/>
    </xf>
    <xf numFmtId="0" fontId="7" fillId="2" borderId="18" xfId="5" applyFont="1" applyFill="1" applyBorder="1" applyAlignment="1" applyProtection="1">
      <alignment horizontal="right"/>
      <protection locked="0"/>
    </xf>
    <xf numFmtId="182" fontId="7" fillId="2" borderId="22" xfId="5" applyNumberFormat="1" applyFont="1" applyFill="1" applyBorder="1" applyAlignment="1">
      <alignment horizontal="right"/>
    </xf>
    <xf numFmtId="182" fontId="8" fillId="0" borderId="22" xfId="5" applyNumberFormat="1" applyFont="1" applyBorder="1" applyAlignment="1">
      <alignment horizontal="right"/>
    </xf>
    <xf numFmtId="182" fontId="8" fillId="0" borderId="41" xfId="5" applyNumberFormat="1" applyFont="1" applyBorder="1" applyAlignment="1">
      <alignment horizontal="right"/>
    </xf>
    <xf numFmtId="182" fontId="8" fillId="2" borderId="41" xfId="5" applyNumberFormat="1" applyFont="1" applyFill="1" applyBorder="1" applyAlignment="1">
      <alignment horizontal="right"/>
    </xf>
    <xf numFmtId="182" fontId="8" fillId="2" borderId="18" xfId="5" applyNumberFormat="1" applyFont="1" applyFill="1" applyBorder="1" applyAlignment="1">
      <alignment horizontal="right"/>
    </xf>
    <xf numFmtId="182" fontId="8" fillId="2" borderId="22" xfId="5" applyNumberFormat="1" applyFont="1" applyFill="1" applyBorder="1" applyAlignment="1">
      <alignment horizontal="right"/>
    </xf>
    <xf numFmtId="0" fontId="7" fillId="0" borderId="2" xfId="5" applyFont="1" applyBorder="1" applyAlignment="1">
      <alignment vertical="top" wrapText="1"/>
    </xf>
    <xf numFmtId="182" fontId="7" fillId="0" borderId="51" xfId="5" applyNumberFormat="1" applyFont="1" applyBorder="1" applyAlignment="1">
      <alignment horizontal="right"/>
    </xf>
    <xf numFmtId="182" fontId="7" fillId="0" borderId="38" xfId="5" applyNumberFormat="1" applyFont="1" applyBorder="1" applyAlignment="1">
      <alignment horizontal="right"/>
    </xf>
    <xf numFmtId="182" fontId="7" fillId="2" borderId="38" xfId="5" applyNumberFormat="1" applyFont="1" applyFill="1" applyBorder="1" applyAlignment="1">
      <alignment horizontal="right"/>
    </xf>
    <xf numFmtId="182" fontId="7" fillId="2" borderId="39" xfId="5" applyNumberFormat="1" applyFont="1" applyFill="1" applyBorder="1" applyAlignment="1">
      <alignment horizontal="right"/>
    </xf>
    <xf numFmtId="182" fontId="7" fillId="2" borderId="51" xfId="5" applyNumberFormat="1" applyFont="1" applyFill="1" applyBorder="1" applyAlignment="1">
      <alignment horizontal="right"/>
    </xf>
    <xf numFmtId="0" fontId="7" fillId="0" borderId="18" xfId="5" applyFont="1" applyBorder="1" applyProtection="1">
      <protection locked="0"/>
    </xf>
    <xf numFmtId="182" fontId="4" fillId="0" borderId="0" xfId="5" applyNumberFormat="1" applyProtection="1">
      <protection locked="0"/>
    </xf>
    <xf numFmtId="0" fontId="65" fillId="0" borderId="0" xfId="5" applyFont="1" applyAlignment="1">
      <alignment vertical="top"/>
    </xf>
    <xf numFmtId="0" fontId="66" fillId="0" borderId="0" xfId="5" applyFont="1" applyAlignment="1">
      <alignment vertical="top"/>
    </xf>
    <xf numFmtId="0" fontId="66" fillId="0" borderId="0" xfId="5" applyFont="1" applyProtection="1">
      <protection locked="0"/>
    </xf>
    <xf numFmtId="0" fontId="67" fillId="0" borderId="0" xfId="5" applyFont="1" applyAlignment="1">
      <alignment wrapText="1"/>
    </xf>
    <xf numFmtId="0" fontId="68" fillId="0" borderId="0" xfId="15" quotePrefix="1" applyFont="1" applyAlignment="1" applyProtection="1">
      <alignment horizontal="right"/>
      <protection locked="0"/>
    </xf>
    <xf numFmtId="0" fontId="68" fillId="0" borderId="0" xfId="15" quotePrefix="1" applyFont="1" applyAlignment="1" applyProtection="1">
      <alignment horizontal="center"/>
      <protection locked="0"/>
    </xf>
    <xf numFmtId="0" fontId="68" fillId="0" borderId="0" xfId="15" applyFont="1" applyAlignment="1" applyProtection="1">
      <alignment horizontal="center"/>
      <protection locked="0"/>
    </xf>
    <xf numFmtId="0" fontId="68" fillId="2" borderId="0" xfId="15" applyFont="1" applyFill="1" applyAlignment="1" applyProtection="1">
      <alignment horizontal="center"/>
      <protection locked="0"/>
    </xf>
    <xf numFmtId="0" fontId="68" fillId="4" borderId="0" xfId="15" applyFont="1" applyFill="1" applyAlignment="1" applyProtection="1">
      <alignment horizontal="center"/>
      <protection locked="0"/>
    </xf>
    <xf numFmtId="0" fontId="68" fillId="0" borderId="0" xfId="5" applyFont="1" applyProtection="1">
      <protection locked="0"/>
    </xf>
    <xf numFmtId="0" fontId="68" fillId="0" borderId="0" xfId="15" applyFont="1" applyAlignment="1" applyProtection="1">
      <alignment horizontal="right"/>
      <protection locked="0"/>
    </xf>
    <xf numFmtId="0" fontId="68" fillId="2" borderId="0" xfId="15" applyFont="1" applyFill="1" applyAlignment="1" applyProtection="1">
      <alignment horizontal="right"/>
      <protection locked="0"/>
    </xf>
    <xf numFmtId="182" fontId="67" fillId="2" borderId="0" xfId="15" applyNumberFormat="1" applyFont="1" applyFill="1" applyAlignment="1">
      <alignment horizontal="right"/>
    </xf>
    <xf numFmtId="182" fontId="67" fillId="0" borderId="0" xfId="15" applyNumberFormat="1" applyFont="1" applyAlignment="1">
      <alignment horizontal="right"/>
    </xf>
    <xf numFmtId="182" fontId="7" fillId="2" borderId="0" xfId="15" applyNumberFormat="1" applyFont="1" applyFill="1" applyAlignment="1">
      <alignment horizontal="right"/>
    </xf>
    <xf numFmtId="182" fontId="7" fillId="0" borderId="0" xfId="15" applyNumberFormat="1" applyFont="1" applyAlignment="1">
      <alignment horizontal="right"/>
    </xf>
    <xf numFmtId="0" fontId="4" fillId="0" borderId="0" xfId="5" applyAlignment="1">
      <alignment horizontal="left" vertical="top"/>
    </xf>
    <xf numFmtId="0" fontId="7" fillId="0" borderId="6" xfId="5" applyFont="1" applyBorder="1"/>
    <xf numFmtId="0" fontId="4" fillId="0" borderId="6" xfId="5" applyBorder="1"/>
    <xf numFmtId="0" fontId="7" fillId="0" borderId="49" xfId="15" quotePrefix="1" applyFont="1" applyBorder="1" applyAlignment="1">
      <alignment horizontal="center"/>
    </xf>
    <xf numFmtId="0" fontId="7" fillId="0" borderId="49" xfId="15" applyFont="1" applyBorder="1" applyAlignment="1">
      <alignment horizontal="center"/>
    </xf>
    <xf numFmtId="165" fontId="8" fillId="0" borderId="22" xfId="15" applyNumberFormat="1" applyFont="1" applyBorder="1"/>
    <xf numFmtId="0" fontId="8" fillId="0" borderId="6" xfId="5" applyFont="1" applyBorder="1"/>
    <xf numFmtId="165" fontId="8" fillId="0" borderId="50" xfId="15" applyNumberFormat="1" applyFont="1" applyBorder="1"/>
    <xf numFmtId="165" fontId="8" fillId="2" borderId="50" xfId="15" applyNumberFormat="1" applyFont="1" applyFill="1" applyBorder="1"/>
    <xf numFmtId="165" fontId="8" fillId="0" borderId="0" xfId="5" applyNumberFormat="1" applyFont="1" applyAlignment="1">
      <alignment horizontal="right"/>
    </xf>
    <xf numFmtId="0" fontId="8" fillId="0" borderId="0" xfId="5" applyFont="1" applyAlignment="1">
      <alignment horizontal="right"/>
    </xf>
    <xf numFmtId="0" fontId="8" fillId="0" borderId="0" xfId="5" applyFont="1" applyAlignment="1">
      <alignment horizontal="right" shrinkToFit="1"/>
    </xf>
    <xf numFmtId="165" fontId="8" fillId="0" borderId="0" xfId="5" applyNumberFormat="1" applyFont="1" applyAlignment="1">
      <alignment horizontal="right" shrinkToFit="1"/>
    </xf>
    <xf numFmtId="165" fontId="8" fillId="0" borderId="0" xfId="5" applyNumberFormat="1" applyFont="1"/>
    <xf numFmtId="165" fontId="8" fillId="2" borderId="0" xfId="5" applyNumberFormat="1" applyFont="1" applyFill="1" applyAlignment="1">
      <alignment horizontal="right"/>
    </xf>
    <xf numFmtId="165" fontId="8" fillId="0" borderId="22" xfId="15" applyNumberFormat="1" applyFont="1" applyBorder="1" applyAlignment="1">
      <alignment horizontal="right"/>
    </xf>
    <xf numFmtId="0" fontId="8" fillId="0" borderId="22" xfId="15" applyFont="1" applyBorder="1" applyAlignment="1">
      <alignment horizontal="right"/>
    </xf>
    <xf numFmtId="0" fontId="8" fillId="0" borderId="22" xfId="15" applyFont="1" applyBorder="1" applyAlignment="1">
      <alignment horizontal="right" shrinkToFit="1"/>
    </xf>
    <xf numFmtId="165" fontId="8" fillId="0" borderId="22" xfId="15" applyNumberFormat="1" applyFont="1" applyBorder="1" applyAlignment="1">
      <alignment horizontal="right" shrinkToFit="1"/>
    </xf>
    <xf numFmtId="0" fontId="7" fillId="0" borderId="2" xfId="5" applyFont="1" applyBorder="1" applyAlignment="1">
      <alignment wrapText="1"/>
    </xf>
    <xf numFmtId="165" fontId="7" fillId="0" borderId="51" xfId="15" applyNumberFormat="1" applyFont="1" applyBorder="1" applyAlignment="1">
      <alignment horizontal="right"/>
    </xf>
    <xf numFmtId="165" fontId="7" fillId="0" borderId="0" xfId="15" applyNumberFormat="1" applyFont="1" applyAlignment="1">
      <alignment wrapText="1"/>
    </xf>
    <xf numFmtId="165" fontId="7" fillId="0" borderId="0" xfId="5" applyNumberFormat="1" applyFont="1" applyAlignment="1">
      <alignment wrapText="1"/>
    </xf>
    <xf numFmtId="0" fontId="7" fillId="0" borderId="6" xfId="15" applyFont="1" applyBorder="1"/>
    <xf numFmtId="0" fontId="8" fillId="0" borderId="6" xfId="15" applyFont="1" applyBorder="1" applyAlignment="1">
      <alignment horizontal="right"/>
    </xf>
    <xf numFmtId="165" fontId="8" fillId="0" borderId="6" xfId="15" applyNumberFormat="1" applyFont="1" applyBorder="1" applyAlignment="1">
      <alignment horizontal="right"/>
    </xf>
    <xf numFmtId="0" fontId="8" fillId="0" borderId="6" xfId="15" applyFont="1" applyBorder="1" applyAlignment="1">
      <alignment horizontal="right" shrinkToFit="1"/>
    </xf>
    <xf numFmtId="0" fontId="4" fillId="0" borderId="6" xfId="15" applyBorder="1"/>
    <xf numFmtId="0" fontId="8" fillId="0" borderId="6" xfId="15" applyFont="1" applyBorder="1"/>
    <xf numFmtId="1" fontId="7" fillId="0" borderId="6" xfId="15" applyNumberFormat="1" applyFont="1" applyBorder="1" applyAlignment="1">
      <alignment horizontal="center"/>
    </xf>
    <xf numFmtId="0" fontId="4" fillId="0" borderId="0" xfId="15"/>
    <xf numFmtId="0" fontId="7" fillId="0" borderId="22" xfId="5" quotePrefix="1" applyFont="1" applyBorder="1" applyAlignment="1">
      <alignment horizontal="center"/>
    </xf>
    <xf numFmtId="1" fontId="7" fillId="0" borderId="22" xfId="5" applyNumberFormat="1" applyFont="1" applyBorder="1" applyAlignment="1">
      <alignment horizontal="center"/>
    </xf>
    <xf numFmtId="1" fontId="7" fillId="0" borderId="42" xfId="5" applyNumberFormat="1" applyFont="1" applyBorder="1" applyAlignment="1">
      <alignment horizontal="center"/>
    </xf>
    <xf numFmtId="0" fontId="69" fillId="0" borderId="0" xfId="15" applyFont="1" applyAlignment="1">
      <alignment vertical="top"/>
    </xf>
    <xf numFmtId="0" fontId="40" fillId="0" borderId="0" xfId="15" applyFont="1" applyAlignment="1">
      <alignment vertical="top"/>
    </xf>
    <xf numFmtId="0" fontId="8" fillId="2" borderId="0" xfId="15" applyFont="1" applyFill="1" applyAlignment="1">
      <alignment horizontal="left" shrinkToFit="1"/>
    </xf>
    <xf numFmtId="167" fontId="70" fillId="0" borderId="22" xfId="0" applyNumberFormat="1" applyFont="1" applyBorder="1"/>
    <xf numFmtId="167" fontId="70" fillId="0" borderId="41" xfId="0" applyNumberFormat="1" applyFont="1" applyBorder="1"/>
    <xf numFmtId="0" fontId="40" fillId="0" borderId="0" xfId="15" applyFont="1"/>
    <xf numFmtId="165" fontId="8" fillId="2" borderId="0" xfId="15" applyNumberFormat="1" applyFont="1" applyFill="1"/>
    <xf numFmtId="165" fontId="7" fillId="2" borderId="6" xfId="15" applyNumberFormat="1" applyFont="1" applyFill="1" applyBorder="1"/>
    <xf numFmtId="167" fontId="71" fillId="16" borderId="50" xfId="0" applyNumberFormat="1" applyFont="1" applyFill="1" applyBorder="1"/>
    <xf numFmtId="167" fontId="71" fillId="0" borderId="50" xfId="0" applyNumberFormat="1" applyFont="1" applyBorder="1"/>
    <xf numFmtId="167" fontId="71" fillId="0" borderId="44" xfId="0" applyNumberFormat="1" applyFont="1" applyBorder="1"/>
    <xf numFmtId="0" fontId="7" fillId="0" borderId="0" xfId="15" applyFont="1" applyAlignment="1">
      <alignment wrapText="1"/>
    </xf>
    <xf numFmtId="165" fontId="7" fillId="2" borderId="0" xfId="15" applyNumberFormat="1" applyFont="1" applyFill="1"/>
    <xf numFmtId="165" fontId="8" fillId="2" borderId="0" xfId="15" applyNumberFormat="1" applyFont="1" applyFill="1" applyAlignment="1">
      <alignment horizontal="right"/>
    </xf>
    <xf numFmtId="165" fontId="8" fillId="0" borderId="0" xfId="15" applyNumberFormat="1" applyFont="1" applyAlignment="1">
      <alignment horizontal="right"/>
    </xf>
    <xf numFmtId="173" fontId="7" fillId="2" borderId="0" xfId="7" applyNumberFormat="1" applyFont="1" applyFill="1" applyBorder="1" applyProtection="1"/>
    <xf numFmtId="165" fontId="12" fillId="0" borderId="0" xfId="15" applyNumberFormat="1" applyFont="1" applyAlignment="1">
      <alignment horizontal="right"/>
    </xf>
    <xf numFmtId="165" fontId="7" fillId="0" borderId="0" xfId="15" applyNumberFormat="1" applyFont="1"/>
    <xf numFmtId="0" fontId="8" fillId="0" borderId="0" xfId="15" applyFont="1" applyAlignment="1">
      <alignment horizontal="right"/>
    </xf>
    <xf numFmtId="0" fontId="8" fillId="0" borderId="0" xfId="15" applyFont="1" applyAlignment="1">
      <alignment horizontal="right" shrinkToFit="1"/>
    </xf>
    <xf numFmtId="0" fontId="7" fillId="0" borderId="49" xfId="5" quotePrefix="1" applyFont="1" applyBorder="1" applyAlignment="1">
      <alignment horizontal="center"/>
    </xf>
    <xf numFmtId="0" fontId="7" fillId="0" borderId="49" xfId="5" applyFont="1" applyBorder="1" applyAlignment="1">
      <alignment horizontal="center"/>
    </xf>
    <xf numFmtId="0" fontId="8" fillId="2" borderId="0" xfId="15" applyFont="1" applyFill="1" applyAlignment="1">
      <alignment wrapText="1"/>
    </xf>
    <xf numFmtId="173" fontId="8" fillId="2" borderId="22" xfId="7" applyNumberFormat="1" applyFont="1" applyFill="1" applyBorder="1" applyAlignment="1" applyProtection="1">
      <alignment horizontal="right"/>
    </xf>
    <xf numFmtId="173" fontId="8" fillId="0" borderId="22" xfId="7" applyNumberFormat="1" applyFont="1" applyFill="1" applyBorder="1" applyAlignment="1" applyProtection="1">
      <alignment horizontal="right"/>
    </xf>
    <xf numFmtId="0" fontId="7" fillId="2" borderId="0" xfId="15" applyFont="1" applyFill="1"/>
    <xf numFmtId="173" fontId="7" fillId="2" borderId="22" xfId="7" applyNumberFormat="1" applyFont="1" applyFill="1" applyBorder="1" applyAlignment="1" applyProtection="1">
      <alignment horizontal="right"/>
    </xf>
    <xf numFmtId="173" fontId="7" fillId="0" borderId="22" xfId="7" applyNumberFormat="1" applyFont="1" applyFill="1" applyBorder="1" applyAlignment="1" applyProtection="1">
      <alignment horizontal="right"/>
    </xf>
    <xf numFmtId="0" fontId="8" fillId="2" borderId="2" xfId="15" applyFont="1" applyFill="1" applyBorder="1" applyAlignment="1">
      <alignment wrapText="1"/>
    </xf>
    <xf numFmtId="165" fontId="7" fillId="0" borderId="2" xfId="5" applyNumberFormat="1" applyFont="1" applyBorder="1"/>
    <xf numFmtId="0" fontId="7" fillId="0" borderId="0" xfId="5" applyFont="1" applyAlignment="1">
      <alignment wrapText="1"/>
    </xf>
    <xf numFmtId="165" fontId="7" fillId="0" borderId="0" xfId="5" applyNumberFormat="1" applyFont="1"/>
    <xf numFmtId="165" fontId="7" fillId="0" borderId="0" xfId="5" applyNumberFormat="1" applyFont="1" applyAlignment="1">
      <alignment horizontal="right"/>
    </xf>
    <xf numFmtId="165" fontId="7" fillId="2" borderId="0" xfId="5" applyNumberFormat="1" applyFont="1" applyFill="1" applyAlignment="1">
      <alignment horizontal="right"/>
    </xf>
    <xf numFmtId="165" fontId="8" fillId="0" borderId="22" xfId="5" applyNumberFormat="1" applyFont="1" applyBorder="1" applyAlignment="1">
      <alignment horizontal="right" shrinkToFit="1"/>
    </xf>
    <xf numFmtId="0" fontId="8" fillId="0" borderId="23" xfId="5" applyFont="1" applyBorder="1"/>
    <xf numFmtId="0" fontId="7" fillId="0" borderId="23" xfId="15" quotePrefix="1" applyFont="1" applyBorder="1" applyAlignment="1">
      <alignment horizontal="center"/>
    </xf>
    <xf numFmtId="0" fontId="7" fillId="0" borderId="1" xfId="15" quotePrefix="1" applyFont="1" applyBorder="1" applyAlignment="1">
      <alignment horizontal="center"/>
    </xf>
    <xf numFmtId="0" fontId="7" fillId="0" borderId="23" xfId="15" applyFont="1" applyBorder="1" applyAlignment="1">
      <alignment horizontal="center"/>
    </xf>
    <xf numFmtId="1" fontId="7" fillId="0" borderId="3" xfId="15" applyNumberFormat="1" applyFont="1" applyBorder="1" applyAlignment="1">
      <alignment horizontal="center"/>
    </xf>
    <xf numFmtId="1" fontId="7" fillId="0" borderId="23" xfId="15" applyNumberFormat="1" applyFont="1" applyBorder="1" applyAlignment="1">
      <alignment horizontal="center"/>
    </xf>
    <xf numFmtId="0" fontId="8" fillId="0" borderId="23" xfId="5" applyFont="1" applyBorder="1" applyAlignment="1">
      <alignment wrapText="1"/>
    </xf>
    <xf numFmtId="165" fontId="8" fillId="0" borderId="23" xfId="15" applyNumberFormat="1" applyFont="1" applyBorder="1" applyAlignment="1">
      <alignment horizontal="right"/>
    </xf>
    <xf numFmtId="0" fontId="7" fillId="0" borderId="23" xfId="5" applyFont="1" applyBorder="1" applyAlignment="1">
      <alignment wrapText="1"/>
    </xf>
    <xf numFmtId="165" fontId="14" fillId="0" borderId="23" xfId="0" applyNumberFormat="1" applyFont="1" applyBorder="1"/>
    <xf numFmtId="165" fontId="7" fillId="2" borderId="23" xfId="5" applyNumberFormat="1" applyFont="1" applyFill="1" applyBorder="1" applyAlignment="1">
      <alignment horizontal="right"/>
    </xf>
    <xf numFmtId="165" fontId="7" fillId="4" borderId="23" xfId="5" applyNumberFormat="1" applyFont="1" applyFill="1" applyBorder="1" applyAlignment="1">
      <alignment horizontal="right"/>
    </xf>
    <xf numFmtId="165" fontId="7" fillId="0" borderId="23" xfId="5" applyNumberFormat="1" applyFont="1" applyBorder="1"/>
    <xf numFmtId="165" fontId="7" fillId="0" borderId="23" xfId="15" applyNumberFormat="1" applyFont="1" applyBorder="1" applyAlignment="1">
      <alignment horizontal="right"/>
    </xf>
    <xf numFmtId="165" fontId="12" fillId="4" borderId="0" xfId="5" applyNumberFormat="1" applyFont="1" applyFill="1" applyAlignment="1">
      <alignment horizontal="right"/>
    </xf>
    <xf numFmtId="165" fontId="12" fillId="0" borderId="0" xfId="5" applyNumberFormat="1" applyFont="1"/>
    <xf numFmtId="0" fontId="7" fillId="0" borderId="23" xfId="5" quotePrefix="1" applyFont="1" applyBorder="1" applyAlignment="1">
      <alignment horizontal="center"/>
    </xf>
    <xf numFmtId="0" fontId="7" fillId="0" borderId="23" xfId="5" applyFont="1" applyBorder="1" applyAlignment="1">
      <alignment horizontal="center"/>
    </xf>
    <xf numFmtId="1" fontId="7" fillId="0" borderId="3" xfId="5" applyNumberFormat="1" applyFont="1" applyBorder="1" applyAlignment="1">
      <alignment horizontal="center"/>
    </xf>
    <xf numFmtId="1" fontId="7" fillId="0" borderId="23" xfId="5" applyNumberFormat="1" applyFont="1" applyBorder="1" applyAlignment="1">
      <alignment horizontal="center"/>
    </xf>
    <xf numFmtId="165" fontId="8" fillId="0" borderId="23" xfId="5" applyNumberFormat="1" applyFont="1" applyBorder="1"/>
    <xf numFmtId="167" fontId="8" fillId="0" borderId="23" xfId="19" applyNumberFormat="1" applyFont="1" applyBorder="1" applyAlignment="1">
      <alignment horizontal="right"/>
    </xf>
    <xf numFmtId="167" fontId="8" fillId="0" borderId="52" xfId="19" applyNumberFormat="1" applyFont="1" applyBorder="1" applyAlignment="1">
      <alignment horizontal="right"/>
    </xf>
    <xf numFmtId="167" fontId="7" fillId="0" borderId="23" xfId="19" applyNumberFormat="1" applyFont="1" applyBorder="1" applyAlignment="1">
      <alignment horizontal="right"/>
    </xf>
    <xf numFmtId="167" fontId="7" fillId="0" borderId="52" xfId="19" applyNumberFormat="1" applyFont="1" applyBorder="1" applyAlignment="1">
      <alignment horizontal="right"/>
    </xf>
    <xf numFmtId="0" fontId="15" fillId="0" borderId="0" xfId="5" applyFont="1"/>
    <xf numFmtId="165" fontId="7" fillId="0" borderId="0" xfId="15" applyNumberFormat="1" applyFont="1" applyAlignment="1">
      <alignment horizontal="right"/>
    </xf>
    <xf numFmtId="167" fontId="32" fillId="0" borderId="0" xfId="19" applyNumberFormat="1" applyFont="1" applyAlignment="1">
      <alignment horizontal="right"/>
    </xf>
    <xf numFmtId="0" fontId="15" fillId="0" borderId="23" xfId="5" applyFont="1" applyBorder="1"/>
    <xf numFmtId="1" fontId="7" fillId="0" borderId="23" xfId="15" applyNumberFormat="1" applyFont="1" applyBorder="1" applyAlignment="1">
      <alignment horizontal="right"/>
    </xf>
    <xf numFmtId="0" fontId="1" fillId="0" borderId="0" xfId="2" applyFont="1" applyAlignment="1" applyProtection="1">
      <alignment vertical="top"/>
      <protection locked="0"/>
    </xf>
    <xf numFmtId="0" fontId="5" fillId="0" borderId="0" xfId="2" applyFont="1" applyAlignment="1" applyProtection="1">
      <alignment vertical="top"/>
      <protection locked="0"/>
    </xf>
    <xf numFmtId="0" fontId="1" fillId="0" borderId="0" xfId="2" applyFont="1" applyAlignment="1">
      <alignment vertical="top" wrapText="1"/>
    </xf>
    <xf numFmtId="0" fontId="4" fillId="0" borderId="0" xfId="2" applyAlignment="1" applyProtection="1">
      <alignment vertical="top"/>
      <protection locked="0"/>
    </xf>
    <xf numFmtId="0" fontId="7" fillId="0" borderId="1" xfId="2" applyFont="1" applyBorder="1"/>
    <xf numFmtId="0" fontId="7" fillId="0" borderId="53" xfId="2" applyFont="1" applyBorder="1" applyAlignment="1">
      <alignment horizontal="right"/>
    </xf>
    <xf numFmtId="0" fontId="7" fillId="0" borderId="54" xfId="2" applyFont="1" applyBorder="1" applyAlignment="1">
      <alignment horizontal="right"/>
    </xf>
    <xf numFmtId="49" fontId="7" fillId="0" borderId="54" xfId="2" applyNumberFormat="1" applyFont="1" applyBorder="1" applyAlignment="1">
      <alignment horizontal="right"/>
    </xf>
    <xf numFmtId="49" fontId="7" fillId="0" borderId="55" xfId="2" applyNumberFormat="1" applyFont="1" applyBorder="1" applyAlignment="1">
      <alignment horizontal="right"/>
    </xf>
    <xf numFmtId="49" fontId="7" fillId="0" borderId="56" xfId="2" applyNumberFormat="1" applyFont="1" applyBorder="1" applyAlignment="1">
      <alignment horizontal="right"/>
    </xf>
    <xf numFmtId="0" fontId="8" fillId="0" borderId="15" xfId="20" applyFont="1" applyBorder="1"/>
    <xf numFmtId="184" fontId="8" fillId="0" borderId="0" xfId="2" applyNumberFormat="1" applyFont="1"/>
    <xf numFmtId="173" fontId="8" fillId="0" borderId="0" xfId="14" applyNumberFormat="1" applyFont="1" applyFill="1" applyBorder="1" applyProtection="1"/>
    <xf numFmtId="173" fontId="8" fillId="0" borderId="0" xfId="14" applyNumberFormat="1" applyFont="1" applyFill="1" applyBorder="1" applyProtection="1">
      <protection locked="0"/>
    </xf>
    <xf numFmtId="173" fontId="1" fillId="0" borderId="0" xfId="2" applyNumberFormat="1" applyFont="1" applyProtection="1">
      <protection locked="0"/>
    </xf>
    <xf numFmtId="0" fontId="8" fillId="0" borderId="0" xfId="2" applyFont="1" applyAlignment="1" applyProtection="1">
      <alignment vertical="top"/>
      <protection locked="0"/>
    </xf>
    <xf numFmtId="0" fontId="8" fillId="0" borderId="0" xfId="2" applyFont="1" applyAlignment="1">
      <alignment vertical="top"/>
    </xf>
    <xf numFmtId="0" fontId="7" fillId="0" borderId="28" xfId="2" applyFont="1" applyBorder="1" applyAlignment="1" applyProtection="1">
      <alignment horizontal="left" vertical="center" wrapText="1"/>
      <protection locked="0"/>
    </xf>
    <xf numFmtId="0" fontId="7" fillId="0" borderId="53" xfId="2" applyFont="1" applyBorder="1" applyAlignment="1" applyProtection="1">
      <alignment horizontal="right" vertical="top" wrapText="1"/>
      <protection locked="0"/>
    </xf>
    <xf numFmtId="0" fontId="7" fillId="0" borderId="54" xfId="2" applyFont="1" applyBorder="1" applyAlignment="1" applyProtection="1">
      <alignment horizontal="right" vertical="top" wrapText="1"/>
      <protection locked="0"/>
    </xf>
    <xf numFmtId="0" fontId="7" fillId="0" borderId="56" xfId="2" applyFont="1" applyBorder="1" applyAlignment="1" applyProtection="1">
      <alignment horizontal="right" vertical="top" wrapText="1"/>
      <protection locked="0"/>
    </xf>
    <xf numFmtId="173" fontId="8" fillId="0" borderId="0" xfId="2" applyNumberFormat="1" applyFont="1" applyProtection="1">
      <protection locked="0"/>
    </xf>
    <xf numFmtId="0" fontId="8" fillId="0" borderId="15" xfId="2" applyFont="1" applyBorder="1" applyAlignment="1" applyProtection="1">
      <alignment horizontal="left"/>
      <protection locked="0"/>
    </xf>
    <xf numFmtId="185" fontId="8" fillId="0" borderId="15" xfId="2" applyNumberFormat="1" applyFont="1" applyBorder="1" applyAlignment="1" applyProtection="1">
      <alignment horizontal="left"/>
      <protection locked="0"/>
    </xf>
    <xf numFmtId="185" fontId="8" fillId="0" borderId="5" xfId="2" applyNumberFormat="1" applyFont="1" applyBorder="1" applyAlignment="1" applyProtection="1">
      <alignment horizontal="left"/>
      <protection locked="0"/>
    </xf>
    <xf numFmtId="185" fontId="8" fillId="0" borderId="23" xfId="2" applyNumberFormat="1" applyFont="1" applyBorder="1" applyProtection="1">
      <protection locked="0"/>
    </xf>
    <xf numFmtId="0" fontId="7" fillId="0" borderId="53" xfId="2" applyFont="1" applyBorder="1" applyAlignment="1" applyProtection="1">
      <alignment horizontal="right" vertical="center" wrapText="1"/>
      <protection locked="0"/>
    </xf>
    <xf numFmtId="0" fontId="7" fillId="0" borderId="54" xfId="2" applyFont="1" applyBorder="1" applyAlignment="1" applyProtection="1">
      <alignment horizontal="right" vertical="center" wrapText="1"/>
      <protection locked="0"/>
    </xf>
    <xf numFmtId="0" fontId="7" fillId="0" borderId="56" xfId="2" applyFont="1" applyBorder="1" applyAlignment="1" applyProtection="1">
      <alignment horizontal="right" vertical="center" wrapText="1"/>
      <protection locked="0"/>
    </xf>
    <xf numFmtId="185" fontId="8" fillId="0" borderId="58" xfId="2" applyNumberFormat="1" applyFont="1" applyBorder="1" applyAlignment="1" applyProtection="1">
      <alignment horizontal="right"/>
      <protection locked="0"/>
    </xf>
    <xf numFmtId="185" fontId="8" fillId="0" borderId="41" xfId="2" applyNumberFormat="1" applyFont="1" applyBorder="1" applyAlignment="1" applyProtection="1">
      <alignment horizontal="right"/>
      <protection locked="0"/>
    </xf>
    <xf numFmtId="186" fontId="8" fillId="0" borderId="41" xfId="2" applyNumberFormat="1" applyFont="1" applyBorder="1" applyAlignment="1" applyProtection="1">
      <alignment horizontal="right"/>
      <protection locked="0"/>
    </xf>
    <xf numFmtId="0" fontId="8" fillId="0" borderId="27" xfId="2" applyFont="1" applyBorder="1" applyAlignment="1" applyProtection="1">
      <alignment horizontal="left"/>
      <protection locked="0"/>
    </xf>
    <xf numFmtId="185" fontId="8" fillId="0" borderId="59" xfId="2" applyNumberFormat="1" applyFont="1" applyBorder="1" applyAlignment="1" applyProtection="1">
      <alignment horizontal="right"/>
      <protection locked="0"/>
    </xf>
    <xf numFmtId="185" fontId="8" fillId="0" borderId="60" xfId="2" applyNumberFormat="1" applyFont="1" applyBorder="1" applyAlignment="1" applyProtection="1">
      <alignment horizontal="right"/>
      <protection locked="0"/>
    </xf>
    <xf numFmtId="186" fontId="8" fillId="0" borderId="60" xfId="2" applyNumberFormat="1" applyFont="1" applyBorder="1" applyAlignment="1" applyProtection="1">
      <alignment horizontal="right"/>
      <protection locked="0"/>
    </xf>
    <xf numFmtId="0" fontId="7" fillId="0" borderId="5" xfId="2" applyFont="1" applyBorder="1" applyAlignment="1" applyProtection="1">
      <alignment horizontal="left"/>
      <protection locked="0"/>
    </xf>
    <xf numFmtId="0" fontId="7" fillId="0" borderId="0" xfId="2" applyFont="1" applyAlignment="1" applyProtection="1">
      <alignment horizontal="right"/>
      <protection locked="0"/>
    </xf>
    <xf numFmtId="0" fontId="5" fillId="0" borderId="0" xfId="2" applyFont="1" applyAlignment="1" applyProtection="1">
      <alignment vertical="top" wrapText="1"/>
      <protection locked="0"/>
    </xf>
    <xf numFmtId="0" fontId="4" fillId="0" borderId="0" xfId="2" applyAlignment="1">
      <alignment horizontal="right"/>
    </xf>
    <xf numFmtId="0" fontId="13" fillId="0" borderId="0" xfId="2" applyFont="1" applyAlignment="1">
      <alignment vertical="top"/>
    </xf>
    <xf numFmtId="0" fontId="7" fillId="0" borderId="0" xfId="2" applyFont="1" applyAlignment="1">
      <alignment horizontal="left" wrapText="1"/>
    </xf>
    <xf numFmtId="0" fontId="7" fillId="0" borderId="0" xfId="2" applyFont="1" applyAlignment="1">
      <alignment horizontal="right" wrapText="1"/>
    </xf>
    <xf numFmtId="17" fontId="7" fillId="0" borderId="61" xfId="2" quotePrefix="1" applyNumberFormat="1" applyFont="1" applyBorder="1" applyAlignment="1">
      <alignment horizontal="right"/>
    </xf>
    <xf numFmtId="3" fontId="8" fillId="0" borderId="6" xfId="2" applyNumberFormat="1" applyFont="1" applyBorder="1" applyAlignment="1">
      <alignment horizontal="right"/>
    </xf>
    <xf numFmtId="0" fontId="7" fillId="0" borderId="0" xfId="2" applyFont="1" applyAlignment="1">
      <alignment vertical="top"/>
    </xf>
    <xf numFmtId="3" fontId="7" fillId="0" borderId="0" xfId="2" applyNumberFormat="1" applyFont="1" applyAlignment="1">
      <alignment horizontal="right"/>
    </xf>
    <xf numFmtId="0" fontId="4" fillId="0" borderId="0" xfId="3" applyAlignment="1">
      <alignment horizontal="left" vertical="top" wrapText="1"/>
    </xf>
    <xf numFmtId="0" fontId="6" fillId="3" borderId="0" xfId="2" applyFont="1" applyFill="1" applyAlignment="1" applyProtection="1">
      <alignment horizontal="left" vertical="top"/>
      <protection locked="0"/>
    </xf>
    <xf numFmtId="0" fontId="1" fillId="3" borderId="0" xfId="2" applyFont="1" applyFill="1" applyProtection="1">
      <protection locked="0"/>
    </xf>
    <xf numFmtId="0" fontId="8" fillId="13" borderId="0" xfId="2" applyFont="1" applyFill="1" applyProtection="1">
      <protection locked="0"/>
    </xf>
    <xf numFmtId="0" fontId="5" fillId="0" borderId="23" xfId="3" applyFont="1" applyBorder="1" applyAlignment="1" applyProtection="1">
      <alignment horizontal="right" vertical="top"/>
      <protection locked="0"/>
    </xf>
    <xf numFmtId="0" fontId="7" fillId="2" borderId="23" xfId="3" applyFont="1" applyFill="1" applyBorder="1" applyProtection="1">
      <protection locked="0"/>
    </xf>
    <xf numFmtId="0" fontId="7" fillId="0" borderId="23" xfId="3" applyFont="1" applyBorder="1" applyProtection="1">
      <protection locked="0"/>
    </xf>
    <xf numFmtId="0" fontId="23" fillId="2" borderId="23" xfId="0" applyFont="1" applyFill="1" applyBorder="1" applyAlignment="1">
      <alignment wrapText="1"/>
    </xf>
    <xf numFmtId="0" fontId="11" fillId="2" borderId="23" xfId="0" applyFont="1" applyFill="1" applyBorder="1"/>
    <xf numFmtId="165" fontId="11" fillId="2" borderId="23" xfId="0" applyNumberFormat="1" applyFont="1" applyFill="1" applyBorder="1"/>
    <xf numFmtId="165" fontId="11" fillId="0" borderId="23" xfId="0" applyNumberFormat="1" applyFont="1" applyBorder="1"/>
    <xf numFmtId="170" fontId="8" fillId="0" borderId="41" xfId="2" applyNumberFormat="1" applyFont="1" applyBorder="1" applyAlignment="1" applyProtection="1">
      <alignment horizontal="right"/>
      <protection locked="0"/>
    </xf>
    <xf numFmtId="170" fontId="8" fillId="0" borderId="60" xfId="2" applyNumberFormat="1" applyFont="1" applyBorder="1" applyAlignment="1" applyProtection="1">
      <alignment horizontal="right"/>
      <protection locked="0"/>
    </xf>
    <xf numFmtId="0" fontId="4" fillId="0" borderId="0" xfId="2" applyAlignment="1">
      <alignment horizontal="left" vertical="top" wrapText="1"/>
    </xf>
    <xf numFmtId="0" fontId="4" fillId="0" borderId="0" xfId="3" applyAlignment="1" applyProtection="1">
      <alignment horizontal="left" vertical="top"/>
      <protection locked="0"/>
    </xf>
    <xf numFmtId="0" fontId="64" fillId="0" borderId="0" xfId="0" applyFont="1" applyAlignment="1">
      <alignment horizontal="left" vertical="top" wrapText="1"/>
    </xf>
    <xf numFmtId="165" fontId="33" fillId="0" borderId="6" xfId="2" applyNumberFormat="1" applyFont="1" applyBorder="1" applyProtection="1">
      <protection locked="0"/>
    </xf>
    <xf numFmtId="0" fontId="4" fillId="0" borderId="0" xfId="3" applyAlignment="1" applyProtection="1">
      <alignment horizontal="left" vertical="top" wrapText="1"/>
      <protection locked="0"/>
    </xf>
    <xf numFmtId="17" fontId="4" fillId="2" borderId="0" xfId="2" applyNumberFormat="1" applyFill="1" applyAlignment="1">
      <alignment horizontal="right" vertical="top" wrapText="1"/>
    </xf>
    <xf numFmtId="170" fontId="11" fillId="0" borderId="18" xfId="1" applyNumberFormat="1" applyFont="1" applyFill="1" applyBorder="1" applyProtection="1"/>
    <xf numFmtId="170" fontId="11" fillId="0" borderId="18" xfId="17" applyNumberFormat="1" applyFont="1" applyFill="1" applyBorder="1" applyProtection="1"/>
    <xf numFmtId="0" fontId="4" fillId="0" borderId="0" xfId="5" applyAlignment="1">
      <alignment horizontal="left" vertical="top" wrapText="1"/>
    </xf>
    <xf numFmtId="165" fontId="8" fillId="2" borderId="0" xfId="0" applyNumberFormat="1" applyFont="1" applyFill="1"/>
    <xf numFmtId="165" fontId="28" fillId="2" borderId="0" xfId="0" applyNumberFormat="1" applyFont="1" applyFill="1"/>
    <xf numFmtId="165" fontId="28" fillId="2" borderId="16" xfId="0" applyNumberFormat="1" applyFont="1" applyFill="1" applyBorder="1"/>
    <xf numFmtId="165" fontId="28" fillId="2" borderId="0" xfId="2" applyNumberFormat="1" applyFont="1" applyFill="1"/>
    <xf numFmtId="165" fontId="8" fillId="2" borderId="6" xfId="2" applyNumberFormat="1" applyFont="1" applyFill="1" applyBorder="1" applyAlignment="1">
      <alignment wrapText="1"/>
    </xf>
    <xf numFmtId="173" fontId="7" fillId="2" borderId="0" xfId="14" quotePrefix="1" applyNumberFormat="1" applyFont="1" applyFill="1" applyBorder="1" applyAlignment="1">
      <alignment horizontal="right"/>
    </xf>
    <xf numFmtId="0" fontId="4" fillId="0" borderId="0" xfId="3" applyAlignment="1">
      <alignment vertical="top" wrapText="1"/>
    </xf>
    <xf numFmtId="0" fontId="7" fillId="0" borderId="6" xfId="2" applyFont="1" applyBorder="1" applyAlignment="1">
      <alignment horizontal="left"/>
    </xf>
    <xf numFmtId="0" fontId="4" fillId="0" borderId="6" xfId="2" applyBorder="1" applyAlignment="1">
      <alignment horizontal="right"/>
    </xf>
    <xf numFmtId="173" fontId="8" fillId="0" borderId="0" xfId="14" applyNumberFormat="1" applyFont="1" applyFill="1" applyBorder="1" applyAlignment="1" applyProtection="1">
      <alignment horizontal="right"/>
    </xf>
    <xf numFmtId="173" fontId="8" fillId="0" borderId="0" xfId="23" applyNumberFormat="1" applyFont="1" applyFill="1" applyBorder="1" applyAlignment="1" applyProtection="1">
      <alignment horizontal="right"/>
    </xf>
    <xf numFmtId="173" fontId="8" fillId="0" borderId="16" xfId="23" applyNumberFormat="1" applyFont="1" applyFill="1" applyBorder="1" applyAlignment="1" applyProtection="1">
      <alignment horizontal="right"/>
    </xf>
    <xf numFmtId="184" fontId="5" fillId="0" borderId="0" xfId="2" applyNumberFormat="1" applyFont="1" applyAlignment="1">
      <alignment vertical="top"/>
    </xf>
    <xf numFmtId="184" fontId="1" fillId="0" borderId="0" xfId="2" applyNumberFormat="1" applyFont="1"/>
    <xf numFmtId="184" fontId="1" fillId="0" borderId="19" xfId="2" applyNumberFormat="1" applyFont="1" applyBorder="1"/>
    <xf numFmtId="9" fontId="22" fillId="0" borderId="0" xfId="24" applyFont="1" applyFill="1" applyBorder="1" applyAlignment="1">
      <alignment vertical="top"/>
    </xf>
    <xf numFmtId="9" fontId="8" fillId="0" borderId="0" xfId="24" applyFont="1" applyFill="1" applyBorder="1" applyAlignment="1">
      <alignment vertical="top"/>
    </xf>
    <xf numFmtId="9" fontId="8" fillId="0" borderId="15" xfId="24" applyFont="1" applyFill="1" applyBorder="1"/>
    <xf numFmtId="170" fontId="8" fillId="0" borderId="0" xfId="24" applyNumberFormat="1" applyFont="1" applyFill="1" applyBorder="1" applyAlignment="1">
      <alignment horizontal="right"/>
    </xf>
    <xf numFmtId="170" fontId="8" fillId="0" borderId="16" xfId="24" applyNumberFormat="1" applyFont="1" applyFill="1" applyBorder="1" applyAlignment="1">
      <alignment horizontal="right"/>
    </xf>
    <xf numFmtId="9" fontId="4" fillId="0" borderId="0" xfId="24" applyFont="1" applyFill="1" applyBorder="1"/>
    <xf numFmtId="173" fontId="8" fillId="0" borderId="6" xfId="14" applyNumberFormat="1" applyFont="1" applyFill="1" applyBorder="1" applyAlignment="1" applyProtection="1">
      <alignment horizontal="right"/>
    </xf>
    <xf numFmtId="191" fontId="8" fillId="0" borderId="0" xfId="2" applyNumberFormat="1" applyFont="1" applyAlignment="1">
      <alignment horizontal="right"/>
    </xf>
    <xf numFmtId="191" fontId="8" fillId="0" borderId="0" xfId="2" applyNumberFormat="1" applyFont="1"/>
    <xf numFmtId="184" fontId="8" fillId="0" borderId="0" xfId="2" applyNumberFormat="1" applyFont="1" applyAlignment="1">
      <alignment vertical="top"/>
    </xf>
    <xf numFmtId="0" fontId="12" fillId="0" borderId="0" xfId="2" applyFont="1" applyAlignment="1">
      <alignment horizontal="center"/>
    </xf>
    <xf numFmtId="173" fontId="12" fillId="0" borderId="0" xfId="2" applyNumberFormat="1" applyFont="1" applyAlignment="1">
      <alignment horizontal="center"/>
    </xf>
    <xf numFmtId="0" fontId="7" fillId="0" borderId="6" xfId="2" applyFont="1" applyBorder="1" applyAlignment="1">
      <alignment horizontal="right"/>
    </xf>
    <xf numFmtId="184" fontId="1" fillId="0" borderId="6" xfId="2" applyNumberFormat="1" applyFont="1" applyBorder="1" applyAlignment="1">
      <alignment horizontal="right"/>
    </xf>
    <xf numFmtId="0" fontId="7" fillId="0" borderId="5" xfId="2" applyFont="1" applyBorder="1"/>
    <xf numFmtId="184" fontId="0" fillId="0" borderId="6" xfId="2" applyNumberFormat="1" applyFont="1" applyBorder="1" applyAlignment="1">
      <alignment horizontal="right"/>
    </xf>
    <xf numFmtId="184" fontId="0" fillId="0" borderId="0" xfId="2" applyNumberFormat="1" applyFont="1"/>
    <xf numFmtId="184" fontId="0" fillId="0" borderId="0" xfId="2" applyNumberFormat="1" applyFont="1" applyAlignment="1">
      <alignment horizontal="right"/>
    </xf>
    <xf numFmtId="184" fontId="0" fillId="0" borderId="6" xfId="2" applyNumberFormat="1" applyFont="1" applyBorder="1"/>
    <xf numFmtId="184" fontId="5" fillId="0" borderId="0" xfId="2" applyNumberFormat="1" applyFont="1" applyAlignment="1">
      <alignment vertical="top" wrapText="1"/>
    </xf>
    <xf numFmtId="184" fontId="7" fillId="0" borderId="0" xfId="2" applyNumberFormat="1" applyFont="1" applyAlignment="1">
      <alignment vertical="top" wrapText="1"/>
    </xf>
    <xf numFmtId="0" fontId="7" fillId="0" borderId="4" xfId="2" applyFont="1" applyBorder="1" applyAlignment="1">
      <alignment vertical="top" wrapText="1"/>
    </xf>
    <xf numFmtId="0" fontId="7" fillId="0" borderId="47" xfId="2" applyFont="1" applyBorder="1" applyAlignment="1">
      <alignment horizontal="center" vertical="top" wrapText="1"/>
    </xf>
    <xf numFmtId="0" fontId="7" fillId="0" borderId="0" xfId="2" applyFont="1" applyAlignment="1">
      <alignment horizontal="center" vertical="top" wrapText="1"/>
    </xf>
    <xf numFmtId="0" fontId="7" fillId="0" borderId="18" xfId="2" applyFont="1" applyBorder="1" applyAlignment="1">
      <alignment horizontal="center" vertical="top" wrapText="1"/>
    </xf>
    <xf numFmtId="0" fontId="7" fillId="0" borderId="42" xfId="2" applyFont="1" applyBorder="1" applyAlignment="1">
      <alignment horizontal="center" vertical="top" wrapText="1"/>
    </xf>
    <xf numFmtId="0" fontId="7" fillId="0" borderId="49" xfId="2" applyFont="1" applyBorder="1" applyAlignment="1">
      <alignment horizontal="center" vertical="top" wrapText="1"/>
    </xf>
    <xf numFmtId="0" fontId="7" fillId="0" borderId="41" xfId="2" applyFont="1" applyBorder="1" applyAlignment="1">
      <alignment horizontal="center" vertical="top" wrapText="1"/>
    </xf>
    <xf numFmtId="0" fontId="7" fillId="0" borderId="48" xfId="2" applyFont="1" applyBorder="1" applyAlignment="1">
      <alignment horizontal="center" vertical="top" wrapText="1"/>
    </xf>
    <xf numFmtId="0" fontId="7" fillId="0" borderId="4" xfId="2" applyFont="1" applyBorder="1" applyAlignment="1">
      <alignment horizontal="center" vertical="top" wrapText="1"/>
    </xf>
    <xf numFmtId="184" fontId="15" fillId="0" borderId="0" xfId="2" applyNumberFormat="1" applyFont="1" applyAlignment="1">
      <alignment vertical="top" wrapText="1"/>
    </xf>
    <xf numFmtId="185" fontId="8" fillId="0" borderId="18" xfId="2" applyNumberFormat="1" applyFont="1" applyBorder="1" applyAlignment="1">
      <alignment horizontal="right"/>
    </xf>
    <xf numFmtId="185" fontId="8" fillId="0" borderId="41" xfId="2" applyNumberFormat="1" applyFont="1" applyBorder="1" applyAlignment="1">
      <alignment horizontal="right"/>
    </xf>
    <xf numFmtId="185" fontId="8" fillId="0" borderId="0" xfId="2" applyNumberFormat="1" applyFont="1" applyAlignment="1">
      <alignment horizontal="right"/>
    </xf>
    <xf numFmtId="185" fontId="8" fillId="0" borderId="22" xfId="2" applyNumberFormat="1" applyFont="1" applyBorder="1" applyAlignment="1">
      <alignment horizontal="right"/>
    </xf>
    <xf numFmtId="173" fontId="8" fillId="0" borderId="43" xfId="14" applyNumberFormat="1" applyFont="1" applyFill="1" applyBorder="1" applyAlignment="1" applyProtection="1">
      <alignment horizontal="right"/>
    </xf>
    <xf numFmtId="185" fontId="8" fillId="0" borderId="6" xfId="2" applyNumberFormat="1" applyFont="1" applyBorder="1" applyAlignment="1">
      <alignment horizontal="right"/>
    </xf>
    <xf numFmtId="173" fontId="8" fillId="0" borderId="46" xfId="14" applyNumberFormat="1" applyFont="1" applyFill="1" applyBorder="1" applyAlignment="1" applyProtection="1">
      <alignment horizontal="right"/>
    </xf>
    <xf numFmtId="185" fontId="8" fillId="0" borderId="50" xfId="2" applyNumberFormat="1" applyFont="1" applyBorder="1" applyAlignment="1">
      <alignment horizontal="right"/>
    </xf>
    <xf numFmtId="0" fontId="52" fillId="0" borderId="4" xfId="2" applyFont="1" applyBorder="1"/>
    <xf numFmtId="185" fontId="8" fillId="0" borderId="42" xfId="2" applyNumberFormat="1" applyFont="1" applyBorder="1" applyAlignment="1">
      <alignment horizontal="right"/>
    </xf>
    <xf numFmtId="185" fontId="8" fillId="0" borderId="49" xfId="2" applyNumberFormat="1" applyFont="1" applyBorder="1" applyAlignment="1">
      <alignment horizontal="right"/>
    </xf>
    <xf numFmtId="173" fontId="52" fillId="0" borderId="0" xfId="14" applyNumberFormat="1" applyFont="1" applyFill="1" applyBorder="1" applyAlignment="1" applyProtection="1">
      <alignment horizontal="right"/>
    </xf>
    <xf numFmtId="185" fontId="8" fillId="0" borderId="21" xfId="2" applyNumberFormat="1" applyFont="1" applyBorder="1" applyAlignment="1">
      <alignment horizontal="right"/>
    </xf>
    <xf numFmtId="0" fontId="52" fillId="0" borderId="5" xfId="2" applyFont="1" applyBorder="1"/>
    <xf numFmtId="185" fontId="52" fillId="0" borderId="6" xfId="2" applyNumberFormat="1" applyFont="1" applyBorder="1" applyAlignment="1">
      <alignment horizontal="right"/>
    </xf>
    <xf numFmtId="173" fontId="52" fillId="0" borderId="6" xfId="14" applyNumberFormat="1" applyFont="1" applyFill="1" applyBorder="1" applyAlignment="1" applyProtection="1">
      <alignment horizontal="right"/>
    </xf>
    <xf numFmtId="185" fontId="8" fillId="0" borderId="17" xfId="2" applyNumberFormat="1" applyFont="1" applyBorder="1" applyAlignment="1">
      <alignment horizontal="right"/>
    </xf>
    <xf numFmtId="173" fontId="8" fillId="0" borderId="5" xfId="14" applyNumberFormat="1" applyFont="1" applyFill="1" applyBorder="1" applyAlignment="1" applyProtection="1">
      <alignment horizontal="right"/>
    </xf>
    <xf numFmtId="185" fontId="8" fillId="0" borderId="43" xfId="2" applyNumberFormat="1" applyFont="1" applyBorder="1" applyAlignment="1">
      <alignment horizontal="right"/>
    </xf>
    <xf numFmtId="184" fontId="8" fillId="0" borderId="18" xfId="2" applyNumberFormat="1" applyFont="1" applyBorder="1" applyAlignment="1">
      <alignment horizontal="right"/>
    </xf>
    <xf numFmtId="184" fontId="8" fillId="0" borderId="0" xfId="2" applyNumberFormat="1" applyFont="1" applyAlignment="1">
      <alignment horizontal="right"/>
    </xf>
    <xf numFmtId="185" fontId="8" fillId="0" borderId="45" xfId="2" applyNumberFormat="1" applyFont="1" applyBorder="1" applyAlignment="1">
      <alignment horizontal="right"/>
    </xf>
    <xf numFmtId="185" fontId="8" fillId="0" borderId="44" xfId="2" applyNumberFormat="1" applyFont="1" applyBorder="1" applyAlignment="1">
      <alignment horizontal="right"/>
    </xf>
    <xf numFmtId="185" fontId="8" fillId="0" borderId="46" xfId="2" applyNumberFormat="1" applyFont="1" applyBorder="1" applyAlignment="1">
      <alignment horizontal="right"/>
    </xf>
    <xf numFmtId="173" fontId="8" fillId="0" borderId="63" xfId="14" applyNumberFormat="1" applyFont="1" applyFill="1" applyBorder="1" applyAlignment="1" applyProtection="1">
      <alignment horizontal="right"/>
    </xf>
    <xf numFmtId="185" fontId="8" fillId="0" borderId="39" xfId="2" applyNumberFormat="1" applyFont="1" applyBorder="1" applyAlignment="1">
      <alignment horizontal="right"/>
    </xf>
    <xf numFmtId="185" fontId="8" fillId="0" borderId="2" xfId="2" applyNumberFormat="1" applyFont="1" applyBorder="1" applyAlignment="1">
      <alignment horizontal="right"/>
    </xf>
    <xf numFmtId="0" fontId="1" fillId="0" borderId="15" xfId="2" applyFont="1" applyBorder="1"/>
    <xf numFmtId="170" fontId="8" fillId="0" borderId="0" xfId="24" applyNumberFormat="1" applyFont="1" applyFill="1" applyBorder="1" applyAlignment="1"/>
    <xf numFmtId="185" fontId="4" fillId="0" borderId="0" xfId="15" applyNumberFormat="1"/>
    <xf numFmtId="173" fontId="4" fillId="0" borderId="0" xfId="15" applyNumberFormat="1"/>
    <xf numFmtId="3" fontId="4" fillId="0" borderId="0" xfId="15" applyNumberFormat="1"/>
    <xf numFmtId="185" fontId="8" fillId="0" borderId="47" xfId="2" applyNumberFormat="1" applyFont="1" applyBorder="1" applyAlignment="1">
      <alignment horizontal="right"/>
    </xf>
    <xf numFmtId="185" fontId="8" fillId="0" borderId="40" xfId="2" applyNumberFormat="1" applyFont="1" applyBorder="1" applyAlignment="1">
      <alignment horizontal="right"/>
    </xf>
    <xf numFmtId="173" fontId="8" fillId="0" borderId="2" xfId="14" applyNumberFormat="1" applyFont="1" applyFill="1" applyBorder="1" applyAlignment="1" applyProtection="1">
      <alignment horizontal="right"/>
    </xf>
    <xf numFmtId="185" fontId="8" fillId="0" borderId="38" xfId="2" applyNumberFormat="1" applyFont="1" applyBorder="1" applyAlignment="1">
      <alignment horizontal="right"/>
    </xf>
    <xf numFmtId="185" fontId="7" fillId="0" borderId="0" xfId="2" applyNumberFormat="1" applyFont="1" applyAlignment="1">
      <alignment horizontal="right"/>
    </xf>
    <xf numFmtId="0" fontId="7" fillId="0" borderId="64" xfId="2" applyFont="1" applyBorder="1"/>
    <xf numFmtId="185" fontId="8" fillId="0" borderId="3" xfId="2" applyNumberFormat="1" applyFont="1" applyBorder="1" applyAlignment="1">
      <alignment horizontal="right"/>
    </xf>
    <xf numFmtId="17" fontId="7" fillId="0" borderId="4" xfId="2" quotePrefix="1" applyNumberFormat="1" applyFont="1" applyBorder="1" applyAlignment="1">
      <alignment horizontal="right" wrapText="1"/>
    </xf>
    <xf numFmtId="3" fontId="11" fillId="0" borderId="0" xfId="2" applyNumberFormat="1" applyFont="1"/>
    <xf numFmtId="3" fontId="11" fillId="0" borderId="15" xfId="2" applyNumberFormat="1" applyFont="1" applyBorder="1"/>
    <xf numFmtId="3" fontId="11" fillId="0" borderId="0" xfId="0" applyNumberFormat="1" applyFont="1"/>
    <xf numFmtId="170" fontId="8" fillId="0" borderId="6" xfId="2" applyNumberFormat="1" applyFont="1" applyBorder="1" applyAlignment="1">
      <alignment horizontal="right"/>
    </xf>
    <xf numFmtId="170" fontId="11" fillId="0" borderId="6" xfId="2" applyNumberFormat="1" applyFont="1" applyBorder="1"/>
    <xf numFmtId="170" fontId="11" fillId="0" borderId="5" xfId="2" applyNumberFormat="1" applyFont="1" applyBorder="1"/>
    <xf numFmtId="0" fontId="7" fillId="0" borderId="0" xfId="2" applyFont="1" applyAlignment="1">
      <alignment horizontal="left"/>
    </xf>
    <xf numFmtId="184" fontId="1" fillId="0" borderId="0" xfId="2" applyNumberFormat="1" applyFont="1" applyAlignment="1">
      <alignment horizontal="right"/>
    </xf>
    <xf numFmtId="187" fontId="8" fillId="0" borderId="0" xfId="37" applyNumberFormat="1" applyFont="1" applyFill="1" applyBorder="1" applyAlignment="1" applyProtection="1">
      <alignment horizontal="right" vertical="center" shrinkToFit="1"/>
      <protection hidden="1"/>
    </xf>
    <xf numFmtId="0" fontId="7" fillId="0" borderId="0" xfId="2" applyFont="1" applyAlignment="1">
      <alignment vertical="top" wrapText="1"/>
    </xf>
    <xf numFmtId="0" fontId="7" fillId="0" borderId="0" xfId="2" quotePrefix="1" applyFont="1" applyAlignment="1">
      <alignment horizontal="center" vertical="top" wrapText="1"/>
    </xf>
    <xf numFmtId="191" fontId="8" fillId="0" borderId="0" xfId="24" applyNumberFormat="1" applyFont="1" applyFill="1" applyBorder="1"/>
    <xf numFmtId="191" fontId="8" fillId="0" borderId="0" xfId="24" applyNumberFormat="1" applyFont="1" applyFill="1" applyBorder="1" applyAlignment="1"/>
    <xf numFmtId="184" fontId="8" fillId="0" borderId="0" xfId="2" applyNumberFormat="1" applyFont="1" applyAlignment="1">
      <alignment vertical="top" wrapText="1"/>
    </xf>
    <xf numFmtId="170" fontId="8" fillId="0" borderId="0" xfId="24" applyNumberFormat="1" applyFont="1" applyFill="1" applyBorder="1"/>
    <xf numFmtId="17" fontId="7" fillId="0" borderId="0" xfId="2" applyNumberFormat="1" applyFont="1"/>
    <xf numFmtId="0" fontId="7" fillId="0" borderId="0" xfId="2" applyFont="1" applyAlignment="1">
      <alignment horizontal="center"/>
    </xf>
    <xf numFmtId="3" fontId="8" fillId="0" borderId="0" xfId="2" applyNumberFormat="1" applyFont="1" applyAlignment="1">
      <alignment horizontal="center"/>
    </xf>
    <xf numFmtId="170" fontId="8" fillId="0" borderId="0" xfId="24" applyNumberFormat="1" applyFont="1" applyFill="1" applyBorder="1" applyAlignment="1">
      <alignment horizontal="center"/>
    </xf>
    <xf numFmtId="184" fontId="8" fillId="0" borderId="0" xfId="2" applyNumberFormat="1" applyFont="1" applyAlignment="1">
      <alignment wrapText="1"/>
    </xf>
    <xf numFmtId="0" fontId="20" fillId="0" borderId="0" xfId="15" applyFont="1"/>
    <xf numFmtId="0" fontId="6" fillId="0" borderId="0" xfId="15" applyFont="1"/>
    <xf numFmtId="0" fontId="5" fillId="0" borderId="0" xfId="15" applyFont="1"/>
    <xf numFmtId="0" fontId="7" fillId="0" borderId="0" xfId="15" applyFont="1" applyAlignment="1">
      <alignment horizontal="left"/>
    </xf>
    <xf numFmtId="0" fontId="15" fillId="0" borderId="0" xfId="15" applyFont="1"/>
    <xf numFmtId="0" fontId="13" fillId="0" borderId="0" xfId="15" applyFont="1"/>
    <xf numFmtId="0" fontId="7" fillId="0" borderId="4" xfId="15" applyFont="1" applyBorder="1" applyAlignment="1">
      <alignment horizontal="left"/>
    </xf>
    <xf numFmtId="0" fontId="7" fillId="0" borderId="21" xfId="15" applyFont="1" applyBorder="1" applyAlignment="1">
      <alignment horizontal="right"/>
    </xf>
    <xf numFmtId="0" fontId="7" fillId="0" borderId="0" xfId="15" applyFont="1" applyAlignment="1">
      <alignment horizontal="right"/>
    </xf>
    <xf numFmtId="0" fontId="8" fillId="0" borderId="15" xfId="15" applyFont="1" applyBorder="1" applyAlignment="1">
      <alignment horizontal="left"/>
    </xf>
    <xf numFmtId="192" fontId="8" fillId="0" borderId="0" xfId="15" applyNumberFormat="1" applyFont="1" applyAlignment="1">
      <alignment horizontal="right"/>
    </xf>
    <xf numFmtId="192" fontId="8" fillId="0" borderId="16" xfId="15" applyNumberFormat="1" applyFont="1" applyBorder="1" applyAlignment="1">
      <alignment horizontal="right"/>
    </xf>
    <xf numFmtId="0" fontId="34" fillId="0" borderId="0" xfId="15" applyFont="1"/>
    <xf numFmtId="0" fontId="12" fillId="0" borderId="0" xfId="15" applyFont="1"/>
    <xf numFmtId="0" fontId="7" fillId="0" borderId="15" xfId="15" applyFont="1" applyBorder="1" applyAlignment="1">
      <alignment horizontal="left"/>
    </xf>
    <xf numFmtId="192" fontId="7" fillId="0" borderId="0" xfId="15" applyNumberFormat="1" applyFont="1" applyAlignment="1">
      <alignment horizontal="right"/>
    </xf>
    <xf numFmtId="192" fontId="7" fillId="0" borderId="16" xfId="15" applyNumberFormat="1" applyFont="1" applyBorder="1" applyAlignment="1">
      <alignment horizontal="right"/>
    </xf>
    <xf numFmtId="0" fontId="8" fillId="0" borderId="5" xfId="15" applyFont="1" applyBorder="1" applyAlignment="1">
      <alignment horizontal="left"/>
    </xf>
    <xf numFmtId="0" fontId="8" fillId="0" borderId="6" xfId="1" applyNumberFormat="1" applyFont="1" applyFill="1" applyBorder="1" applyAlignment="1">
      <alignment horizontal="right"/>
    </xf>
    <xf numFmtId="165" fontId="8" fillId="0" borderId="6" xfId="1" applyNumberFormat="1" applyFont="1" applyFill="1" applyBorder="1" applyAlignment="1">
      <alignment horizontal="right"/>
    </xf>
    <xf numFmtId="0" fontId="8" fillId="0" borderId="17" xfId="1" applyNumberFormat="1" applyFont="1" applyFill="1" applyBorder="1" applyAlignment="1">
      <alignment horizontal="right"/>
    </xf>
    <xf numFmtId="0" fontId="8" fillId="0" borderId="0" xfId="1" applyNumberFormat="1" applyFont="1" applyFill="1" applyBorder="1" applyAlignment="1">
      <alignment horizontal="right"/>
    </xf>
    <xf numFmtId="0" fontId="8" fillId="0" borderId="0" xfId="15" applyFont="1" applyAlignment="1">
      <alignment horizontal="left"/>
    </xf>
    <xf numFmtId="0" fontId="12" fillId="0" borderId="0" xfId="15" applyFont="1" applyAlignment="1">
      <alignment horizontal="left"/>
    </xf>
    <xf numFmtId="0" fontId="7" fillId="0" borderId="4" xfId="15" applyFont="1" applyBorder="1"/>
    <xf numFmtId="0" fontId="7" fillId="0" borderId="38" xfId="15" applyFont="1" applyBorder="1" applyAlignment="1">
      <alignment horizontal="right"/>
    </xf>
    <xf numFmtId="0" fontId="7" fillId="0" borderId="38" xfId="15" quotePrefix="1" applyFont="1" applyBorder="1" applyAlignment="1">
      <alignment horizontal="right"/>
    </xf>
    <xf numFmtId="0" fontId="7" fillId="0" borderId="40" xfId="15" quotePrefix="1" applyFont="1" applyBorder="1" applyAlignment="1">
      <alignment horizontal="right"/>
    </xf>
    <xf numFmtId="0" fontId="8" fillId="0" borderId="15" xfId="15" applyFont="1" applyBorder="1"/>
    <xf numFmtId="187" fontId="8" fillId="0" borderId="41" xfId="18" applyNumberFormat="1" applyFont="1" applyFill="1" applyBorder="1" applyAlignment="1">
      <alignment horizontal="right"/>
    </xf>
    <xf numFmtId="187" fontId="8" fillId="0" borderId="41" xfId="18" applyNumberFormat="1" applyFont="1" applyFill="1" applyBorder="1"/>
    <xf numFmtId="187" fontId="8" fillId="0" borderId="43" xfId="18" applyNumberFormat="1" applyFont="1" applyFill="1" applyBorder="1"/>
    <xf numFmtId="187" fontId="8" fillId="0" borderId="65" xfId="18" applyNumberFormat="1" applyFont="1" applyFill="1" applyBorder="1"/>
    <xf numFmtId="0" fontId="8" fillId="0" borderId="27" xfId="15" applyFont="1" applyBorder="1"/>
    <xf numFmtId="173" fontId="8" fillId="0" borderId="60" xfId="14" applyNumberFormat="1" applyFont="1" applyFill="1" applyBorder="1" applyAlignment="1" applyProtection="1">
      <alignment horizontal="right"/>
    </xf>
    <xf numFmtId="3" fontId="8" fillId="0" borderId="60" xfId="14" applyNumberFormat="1" applyFont="1" applyFill="1" applyBorder="1" applyAlignment="1" applyProtection="1">
      <alignment horizontal="right"/>
    </xf>
    <xf numFmtId="3" fontId="8" fillId="0" borderId="41" xfId="15" applyNumberFormat="1" applyFont="1" applyBorder="1"/>
    <xf numFmtId="3" fontId="8" fillId="0" borderId="66" xfId="15" applyNumberFormat="1" applyFont="1" applyBorder="1"/>
    <xf numFmtId="187" fontId="8" fillId="0" borderId="66" xfId="18" applyNumberFormat="1" applyFont="1" applyFill="1" applyBorder="1"/>
    <xf numFmtId="187" fontId="8" fillId="0" borderId="60" xfId="18" applyNumberFormat="1" applyFont="1" applyFill="1" applyBorder="1"/>
    <xf numFmtId="0" fontId="7" fillId="0" borderId="27" xfId="15" applyFont="1" applyBorder="1"/>
    <xf numFmtId="3" fontId="8" fillId="0" borderId="57" xfId="14" applyNumberFormat="1" applyFont="1" applyFill="1" applyBorder="1" applyAlignment="1" applyProtection="1">
      <alignment horizontal="right"/>
    </xf>
    <xf numFmtId="187" fontId="8" fillId="0" borderId="57" xfId="18" applyNumberFormat="1" applyFont="1" applyFill="1" applyBorder="1"/>
    <xf numFmtId="170" fontId="8" fillId="0" borderId="43" xfId="15" applyNumberFormat="1" applyFont="1" applyBorder="1"/>
    <xf numFmtId="165" fontId="8" fillId="0" borderId="43" xfId="15" applyNumberFormat="1" applyFont="1" applyBorder="1"/>
    <xf numFmtId="0" fontId="7" fillId="0" borderId="1" xfId="15" applyFont="1" applyBorder="1"/>
    <xf numFmtId="3" fontId="7" fillId="0" borderId="38" xfId="15" applyNumberFormat="1" applyFont="1" applyBorder="1" applyAlignment="1">
      <alignment horizontal="right"/>
    </xf>
    <xf numFmtId="3" fontId="7" fillId="0" borderId="40" xfId="15" applyNumberFormat="1" applyFont="1" applyBorder="1" applyAlignment="1">
      <alignment horizontal="right"/>
    </xf>
    <xf numFmtId="3" fontId="7" fillId="0" borderId="0" xfId="15" applyNumberFormat="1" applyFont="1" applyAlignment="1">
      <alignment horizontal="right"/>
    </xf>
    <xf numFmtId="0" fontId="8" fillId="0" borderId="0" xfId="15" applyFont="1" applyAlignment="1">
      <alignment horizontal="left" wrapText="1"/>
    </xf>
    <xf numFmtId="0" fontId="7" fillId="0" borderId="5" xfId="15" applyFont="1" applyBorder="1" applyAlignment="1">
      <alignment horizontal="left"/>
    </xf>
    <xf numFmtId="0" fontId="15" fillId="0" borderId="6" xfId="15" applyFont="1" applyBorder="1"/>
    <xf numFmtId="0" fontId="75" fillId="0" borderId="0" xfId="15" applyFont="1"/>
    <xf numFmtId="0" fontId="7" fillId="0" borderId="40" xfId="15" applyFont="1" applyBorder="1" applyAlignment="1">
      <alignment horizontal="right"/>
    </xf>
    <xf numFmtId="0" fontId="8" fillId="0" borderId="41" xfId="15" applyFont="1" applyBorder="1" applyAlignment="1">
      <alignment horizontal="right"/>
    </xf>
    <xf numFmtId="3" fontId="8" fillId="0" borderId="41" xfId="15" applyNumberFormat="1" applyFont="1" applyBorder="1" applyAlignment="1">
      <alignment horizontal="right"/>
    </xf>
    <xf numFmtId="3" fontId="8" fillId="0" borderId="43" xfId="15" applyNumberFormat="1" applyFont="1" applyBorder="1" applyAlignment="1">
      <alignment horizontal="right"/>
    </xf>
    <xf numFmtId="1" fontId="8" fillId="0" borderId="0" xfId="15" applyNumberFormat="1" applyFont="1" applyAlignment="1">
      <alignment horizontal="right"/>
    </xf>
    <xf numFmtId="1" fontId="8" fillId="0" borderId="41" xfId="15" applyNumberFormat="1" applyFont="1" applyBorder="1" applyAlignment="1">
      <alignment horizontal="right"/>
    </xf>
    <xf numFmtId="1" fontId="8" fillId="0" borderId="43" xfId="15" applyNumberFormat="1" applyFont="1" applyBorder="1" applyAlignment="1">
      <alignment horizontal="right"/>
    </xf>
    <xf numFmtId="1" fontId="8" fillId="0" borderId="60" xfId="15" applyNumberFormat="1" applyFont="1" applyBorder="1" applyAlignment="1">
      <alignment horizontal="right"/>
    </xf>
    <xf numFmtId="1" fontId="8" fillId="0" borderId="66" xfId="15" applyNumberFormat="1" applyFont="1" applyBorder="1" applyAlignment="1">
      <alignment horizontal="right"/>
    </xf>
    <xf numFmtId="170" fontId="8" fillId="0" borderId="0" xfId="17" applyNumberFormat="1" applyFont="1" applyFill="1" applyBorder="1" applyAlignment="1">
      <alignment horizontal="right"/>
    </xf>
    <xf numFmtId="170" fontId="8" fillId="0" borderId="60" xfId="17" applyNumberFormat="1" applyFont="1" applyFill="1" applyBorder="1" applyAlignment="1">
      <alignment horizontal="right"/>
    </xf>
    <xf numFmtId="170" fontId="8" fillId="0" borderId="66" xfId="17" applyNumberFormat="1" applyFont="1" applyFill="1" applyBorder="1" applyAlignment="1">
      <alignment horizontal="right"/>
    </xf>
    <xf numFmtId="170" fontId="7" fillId="0" borderId="0" xfId="17" applyNumberFormat="1" applyFont="1" applyFill="1" applyBorder="1" applyAlignment="1">
      <alignment horizontal="left"/>
    </xf>
    <xf numFmtId="170" fontId="7" fillId="0" borderId="0" xfId="17" applyNumberFormat="1" applyFont="1" applyFill="1" applyBorder="1" applyAlignment="1">
      <alignment horizontal="right"/>
    </xf>
    <xf numFmtId="170" fontId="76" fillId="0" borderId="0" xfId="17" applyNumberFormat="1" applyFont="1" applyFill="1" applyBorder="1" applyAlignment="1">
      <alignment horizontal="right"/>
    </xf>
    <xf numFmtId="0" fontId="8" fillId="0" borderId="65" xfId="15" applyFont="1" applyBorder="1" applyAlignment="1">
      <alignment horizontal="left"/>
    </xf>
    <xf numFmtId="0" fontId="8" fillId="0" borderId="67" xfId="15" applyFont="1" applyBorder="1" applyAlignment="1">
      <alignment horizontal="left"/>
    </xf>
    <xf numFmtId="0" fontId="7" fillId="0" borderId="67" xfId="15" applyFont="1" applyBorder="1" applyAlignment="1">
      <alignment horizontal="left"/>
    </xf>
    <xf numFmtId="0" fontId="8" fillId="0" borderId="0" xfId="17" applyNumberFormat="1" applyFont="1" applyFill="1" applyBorder="1" applyAlignment="1">
      <alignment horizontal="right"/>
    </xf>
    <xf numFmtId="0" fontId="8" fillId="0" borderId="16" xfId="17" applyNumberFormat="1" applyFont="1" applyFill="1" applyBorder="1" applyAlignment="1">
      <alignment horizontal="right"/>
    </xf>
    <xf numFmtId="0" fontId="8" fillId="0" borderId="18" xfId="17" applyNumberFormat="1" applyFont="1" applyFill="1" applyBorder="1" applyAlignment="1">
      <alignment horizontal="right"/>
    </xf>
    <xf numFmtId="0" fontId="7" fillId="0" borderId="24" xfId="15" applyFont="1" applyBorder="1" applyAlignment="1">
      <alignment horizontal="left"/>
    </xf>
    <xf numFmtId="0" fontId="8" fillId="0" borderId="6" xfId="17" applyNumberFormat="1" applyFont="1" applyFill="1" applyBorder="1" applyAlignment="1">
      <alignment horizontal="right"/>
    </xf>
    <xf numFmtId="0" fontId="8" fillId="0" borderId="17" xfId="17" applyNumberFormat="1" applyFont="1" applyFill="1" applyBorder="1" applyAlignment="1">
      <alignment horizontal="right"/>
    </xf>
    <xf numFmtId="0" fontId="8" fillId="0" borderId="45" xfId="17" applyNumberFormat="1" applyFont="1" applyFill="1" applyBorder="1" applyAlignment="1">
      <alignment horizontal="right"/>
    </xf>
    <xf numFmtId="0" fontId="8" fillId="0" borderId="5" xfId="17" applyNumberFormat="1" applyFont="1" applyFill="1" applyBorder="1" applyAlignment="1">
      <alignment horizontal="right"/>
    </xf>
    <xf numFmtId="0" fontId="5" fillId="0" borderId="0" xfId="15" applyFont="1" applyAlignment="1">
      <alignment vertical="top" wrapText="1"/>
    </xf>
    <xf numFmtId="0" fontId="32" fillId="0" borderId="0" xfId="15" applyFont="1"/>
    <xf numFmtId="0" fontId="32" fillId="0" borderId="0" xfId="17" applyNumberFormat="1" applyFont="1" applyFill="1" applyBorder="1"/>
    <xf numFmtId="167" fontId="12" fillId="0" borderId="0" xfId="15" applyNumberFormat="1" applyFont="1"/>
    <xf numFmtId="0" fontId="12" fillId="0" borderId="0" xfId="15" applyFont="1" applyAlignment="1">
      <alignment wrapText="1"/>
    </xf>
    <xf numFmtId="184" fontId="12" fillId="0" borderId="0" xfId="15" applyNumberFormat="1" applyFont="1"/>
    <xf numFmtId="2" fontId="12" fillId="0" borderId="0" xfId="17" applyNumberFormat="1" applyFont="1" applyFill="1" applyBorder="1"/>
    <xf numFmtId="0" fontId="6" fillId="0" borderId="0" xfId="2" applyFont="1" applyProtection="1">
      <protection locked="0"/>
    </xf>
    <xf numFmtId="184" fontId="7" fillId="0" borderId="0" xfId="2" applyNumberFormat="1" applyFont="1" applyAlignment="1">
      <alignment horizontal="left"/>
    </xf>
    <xf numFmtId="184" fontId="4" fillId="0" borderId="0" xfId="2" applyNumberFormat="1" applyProtection="1">
      <protection locked="0"/>
    </xf>
    <xf numFmtId="184" fontId="0" fillId="0" borderId="0" xfId="2" applyNumberFormat="1" applyFont="1" applyProtection="1">
      <protection locked="0"/>
    </xf>
    <xf numFmtId="184" fontId="45" fillId="0" borderId="0" xfId="15" applyNumberFormat="1" applyFont="1" applyAlignment="1">
      <alignment horizontal="right"/>
    </xf>
    <xf numFmtId="176" fontId="45" fillId="0" borderId="0" xfId="15" applyNumberFormat="1" applyFont="1" applyAlignment="1">
      <alignment horizontal="right"/>
    </xf>
    <xf numFmtId="176" fontId="8" fillId="0" borderId="0" xfId="15" applyNumberFormat="1" applyFont="1" applyAlignment="1">
      <alignment horizontal="right"/>
    </xf>
    <xf numFmtId="184" fontId="45" fillId="0" borderId="6" xfId="15" applyNumberFormat="1" applyFont="1" applyBorder="1" applyAlignment="1">
      <alignment horizontal="right"/>
    </xf>
    <xf numFmtId="176" fontId="45" fillId="0" borderId="6" xfId="15" applyNumberFormat="1" applyFont="1" applyBorder="1" applyAlignment="1">
      <alignment horizontal="right"/>
    </xf>
    <xf numFmtId="176" fontId="8" fillId="0" borderId="6" xfId="15" applyNumberFormat="1" applyFont="1" applyBorder="1" applyAlignment="1">
      <alignment horizontal="right"/>
    </xf>
    <xf numFmtId="0" fontId="8" fillId="0" borderId="0" xfId="2" applyFont="1" applyAlignment="1">
      <alignment horizontal="center" wrapText="1"/>
    </xf>
    <xf numFmtId="3" fontId="8" fillId="0" borderId="0" xfId="2" applyNumberFormat="1" applyFont="1" applyAlignment="1">
      <alignment horizontal="center" wrapText="1"/>
    </xf>
    <xf numFmtId="176" fontId="6" fillId="0" borderId="0" xfId="2" applyNumberFormat="1" applyFont="1" applyProtection="1">
      <protection locked="0"/>
    </xf>
    <xf numFmtId="188" fontId="7" fillId="0" borderId="0" xfId="28" applyFont="1" applyAlignment="1">
      <alignment horizontal="left"/>
    </xf>
    <xf numFmtId="188" fontId="7" fillId="0" borderId="0" xfId="28" applyFont="1"/>
    <xf numFmtId="188" fontId="8" fillId="0" borderId="0" xfId="28" applyFont="1"/>
    <xf numFmtId="188" fontId="8" fillId="0" borderId="0" xfId="28" applyFont="1" applyAlignment="1">
      <alignment horizontal="right"/>
    </xf>
    <xf numFmtId="184" fontId="8" fillId="0" borderId="0" xfId="2" applyNumberFormat="1" applyFont="1" applyProtection="1">
      <protection locked="0"/>
    </xf>
    <xf numFmtId="188" fontId="8" fillId="0" borderId="4" xfId="28" applyFont="1" applyBorder="1" applyProtection="1">
      <protection locked="0"/>
    </xf>
    <xf numFmtId="166" fontId="10" fillId="0" borderId="0" xfId="4" quotePrefix="1" applyFont="1" applyAlignment="1">
      <alignment horizontal="right"/>
    </xf>
    <xf numFmtId="171" fontId="7" fillId="0" borderId="0" xfId="2" quotePrefix="1" applyNumberFormat="1" applyFont="1" applyAlignment="1" applyProtection="1">
      <alignment horizontal="right"/>
      <protection locked="0"/>
    </xf>
    <xf numFmtId="184" fontId="8" fillId="0" borderId="0" xfId="2" applyNumberFormat="1" applyFont="1" applyAlignment="1">
      <alignment horizontal="right" vertical="top"/>
    </xf>
    <xf numFmtId="188" fontId="7" fillId="0" borderId="23" xfId="28" applyFont="1" applyBorder="1" applyAlignment="1">
      <alignment horizontal="right" vertical="top"/>
    </xf>
    <xf numFmtId="188" fontId="7" fillId="0" borderId="23" xfId="28" applyFont="1" applyBorder="1" applyAlignment="1">
      <alignment horizontal="right" vertical="top" wrapText="1"/>
    </xf>
    <xf numFmtId="188" fontId="8" fillId="0" borderId="23" xfId="28" applyFont="1" applyBorder="1"/>
    <xf numFmtId="37" fontId="8" fillId="0" borderId="23" xfId="29" applyNumberFormat="1" applyFont="1" applyFill="1" applyBorder="1" applyAlignment="1">
      <alignment horizontal="right"/>
    </xf>
    <xf numFmtId="3" fontId="8" fillId="0" borderId="23" xfId="15" applyNumberFormat="1" applyFont="1" applyBorder="1"/>
    <xf numFmtId="4" fontId="8" fillId="0" borderId="23" xfId="15" applyNumberFormat="1" applyFont="1" applyBorder="1"/>
    <xf numFmtId="193" fontId="8" fillId="0" borderId="0" xfId="2" applyNumberFormat="1" applyFont="1" applyAlignment="1">
      <alignment horizontal="right"/>
    </xf>
    <xf numFmtId="188" fontId="7" fillId="0" borderId="23" xfId="28" applyFont="1" applyBorder="1" applyAlignment="1">
      <alignment horizontal="left"/>
    </xf>
    <xf numFmtId="186" fontId="7" fillId="0" borderId="23" xfId="29" applyNumberFormat="1" applyFont="1" applyFill="1" applyBorder="1" applyAlignment="1">
      <alignment horizontal="right"/>
    </xf>
    <xf numFmtId="189" fontId="7" fillId="0" borderId="23" xfId="29" applyFont="1" applyFill="1" applyBorder="1" applyAlignment="1">
      <alignment horizontal="center"/>
    </xf>
    <xf numFmtId="173" fontId="7" fillId="0" borderId="0" xfId="14" applyNumberFormat="1" applyFont="1" applyFill="1" applyBorder="1" applyAlignment="1">
      <alignment horizontal="center"/>
    </xf>
    <xf numFmtId="3" fontId="7" fillId="0" borderId="0" xfId="14" applyNumberFormat="1" applyFont="1" applyFill="1" applyBorder="1" applyAlignment="1">
      <alignment horizontal="center"/>
    </xf>
    <xf numFmtId="3" fontId="7" fillId="0" borderId="0" xfId="14" applyNumberFormat="1" applyFont="1" applyFill="1" applyBorder="1" applyAlignment="1">
      <alignment horizontal="right"/>
    </xf>
    <xf numFmtId="193" fontId="7" fillId="0" borderId="0" xfId="2" applyNumberFormat="1" applyFont="1" applyAlignment="1">
      <alignment horizontal="right"/>
    </xf>
    <xf numFmtId="0" fontId="20" fillId="0" borderId="0" xfId="2" applyFont="1" applyAlignment="1" applyProtection="1">
      <alignment vertical="top"/>
      <protection locked="0"/>
    </xf>
    <xf numFmtId="0" fontId="6" fillId="0" borderId="0" xfId="2" applyFont="1" applyAlignment="1" applyProtection="1">
      <alignment vertical="top"/>
      <protection locked="0"/>
    </xf>
    <xf numFmtId="0" fontId="0" fillId="0" borderId="0" xfId="2" applyFont="1" applyAlignment="1">
      <alignment vertical="top"/>
    </xf>
    <xf numFmtId="185" fontId="4" fillId="0" borderId="0" xfId="2" applyNumberFormat="1" applyAlignment="1">
      <alignment horizontal="right"/>
    </xf>
    <xf numFmtId="185" fontId="8" fillId="2" borderId="0" xfId="2" applyNumberFormat="1" applyFont="1" applyFill="1" applyAlignment="1">
      <alignment horizontal="right"/>
    </xf>
    <xf numFmtId="173" fontId="8" fillId="0" borderId="0" xfId="14" applyNumberFormat="1" applyFont="1" applyFill="1" applyBorder="1" applyAlignment="1">
      <alignment horizontal="right" wrapText="1"/>
    </xf>
    <xf numFmtId="0" fontId="7" fillId="0" borderId="6" xfId="2" applyFont="1" applyBorder="1" applyAlignment="1">
      <alignment wrapText="1"/>
    </xf>
    <xf numFmtId="173" fontId="8" fillId="0" borderId="6" xfId="14" applyNumberFormat="1" applyFont="1" applyFill="1" applyBorder="1" applyAlignment="1">
      <alignment horizontal="center" wrapText="1"/>
    </xf>
    <xf numFmtId="173" fontId="8" fillId="0" borderId="6" xfId="14" applyNumberFormat="1" applyFont="1" applyFill="1" applyBorder="1" applyAlignment="1">
      <alignment horizontal="right" wrapText="1"/>
    </xf>
    <xf numFmtId="173" fontId="8" fillId="2" borderId="6" xfId="14" applyNumberFormat="1" applyFont="1" applyFill="1" applyBorder="1" applyAlignment="1">
      <alignment horizontal="right" wrapText="1"/>
    </xf>
    <xf numFmtId="173" fontId="0" fillId="0" borderId="0" xfId="2" applyNumberFormat="1" applyFont="1"/>
    <xf numFmtId="184" fontId="4" fillId="0" borderId="0" xfId="15" applyNumberFormat="1"/>
    <xf numFmtId="184" fontId="7" fillId="0" borderId="0" xfId="2" applyNumberFormat="1" applyFont="1"/>
    <xf numFmtId="0" fontId="8" fillId="2" borderId="0" xfId="2" applyFont="1" applyFill="1" applyAlignment="1">
      <alignment horizontal="center" wrapText="1"/>
    </xf>
    <xf numFmtId="0" fontId="7" fillId="0" borderId="61" xfId="2" applyFont="1" applyBorder="1" applyAlignment="1">
      <alignment horizontal="center" wrapText="1"/>
    </xf>
    <xf numFmtId="0" fontId="7" fillId="0" borderId="61" xfId="2" applyFont="1" applyBorder="1" applyAlignment="1">
      <alignment horizontal="right" wrapText="1"/>
    </xf>
    <xf numFmtId="0" fontId="7" fillId="0" borderId="61" xfId="2" quotePrefix="1" applyFont="1" applyBorder="1" applyAlignment="1">
      <alignment horizontal="right" wrapText="1"/>
    </xf>
    <xf numFmtId="3" fontId="8" fillId="0" borderId="0" xfId="38" applyNumberFormat="1" applyFont="1" applyAlignment="1">
      <alignment horizontal="right" vertical="center"/>
    </xf>
    <xf numFmtId="184" fontId="0" fillId="0" borderId="0" xfId="2" applyNumberFormat="1" applyFont="1" applyAlignment="1">
      <alignment vertical="top"/>
    </xf>
    <xf numFmtId="173" fontId="8" fillId="0" borderId="0" xfId="14" applyNumberFormat="1" applyFont="1" applyFill="1" applyBorder="1" applyAlignment="1">
      <alignment horizontal="center" wrapText="1"/>
    </xf>
    <xf numFmtId="0" fontId="0" fillId="0" borderId="0" xfId="2" applyFont="1"/>
    <xf numFmtId="0" fontId="7" fillId="0" borderId="38" xfId="2" applyFont="1" applyBorder="1"/>
    <xf numFmtId="0" fontId="7" fillId="0" borderId="40" xfId="2" applyFont="1" applyBorder="1"/>
    <xf numFmtId="0" fontId="60" fillId="0" borderId="0" xfId="2" applyFont="1" applyAlignment="1">
      <alignment vertical="top"/>
    </xf>
    <xf numFmtId="0" fontId="8" fillId="0" borderId="15" xfId="2" applyFont="1" applyBorder="1" applyAlignment="1" applyProtection="1">
      <alignment wrapText="1"/>
      <protection locked="0"/>
    </xf>
    <xf numFmtId="170" fontId="4" fillId="0" borderId="0" xfId="17" applyNumberFormat="1" applyFill="1" applyProtection="1">
      <protection locked="0"/>
    </xf>
    <xf numFmtId="165" fontId="8" fillId="0" borderId="0" xfId="2" applyNumberFormat="1" applyFont="1" applyAlignment="1">
      <alignment horizontal="right"/>
    </xf>
    <xf numFmtId="0" fontId="22" fillId="0" borderId="0" xfId="2" applyFont="1" applyAlignment="1">
      <alignment vertical="top" wrapText="1"/>
    </xf>
    <xf numFmtId="165" fontId="8" fillId="0" borderId="41" xfId="2" applyNumberFormat="1" applyFont="1" applyBorder="1"/>
    <xf numFmtId="165" fontId="8" fillId="0" borderId="41" xfId="2" applyNumberFormat="1" applyFont="1" applyBorder="1" applyAlignment="1">
      <alignment horizontal="right"/>
    </xf>
    <xf numFmtId="0" fontId="8" fillId="0" borderId="5" xfId="2" applyFont="1" applyBorder="1" applyAlignment="1" applyProtection="1">
      <alignment wrapText="1"/>
      <protection locked="0"/>
    </xf>
    <xf numFmtId="165" fontId="8" fillId="0" borderId="44" xfId="2" applyNumberFormat="1" applyFont="1" applyBorder="1"/>
    <xf numFmtId="165" fontId="8" fillId="0" borderId="44" xfId="2" applyNumberFormat="1" applyFont="1" applyBorder="1" applyAlignment="1">
      <alignment horizontal="right"/>
    </xf>
    <xf numFmtId="0" fontId="8" fillId="2" borderId="0" xfId="2" applyFont="1" applyFill="1" applyAlignment="1" applyProtection="1">
      <alignment wrapText="1"/>
      <protection locked="0"/>
    </xf>
    <xf numFmtId="165" fontId="8" fillId="2" borderId="0" xfId="2" applyNumberFormat="1" applyFont="1" applyFill="1" applyAlignment="1">
      <alignment horizontal="right"/>
    </xf>
    <xf numFmtId="165" fontId="0" fillId="0" borderId="0" xfId="2" applyNumberFormat="1" applyFont="1" applyProtection="1">
      <protection locked="0"/>
    </xf>
    <xf numFmtId="0" fontId="0" fillId="0" borderId="6" xfId="2" applyFont="1" applyBorder="1" applyProtection="1">
      <protection locked="0"/>
    </xf>
    <xf numFmtId="0" fontId="7" fillId="0" borderId="23" xfId="2" applyFont="1" applyBorder="1"/>
    <xf numFmtId="0" fontId="8" fillId="0" borderId="15" xfId="2" applyFont="1" applyBorder="1" applyAlignment="1">
      <alignment horizontal="left"/>
    </xf>
    <xf numFmtId="165" fontId="8" fillId="2" borderId="0" xfId="2" applyNumberFormat="1" applyFont="1" applyFill="1" applyAlignment="1">
      <alignment horizontal="center"/>
    </xf>
    <xf numFmtId="0" fontId="8" fillId="0" borderId="5" xfId="2" applyFont="1" applyBorder="1" applyAlignment="1">
      <alignment horizontal="left"/>
    </xf>
    <xf numFmtId="165" fontId="8" fillId="0" borderId="63" xfId="2" applyNumberFormat="1" applyFont="1" applyBorder="1" applyAlignment="1">
      <alignment horizontal="center"/>
    </xf>
    <xf numFmtId="165" fontId="8" fillId="0" borderId="44" xfId="2" applyNumberFormat="1" applyFont="1" applyBorder="1" applyAlignment="1">
      <alignment horizontal="center"/>
    </xf>
    <xf numFmtId="165" fontId="8" fillId="0" borderId="45" xfId="2" applyNumberFormat="1" applyFont="1" applyBorder="1" applyAlignment="1">
      <alignment horizontal="center"/>
    </xf>
    <xf numFmtId="165" fontId="8" fillId="0" borderId="5" xfId="2" applyNumberFormat="1" applyFont="1" applyBorder="1" applyAlignment="1">
      <alignment horizontal="center"/>
    </xf>
    <xf numFmtId="0" fontId="22" fillId="0" borderId="0" xfId="2" applyFont="1"/>
    <xf numFmtId="0" fontId="15" fillId="0" borderId="0" xfId="2" applyFont="1" applyAlignment="1">
      <alignment wrapText="1"/>
    </xf>
    <xf numFmtId="0" fontId="11" fillId="0" borderId="4" xfId="2" applyFont="1" applyBorder="1"/>
    <xf numFmtId="0" fontId="7" fillId="0" borderId="39" xfId="2" applyFont="1" applyBorder="1"/>
    <xf numFmtId="0" fontId="7" fillId="3" borderId="23" xfId="2" applyFont="1" applyFill="1" applyBorder="1"/>
    <xf numFmtId="0" fontId="60" fillId="0" borderId="0" xfId="2" applyFont="1" applyAlignment="1">
      <alignment horizontal="right" vertical="top" wrapText="1"/>
    </xf>
    <xf numFmtId="0" fontId="8" fillId="0" borderId="5" xfId="15" applyFont="1" applyBorder="1"/>
    <xf numFmtId="0" fontId="8" fillId="0" borderId="50" xfId="2" applyFont="1" applyBorder="1"/>
    <xf numFmtId="0" fontId="7" fillId="0" borderId="4" xfId="2" applyFont="1" applyBorder="1" applyAlignment="1">
      <alignment wrapText="1"/>
    </xf>
    <xf numFmtId="0" fontId="7" fillId="0" borderId="16" xfId="2" applyFont="1" applyBorder="1" applyAlignment="1">
      <alignment horizontal="right"/>
    </xf>
    <xf numFmtId="0" fontId="6" fillId="0" borderId="67" xfId="2" applyFont="1" applyBorder="1"/>
    <xf numFmtId="165" fontId="8" fillId="0" borderId="67" xfId="2" applyNumberFormat="1" applyFont="1" applyBorder="1"/>
    <xf numFmtId="0" fontId="7" fillId="0" borderId="15" xfId="2" applyFont="1" applyBorder="1" applyAlignment="1">
      <alignment horizontal="left" wrapText="1"/>
    </xf>
    <xf numFmtId="0" fontId="6" fillId="0" borderId="16" xfId="2" applyFont="1" applyBorder="1"/>
    <xf numFmtId="165" fontId="8" fillId="0" borderId="65" xfId="2" applyNumberFormat="1" applyFont="1" applyBorder="1"/>
    <xf numFmtId="0" fontId="8" fillId="0" borderId="27" xfId="2" applyFont="1" applyBorder="1" applyAlignment="1">
      <alignment wrapText="1"/>
    </xf>
    <xf numFmtId="0" fontId="7" fillId="0" borderId="15" xfId="2" applyFont="1" applyBorder="1" applyAlignment="1">
      <alignment wrapText="1"/>
    </xf>
    <xf numFmtId="0" fontId="15" fillId="0" borderId="4" xfId="2" applyFont="1" applyBorder="1" applyAlignment="1">
      <alignment wrapText="1"/>
    </xf>
    <xf numFmtId="0" fontId="79" fillId="0" borderId="47" xfId="2" applyFont="1" applyBorder="1"/>
    <xf numFmtId="0" fontId="79" fillId="0" borderId="67" xfId="2" applyFont="1" applyBorder="1"/>
    <xf numFmtId="1" fontId="8" fillId="0" borderId="18" xfId="2" applyNumberFormat="1" applyFont="1" applyBorder="1"/>
    <xf numFmtId="1" fontId="8" fillId="0" borderId="6" xfId="2" applyNumberFormat="1" applyFont="1" applyBorder="1"/>
    <xf numFmtId="1" fontId="8" fillId="0" borderId="45" xfId="2" applyNumberFormat="1" applyFont="1" applyBorder="1"/>
    <xf numFmtId="1" fontId="8" fillId="0" borderId="46" xfId="2" applyNumberFormat="1" applyFont="1" applyBorder="1"/>
    <xf numFmtId="165" fontId="8" fillId="0" borderId="24" xfId="2" applyNumberFormat="1" applyFont="1" applyBorder="1"/>
    <xf numFmtId="0" fontId="80" fillId="0" borderId="0" xfId="2" applyFont="1" applyAlignment="1">
      <alignment vertical="top"/>
    </xf>
    <xf numFmtId="0" fontId="80" fillId="0" borderId="0" xfId="2" applyFont="1"/>
    <xf numFmtId="0" fontId="6" fillId="0" borderId="24" xfId="2" applyFont="1" applyBorder="1"/>
    <xf numFmtId="0" fontId="4" fillId="0" borderId="0" xfId="2" applyAlignment="1">
      <alignment horizontal="left" wrapText="1"/>
    </xf>
    <xf numFmtId="0" fontId="15" fillId="0" borderId="0" xfId="2" applyFont="1" applyAlignment="1">
      <alignment horizontal="left"/>
    </xf>
    <xf numFmtId="0" fontId="15" fillId="0" borderId="0" xfId="2" applyFont="1" applyAlignment="1">
      <alignment horizontal="right"/>
    </xf>
    <xf numFmtId="0" fontId="7" fillId="0" borderId="38" xfId="2" applyFont="1" applyBorder="1" applyAlignment="1">
      <alignment horizontal="right"/>
    </xf>
    <xf numFmtId="0" fontId="7" fillId="0" borderId="39" xfId="2" applyFont="1" applyBorder="1" applyAlignment="1">
      <alignment horizontal="right"/>
    </xf>
    <xf numFmtId="0" fontId="7" fillId="2" borderId="39" xfId="2" applyFont="1" applyFill="1" applyBorder="1" applyAlignment="1">
      <alignment horizontal="right"/>
    </xf>
    <xf numFmtId="0" fontId="7" fillId="2" borderId="40" xfId="2" applyFont="1" applyFill="1" applyBorder="1" applyAlignment="1">
      <alignment horizontal="right"/>
    </xf>
    <xf numFmtId="0" fontId="31" fillId="0" borderId="0" xfId="2" applyFont="1" applyAlignment="1">
      <alignment vertical="top"/>
    </xf>
    <xf numFmtId="0" fontId="81" fillId="0" borderId="0" xfId="2" applyFont="1" applyAlignment="1">
      <alignment horizontal="right"/>
    </xf>
    <xf numFmtId="0" fontId="8" fillId="0" borderId="6" xfId="2" applyFont="1" applyBorder="1" applyAlignment="1">
      <alignment horizontal="right" wrapText="1"/>
    </xf>
    <xf numFmtId="2" fontId="8" fillId="0" borderId="0" xfId="14" applyNumberFormat="1" applyFont="1" applyFill="1" applyBorder="1" applyAlignment="1">
      <alignment horizontal="right"/>
    </xf>
    <xf numFmtId="2" fontId="8" fillId="0" borderId="0" xfId="2" applyNumberFormat="1" applyFont="1" applyAlignment="1">
      <alignment horizontal="right"/>
    </xf>
    <xf numFmtId="0" fontId="6" fillId="0" borderId="61" xfId="2" applyFont="1" applyBorder="1"/>
    <xf numFmtId="0" fontId="7" fillId="0" borderId="68" xfId="2" applyFont="1" applyBorder="1" applyAlignment="1">
      <alignment horizontal="right" wrapText="1"/>
    </xf>
    <xf numFmtId="0" fontId="7" fillId="0" borderId="54" xfId="2" applyFont="1" applyBorder="1" applyAlignment="1">
      <alignment horizontal="right" wrapText="1"/>
    </xf>
    <xf numFmtId="0" fontId="7" fillId="0" borderId="55" xfId="2" applyFont="1" applyBorder="1" applyAlignment="1">
      <alignment horizontal="right" wrapText="1"/>
    </xf>
    <xf numFmtId="0" fontId="7" fillId="0" borderId="62" xfId="2" applyFont="1" applyBorder="1" applyAlignment="1">
      <alignment horizontal="right" wrapText="1"/>
    </xf>
    <xf numFmtId="0" fontId="8" fillId="0" borderId="0" xfId="2" applyFont="1" applyAlignment="1">
      <alignment horizontal="justify"/>
    </xf>
    <xf numFmtId="0" fontId="8" fillId="0" borderId="22" xfId="13" applyFont="1" applyBorder="1" applyAlignment="1">
      <alignment horizontal="right"/>
    </xf>
    <xf numFmtId="0" fontId="8" fillId="0" borderId="0" xfId="13" applyFont="1" applyAlignment="1">
      <alignment horizontal="right"/>
    </xf>
    <xf numFmtId="0" fontId="8" fillId="0" borderId="41" xfId="13" applyFont="1" applyBorder="1" applyAlignment="1">
      <alignment horizontal="right"/>
    </xf>
    <xf numFmtId="0" fontId="8" fillId="0" borderId="18" xfId="13" applyFont="1" applyBorder="1" applyAlignment="1">
      <alignment horizontal="right"/>
    </xf>
    <xf numFmtId="184" fontId="8" fillId="0" borderId="16" xfId="2" applyNumberFormat="1" applyFont="1" applyBorder="1" applyAlignment="1">
      <alignment horizontal="right"/>
    </xf>
    <xf numFmtId="0" fontId="8" fillId="0" borderId="60" xfId="13" applyFont="1" applyBorder="1" applyAlignment="1">
      <alignment horizontal="right"/>
    </xf>
    <xf numFmtId="0" fontId="6" fillId="0" borderId="0" xfId="2" applyFont="1" applyAlignment="1">
      <alignment horizontal="right"/>
    </xf>
    <xf numFmtId="0" fontId="82" fillId="0" borderId="0" xfId="2" applyFont="1" applyAlignment="1">
      <alignment horizontal="left"/>
    </xf>
    <xf numFmtId="0" fontId="8" fillId="0" borderId="61" xfId="2" applyFont="1" applyBorder="1" applyAlignment="1">
      <alignment horizontal="right" wrapText="1"/>
    </xf>
    <xf numFmtId="0" fontId="8" fillId="0" borderId="62" xfId="2" applyFont="1" applyBorder="1" applyAlignment="1">
      <alignment horizontal="right" wrapText="1"/>
    </xf>
    <xf numFmtId="0" fontId="8" fillId="0" borderId="16" xfId="13" applyFont="1" applyBorder="1" applyAlignment="1">
      <alignment horizontal="right"/>
    </xf>
    <xf numFmtId="2" fontId="8" fillId="0" borderId="0" xfId="2" applyNumberFormat="1" applyFont="1" applyAlignment="1">
      <alignment horizontal="right" wrapText="1"/>
    </xf>
    <xf numFmtId="2" fontId="8" fillId="0" borderId="16" xfId="2" applyNumberFormat="1" applyFont="1" applyBorder="1" applyAlignment="1">
      <alignment horizontal="right" wrapText="1"/>
    </xf>
    <xf numFmtId="0" fontId="82" fillId="0" borderId="0" xfId="2" applyFont="1" applyAlignment="1">
      <alignment horizontal="right"/>
    </xf>
    <xf numFmtId="2" fontId="8" fillId="0" borderId="0" xfId="2" applyNumberFormat="1" applyFont="1"/>
    <xf numFmtId="2" fontId="8" fillId="3" borderId="38" xfId="2" applyNumberFormat="1" applyFont="1" applyFill="1" applyBorder="1" applyAlignment="1">
      <alignment horizontal="right"/>
    </xf>
    <xf numFmtId="2" fontId="8" fillId="3" borderId="40" xfId="2" applyNumberFormat="1" applyFont="1" applyFill="1" applyBorder="1" applyAlignment="1">
      <alignment horizontal="right"/>
    </xf>
    <xf numFmtId="2" fontId="8" fillId="3" borderId="39" xfId="2" applyNumberFormat="1" applyFont="1" applyFill="1" applyBorder="1" applyAlignment="1">
      <alignment horizontal="right"/>
    </xf>
    <xf numFmtId="0" fontId="7" fillId="0" borderId="21" xfId="2" applyFont="1" applyBorder="1" applyAlignment="1">
      <alignment horizontal="right"/>
    </xf>
    <xf numFmtId="184" fontId="4" fillId="0" borderId="0" xfId="2" applyNumberFormat="1" applyAlignment="1">
      <alignment vertical="top"/>
    </xf>
    <xf numFmtId="170" fontId="8" fillId="0" borderId="2" xfId="2" applyNumberFormat="1" applyFont="1" applyBorder="1" applyAlignment="1">
      <alignment horizontal="right"/>
    </xf>
    <xf numFmtId="170" fontId="11" fillId="2" borderId="2" xfId="2" applyNumberFormat="1" applyFont="1" applyFill="1" applyBorder="1" applyAlignment="1">
      <alignment horizontal="right"/>
    </xf>
    <xf numFmtId="170" fontId="8" fillId="0" borderId="0" xfId="2" applyNumberFormat="1" applyFont="1" applyAlignment="1">
      <alignment horizontal="right"/>
    </xf>
    <xf numFmtId="0" fontId="10" fillId="0" borderId="6" xfId="15" applyFont="1" applyBorder="1" applyAlignment="1">
      <alignment horizontal="left"/>
    </xf>
    <xf numFmtId="0" fontId="10" fillId="0" borderId="6" xfId="15" applyFont="1" applyBorder="1" applyAlignment="1">
      <alignment horizontal="right"/>
    </xf>
    <xf numFmtId="0" fontId="59" fillId="0" borderId="6" xfId="15" applyFont="1" applyBorder="1" applyAlignment="1">
      <alignment horizontal="right"/>
    </xf>
    <xf numFmtId="0" fontId="59" fillId="0" borderId="0" xfId="15" applyFont="1" applyAlignment="1">
      <alignment horizontal="right"/>
    </xf>
    <xf numFmtId="0" fontId="10" fillId="0" borderId="2" xfId="15" applyFont="1" applyBorder="1" applyAlignment="1">
      <alignment horizontal="left"/>
    </xf>
    <xf numFmtId="0" fontId="10" fillId="0" borderId="2" xfId="15" applyFont="1" applyBorder="1" applyAlignment="1">
      <alignment horizontal="right"/>
    </xf>
    <xf numFmtId="0" fontId="7" fillId="0" borderId="40" xfId="2" applyFont="1" applyBorder="1" applyAlignment="1">
      <alignment horizontal="right"/>
    </xf>
    <xf numFmtId="0" fontId="11" fillId="2" borderId="6" xfId="0" applyFont="1" applyFill="1" applyBorder="1"/>
    <xf numFmtId="0" fontId="14" fillId="0" borderId="2" xfId="2" applyFont="1" applyBorder="1"/>
    <xf numFmtId="0" fontId="14" fillId="0" borderId="38" xfId="2" applyFont="1" applyBorder="1" applyAlignment="1">
      <alignment horizontal="right"/>
    </xf>
    <xf numFmtId="0" fontId="14" fillId="0" borderId="38" xfId="2" applyFont="1" applyBorder="1"/>
    <xf numFmtId="0" fontId="14" fillId="0" borderId="40" xfId="2" applyFont="1" applyBorder="1"/>
    <xf numFmtId="0" fontId="14" fillId="0" borderId="39" xfId="2" applyFont="1" applyBorder="1"/>
    <xf numFmtId="0" fontId="14" fillId="0" borderId="23" xfId="2" applyFont="1" applyBorder="1"/>
    <xf numFmtId="0" fontId="60" fillId="0" borderId="0" xfId="2" applyFont="1"/>
    <xf numFmtId="0" fontId="85" fillId="0" borderId="0" xfId="2" applyFont="1"/>
    <xf numFmtId="2" fontId="8" fillId="0" borderId="42" xfId="2" applyNumberFormat="1" applyFont="1" applyBorder="1" applyAlignment="1">
      <alignment horizontal="right" vertical="top"/>
    </xf>
    <xf numFmtId="1" fontId="11" fillId="0" borderId="41" xfId="2" applyNumberFormat="1" applyFont="1" applyBorder="1" applyAlignment="1">
      <alignment horizontal="right" vertical="top"/>
    </xf>
    <xf numFmtId="1" fontId="11" fillId="0" borderId="41" xfId="2" applyNumberFormat="1" applyFont="1" applyBorder="1"/>
    <xf numFmtId="1" fontId="11" fillId="0" borderId="43" xfId="2" applyNumberFormat="1" applyFont="1" applyBorder="1"/>
    <xf numFmtId="2" fontId="11" fillId="0" borderId="41" xfId="2" applyNumberFormat="1" applyFont="1" applyBorder="1" applyAlignment="1">
      <alignment horizontal="right" vertical="top"/>
    </xf>
    <xf numFmtId="2" fontId="11" fillId="0" borderId="44" xfId="2" applyNumberFormat="1" applyFont="1" applyBorder="1" applyAlignment="1">
      <alignment horizontal="right" vertical="top"/>
    </xf>
    <xf numFmtId="1" fontId="11" fillId="0" borderId="44" xfId="2" applyNumberFormat="1" applyFont="1" applyBorder="1" applyAlignment="1">
      <alignment horizontal="right" vertical="top"/>
    </xf>
    <xf numFmtId="1" fontId="11" fillId="0" borderId="44" xfId="2" applyNumberFormat="1" applyFont="1" applyBorder="1"/>
    <xf numFmtId="1" fontId="11" fillId="0" borderId="45" xfId="2" applyNumberFormat="1" applyFont="1" applyBorder="1"/>
    <xf numFmtId="2" fontId="11" fillId="0" borderId="0" xfId="2" applyNumberFormat="1" applyFont="1" applyAlignment="1">
      <alignment horizontal="right" vertical="top"/>
    </xf>
    <xf numFmtId="1" fontId="11" fillId="0" borderId="0" xfId="2" applyNumberFormat="1" applyFont="1" applyAlignment="1">
      <alignment horizontal="right" vertical="top"/>
    </xf>
    <xf numFmtId="1" fontId="11" fillId="0" borderId="0" xfId="2" applyNumberFormat="1" applyFont="1"/>
    <xf numFmtId="2" fontId="8" fillId="0" borderId="38" xfId="2" applyNumberFormat="1" applyFont="1" applyBorder="1" applyAlignment="1">
      <alignment horizontal="right" vertical="top"/>
    </xf>
    <xf numFmtId="1" fontId="11" fillId="0" borderId="38" xfId="2" applyNumberFormat="1" applyFont="1" applyBorder="1" applyAlignment="1">
      <alignment horizontal="right" vertical="top"/>
    </xf>
    <xf numFmtId="2" fontId="11" fillId="0" borderId="38" xfId="2" applyNumberFormat="1" applyFont="1" applyBorder="1"/>
    <xf numFmtId="2" fontId="11" fillId="0" borderId="39" xfId="2" applyNumberFormat="1" applyFont="1" applyBorder="1"/>
    <xf numFmtId="2" fontId="11" fillId="0" borderId="40" xfId="2" applyNumberFormat="1" applyFont="1" applyBorder="1"/>
    <xf numFmtId="2" fontId="11" fillId="0" borderId="40" xfId="2" applyNumberFormat="1" applyFont="1" applyBorder="1" applyAlignment="1">
      <alignment horizontal="right"/>
    </xf>
    <xf numFmtId="0" fontId="3" fillId="0" borderId="0" xfId="15" applyFont="1"/>
    <xf numFmtId="0" fontId="86" fillId="0" borderId="0" xfId="2" applyFont="1" applyAlignment="1">
      <alignment vertical="top"/>
    </xf>
    <xf numFmtId="0" fontId="88" fillId="0" borderId="0" xfId="39" applyFont="1" applyFill="1" applyAlignment="1" applyProtection="1">
      <alignment vertical="top"/>
    </xf>
    <xf numFmtId="0" fontId="6" fillId="0" borderId="0" xfId="2" applyFont="1" applyAlignment="1">
      <alignment wrapText="1"/>
    </xf>
    <xf numFmtId="0" fontId="7" fillId="0" borderId="69" xfId="2" applyFont="1" applyBorder="1"/>
    <xf numFmtId="0" fontId="7" fillId="0" borderId="70" xfId="2" applyFont="1" applyBorder="1"/>
    <xf numFmtId="0" fontId="14" fillId="0" borderId="31" xfId="2" applyFont="1" applyBorder="1"/>
    <xf numFmtId="0" fontId="14" fillId="0" borderId="31" xfId="2" applyFont="1" applyBorder="1" applyAlignment="1">
      <alignment horizontal="right"/>
    </xf>
    <xf numFmtId="0" fontId="8" fillId="0" borderId="71" xfId="2" applyFont="1" applyBorder="1"/>
    <xf numFmtId="0" fontId="8" fillId="0" borderId="3" xfId="2" applyFont="1" applyBorder="1"/>
    <xf numFmtId="0" fontId="8" fillId="0" borderId="72" xfId="2" applyFont="1" applyBorder="1"/>
    <xf numFmtId="0" fontId="8" fillId="0" borderId="73" xfId="2" applyFont="1" applyBorder="1"/>
    <xf numFmtId="165" fontId="8" fillId="0" borderId="36" xfId="2" applyNumberFormat="1" applyFont="1" applyBorder="1"/>
    <xf numFmtId="165" fontId="8" fillId="0" borderId="37" xfId="2" applyNumberFormat="1" applyFont="1" applyBorder="1"/>
    <xf numFmtId="169" fontId="8" fillId="0" borderId="0" xfId="30" applyNumberFormat="1" applyFont="1" applyFill="1" applyBorder="1"/>
    <xf numFmtId="168" fontId="8" fillId="0" borderId="0" xfId="30" applyNumberFormat="1" applyFont="1" applyFill="1" applyBorder="1"/>
    <xf numFmtId="165" fontId="28" fillId="0" borderId="0" xfId="2" applyNumberFormat="1" applyFont="1" applyAlignment="1">
      <alignment horizontal="center"/>
    </xf>
    <xf numFmtId="169" fontId="8" fillId="0" borderId="0" xfId="30" applyNumberFormat="1" applyFont="1" applyFill="1" applyBorder="1" applyAlignment="1">
      <alignment vertical="center"/>
    </xf>
    <xf numFmtId="168" fontId="8" fillId="0" borderId="0" xfId="30" applyNumberFormat="1" applyFont="1" applyFill="1" applyBorder="1" applyAlignment="1">
      <alignment vertical="center"/>
    </xf>
    <xf numFmtId="0" fontId="8" fillId="0" borderId="0" xfId="2" applyFont="1" applyAlignment="1">
      <alignment horizontal="right" vertical="center"/>
    </xf>
    <xf numFmtId="0" fontId="8" fillId="0" borderId="0" xfId="2" applyFont="1" applyAlignment="1">
      <alignment vertical="center"/>
    </xf>
    <xf numFmtId="169" fontId="8" fillId="0" borderId="6" xfId="30" applyNumberFormat="1" applyFont="1" applyFill="1" applyBorder="1" applyAlignment="1">
      <alignment vertical="center"/>
    </xf>
    <xf numFmtId="168" fontId="8" fillId="0" borderId="6" xfId="30" applyNumberFormat="1" applyFont="1" applyFill="1" applyBorder="1" applyAlignment="1">
      <alignment vertical="center"/>
    </xf>
    <xf numFmtId="0" fontId="8" fillId="0" borderId="6" xfId="2" applyFont="1" applyBorder="1" applyAlignment="1">
      <alignment horizontal="right" vertical="center"/>
    </xf>
    <xf numFmtId="0" fontId="8" fillId="0" borderId="6" xfId="2" applyFont="1" applyBorder="1" applyAlignment="1">
      <alignment vertical="center"/>
    </xf>
    <xf numFmtId="2" fontId="8" fillId="0" borderId="12" xfId="2" applyNumberFormat="1" applyFont="1" applyBorder="1" applyAlignment="1">
      <alignment wrapText="1"/>
    </xf>
    <xf numFmtId="2" fontId="8" fillId="0" borderId="23" xfId="2" applyNumberFormat="1" applyFont="1" applyBorder="1"/>
    <xf numFmtId="0" fontId="89" fillId="0" borderId="0" xfId="39" applyFont="1" applyFill="1" applyAlignment="1" applyProtection="1"/>
    <xf numFmtId="0" fontId="7" fillId="0" borderId="7" xfId="2" applyFont="1" applyBorder="1"/>
    <xf numFmtId="0" fontId="41" fillId="0" borderId="31" xfId="2" applyFont="1" applyBorder="1" applyAlignment="1">
      <alignment horizontal="center"/>
    </xf>
    <xf numFmtId="0" fontId="41" fillId="0" borderId="32" xfId="2" applyFont="1" applyBorder="1" applyAlignment="1">
      <alignment horizontal="center"/>
    </xf>
    <xf numFmtId="0" fontId="8" fillId="0" borderId="74" xfId="2" applyFont="1" applyBorder="1"/>
    <xf numFmtId="0" fontId="8" fillId="0" borderId="75" xfId="2" applyFont="1" applyBorder="1"/>
    <xf numFmtId="0" fontId="28" fillId="0" borderId="23" xfId="2" applyFont="1" applyBorder="1" applyAlignment="1">
      <alignment horizontal="center"/>
    </xf>
    <xf numFmtId="2" fontId="8" fillId="0" borderId="23" xfId="2" applyNumberFormat="1" applyFont="1" applyBorder="1" applyAlignment="1">
      <alignment horizontal="center"/>
    </xf>
    <xf numFmtId="2" fontId="8" fillId="0" borderId="34" xfId="2" applyNumberFormat="1" applyFont="1" applyBorder="1" applyAlignment="1">
      <alignment horizontal="center"/>
    </xf>
    <xf numFmtId="0" fontId="8" fillId="0" borderId="76" xfId="2" applyFont="1" applyBorder="1"/>
    <xf numFmtId="2" fontId="28" fillId="0" borderId="23" xfId="2" applyNumberFormat="1" applyFont="1" applyBorder="1" applyAlignment="1">
      <alignment horizontal="center"/>
    </xf>
    <xf numFmtId="0" fontId="8" fillId="0" borderId="77" xfId="2" applyFont="1" applyBorder="1"/>
    <xf numFmtId="0" fontId="28" fillId="0" borderId="36" xfId="2" applyFont="1" applyBorder="1" applyAlignment="1">
      <alignment horizontal="center"/>
    </xf>
    <xf numFmtId="2" fontId="28" fillId="2" borderId="36" xfId="2" applyNumberFormat="1" applyFont="1" applyFill="1" applyBorder="1" applyAlignment="1">
      <alignment horizontal="center"/>
    </xf>
    <xf numFmtId="2" fontId="8" fillId="2" borderId="37" xfId="2" applyNumberFormat="1" applyFont="1" applyFill="1" applyBorder="1" applyAlignment="1">
      <alignment horizontal="center"/>
    </xf>
    <xf numFmtId="184" fontId="28" fillId="0" borderId="0" xfId="2" applyNumberFormat="1" applyFont="1" applyAlignment="1">
      <alignment horizontal="right"/>
    </xf>
    <xf numFmtId="0" fontId="41" fillId="0" borderId="38" xfId="2" applyFont="1" applyBorder="1" applyAlignment="1">
      <alignment horizontal="right"/>
    </xf>
    <xf numFmtId="0" fontId="41" fillId="0" borderId="40" xfId="2" applyFont="1" applyBorder="1" applyAlignment="1">
      <alignment horizontal="right"/>
    </xf>
    <xf numFmtId="0" fontId="41" fillId="0" borderId="0" xfId="2" applyFont="1" applyAlignment="1">
      <alignment horizontal="right"/>
    </xf>
    <xf numFmtId="184" fontId="8" fillId="0" borderId="15" xfId="2" applyNumberFormat="1" applyFont="1" applyBorder="1" applyAlignment="1">
      <alignment wrapText="1"/>
    </xf>
    <xf numFmtId="3" fontId="28" fillId="0" borderId="43" xfId="17" applyNumberFormat="1" applyFont="1" applyFill="1" applyBorder="1" applyAlignment="1">
      <alignment horizontal="right"/>
    </xf>
    <xf numFmtId="10" fontId="28" fillId="0" borderId="0" xfId="17" applyNumberFormat="1" applyFont="1" applyFill="1" applyBorder="1" applyAlignment="1">
      <alignment horizontal="right"/>
    </xf>
    <xf numFmtId="184" fontId="8" fillId="0" borderId="5" xfId="2" applyNumberFormat="1" applyFont="1" applyBorder="1" applyAlignment="1">
      <alignment wrapText="1"/>
    </xf>
    <xf numFmtId="3" fontId="28" fillId="0" borderId="44" xfId="17" applyNumberFormat="1" applyFont="1" applyFill="1" applyBorder="1"/>
    <xf numFmtId="9" fontId="8" fillId="0" borderId="0" xfId="17" applyFont="1" applyFill="1" applyBorder="1"/>
    <xf numFmtId="3" fontId="28" fillId="0" borderId="0" xfId="17" applyNumberFormat="1" applyFont="1" applyFill="1" applyBorder="1"/>
    <xf numFmtId="3" fontId="8" fillId="0" borderId="0" xfId="17" applyNumberFormat="1" applyFont="1" applyFill="1" applyBorder="1"/>
    <xf numFmtId="194" fontId="6" fillId="0" borderId="0" xfId="17" applyNumberFormat="1" applyFont="1" applyFill="1"/>
    <xf numFmtId="184" fontId="6" fillId="0" borderId="0" xfId="2" applyNumberFormat="1" applyFont="1"/>
    <xf numFmtId="9" fontId="6" fillId="0" borderId="0" xfId="17" applyFont="1" applyFill="1"/>
    <xf numFmtId="170" fontId="6" fillId="0" borderId="0" xfId="17" applyNumberFormat="1" applyFont="1" applyFill="1"/>
    <xf numFmtId="0" fontId="15" fillId="0" borderId="0" xfId="15" applyFont="1" applyAlignment="1">
      <alignment horizontal="right"/>
    </xf>
    <xf numFmtId="0" fontId="15" fillId="0" borderId="0" xfId="15" applyFont="1" applyAlignment="1">
      <alignment horizontal="left"/>
    </xf>
    <xf numFmtId="0" fontId="15" fillId="0" borderId="0" xfId="15" applyFont="1" applyAlignment="1">
      <alignment horizontal="center"/>
    </xf>
    <xf numFmtId="0" fontId="69" fillId="0" borderId="0" xfId="15" applyFont="1" applyAlignment="1">
      <alignment horizontal="center"/>
    </xf>
    <xf numFmtId="0" fontId="4" fillId="0" borderId="0" xfId="15" applyAlignment="1">
      <alignment horizontal="left"/>
    </xf>
    <xf numFmtId="0" fontId="3" fillId="0" borderId="0" xfId="31" applyFont="1"/>
    <xf numFmtId="0" fontId="1" fillId="0" borderId="0" xfId="31"/>
    <xf numFmtId="0" fontId="15" fillId="0" borderId="0" xfId="15" applyFont="1" applyAlignment="1">
      <alignment horizontal="center" vertical="center"/>
    </xf>
    <xf numFmtId="0" fontId="4" fillId="0" borderId="0" xfId="15" applyAlignment="1">
      <alignment horizontal="right"/>
    </xf>
    <xf numFmtId="0" fontId="4" fillId="0" borderId="0" xfId="32"/>
    <xf numFmtId="0" fontId="7" fillId="0" borderId="64" xfId="2" applyFont="1" applyBorder="1" applyAlignment="1">
      <alignment horizontal="right"/>
    </xf>
    <xf numFmtId="0" fontId="7" fillId="0" borderId="23" xfId="2" applyFont="1" applyBorder="1" applyAlignment="1">
      <alignment horizontal="right"/>
    </xf>
    <xf numFmtId="184" fontId="90" fillId="0" borderId="0" xfId="2" applyNumberFormat="1" applyFont="1"/>
    <xf numFmtId="184" fontId="8" fillId="0" borderId="59" xfId="2" applyNumberFormat="1" applyFont="1" applyBorder="1" applyAlignment="1">
      <alignment horizontal="right"/>
    </xf>
    <xf numFmtId="184" fontId="8" fillId="0" borderId="60" xfId="2" applyNumberFormat="1" applyFont="1" applyBorder="1" applyAlignment="1">
      <alignment horizontal="right"/>
    </xf>
    <xf numFmtId="184" fontId="8" fillId="0" borderId="66" xfId="2" applyNumberFormat="1" applyFont="1" applyBorder="1" applyAlignment="1">
      <alignment horizontal="right"/>
    </xf>
    <xf numFmtId="184" fontId="8" fillId="2" borderId="66" xfId="2" applyNumberFormat="1" applyFont="1" applyFill="1" applyBorder="1" applyAlignment="1">
      <alignment horizontal="right"/>
    </xf>
    <xf numFmtId="0" fontId="90" fillId="0" borderId="0" xfId="2" applyFont="1"/>
    <xf numFmtId="184" fontId="8" fillId="0" borderId="0" xfId="2" applyNumberFormat="1" applyFont="1" applyAlignment="1">
      <alignment horizontal="left" wrapText="1"/>
    </xf>
    <xf numFmtId="195" fontId="8" fillId="0" borderId="59" xfId="2" applyNumberFormat="1" applyFont="1" applyBorder="1" applyAlignment="1">
      <alignment horizontal="right"/>
    </xf>
    <xf numFmtId="195" fontId="8" fillId="0" borderId="60" xfId="2" applyNumberFormat="1" applyFont="1" applyBorder="1" applyAlignment="1">
      <alignment horizontal="right"/>
    </xf>
    <xf numFmtId="195" fontId="8" fillId="0" borderId="66" xfId="2" applyNumberFormat="1" applyFont="1" applyBorder="1" applyAlignment="1">
      <alignment horizontal="right"/>
    </xf>
    <xf numFmtId="195" fontId="8" fillId="0" borderId="44" xfId="2" applyNumberFormat="1" applyFont="1" applyBorder="1" applyAlignment="1">
      <alignment horizontal="right"/>
    </xf>
    <xf numFmtId="196" fontId="8" fillId="0" borderId="0" xfId="2" applyNumberFormat="1" applyFont="1" applyAlignment="1">
      <alignment horizontal="right"/>
    </xf>
    <xf numFmtId="184" fontId="7" fillId="0" borderId="0" xfId="2" applyNumberFormat="1" applyFont="1" applyAlignment="1">
      <alignment wrapText="1"/>
    </xf>
    <xf numFmtId="184" fontId="7" fillId="0" borderId="0" xfId="2" applyNumberFormat="1" applyFont="1" applyAlignment="1">
      <alignment horizontal="right"/>
    </xf>
    <xf numFmtId="184" fontId="8" fillId="0" borderId="61" xfId="2" applyNumberFormat="1" applyFont="1" applyBorder="1"/>
    <xf numFmtId="184" fontId="8" fillId="0" borderId="61" xfId="2" applyNumberFormat="1" applyFont="1" applyBorder="1" applyAlignment="1">
      <alignment horizontal="right"/>
    </xf>
    <xf numFmtId="1" fontId="8" fillId="0" borderId="0" xfId="2" applyNumberFormat="1" applyFont="1" applyAlignment="1">
      <alignment horizontal="right"/>
    </xf>
    <xf numFmtId="184" fontId="52" fillId="0" borderId="0" xfId="2" applyNumberFormat="1" applyFont="1" applyAlignment="1">
      <alignment horizontal="right" wrapText="1"/>
    </xf>
    <xf numFmtId="184" fontId="52" fillId="0" borderId="0" xfId="2" applyNumberFormat="1" applyFont="1" applyAlignment="1">
      <alignment horizontal="right"/>
    </xf>
    <xf numFmtId="1" fontId="52" fillId="0" borderId="0" xfId="2" applyNumberFormat="1" applyFont="1" applyAlignment="1">
      <alignment horizontal="right"/>
    </xf>
    <xf numFmtId="197" fontId="8" fillId="0" borderId="0" xfId="2" quotePrefix="1" applyNumberFormat="1" applyFont="1" applyAlignment="1">
      <alignment horizontal="right"/>
    </xf>
    <xf numFmtId="197" fontId="8" fillId="0" borderId="0" xfId="2" applyNumberFormat="1" applyFont="1" applyAlignment="1">
      <alignment horizontal="right"/>
    </xf>
    <xf numFmtId="184" fontId="8" fillId="0" borderId="0" xfId="2" applyNumberFormat="1" applyFont="1" applyAlignment="1">
      <alignment horizontal="right" wrapText="1"/>
    </xf>
    <xf numFmtId="184" fontId="8" fillId="0" borderId="0" xfId="2" quotePrefix="1" applyNumberFormat="1" applyFont="1" applyAlignment="1">
      <alignment horizontal="right"/>
    </xf>
    <xf numFmtId="184" fontId="8" fillId="0" borderId="6" xfId="2" applyNumberFormat="1" applyFont="1" applyBorder="1" applyAlignment="1">
      <alignment horizontal="right" wrapText="1"/>
    </xf>
    <xf numFmtId="184" fontId="8" fillId="0" borderId="6" xfId="2" applyNumberFormat="1" applyFont="1" applyBorder="1" applyAlignment="1">
      <alignment horizontal="right"/>
    </xf>
    <xf numFmtId="197" fontId="8" fillId="0" borderId="6" xfId="2" quotePrefix="1" applyNumberFormat="1" applyFont="1" applyBorder="1" applyAlignment="1">
      <alignment horizontal="right"/>
    </xf>
    <xf numFmtId="197" fontId="8" fillId="0" borderId="6" xfId="2" applyNumberFormat="1" applyFont="1" applyBorder="1" applyAlignment="1">
      <alignment horizontal="right"/>
    </xf>
    <xf numFmtId="0" fontId="6" fillId="0" borderId="6" xfId="2" applyFont="1" applyBorder="1"/>
    <xf numFmtId="184" fontId="13" fillId="0" borderId="0" xfId="2" applyNumberFormat="1" applyFont="1" applyAlignment="1">
      <alignment vertical="top"/>
    </xf>
    <xf numFmtId="184" fontId="8" fillId="0" borderId="15" xfId="2" applyNumberFormat="1" applyFont="1" applyBorder="1"/>
    <xf numFmtId="184" fontId="8" fillId="0" borderId="41" xfId="2" applyNumberFormat="1" applyFont="1" applyBorder="1" applyAlignment="1">
      <alignment horizontal="right"/>
    </xf>
    <xf numFmtId="184" fontId="28" fillId="0" borderId="41" xfId="2" applyNumberFormat="1" applyFont="1" applyBorder="1" applyAlignment="1">
      <alignment horizontal="right"/>
    </xf>
    <xf numFmtId="184" fontId="30" fillId="0" borderId="41" xfId="2" applyNumberFormat="1" applyFont="1" applyBorder="1" applyAlignment="1">
      <alignment horizontal="right"/>
    </xf>
    <xf numFmtId="184" fontId="28" fillId="0" borderId="18" xfId="2" applyNumberFormat="1" applyFont="1" applyBorder="1"/>
    <xf numFmtId="184" fontId="28" fillId="2" borderId="18" xfId="2" applyNumberFormat="1" applyFont="1" applyFill="1" applyBorder="1"/>
    <xf numFmtId="184" fontId="28" fillId="0" borderId="43" xfId="2" applyNumberFormat="1" applyFont="1" applyBorder="1"/>
    <xf numFmtId="184" fontId="28" fillId="2" borderId="43" xfId="2" applyNumberFormat="1" applyFont="1" applyFill="1" applyBorder="1"/>
    <xf numFmtId="0" fontId="8" fillId="0" borderId="41" xfId="2" applyFont="1" applyBorder="1" applyAlignment="1">
      <alignment horizontal="right"/>
    </xf>
    <xf numFmtId="0" fontId="28" fillId="0" borderId="41" xfId="2" applyFont="1" applyBorder="1" applyAlignment="1">
      <alignment horizontal="right"/>
    </xf>
    <xf numFmtId="0" fontId="28" fillId="0" borderId="18" xfId="2" applyFont="1" applyBorder="1"/>
    <xf numFmtId="0" fontId="28" fillId="2" borderId="18" xfId="2" applyFont="1" applyFill="1" applyBorder="1"/>
    <xf numFmtId="0" fontId="28" fillId="0" borderId="43" xfId="2" applyFont="1" applyBorder="1"/>
    <xf numFmtId="0" fontId="28" fillId="2" borderId="43" xfId="2" applyFont="1" applyFill="1" applyBorder="1"/>
    <xf numFmtId="10" fontId="8" fillId="0" borderId="44" xfId="17" applyNumberFormat="1" applyFont="1" applyFill="1" applyBorder="1" applyAlignment="1">
      <alignment horizontal="right"/>
    </xf>
    <xf numFmtId="10" fontId="28" fillId="0" borderId="44" xfId="17" applyNumberFormat="1" applyFont="1" applyFill="1" applyBorder="1" applyAlignment="1">
      <alignment horizontal="right"/>
    </xf>
    <xf numFmtId="10" fontId="28" fillId="0" borderId="45" xfId="17" applyNumberFormat="1" applyFont="1" applyFill="1" applyBorder="1" applyAlignment="1">
      <alignment horizontal="right"/>
    </xf>
    <xf numFmtId="10" fontId="28" fillId="2" borderId="46" xfId="17" applyNumberFormat="1" applyFont="1" applyFill="1" applyBorder="1" applyAlignment="1">
      <alignment horizontal="right"/>
    </xf>
    <xf numFmtId="10" fontId="28" fillId="0" borderId="46" xfId="17" applyNumberFormat="1" applyFont="1" applyFill="1" applyBorder="1" applyAlignment="1">
      <alignment horizontal="right"/>
    </xf>
    <xf numFmtId="10" fontId="8" fillId="0" borderId="0" xfId="17" applyNumberFormat="1" applyFont="1" applyFill="1" applyBorder="1" applyAlignment="1">
      <alignment horizontal="right"/>
    </xf>
    <xf numFmtId="10" fontId="28" fillId="2" borderId="0" xfId="17" applyNumberFormat="1" applyFont="1" applyFill="1" applyBorder="1" applyAlignment="1">
      <alignment horizontal="right"/>
    </xf>
    <xf numFmtId="0" fontId="84" fillId="0" borderId="0" xfId="2" applyFont="1" applyAlignment="1">
      <alignment vertical="top"/>
    </xf>
    <xf numFmtId="0" fontId="84" fillId="0" borderId="0" xfId="2" applyFont="1"/>
    <xf numFmtId="0" fontId="16" fillId="0" borderId="0" xfId="15" applyFont="1"/>
    <xf numFmtId="0" fontId="17" fillId="0" borderId="0" xfId="15" applyFont="1"/>
    <xf numFmtId="0" fontId="16" fillId="0" borderId="23" xfId="15" applyFont="1" applyBorder="1" applyAlignment="1">
      <alignment horizontal="right"/>
    </xf>
    <xf numFmtId="0" fontId="16" fillId="0" borderId="23" xfId="15" applyFont="1" applyBorder="1" applyAlignment="1">
      <alignment horizontal="left"/>
    </xf>
    <xf numFmtId="0" fontId="16" fillId="0" borderId="23" xfId="15" applyFont="1" applyBorder="1" applyAlignment="1">
      <alignment horizontal="center"/>
    </xf>
    <xf numFmtId="0" fontId="17" fillId="0" borderId="23" xfId="15" applyFont="1" applyBorder="1" applyAlignment="1">
      <alignment horizontal="left"/>
    </xf>
    <xf numFmtId="0" fontId="17" fillId="0" borderId="23" xfId="15" applyFont="1" applyBorder="1"/>
    <xf numFmtId="0" fontId="16" fillId="0" borderId="23" xfId="15" applyFont="1" applyBorder="1"/>
    <xf numFmtId="0" fontId="17" fillId="0" borderId="0" xfId="15" applyFont="1" applyAlignment="1">
      <alignment horizontal="left"/>
    </xf>
    <xf numFmtId="0" fontId="17" fillId="0" borderId="67" xfId="15" applyFont="1" applyBorder="1"/>
    <xf numFmtId="0" fontId="17" fillId="0" borderId="15" xfId="15" applyFont="1" applyBorder="1"/>
    <xf numFmtId="0" fontId="92" fillId="0" borderId="0" xfId="15" applyFont="1"/>
    <xf numFmtId="0" fontId="93" fillId="0" borderId="0" xfId="31" applyFont="1"/>
    <xf numFmtId="0" fontId="19" fillId="0" borderId="0" xfId="31" applyFont="1"/>
    <xf numFmtId="0" fontId="16" fillId="0" borderId="1" xfId="15" applyFont="1" applyBorder="1" applyAlignment="1">
      <alignment horizontal="center" vertical="center"/>
    </xf>
    <xf numFmtId="0" fontId="16" fillId="0" borderId="3" xfId="15" applyFont="1" applyBorder="1" applyAlignment="1">
      <alignment horizontal="center" vertical="center"/>
    </xf>
    <xf numFmtId="0" fontId="16" fillId="0" borderId="3" xfId="15" applyFont="1" applyBorder="1"/>
    <xf numFmtId="0" fontId="16" fillId="0" borderId="34" xfId="15" applyFont="1" applyBorder="1"/>
    <xf numFmtId="0" fontId="16" fillId="0" borderId="24" xfId="15" applyFont="1" applyBorder="1"/>
    <xf numFmtId="0" fontId="16" fillId="0" borderId="78" xfId="15" applyFont="1" applyBorder="1"/>
    <xf numFmtId="0" fontId="17" fillId="0" borderId="23" xfId="15" applyFont="1" applyBorder="1" applyAlignment="1">
      <alignment horizontal="right"/>
    </xf>
    <xf numFmtId="0" fontId="17" fillId="0" borderId="23" xfId="32" applyFont="1" applyBorder="1"/>
    <xf numFmtId="0" fontId="17" fillId="0" borderId="34" xfId="32" applyFont="1" applyBorder="1"/>
    <xf numFmtId="0" fontId="17" fillId="0" borderId="3" xfId="32" applyFont="1" applyBorder="1"/>
    <xf numFmtId="0" fontId="17" fillId="0" borderId="3" xfId="15" applyFont="1" applyBorder="1"/>
    <xf numFmtId="0" fontId="17" fillId="0" borderId="34" xfId="15" applyFont="1" applyBorder="1"/>
    <xf numFmtId="0" fontId="93" fillId="2" borderId="0" xfId="31" applyFont="1" applyFill="1"/>
    <xf numFmtId="0" fontId="19" fillId="2" borderId="0" xfId="31" applyFont="1" applyFill="1"/>
    <xf numFmtId="0" fontId="16" fillId="2" borderId="23" xfId="15" applyFont="1" applyFill="1" applyBorder="1"/>
    <xf numFmtId="0" fontId="16" fillId="2" borderId="1" xfId="15" applyFont="1" applyFill="1" applyBorder="1" applyAlignment="1">
      <alignment horizontal="center" vertical="center"/>
    </xf>
    <xf numFmtId="0" fontId="16" fillId="2" borderId="3" xfId="15" applyFont="1" applyFill="1" applyBorder="1" applyAlignment="1">
      <alignment horizontal="center" vertical="center"/>
    </xf>
    <xf numFmtId="0" fontId="16" fillId="2" borderId="3" xfId="15" applyFont="1" applyFill="1" applyBorder="1"/>
    <xf numFmtId="0" fontId="84" fillId="2" borderId="0" xfId="2" applyFont="1" applyFill="1"/>
    <xf numFmtId="0" fontId="16" fillId="2" borderId="34" xfId="15" applyFont="1" applyFill="1" applyBorder="1"/>
    <xf numFmtId="0" fontId="16" fillId="2" borderId="24" xfId="15" applyFont="1" applyFill="1" applyBorder="1"/>
    <xf numFmtId="0" fontId="16" fillId="2" borderId="78" xfId="15" applyFont="1" applyFill="1" applyBorder="1"/>
    <xf numFmtId="0" fontId="17" fillId="2" borderId="23" xfId="32" applyFont="1" applyFill="1" applyBorder="1"/>
    <xf numFmtId="0" fontId="17" fillId="2" borderId="34" xfId="32" applyFont="1" applyFill="1" applyBorder="1"/>
    <xf numFmtId="0" fontId="17" fillId="2" borderId="3" xfId="32" applyFont="1" applyFill="1" applyBorder="1"/>
    <xf numFmtId="0" fontId="17" fillId="2" borderId="3" xfId="15" applyFont="1" applyFill="1" applyBorder="1"/>
    <xf numFmtId="0" fontId="17" fillId="2" borderId="34" xfId="15" applyFont="1" applyFill="1" applyBorder="1"/>
    <xf numFmtId="0" fontId="17" fillId="2" borderId="23" xfId="15" applyFont="1" applyFill="1" applyBorder="1"/>
    <xf numFmtId="0" fontId="8" fillId="0" borderId="2" xfId="2" applyFont="1" applyBorder="1"/>
    <xf numFmtId="0" fontId="41" fillId="2" borderId="38" xfId="2" applyFont="1" applyFill="1" applyBorder="1" applyAlignment="1">
      <alignment horizontal="right"/>
    </xf>
    <xf numFmtId="0" fontId="41" fillId="2" borderId="40" xfId="2" applyFont="1" applyFill="1" applyBorder="1" applyAlignment="1">
      <alignment horizontal="right"/>
    </xf>
    <xf numFmtId="165" fontId="8" fillId="0" borderId="18" xfId="2" applyNumberFormat="1" applyFont="1" applyBorder="1"/>
    <xf numFmtId="165" fontId="8" fillId="2" borderId="41" xfId="2" applyNumberFormat="1" applyFont="1" applyFill="1" applyBorder="1"/>
    <xf numFmtId="165" fontId="8" fillId="2" borderId="48" xfId="2" applyNumberFormat="1" applyFont="1" applyFill="1" applyBorder="1"/>
    <xf numFmtId="165" fontId="8" fillId="0" borderId="22" xfId="2" applyNumberFormat="1" applyFont="1" applyBorder="1"/>
    <xf numFmtId="0" fontId="0" fillId="2" borderId="0" xfId="2" applyFont="1" applyFill="1" applyProtection="1">
      <protection locked="0"/>
    </xf>
    <xf numFmtId="165" fontId="8" fillId="4" borderId="0" xfId="2" applyNumberFormat="1" applyFont="1" applyFill="1"/>
    <xf numFmtId="0" fontId="8" fillId="0" borderId="6" xfId="2" applyFont="1" applyBorder="1" applyAlignment="1" applyProtection="1">
      <alignment wrapText="1"/>
      <protection locked="0"/>
    </xf>
    <xf numFmtId="165" fontId="8" fillId="0" borderId="50" xfId="2" applyNumberFormat="1" applyFont="1" applyBorder="1"/>
    <xf numFmtId="165" fontId="8" fillId="2" borderId="44" xfId="2" applyNumberFormat="1" applyFont="1" applyFill="1" applyBorder="1"/>
    <xf numFmtId="0" fontId="8" fillId="0" borderId="46" xfId="2" applyFont="1" applyBorder="1"/>
    <xf numFmtId="0" fontId="8" fillId="0" borderId="45" xfId="2" applyFont="1" applyBorder="1"/>
    <xf numFmtId="165" fontId="8" fillId="0" borderId="0" xfId="2" applyNumberFormat="1" applyFont="1" applyAlignment="1">
      <alignment horizontal="center"/>
    </xf>
    <xf numFmtId="165" fontId="8" fillId="0" borderId="43" xfId="2" applyNumberFormat="1" applyFont="1" applyBorder="1" applyAlignment="1">
      <alignment horizontal="center"/>
    </xf>
    <xf numFmtId="165" fontId="8" fillId="0" borderId="15" xfId="2" applyNumberFormat="1" applyFont="1" applyBorder="1" applyAlignment="1">
      <alignment horizontal="center"/>
    </xf>
    <xf numFmtId="165" fontId="8" fillId="0" borderId="18" xfId="2" applyNumberFormat="1" applyFont="1" applyBorder="1" applyAlignment="1">
      <alignment horizontal="center"/>
    </xf>
    <xf numFmtId="165" fontId="8" fillId="0" borderId="6" xfId="2" applyNumberFormat="1" applyFont="1" applyBorder="1" applyAlignment="1">
      <alignment horizontal="center"/>
    </xf>
    <xf numFmtId="165" fontId="8" fillId="0" borderId="46" xfId="2" applyNumberFormat="1" applyFont="1" applyBorder="1" applyAlignment="1">
      <alignment horizontal="center"/>
    </xf>
    <xf numFmtId="0" fontId="0" fillId="0" borderId="6" xfId="2" applyFont="1" applyBorder="1"/>
    <xf numFmtId="0" fontId="41" fillId="2" borderId="0" xfId="2" applyFont="1" applyFill="1" applyAlignment="1">
      <alignment horizontal="right"/>
    </xf>
    <xf numFmtId="184" fontId="28" fillId="0" borderId="43" xfId="2" applyNumberFormat="1" applyFont="1" applyBorder="1" applyAlignment="1">
      <alignment horizontal="right"/>
    </xf>
    <xf numFmtId="184" fontId="8" fillId="0" borderId="65" xfId="2" applyNumberFormat="1" applyFont="1" applyBorder="1" applyAlignment="1">
      <alignment horizontal="right"/>
    </xf>
    <xf numFmtId="184" fontId="28" fillId="2" borderId="0" xfId="2" applyNumberFormat="1" applyFont="1" applyFill="1" applyAlignment="1">
      <alignment horizontal="right"/>
    </xf>
    <xf numFmtId="0" fontId="94" fillId="0" borderId="0" xfId="2" applyFont="1" applyProtection="1">
      <protection locked="0"/>
    </xf>
    <xf numFmtId="0" fontId="8" fillId="0" borderId="0" xfId="2" applyFont="1" applyAlignment="1">
      <alignment vertical="top" wrapText="1"/>
    </xf>
    <xf numFmtId="1" fontId="8" fillId="0" borderId="44" xfId="2" applyNumberFormat="1" applyFont="1" applyBorder="1" applyAlignment="1">
      <alignment horizontal="right"/>
    </xf>
    <xf numFmtId="1" fontId="28" fillId="0" borderId="44" xfId="2" applyNumberFormat="1" applyFont="1" applyBorder="1" applyAlignment="1">
      <alignment horizontal="right"/>
    </xf>
    <xf numFmtId="165" fontId="28" fillId="0" borderId="44" xfId="2" applyNumberFormat="1" applyFont="1" applyBorder="1" applyAlignment="1">
      <alignment horizontal="right"/>
    </xf>
    <xf numFmtId="1" fontId="28" fillId="0" borderId="46" xfId="2" applyNumberFormat="1" applyFont="1" applyBorder="1" applyAlignment="1">
      <alignment horizontal="right"/>
    </xf>
    <xf numFmtId="1" fontId="28" fillId="2" borderId="0" xfId="2" applyNumberFormat="1" applyFont="1" applyFill="1" applyAlignment="1">
      <alignment horizontal="right"/>
    </xf>
    <xf numFmtId="1" fontId="28" fillId="0" borderId="0" xfId="2" applyNumberFormat="1" applyFont="1" applyAlignment="1">
      <alignment horizontal="right"/>
    </xf>
    <xf numFmtId="0" fontId="8" fillId="0" borderId="6" xfId="2" applyFont="1" applyBorder="1" applyAlignment="1">
      <alignment horizontal="justify"/>
    </xf>
    <xf numFmtId="0" fontId="8" fillId="0" borderId="2" xfId="2" applyFont="1" applyBorder="1" applyAlignment="1">
      <alignment horizontal="justify"/>
    </xf>
    <xf numFmtId="0" fontId="8" fillId="0" borderId="1" xfId="2" applyFont="1" applyBorder="1" applyAlignment="1">
      <alignment horizontal="center" vertical="top"/>
    </xf>
    <xf numFmtId="0" fontId="8" fillId="0" borderId="51" xfId="2" applyFont="1" applyBorder="1" applyAlignment="1">
      <alignment horizontal="center" vertical="top" wrapText="1"/>
    </xf>
    <xf numFmtId="0" fontId="8" fillId="0" borderId="39" xfId="2" applyFont="1" applyBorder="1" applyAlignment="1">
      <alignment horizontal="center" vertical="top"/>
    </xf>
    <xf numFmtId="0" fontId="8" fillId="0" borderId="2" xfId="2" applyFont="1" applyBorder="1" applyAlignment="1">
      <alignment horizontal="center" vertical="top" wrapText="1"/>
    </xf>
    <xf numFmtId="0" fontId="8" fillId="0" borderId="23" xfId="2" applyFont="1" applyBorder="1" applyAlignment="1">
      <alignment horizontal="center" vertical="top" wrapText="1"/>
    </xf>
    <xf numFmtId="184" fontId="8" fillId="0" borderId="15" xfId="2" applyNumberFormat="1" applyFont="1" applyBorder="1" applyAlignment="1">
      <alignment horizontal="right"/>
    </xf>
    <xf numFmtId="9" fontId="8" fillId="0" borderId="22" xfId="17" applyFont="1" applyFill="1" applyBorder="1" applyAlignment="1" applyProtection="1">
      <alignment horizontal="right"/>
    </xf>
    <xf numFmtId="9" fontId="8" fillId="0" borderId="0" xfId="17" applyFont="1" applyFill="1" applyBorder="1" applyAlignment="1" applyProtection="1">
      <alignment horizontal="right"/>
    </xf>
    <xf numFmtId="1" fontId="8" fillId="0" borderId="67" xfId="2" applyNumberFormat="1" applyFont="1" applyBorder="1"/>
    <xf numFmtId="170" fontId="8" fillId="0" borderId="0" xfId="17" applyNumberFormat="1" applyFont="1" applyFill="1" applyBorder="1" applyAlignment="1" applyProtection="1">
      <alignment horizontal="right"/>
    </xf>
    <xf numFmtId="170" fontId="8" fillId="0" borderId="22" xfId="17" applyNumberFormat="1" applyFont="1" applyFill="1" applyBorder="1" applyAlignment="1" applyProtection="1">
      <alignment horizontal="right"/>
    </xf>
    <xf numFmtId="184" fontId="11" fillId="0" borderId="15" xfId="2" applyNumberFormat="1" applyFont="1" applyBorder="1" applyAlignment="1">
      <alignment horizontal="right"/>
    </xf>
    <xf numFmtId="9" fontId="11" fillId="0" borderId="22" xfId="17" applyFont="1" applyFill="1" applyBorder="1" applyAlignment="1" applyProtection="1">
      <alignment horizontal="right"/>
    </xf>
    <xf numFmtId="1" fontId="8" fillId="0" borderId="24" xfId="2" applyNumberFormat="1" applyFont="1" applyBorder="1"/>
    <xf numFmtId="0" fontId="22" fillId="0" borderId="0" xfId="2" applyFont="1" applyAlignment="1">
      <alignment vertical="top"/>
    </xf>
    <xf numFmtId="2" fontId="8" fillId="0" borderId="41" xfId="2" applyNumberFormat="1" applyFont="1" applyBorder="1"/>
    <xf numFmtId="174" fontId="8" fillId="0" borderId="0" xfId="2" applyNumberFormat="1" applyFont="1" applyAlignment="1">
      <alignment horizontal="right"/>
    </xf>
    <xf numFmtId="0" fontId="8" fillId="0" borderId="41" xfId="2" applyFont="1" applyBorder="1"/>
    <xf numFmtId="174" fontId="8" fillId="0" borderId="0" xfId="2" applyNumberFormat="1" applyFont="1"/>
    <xf numFmtId="174" fontId="8" fillId="0" borderId="6" xfId="2" applyNumberFormat="1" applyFont="1" applyBorder="1" applyAlignment="1">
      <alignment horizontal="right"/>
    </xf>
    <xf numFmtId="0" fontId="4" fillId="0" borderId="6" xfId="2" applyBorder="1" applyProtection="1">
      <protection locked="0"/>
    </xf>
    <xf numFmtId="2" fontId="8" fillId="0" borderId="44" xfId="2" applyNumberFormat="1" applyFont="1" applyBorder="1"/>
    <xf numFmtId="187" fontId="12" fillId="0" borderId="41" xfId="18" applyNumberFormat="1" applyFont="1" applyFill="1" applyBorder="1" applyProtection="1"/>
    <xf numFmtId="187" fontId="12" fillId="0" borderId="41" xfId="18" applyNumberFormat="1" applyFont="1" applyFill="1" applyBorder="1" applyProtection="1">
      <protection locked="0"/>
    </xf>
    <xf numFmtId="187" fontId="12" fillId="0" borderId="48" xfId="18" applyNumberFormat="1" applyFont="1" applyFill="1" applyBorder="1" applyProtection="1">
      <protection locked="0"/>
    </xf>
    <xf numFmtId="187" fontId="12" fillId="0" borderId="43" xfId="18" applyNumberFormat="1" applyFont="1" applyFill="1" applyBorder="1" applyProtection="1">
      <protection locked="0"/>
    </xf>
    <xf numFmtId="187" fontId="12" fillId="0" borderId="44" xfId="18" applyNumberFormat="1" applyFont="1" applyFill="1" applyBorder="1" applyProtection="1"/>
    <xf numFmtId="187" fontId="12" fillId="0" borderId="44" xfId="18" applyNumberFormat="1" applyFont="1" applyFill="1" applyBorder="1"/>
    <xf numFmtId="187" fontId="12" fillId="0" borderId="46" xfId="18" applyNumberFormat="1" applyFont="1" applyFill="1" applyBorder="1"/>
    <xf numFmtId="187" fontId="12" fillId="0" borderId="0" xfId="18" applyNumberFormat="1" applyFont="1" applyFill="1" applyBorder="1" applyProtection="1"/>
    <xf numFmtId="187" fontId="12" fillId="0" borderId="0" xfId="18" applyNumberFormat="1" applyFont="1" applyFill="1" applyBorder="1"/>
    <xf numFmtId="0" fontId="8" fillId="0" borderId="22" xfId="2" applyFont="1" applyBorder="1"/>
    <xf numFmtId="0" fontId="99" fillId="0" borderId="0" xfId="2" applyFont="1" applyAlignment="1">
      <alignment vertical="top"/>
    </xf>
    <xf numFmtId="0" fontId="100" fillId="0" borderId="0" xfId="2" applyFont="1" applyAlignment="1">
      <alignment vertical="top"/>
    </xf>
    <xf numFmtId="176" fontId="8" fillId="0" borderId="41" xfId="17" applyNumberFormat="1" applyFont="1" applyFill="1" applyBorder="1" applyAlignment="1" applyProtection="1">
      <alignment horizontal="right"/>
    </xf>
    <xf numFmtId="170" fontId="8" fillId="0" borderId="44" xfId="17" applyNumberFormat="1" applyFont="1" applyFill="1" applyBorder="1" applyAlignment="1" applyProtection="1">
      <alignment horizontal="right"/>
    </xf>
    <xf numFmtId="170" fontId="11" fillId="0" borderId="44" xfId="17" applyNumberFormat="1" applyFont="1" applyFill="1" applyBorder="1" applyAlignment="1" applyProtection="1">
      <alignment horizontal="right"/>
    </xf>
    <xf numFmtId="170" fontId="14" fillId="0" borderId="46" xfId="17" applyNumberFormat="1" applyFont="1" applyFill="1" applyBorder="1" applyAlignment="1" applyProtection="1">
      <alignment horizontal="right"/>
    </xf>
    <xf numFmtId="170" fontId="8" fillId="0" borderId="5" xfId="17" applyNumberFormat="1" applyFont="1" applyFill="1" applyBorder="1" applyAlignment="1" applyProtection="1">
      <alignment horizontal="right" wrapText="1"/>
    </xf>
    <xf numFmtId="170" fontId="8" fillId="0" borderId="6" xfId="17" applyNumberFormat="1" applyFont="1" applyFill="1" applyBorder="1" applyAlignment="1" applyProtection="1">
      <alignment horizontal="right" wrapText="1"/>
    </xf>
    <xf numFmtId="170" fontId="8" fillId="0" borderId="50" xfId="17" applyNumberFormat="1" applyFont="1" applyFill="1" applyBorder="1" applyAlignment="1" applyProtection="1">
      <alignment horizontal="right"/>
    </xf>
    <xf numFmtId="170" fontId="11" fillId="0" borderId="6" xfId="17" applyNumberFormat="1" applyFont="1" applyFill="1" applyBorder="1" applyAlignment="1" applyProtection="1">
      <alignment horizontal="right" wrapText="1"/>
    </xf>
    <xf numFmtId="170" fontId="11" fillId="0" borderId="50" xfId="17" applyNumberFormat="1" applyFont="1" applyFill="1" applyBorder="1" applyAlignment="1" applyProtection="1">
      <alignment horizontal="right"/>
    </xf>
    <xf numFmtId="170" fontId="11" fillId="0" borderId="17" xfId="17" applyNumberFormat="1" applyFont="1" applyFill="1" applyBorder="1" applyAlignment="1" applyProtection="1">
      <alignment horizontal="right"/>
    </xf>
    <xf numFmtId="176" fontId="8" fillId="0" borderId="15" xfId="17" applyNumberFormat="1" applyFont="1" applyFill="1" applyBorder="1" applyAlignment="1" applyProtection="1">
      <alignment horizontal="right"/>
    </xf>
    <xf numFmtId="176" fontId="8" fillId="0" borderId="0" xfId="17" applyNumberFormat="1" applyFont="1" applyFill="1" applyBorder="1" applyAlignment="1" applyProtection="1">
      <alignment horizontal="right"/>
    </xf>
    <xf numFmtId="176" fontId="11" fillId="0" borderId="0" xfId="17" applyNumberFormat="1" applyFont="1" applyFill="1" applyBorder="1" applyAlignment="1" applyProtection="1">
      <alignment horizontal="right"/>
    </xf>
    <xf numFmtId="170" fontId="11" fillId="0" borderId="22" xfId="17" applyNumberFormat="1" applyFont="1" applyFill="1" applyBorder="1" applyAlignment="1" applyProtection="1">
      <alignment horizontal="right"/>
    </xf>
    <xf numFmtId="170" fontId="8" fillId="0" borderId="16" xfId="17" applyNumberFormat="1" applyFont="1" applyFill="1" applyBorder="1" applyAlignment="1" applyProtection="1">
      <alignment horizontal="right"/>
    </xf>
    <xf numFmtId="176" fontId="8" fillId="0" borderId="27" xfId="17" applyNumberFormat="1" applyFont="1" applyFill="1" applyBorder="1" applyAlignment="1" applyProtection="1">
      <alignment horizontal="right"/>
    </xf>
    <xf numFmtId="176" fontId="8" fillId="0" borderId="6" xfId="2" applyNumberFormat="1" applyFont="1" applyBorder="1" applyAlignment="1">
      <alignment horizontal="right"/>
    </xf>
    <xf numFmtId="0" fontId="25" fillId="0" borderId="0" xfId="2" applyFont="1" applyAlignment="1">
      <alignment horizontal="left" vertical="top" wrapText="1"/>
    </xf>
    <xf numFmtId="0" fontId="41" fillId="0" borderId="2" xfId="2" applyFont="1" applyBorder="1" applyAlignment="1">
      <alignment horizontal="right"/>
    </xf>
    <xf numFmtId="185" fontId="8" fillId="0" borderId="0" xfId="41" applyNumberFormat="1" applyFont="1" applyFill="1" applyBorder="1" applyAlignment="1" applyProtection="1">
      <alignment horizontal="right"/>
    </xf>
    <xf numFmtId="3" fontId="8" fillId="0" borderId="0" xfId="15" applyNumberFormat="1" applyFont="1"/>
    <xf numFmtId="165" fontId="8" fillId="0" borderId="0" xfId="15" applyNumberFormat="1" applyFont="1"/>
    <xf numFmtId="185" fontId="28" fillId="0" borderId="0" xfId="41" applyNumberFormat="1" applyFont="1" applyFill="1" applyBorder="1" applyAlignment="1" applyProtection="1">
      <alignment horizontal="right"/>
    </xf>
    <xf numFmtId="185" fontId="23" fillId="0" borderId="0" xfId="41" applyNumberFormat="1" applyFont="1" applyFill="1" applyBorder="1" applyAlignment="1" applyProtection="1">
      <alignment horizontal="right"/>
    </xf>
    <xf numFmtId="3" fontId="23" fillId="0" borderId="41" xfId="15" applyNumberFormat="1" applyFont="1" applyBorder="1"/>
    <xf numFmtId="3" fontId="23" fillId="2" borderId="43" xfId="15" applyNumberFormat="1" applyFont="1" applyFill="1" applyBorder="1"/>
    <xf numFmtId="0" fontId="8" fillId="0" borderId="65" xfId="2" applyFont="1" applyBorder="1" applyProtection="1">
      <protection locked="0"/>
    </xf>
    <xf numFmtId="0" fontId="63" fillId="0" borderId="0" xfId="2" applyFont="1" applyAlignment="1">
      <alignment vertical="top"/>
    </xf>
    <xf numFmtId="0" fontId="44" fillId="0" borderId="0" xfId="2" applyFont="1" applyAlignment="1">
      <alignment vertical="top"/>
    </xf>
    <xf numFmtId="0" fontId="11" fillId="0" borderId="0" xfId="2" applyFont="1" applyAlignment="1">
      <alignment horizontal="right" wrapText="1"/>
    </xf>
    <xf numFmtId="185" fontId="44" fillId="0" borderId="0" xfId="41" applyNumberFormat="1" applyFont="1" applyFill="1" applyBorder="1" applyAlignment="1" applyProtection="1">
      <alignment horizontal="right"/>
    </xf>
    <xf numFmtId="3" fontId="44" fillId="0" borderId="0" xfId="15" applyNumberFormat="1" applyFont="1"/>
    <xf numFmtId="0" fontId="44" fillId="0" borderId="0" xfId="2" applyFont="1" applyProtection="1">
      <protection locked="0"/>
    </xf>
    <xf numFmtId="165" fontId="44" fillId="0" borderId="0" xfId="15" applyNumberFormat="1" applyFont="1"/>
    <xf numFmtId="185" fontId="23" fillId="0" borderId="41" xfId="41" applyNumberFormat="1" applyFont="1" applyFill="1" applyBorder="1" applyAlignment="1" applyProtection="1">
      <alignment horizontal="right"/>
    </xf>
    <xf numFmtId="0" fontId="8" fillId="0" borderId="0" xfId="2" applyFont="1" applyAlignment="1">
      <alignment horizontal="left" wrapText="1"/>
    </xf>
    <xf numFmtId="185" fontId="23" fillId="2" borderId="43" xfId="41" applyNumberFormat="1" applyFont="1" applyFill="1" applyBorder="1" applyAlignment="1" applyProtection="1">
      <alignment horizontal="right"/>
    </xf>
    <xf numFmtId="0" fontId="11" fillId="0" borderId="6" xfId="2" applyFont="1" applyBorder="1" applyAlignment="1">
      <alignment horizontal="right" wrapText="1"/>
    </xf>
    <xf numFmtId="185" fontId="44" fillId="0" borderId="6" xfId="2" applyNumberFormat="1" applyFont="1" applyBorder="1" applyAlignment="1">
      <alignment horizontal="right"/>
    </xf>
    <xf numFmtId="0" fontId="44" fillId="0" borderId="6" xfId="15" applyFont="1" applyBorder="1"/>
    <xf numFmtId="3" fontId="44" fillId="0" borderId="6" xfId="15" applyNumberFormat="1" applyFont="1" applyBorder="1"/>
    <xf numFmtId="0" fontId="44" fillId="0" borderId="6" xfId="2" applyFont="1" applyBorder="1" applyProtection="1">
      <protection locked="0"/>
    </xf>
    <xf numFmtId="165" fontId="44" fillId="0" borderId="6" xfId="15" applyNumberFormat="1" applyFont="1" applyBorder="1"/>
    <xf numFmtId="185" fontId="23" fillId="0" borderId="6" xfId="41" applyNumberFormat="1" applyFont="1" applyFill="1" applyBorder="1" applyAlignment="1" applyProtection="1">
      <alignment horizontal="right"/>
    </xf>
    <xf numFmtId="185" fontId="23" fillId="0" borderId="44" xfId="41" applyNumberFormat="1" applyFont="1" applyFill="1" applyBorder="1" applyAlignment="1" applyProtection="1">
      <alignment horizontal="right"/>
    </xf>
    <xf numFmtId="185" fontId="23" fillId="2" borderId="46" xfId="41" applyNumberFormat="1" applyFont="1" applyFill="1" applyBorder="1" applyAlignment="1" applyProtection="1">
      <alignment horizontal="right"/>
    </xf>
    <xf numFmtId="0" fontId="99" fillId="0" borderId="0" xfId="2" applyFont="1" applyProtection="1">
      <protection locked="0"/>
    </xf>
    <xf numFmtId="3" fontId="28" fillId="0" borderId="0" xfId="15" applyNumberFormat="1" applyFont="1"/>
    <xf numFmtId="185" fontId="28" fillId="0" borderId="6" xfId="2" applyNumberFormat="1" applyFont="1" applyBorder="1" applyAlignment="1">
      <alignment horizontal="right"/>
    </xf>
    <xf numFmtId="3" fontId="28" fillId="0" borderId="6" xfId="15" applyNumberFormat="1" applyFont="1" applyBorder="1"/>
    <xf numFmtId="0" fontId="0" fillId="0" borderId="0" xfId="2" applyFont="1" applyAlignment="1">
      <alignment wrapText="1"/>
    </xf>
    <xf numFmtId="9" fontId="8" fillId="0" borderId="0" xfId="2" applyNumberFormat="1" applyFont="1" applyProtection="1">
      <protection locked="0"/>
    </xf>
    <xf numFmtId="0" fontId="95" fillId="0" borderId="0" xfId="2" applyFont="1" applyProtection="1">
      <protection locked="0"/>
    </xf>
    <xf numFmtId="9" fontId="7" fillId="0" borderId="6" xfId="2" applyNumberFormat="1" applyFont="1" applyBorder="1"/>
    <xf numFmtId="9" fontId="8" fillId="0" borderId="6" xfId="2" applyNumberFormat="1" applyFont="1" applyBorder="1"/>
    <xf numFmtId="0" fontId="8" fillId="0" borderId="2" xfId="2" applyFont="1" applyBorder="1" applyAlignment="1">
      <alignment wrapText="1"/>
    </xf>
    <xf numFmtId="0" fontId="90" fillId="0" borderId="0" xfId="2" applyFont="1" applyAlignment="1">
      <alignment horizontal="right" vertical="top"/>
    </xf>
    <xf numFmtId="0" fontId="8" fillId="0" borderId="41" xfId="2" applyFont="1" applyBorder="1" applyAlignment="1">
      <alignment horizontal="right" wrapText="1"/>
    </xf>
    <xf numFmtId="0" fontId="7" fillId="0" borderId="41" xfId="2" applyFont="1" applyBorder="1" applyAlignment="1" applyProtection="1">
      <alignment horizontal="right"/>
      <protection locked="0"/>
    </xf>
    <xf numFmtId="170" fontId="8" fillId="0" borderId="41" xfId="17" applyNumberFormat="1" applyFont="1" applyFill="1" applyBorder="1" applyAlignment="1" applyProtection="1">
      <alignment horizontal="right"/>
    </xf>
    <xf numFmtId="167" fontId="11" fillId="0" borderId="65" xfId="0" applyNumberFormat="1" applyFont="1" applyBorder="1"/>
    <xf numFmtId="170" fontId="8" fillId="0" borderId="43" xfId="17" applyNumberFormat="1" applyFont="1" applyFill="1" applyBorder="1" applyAlignment="1" applyProtection="1">
      <alignment horizontal="right"/>
    </xf>
    <xf numFmtId="0" fontId="8" fillId="0" borderId="41" xfId="2" applyFont="1" applyBorder="1" applyAlignment="1" applyProtection="1">
      <alignment horizontal="right"/>
      <protection locked="0"/>
    </xf>
    <xf numFmtId="9" fontId="11" fillId="0" borderId="67" xfId="1" applyFont="1" applyBorder="1"/>
    <xf numFmtId="167" fontId="11" fillId="0" borderId="67" xfId="0" applyNumberFormat="1" applyFont="1" applyBorder="1"/>
    <xf numFmtId="170" fontId="8" fillId="0" borderId="60" xfId="17" applyNumberFormat="1" applyFont="1" applyFill="1" applyBorder="1" applyAlignment="1" applyProtection="1">
      <alignment horizontal="right"/>
    </xf>
    <xf numFmtId="0" fontId="8" fillId="0" borderId="60" xfId="2" applyFont="1" applyBorder="1" applyAlignment="1">
      <alignment horizontal="right" wrapText="1"/>
    </xf>
    <xf numFmtId="170" fontId="8" fillId="0" borderId="66" xfId="17" applyNumberFormat="1" applyFont="1" applyFill="1" applyBorder="1" applyAlignment="1" applyProtection="1">
      <alignment horizontal="right"/>
    </xf>
    <xf numFmtId="0" fontId="8" fillId="0" borderId="6" xfId="2" applyFont="1" applyBorder="1" applyAlignment="1">
      <alignment horizontal="left" wrapText="1"/>
    </xf>
    <xf numFmtId="167" fontId="0" fillId="2" borderId="23" xfId="0" applyNumberFormat="1" applyFill="1" applyBorder="1"/>
    <xf numFmtId="167" fontId="0" fillId="0" borderId="23" xfId="0" applyNumberFormat="1" applyBorder="1"/>
    <xf numFmtId="167" fontId="36" fillId="0" borderId="23" xfId="0" applyNumberFormat="1" applyFont="1" applyBorder="1"/>
    <xf numFmtId="167" fontId="36" fillId="2" borderId="23" xfId="0" applyNumberFormat="1" applyFont="1" applyFill="1" applyBorder="1"/>
    <xf numFmtId="0" fontId="7" fillId="0" borderId="0" xfId="1" applyNumberFormat="1" applyFont="1" applyFill="1" applyBorder="1" applyAlignment="1" applyProtection="1">
      <alignment horizontal="right"/>
    </xf>
    <xf numFmtId="170" fontId="8" fillId="0" borderId="0" xfId="1" applyNumberFormat="1" applyFont="1" applyFill="1" applyBorder="1" applyAlignment="1" applyProtection="1">
      <alignment horizontal="right"/>
    </xf>
    <xf numFmtId="9" fontId="8" fillId="0" borderId="0" xfId="1" applyFont="1" applyFill="1" applyBorder="1" applyAlignment="1" applyProtection="1">
      <alignment horizontal="right"/>
    </xf>
    <xf numFmtId="0" fontId="8" fillId="0" borderId="0" xfId="1" applyNumberFormat="1" applyFont="1" applyFill="1" applyBorder="1" applyAlignment="1" applyProtection="1">
      <alignment horizontal="right" wrapText="1"/>
    </xf>
    <xf numFmtId="170" fontId="8" fillId="0" borderId="0" xfId="1" applyNumberFormat="1" applyFont="1" applyFill="1" applyBorder="1" applyAlignment="1" applyProtection="1">
      <alignment horizontal="right" wrapText="1"/>
    </xf>
    <xf numFmtId="9" fontId="8" fillId="0" borderId="0" xfId="1" applyFont="1" applyFill="1" applyBorder="1" applyAlignment="1" applyProtection="1">
      <alignment horizontal="right"/>
      <protection locked="0"/>
    </xf>
    <xf numFmtId="0" fontId="8" fillId="0" borderId="6" xfId="1" applyNumberFormat="1" applyFont="1" applyFill="1" applyBorder="1" applyAlignment="1" applyProtection="1">
      <alignment horizontal="right"/>
    </xf>
    <xf numFmtId="170" fontId="8" fillId="0" borderId="6" xfId="1" applyNumberFormat="1" applyFont="1" applyFill="1" applyBorder="1" applyAlignment="1" applyProtection="1">
      <alignment horizontal="right" wrapText="1"/>
    </xf>
    <xf numFmtId="9" fontId="8" fillId="0" borderId="6" xfId="1" applyFont="1" applyFill="1" applyBorder="1" applyAlignment="1" applyProtection="1">
      <alignment horizontal="right"/>
    </xf>
    <xf numFmtId="170" fontId="8" fillId="0" borderId="6" xfId="1" applyNumberFormat="1" applyFont="1" applyFill="1" applyBorder="1" applyAlignment="1" applyProtection="1">
      <alignment horizontal="right"/>
    </xf>
    <xf numFmtId="170" fontId="7" fillId="0" borderId="0" xfId="17" applyNumberFormat="1" applyFont="1" applyFill="1" applyBorder="1" applyAlignment="1" applyProtection="1">
      <alignment horizontal="right"/>
    </xf>
    <xf numFmtId="170" fontId="7" fillId="0" borderId="0" xfId="1" applyNumberFormat="1" applyFont="1" applyFill="1" applyBorder="1" applyAlignment="1" applyProtection="1">
      <alignment horizontal="right" wrapText="1"/>
    </xf>
    <xf numFmtId="9" fontId="7" fillId="0" borderId="0" xfId="1" applyFont="1" applyFill="1" applyBorder="1" applyAlignment="1" applyProtection="1">
      <alignment horizontal="right" wrapText="1"/>
    </xf>
    <xf numFmtId="9" fontId="6" fillId="0" borderId="0" xfId="17" applyFont="1" applyFill="1" applyProtection="1">
      <protection locked="0"/>
    </xf>
    <xf numFmtId="170" fontId="8" fillId="3" borderId="41" xfId="17" applyNumberFormat="1" applyFont="1" applyFill="1" applyBorder="1" applyAlignment="1" applyProtection="1">
      <alignment horizontal="right"/>
    </xf>
    <xf numFmtId="170" fontId="8" fillId="3" borderId="43" xfId="17" applyNumberFormat="1" applyFont="1" applyFill="1" applyBorder="1" applyAlignment="1" applyProtection="1">
      <alignment horizontal="right"/>
    </xf>
    <xf numFmtId="0" fontId="8" fillId="0" borderId="0" xfId="2" applyFont="1" applyAlignment="1" applyProtection="1">
      <alignment horizontal="right"/>
      <protection locked="0"/>
    </xf>
    <xf numFmtId="170" fontId="8" fillId="3" borderId="60" xfId="17" applyNumberFormat="1" applyFont="1" applyFill="1" applyBorder="1" applyAlignment="1" applyProtection="1">
      <alignment horizontal="right"/>
    </xf>
    <xf numFmtId="170" fontId="8" fillId="3" borderId="66" xfId="17" applyNumberFormat="1" applyFont="1" applyFill="1" applyBorder="1" applyAlignment="1" applyProtection="1">
      <alignment horizontal="right"/>
    </xf>
    <xf numFmtId="170" fontId="8" fillId="0" borderId="6" xfId="17" applyNumberFormat="1" applyFont="1" applyFill="1" applyBorder="1" applyAlignment="1" applyProtection="1">
      <alignment horizontal="right"/>
    </xf>
    <xf numFmtId="3" fontId="6" fillId="0" borderId="0" xfId="2" applyNumberFormat="1" applyFont="1" applyProtection="1">
      <protection locked="0"/>
    </xf>
    <xf numFmtId="0" fontId="102" fillId="0" borderId="0" xfId="15" applyFont="1"/>
    <xf numFmtId="170" fontId="6" fillId="0" borderId="0" xfId="17" applyNumberFormat="1" applyFont="1" applyFill="1" applyProtection="1">
      <protection locked="0"/>
    </xf>
    <xf numFmtId="0" fontId="5" fillId="2" borderId="0" xfId="2" applyFont="1" applyFill="1" applyAlignment="1" applyProtection="1">
      <alignment vertical="top"/>
      <protection locked="0"/>
    </xf>
    <xf numFmtId="0" fontId="0" fillId="2" borderId="0" xfId="2" applyFont="1" applyFill="1" applyAlignment="1" applyProtection="1">
      <alignment vertical="top"/>
      <protection locked="0"/>
    </xf>
    <xf numFmtId="3" fontId="7" fillId="2" borderId="60" xfId="2" applyNumberFormat="1" applyFont="1" applyFill="1" applyBorder="1"/>
    <xf numFmtId="3" fontId="7" fillId="2" borderId="66" xfId="2" applyNumberFormat="1" applyFont="1" applyFill="1" applyBorder="1"/>
    <xf numFmtId="3" fontId="7" fillId="0" borderId="66" xfId="2" applyNumberFormat="1" applyFont="1" applyBorder="1"/>
    <xf numFmtId="2" fontId="19" fillId="2" borderId="0" xfId="2" applyNumberFormat="1" applyFont="1" applyFill="1" applyProtection="1">
      <protection locked="0"/>
    </xf>
    <xf numFmtId="3" fontId="8" fillId="2" borderId="41" xfId="2" applyNumberFormat="1" applyFont="1" applyFill="1" applyBorder="1"/>
    <xf numFmtId="3" fontId="8" fillId="2" borderId="43" xfId="2" applyNumberFormat="1" applyFont="1" applyFill="1" applyBorder="1"/>
    <xf numFmtId="3" fontId="8" fillId="2" borderId="60" xfId="2" applyNumberFormat="1" applyFont="1" applyFill="1" applyBorder="1"/>
    <xf numFmtId="3" fontId="8" fillId="2" borderId="66" xfId="2" applyNumberFormat="1" applyFont="1" applyFill="1" applyBorder="1" applyAlignment="1">
      <alignment horizontal="center"/>
    </xf>
    <xf numFmtId="0" fontId="7" fillId="2" borderId="0" xfId="2" applyFont="1" applyFill="1" applyAlignment="1">
      <alignment horizontal="center"/>
    </xf>
    <xf numFmtId="3" fontId="8" fillId="2" borderId="66" xfId="2" applyNumberFormat="1" applyFont="1" applyFill="1" applyBorder="1"/>
    <xf numFmtId="2" fontId="19" fillId="2" borderId="0" xfId="2" applyNumberFormat="1" applyFont="1" applyFill="1" applyAlignment="1" applyProtection="1">
      <alignment horizontal="right"/>
      <protection locked="0"/>
    </xf>
    <xf numFmtId="0" fontId="7" fillId="2" borderId="0" xfId="2" applyFont="1" applyFill="1" applyProtection="1">
      <protection locked="0"/>
    </xf>
    <xf numFmtId="3" fontId="7" fillId="2" borderId="0" xfId="2" applyNumberFormat="1" applyFont="1" applyFill="1"/>
    <xf numFmtId="3" fontId="7" fillId="2" borderId="41" xfId="2" applyNumberFormat="1" applyFont="1" applyFill="1" applyBorder="1"/>
    <xf numFmtId="3" fontId="19" fillId="2" borderId="0" xfId="2" applyNumberFormat="1" applyFont="1" applyFill="1" applyProtection="1">
      <protection locked="0"/>
    </xf>
    <xf numFmtId="169" fontId="0" fillId="2" borderId="0" xfId="2" applyNumberFormat="1" applyFont="1" applyFill="1" applyProtection="1">
      <protection locked="0"/>
    </xf>
    <xf numFmtId="3" fontId="8" fillId="2" borderId="0" xfId="2" applyNumberFormat="1" applyFont="1" applyFill="1"/>
    <xf numFmtId="9" fontId="7" fillId="2" borderId="0" xfId="17" applyFont="1" applyFill="1" applyBorder="1" applyAlignment="1">
      <alignment horizontal="left"/>
    </xf>
    <xf numFmtId="9" fontId="8" fillId="2" borderId="0" xfId="17" applyFont="1" applyFill="1" applyBorder="1" applyAlignment="1">
      <alignment horizontal="right"/>
    </xf>
    <xf numFmtId="0" fontId="99" fillId="0" borderId="0" xfId="2" applyFont="1"/>
    <xf numFmtId="0" fontId="8" fillId="0" borderId="50" xfId="2" applyFont="1" applyBorder="1" applyAlignment="1">
      <alignment horizontal="right"/>
    </xf>
    <xf numFmtId="176" fontId="8" fillId="2" borderId="44" xfId="17" applyNumberFormat="1" applyFont="1" applyFill="1" applyBorder="1" applyAlignment="1">
      <alignment horizontal="right"/>
    </xf>
    <xf numFmtId="176" fontId="8" fillId="2" borderId="50" xfId="17" applyNumberFormat="1" applyFont="1" applyFill="1" applyBorder="1" applyAlignment="1">
      <alignment horizontal="right"/>
    </xf>
    <xf numFmtId="168" fontId="0" fillId="2" borderId="0" xfId="2" applyNumberFormat="1" applyFont="1" applyFill="1" applyProtection="1">
      <protection locked="0"/>
    </xf>
    <xf numFmtId="0" fontId="6" fillId="2" borderId="0" xfId="2" applyFont="1" applyFill="1" applyAlignment="1" applyProtection="1">
      <alignment vertical="top"/>
      <protection locked="0"/>
    </xf>
    <xf numFmtId="0" fontId="7" fillId="0" borderId="0" xfId="2" applyFont="1" applyAlignment="1" applyProtection="1">
      <alignment horizontal="left" vertical="center"/>
      <protection locked="0"/>
    </xf>
    <xf numFmtId="0" fontId="7" fillId="0" borderId="0" xfId="2" applyFont="1" applyAlignment="1" applyProtection="1">
      <alignment horizontal="left" vertical="top" wrapText="1"/>
      <protection locked="0"/>
    </xf>
    <xf numFmtId="0" fontId="7" fillId="0" borderId="61" xfId="2" applyFont="1" applyBorder="1" applyAlignment="1" applyProtection="1">
      <alignment horizontal="left" vertical="center"/>
      <protection locked="0"/>
    </xf>
    <xf numFmtId="0" fontId="7" fillId="0" borderId="22" xfId="2" applyFont="1" applyBorder="1" applyAlignment="1" applyProtection="1">
      <alignment vertical="center"/>
      <protection locked="0"/>
    </xf>
    <xf numFmtId="0" fontId="7" fillId="0" borderId="45" xfId="2" applyFont="1" applyBorder="1" applyAlignment="1" applyProtection="1">
      <alignment horizontal="right" vertical="center"/>
      <protection locked="0"/>
    </xf>
    <xf numFmtId="0" fontId="7" fillId="0" borderId="6" xfId="2" applyFont="1" applyBorder="1" applyAlignment="1">
      <alignment horizontal="right" vertical="center" wrapText="1"/>
    </xf>
    <xf numFmtId="0" fontId="7" fillId="0" borderId="50" xfId="2" applyFont="1" applyBorder="1" applyAlignment="1">
      <alignment horizontal="right" vertical="center" wrapText="1"/>
    </xf>
    <xf numFmtId="0" fontId="7" fillId="0" borderId="6" xfId="2" applyFont="1" applyBorder="1" applyAlignment="1" applyProtection="1">
      <alignment horizontal="right" vertical="center"/>
      <protection locked="0"/>
    </xf>
    <xf numFmtId="2" fontId="8" fillId="0" borderId="0" xfId="2" applyNumberFormat="1" applyFont="1" applyAlignment="1" applyProtection="1">
      <alignment horizontal="right"/>
      <protection locked="0"/>
    </xf>
    <xf numFmtId="2" fontId="8" fillId="0" borderId="22" xfId="2" applyNumberFormat="1" applyFont="1" applyBorder="1" applyAlignment="1" applyProtection="1">
      <alignment horizontal="right"/>
      <protection locked="0"/>
    </xf>
    <xf numFmtId="0" fontId="7" fillId="0" borderId="50" xfId="2" applyFont="1" applyBorder="1" applyAlignment="1">
      <alignment horizontal="right"/>
    </xf>
    <xf numFmtId="2" fontId="7" fillId="0" borderId="6" xfId="2" applyNumberFormat="1" applyFont="1" applyBorder="1" applyAlignment="1">
      <alignment horizontal="right"/>
    </xf>
    <xf numFmtId="2" fontId="7" fillId="0" borderId="6" xfId="2" applyNumberFormat="1" applyFont="1" applyBorder="1" applyAlignment="1" applyProtection="1">
      <alignment horizontal="right"/>
      <protection locked="0"/>
    </xf>
    <xf numFmtId="2" fontId="7" fillId="0" borderId="50" xfId="2" applyNumberFormat="1" applyFont="1" applyBorder="1" applyAlignment="1">
      <alignment horizontal="right"/>
    </xf>
    <xf numFmtId="2" fontId="7" fillId="0" borderId="0" xfId="2" applyNumberFormat="1" applyFont="1" applyAlignment="1">
      <alignment horizontal="right"/>
    </xf>
    <xf numFmtId="165" fontId="7" fillId="0" borderId="0" xfId="2" applyNumberFormat="1" applyFont="1" applyAlignment="1" applyProtection="1">
      <alignment horizontal="right"/>
      <protection locked="0"/>
    </xf>
    <xf numFmtId="169" fontId="0" fillId="0" borderId="0" xfId="2" applyNumberFormat="1" applyFont="1" applyProtection="1">
      <protection locked="0"/>
    </xf>
    <xf numFmtId="0" fontId="7" fillId="0" borderId="0" xfId="2" applyFont="1" applyAlignment="1">
      <alignment horizontal="left" vertical="center" wrapText="1"/>
    </xf>
    <xf numFmtId="0" fontId="0" fillId="0" borderId="0" xfId="2" applyFont="1" applyAlignment="1" applyProtection="1">
      <alignment vertical="top"/>
      <protection locked="0"/>
    </xf>
    <xf numFmtId="0" fontId="8" fillId="0" borderId="22" xfId="2" applyFont="1" applyBorder="1" applyAlignment="1">
      <alignment horizontal="right" wrapText="1"/>
    </xf>
    <xf numFmtId="173" fontId="8" fillId="0" borderId="0" xfId="34" applyNumberFormat="1" applyFont="1" applyFill="1" applyBorder="1" applyAlignment="1" applyProtection="1">
      <alignment horizontal="right"/>
    </xf>
    <xf numFmtId="0" fontId="7" fillId="0" borderId="47" xfId="2" applyFont="1" applyBorder="1"/>
    <xf numFmtId="0" fontId="7" fillId="0" borderId="18" xfId="2" applyFont="1" applyBorder="1" applyAlignment="1">
      <alignment horizontal="right"/>
    </xf>
    <xf numFmtId="3" fontId="7" fillId="0" borderId="0" xfId="2" applyNumberFormat="1" applyFont="1"/>
    <xf numFmtId="3" fontId="8" fillId="0" borderId="18" xfId="2" applyNumberFormat="1" applyFont="1" applyBorder="1"/>
    <xf numFmtId="176" fontId="0" fillId="0" borderId="0" xfId="2" applyNumberFormat="1" applyFont="1"/>
    <xf numFmtId="176" fontId="7" fillId="0" borderId="6" xfId="2" applyNumberFormat="1" applyFont="1" applyBorder="1"/>
    <xf numFmtId="0" fontId="8" fillId="0" borderId="18" xfId="2" applyFont="1" applyBorder="1" applyAlignment="1">
      <alignment horizontal="right"/>
    </xf>
    <xf numFmtId="0" fontId="8" fillId="0" borderId="16" xfId="2" applyFont="1" applyBorder="1"/>
    <xf numFmtId="3" fontId="8" fillId="0" borderId="41" xfId="2" applyNumberFormat="1" applyFont="1" applyBorder="1" applyAlignment="1">
      <alignment horizontal="right"/>
    </xf>
    <xf numFmtId="0" fontId="8" fillId="0" borderId="18" xfId="2" applyFont="1" applyBorder="1" applyAlignment="1">
      <alignment horizontal="right" wrapText="1"/>
    </xf>
    <xf numFmtId="0" fontId="8" fillId="0" borderId="43" xfId="2" applyFont="1" applyBorder="1" applyAlignment="1">
      <alignment horizontal="right"/>
    </xf>
    <xf numFmtId="0" fontId="7" fillId="0" borderId="44" xfId="2" applyFont="1" applyBorder="1" applyAlignment="1">
      <alignment horizontal="right"/>
    </xf>
    <xf numFmtId="0" fontId="7" fillId="0" borderId="45" xfId="2" applyFont="1" applyBorder="1" applyAlignment="1">
      <alignment horizontal="right"/>
    </xf>
    <xf numFmtId="0" fontId="7" fillId="0" borderId="46" xfId="2" applyFont="1" applyBorder="1" applyAlignment="1">
      <alignment horizontal="right"/>
    </xf>
    <xf numFmtId="176" fontId="8" fillId="0" borderId="0" xfId="2" applyNumberFormat="1" applyFont="1"/>
    <xf numFmtId="176" fontId="7" fillId="0" borderId="0" xfId="2" applyNumberFormat="1" applyFont="1"/>
    <xf numFmtId="0" fontId="3" fillId="0" borderId="0" xfId="2" applyFont="1" applyAlignment="1">
      <alignment vertical="top"/>
    </xf>
    <xf numFmtId="0" fontId="3" fillId="0" borderId="0" xfId="2" applyFont="1"/>
    <xf numFmtId="0" fontId="3" fillId="0" borderId="0" xfId="2" applyFont="1" applyProtection="1">
      <protection locked="0"/>
    </xf>
    <xf numFmtId="0" fontId="7" fillId="0" borderId="22" xfId="2" applyFont="1" applyBorder="1" applyAlignment="1" applyProtection="1">
      <alignment horizontal="right"/>
      <protection locked="0"/>
    </xf>
    <xf numFmtId="0" fontId="7" fillId="0" borderId="16" xfId="2" applyFont="1" applyBorder="1" applyAlignment="1" applyProtection="1">
      <alignment horizontal="right"/>
      <protection locked="0"/>
    </xf>
    <xf numFmtId="176" fontId="8" fillId="0" borderId="50" xfId="2" applyNumberFormat="1" applyFont="1" applyBorder="1" applyAlignment="1">
      <alignment horizontal="right"/>
    </xf>
    <xf numFmtId="3" fontId="8" fillId="0" borderId="50" xfId="2" applyNumberFormat="1" applyFont="1" applyBorder="1" applyAlignment="1">
      <alignment horizontal="right"/>
    </xf>
    <xf numFmtId="3" fontId="8" fillId="0" borderId="45" xfId="2" applyNumberFormat="1" applyFont="1" applyBorder="1" applyAlignment="1">
      <alignment horizontal="right"/>
    </xf>
    <xf numFmtId="173" fontId="8" fillId="0" borderId="50" xfId="14" applyNumberFormat="1" applyFont="1" applyFill="1" applyBorder="1" applyAlignment="1" applyProtection="1">
      <alignment horizontal="right"/>
    </xf>
    <xf numFmtId="0" fontId="11" fillId="0" borderId="17" xfId="2" applyFont="1" applyBorder="1" applyAlignment="1" applyProtection="1">
      <alignment horizontal="right"/>
      <protection locked="0"/>
    </xf>
    <xf numFmtId="0" fontId="11" fillId="0" borderId="22" xfId="2" applyFont="1" applyBorder="1" applyAlignment="1" applyProtection="1">
      <alignment horizontal="center"/>
      <protection locked="0"/>
    </xf>
    <xf numFmtId="173" fontId="8" fillId="0" borderId="0" xfId="2" applyNumberFormat="1" applyFont="1" applyAlignment="1">
      <alignment horizontal="right"/>
    </xf>
    <xf numFmtId="3" fontId="7" fillId="0" borderId="22" xfId="2" applyNumberFormat="1" applyFont="1" applyBorder="1"/>
    <xf numFmtId="0" fontId="11" fillId="0" borderId="50" xfId="2" applyFont="1" applyBorder="1" applyAlignment="1" applyProtection="1">
      <alignment horizontal="center"/>
      <protection locked="0"/>
    </xf>
    <xf numFmtId="3" fontId="7" fillId="0" borderId="18" xfId="2" applyNumberFormat="1" applyFont="1" applyBorder="1"/>
    <xf numFmtId="0" fontId="0" fillId="0" borderId="0" xfId="2" applyFont="1" applyAlignment="1" applyProtection="1">
      <alignment horizontal="center"/>
      <protection locked="0"/>
    </xf>
    <xf numFmtId="176" fontId="0" fillId="0" borderId="0" xfId="2" applyNumberFormat="1" applyFont="1" applyProtection="1">
      <protection locked="0"/>
    </xf>
    <xf numFmtId="9" fontId="7" fillId="0" borderId="0" xfId="17" applyFont="1" applyFill="1" applyBorder="1" applyAlignment="1">
      <alignment horizontal="right"/>
    </xf>
    <xf numFmtId="9" fontId="8" fillId="0" borderId="0" xfId="17" applyFont="1" applyFill="1" applyBorder="1" applyAlignment="1">
      <alignment horizontal="right"/>
    </xf>
    <xf numFmtId="9" fontId="7" fillId="2" borderId="38" xfId="17" quotePrefix="1" applyFont="1" applyFill="1" applyBorder="1" applyAlignment="1">
      <alignment horizontal="right"/>
    </xf>
    <xf numFmtId="17" fontId="8" fillId="2" borderId="18" xfId="17" applyNumberFormat="1" applyFont="1" applyFill="1" applyBorder="1" applyAlignment="1">
      <alignment horizontal="right"/>
    </xf>
    <xf numFmtId="0" fontId="8" fillId="2" borderId="22" xfId="17" applyNumberFormat="1" applyFont="1" applyFill="1" applyBorder="1" applyAlignment="1">
      <alignment horizontal="right"/>
    </xf>
    <xf numFmtId="17" fontId="8" fillId="2" borderId="0" xfId="17" applyNumberFormat="1" applyFont="1" applyFill="1" applyBorder="1" applyAlignment="1">
      <alignment horizontal="right"/>
    </xf>
    <xf numFmtId="17" fontId="8" fillId="0" borderId="0" xfId="17" applyNumberFormat="1" applyFont="1" applyFill="1" applyBorder="1" applyAlignment="1">
      <alignment horizontal="right"/>
    </xf>
    <xf numFmtId="0" fontId="8" fillId="0" borderId="22" xfId="17" applyNumberFormat="1" applyFont="1" applyFill="1" applyBorder="1" applyAlignment="1">
      <alignment horizontal="right"/>
    </xf>
    <xf numFmtId="17" fontId="8" fillId="0" borderId="18" xfId="17" applyNumberFormat="1" applyFont="1" applyFill="1" applyBorder="1" applyAlignment="1">
      <alignment horizontal="right"/>
    </xf>
    <xf numFmtId="176" fontId="8" fillId="2" borderId="18" xfId="17" applyNumberFormat="1" applyFont="1" applyFill="1" applyBorder="1" applyAlignment="1">
      <alignment horizontal="right"/>
    </xf>
    <xf numFmtId="176" fontId="8" fillId="2" borderId="22" xfId="17" applyNumberFormat="1" applyFont="1" applyFill="1" applyBorder="1" applyAlignment="1">
      <alignment horizontal="right"/>
    </xf>
    <xf numFmtId="176" fontId="8" fillId="2" borderId="0" xfId="17" applyNumberFormat="1" applyFont="1" applyFill="1" applyBorder="1" applyAlignment="1">
      <alignment horizontal="right"/>
    </xf>
    <xf numFmtId="17" fontId="8" fillId="0" borderId="22" xfId="17" applyNumberFormat="1" applyFont="1" applyFill="1" applyBorder="1" applyAlignment="1">
      <alignment horizontal="right"/>
    </xf>
    <xf numFmtId="176" fontId="8" fillId="2" borderId="45" xfId="17" applyNumberFormat="1" applyFont="1" applyFill="1" applyBorder="1" applyAlignment="1">
      <alignment horizontal="right"/>
    </xf>
    <xf numFmtId="176" fontId="8" fillId="2" borderId="6" xfId="17" applyNumberFormat="1" applyFont="1" applyFill="1" applyBorder="1" applyAlignment="1">
      <alignment horizontal="right"/>
    </xf>
    <xf numFmtId="17" fontId="8" fillId="0" borderId="45" xfId="17" applyNumberFormat="1" applyFont="1" applyFill="1" applyBorder="1" applyAlignment="1">
      <alignment horizontal="right"/>
    </xf>
    <xf numFmtId="17" fontId="8" fillId="0" borderId="50" xfId="17" applyNumberFormat="1" applyFont="1" applyFill="1" applyBorder="1" applyAlignment="1">
      <alignment horizontal="right"/>
    </xf>
    <xf numFmtId="9" fontId="7" fillId="0" borderId="0" xfId="17" applyFont="1" applyFill="1" applyBorder="1" applyAlignment="1" applyProtection="1">
      <alignment horizontal="right"/>
    </xf>
    <xf numFmtId="0" fontId="78" fillId="0" borderId="0" xfId="2" applyFont="1" applyProtection="1">
      <protection locked="0"/>
    </xf>
    <xf numFmtId="0" fontId="15" fillId="0" borderId="4" xfId="2" applyFont="1" applyBorder="1"/>
    <xf numFmtId="17" fontId="7" fillId="0" borderId="5" xfId="2" applyNumberFormat="1" applyFont="1" applyBorder="1" applyAlignment="1">
      <alignment horizontal="right"/>
    </xf>
    <xf numFmtId="17" fontId="7" fillId="0" borderId="45" xfId="2" applyNumberFormat="1" applyFont="1" applyBorder="1" applyAlignment="1">
      <alignment horizontal="right"/>
    </xf>
    <xf numFmtId="0" fontId="7" fillId="0" borderId="81" xfId="2" applyFont="1" applyBorder="1" applyAlignment="1">
      <alignment horizontal="right"/>
    </xf>
    <xf numFmtId="0" fontId="7" fillId="2" borderId="45" xfId="2" applyFont="1" applyFill="1" applyBorder="1" applyAlignment="1">
      <alignment horizontal="right"/>
    </xf>
    <xf numFmtId="0" fontId="7" fillId="2" borderId="17" xfId="2" applyFont="1" applyFill="1" applyBorder="1" applyAlignment="1">
      <alignment horizontal="right"/>
    </xf>
    <xf numFmtId="0" fontId="7" fillId="0" borderId="17" xfId="2" applyFont="1" applyBorder="1" applyAlignment="1">
      <alignment horizontal="right"/>
    </xf>
    <xf numFmtId="0" fontId="8" fillId="0" borderId="5" xfId="2" applyFont="1" applyBorder="1" applyAlignment="1">
      <alignment horizontal="right"/>
    </xf>
    <xf numFmtId="1" fontId="8" fillId="0" borderId="50" xfId="2" applyNumberFormat="1" applyFont="1" applyBorder="1"/>
    <xf numFmtId="1" fontId="8" fillId="0" borderId="45" xfId="2" applyNumberFormat="1" applyFont="1" applyBorder="1" applyAlignment="1">
      <alignment horizontal="right"/>
    </xf>
    <xf numFmtId="1" fontId="8" fillId="0" borderId="81" xfId="2" applyNumberFormat="1" applyFont="1" applyBorder="1"/>
    <xf numFmtId="1" fontId="8" fillId="2" borderId="45" xfId="2" applyNumberFormat="1" applyFont="1" applyFill="1" applyBorder="1"/>
    <xf numFmtId="1" fontId="8" fillId="2" borderId="17" xfId="2" applyNumberFormat="1" applyFont="1" applyFill="1" applyBorder="1"/>
    <xf numFmtId="1" fontId="8" fillId="0" borderId="17" xfId="2" applyNumberFormat="1" applyFont="1" applyBorder="1"/>
    <xf numFmtId="1" fontId="6" fillId="0" borderId="0" xfId="2" applyNumberFormat="1" applyFont="1"/>
    <xf numFmtId="1" fontId="6" fillId="0" borderId="0" xfId="2" applyNumberFormat="1" applyFont="1" applyProtection="1">
      <protection locked="0"/>
    </xf>
    <xf numFmtId="0" fontId="15" fillId="0" borderId="3" xfId="2" applyFont="1" applyBorder="1"/>
    <xf numFmtId="0" fontId="15" fillId="0" borderId="23" xfId="2" applyFont="1" applyBorder="1"/>
    <xf numFmtId="1" fontId="25" fillId="0" borderId="4" xfId="0" applyNumberFormat="1" applyFont="1" applyBorder="1" applyAlignment="1">
      <alignment horizontal="center"/>
    </xf>
    <xf numFmtId="1" fontId="25" fillId="0" borderId="21" xfId="0" applyNumberFormat="1" applyFont="1" applyBorder="1" applyAlignment="1">
      <alignment horizontal="center"/>
    </xf>
    <xf numFmtId="1" fontId="25" fillId="2" borderId="4" xfId="0" applyNumberFormat="1" applyFont="1" applyFill="1" applyBorder="1" applyAlignment="1">
      <alignment horizontal="center"/>
    </xf>
    <xf numFmtId="1" fontId="25" fillId="2" borderId="21" xfId="0" applyNumberFormat="1" applyFont="1" applyFill="1" applyBorder="1" applyAlignment="1">
      <alignment horizontal="center"/>
    </xf>
    <xf numFmtId="1" fontId="25" fillId="0" borderId="0" xfId="0" applyNumberFormat="1" applyFont="1" applyAlignment="1">
      <alignment horizontal="center"/>
    </xf>
    <xf numFmtId="0" fontId="4" fillId="0" borderId="15" xfId="2" applyBorder="1" applyAlignment="1">
      <alignment horizontal="center"/>
    </xf>
    <xf numFmtId="0" fontId="4" fillId="0" borderId="16" xfId="2" applyBorder="1" applyAlignment="1">
      <alignment horizontal="center"/>
    </xf>
    <xf numFmtId="1" fontId="25" fillId="0" borderId="15" xfId="0" applyNumberFormat="1" applyFont="1" applyBorder="1" applyAlignment="1">
      <alignment horizontal="center"/>
    </xf>
    <xf numFmtId="1" fontId="25" fillId="0" borderId="16" xfId="0" applyNumberFormat="1" applyFont="1" applyBorder="1" applyAlignment="1">
      <alignment horizontal="center"/>
    </xf>
    <xf numFmtId="1" fontId="25" fillId="2" borderId="15" xfId="0" applyNumberFormat="1" applyFont="1" applyFill="1" applyBorder="1" applyAlignment="1">
      <alignment horizontal="center"/>
    </xf>
    <xf numFmtId="1" fontId="25" fillId="2" borderId="16" xfId="0" applyNumberFormat="1" applyFont="1" applyFill="1" applyBorder="1" applyAlignment="1">
      <alignment horizontal="center"/>
    </xf>
    <xf numFmtId="1" fontId="25" fillId="2" borderId="0" xfId="0" applyNumberFormat="1" applyFont="1" applyFill="1" applyAlignment="1">
      <alignment horizontal="center"/>
    </xf>
    <xf numFmtId="1" fontId="25" fillId="0" borderId="0" xfId="0" applyNumberFormat="1" applyFont="1" applyAlignment="1">
      <alignment horizontal="center" vertical="center"/>
    </xf>
    <xf numFmtId="1" fontId="25" fillId="0" borderId="5" xfId="0" applyNumberFormat="1" applyFont="1" applyBorder="1" applyAlignment="1">
      <alignment horizontal="center"/>
    </xf>
    <xf numFmtId="1" fontId="25" fillId="0" borderId="17" xfId="0" applyNumberFormat="1" applyFont="1" applyBorder="1" applyAlignment="1">
      <alignment horizontal="center"/>
    </xf>
    <xf numFmtId="1" fontId="25" fillId="2" borderId="5" xfId="0" applyNumberFormat="1" applyFont="1" applyFill="1" applyBorder="1" applyAlignment="1">
      <alignment horizontal="center"/>
    </xf>
    <xf numFmtId="1" fontId="25" fillId="2" borderId="17" xfId="0" applyNumberFormat="1" applyFont="1" applyFill="1" applyBorder="1" applyAlignment="1">
      <alignment horizontal="center"/>
    </xf>
    <xf numFmtId="1" fontId="25" fillId="0" borderId="17" xfId="0" applyNumberFormat="1" applyFont="1" applyBorder="1" applyAlignment="1">
      <alignment horizontal="center" vertical="center"/>
    </xf>
    <xf numFmtId="0" fontId="4" fillId="0" borderId="5" xfId="2" applyBorder="1" applyAlignment="1">
      <alignment horizontal="center"/>
    </xf>
    <xf numFmtId="0" fontId="4" fillId="0" borderId="17" xfId="2" applyBorder="1" applyAlignment="1">
      <alignment horizontal="center"/>
    </xf>
    <xf numFmtId="0" fontId="106" fillId="17" borderId="82" xfId="0" applyFont="1" applyFill="1" applyBorder="1" applyAlignment="1">
      <alignment horizontal="center" vertical="center" wrapText="1"/>
    </xf>
    <xf numFmtId="0" fontId="106" fillId="17" borderId="83" xfId="0" applyFont="1" applyFill="1" applyBorder="1" applyAlignment="1">
      <alignment horizontal="center" vertical="center"/>
    </xf>
    <xf numFmtId="0" fontId="106" fillId="17" borderId="83" xfId="0" applyFont="1" applyFill="1" applyBorder="1" applyAlignment="1">
      <alignment horizontal="center" vertical="center" wrapText="1"/>
    </xf>
    <xf numFmtId="0" fontId="106" fillId="17" borderId="84" xfId="0" applyFont="1" applyFill="1" applyBorder="1" applyAlignment="1">
      <alignment horizontal="center" vertical="center" wrapText="1"/>
    </xf>
    <xf numFmtId="0" fontId="106" fillId="17" borderId="85" xfId="0" applyFont="1" applyFill="1" applyBorder="1" applyAlignment="1">
      <alignment horizontal="center" vertical="center" wrapText="1"/>
    </xf>
    <xf numFmtId="0" fontId="106" fillId="2" borderId="85" xfId="0" applyFont="1" applyFill="1" applyBorder="1" applyAlignment="1">
      <alignment horizontal="center" vertical="center" wrapText="1"/>
    </xf>
    <xf numFmtId="0" fontId="8" fillId="0" borderId="23" xfId="2" applyFont="1" applyBorder="1" applyProtection="1">
      <protection locked="0"/>
    </xf>
    <xf numFmtId="0" fontId="106" fillId="18" borderId="86" xfId="0" applyFont="1" applyFill="1" applyBorder="1" applyAlignment="1">
      <alignment vertical="center" wrapText="1"/>
    </xf>
    <xf numFmtId="0" fontId="23" fillId="18" borderId="87" xfId="0" applyFont="1" applyFill="1" applyBorder="1" applyAlignment="1">
      <alignment horizontal="right" vertical="center"/>
    </xf>
    <xf numFmtId="0" fontId="23" fillId="18" borderId="87" xfId="0" applyFont="1" applyFill="1" applyBorder="1" applyAlignment="1">
      <alignment horizontal="right" vertical="center" wrapText="1"/>
    </xf>
    <xf numFmtId="0" fontId="23" fillId="18" borderId="88" xfId="0" applyFont="1" applyFill="1" applyBorder="1" applyAlignment="1">
      <alignment horizontal="right" vertical="center" wrapText="1"/>
    </xf>
    <xf numFmtId="0" fontId="23" fillId="18" borderId="85" xfId="0" applyFont="1" applyFill="1" applyBorder="1" applyAlignment="1">
      <alignment horizontal="right" vertical="center" wrapText="1"/>
    </xf>
    <xf numFmtId="0" fontId="23" fillId="2" borderId="85" xfId="0" applyFont="1" applyFill="1" applyBorder="1" applyAlignment="1">
      <alignment horizontal="right" vertical="center" wrapText="1"/>
    </xf>
    <xf numFmtId="0" fontId="8" fillId="0" borderId="23" xfId="2" applyFont="1" applyBorder="1" applyAlignment="1" applyProtection="1">
      <alignment wrapText="1"/>
      <protection locked="0"/>
    </xf>
    <xf numFmtId="0" fontId="6" fillId="0" borderId="89" xfId="2" applyFont="1" applyBorder="1" applyProtection="1">
      <protection locked="0"/>
    </xf>
    <xf numFmtId="0" fontId="0" fillId="0" borderId="1" xfId="2" applyFont="1" applyBorder="1" applyProtection="1">
      <protection locked="0"/>
    </xf>
    <xf numFmtId="0" fontId="11" fillId="0" borderId="38" xfId="2" applyFont="1" applyBorder="1" applyProtection="1">
      <protection locked="0"/>
    </xf>
    <xf numFmtId="0" fontId="11" fillId="0" borderId="40" xfId="2" applyFont="1" applyBorder="1" applyProtection="1">
      <protection locked="0"/>
    </xf>
    <xf numFmtId="0" fontId="11" fillId="0" borderId="23" xfId="2" applyFont="1" applyBorder="1" applyAlignment="1" applyProtection="1">
      <alignment horizontal="right"/>
      <protection locked="0"/>
    </xf>
    <xf numFmtId="1" fontId="0" fillId="0" borderId="0" xfId="2" applyNumberFormat="1" applyFont="1" applyProtection="1">
      <protection locked="0"/>
    </xf>
    <xf numFmtId="1" fontId="24" fillId="19" borderId="0" xfId="0" applyNumberFormat="1" applyFont="1" applyFill="1" applyAlignment="1">
      <alignment horizontal="center" vertical="center"/>
    </xf>
    <xf numFmtId="1" fontId="24" fillId="19" borderId="17" xfId="0" applyNumberFormat="1" applyFont="1" applyFill="1" applyBorder="1" applyAlignment="1">
      <alignment horizontal="center" vertical="center"/>
    </xf>
    <xf numFmtId="0" fontId="22" fillId="0" borderId="0" xfId="2" applyFont="1" applyProtection="1">
      <protection locked="0"/>
    </xf>
    <xf numFmtId="0" fontId="15" fillId="0" borderId="53" xfId="2" applyFont="1" applyBorder="1"/>
    <xf numFmtId="0" fontId="0" fillId="0" borderId="15" xfId="2" applyFont="1" applyBorder="1" applyProtection="1">
      <protection locked="0"/>
    </xf>
    <xf numFmtId="0" fontId="0" fillId="0" borderId="16" xfId="2" applyFont="1" applyBorder="1" applyProtection="1">
      <protection locked="0"/>
    </xf>
    <xf numFmtId="0" fontId="8" fillId="0" borderId="58" xfId="2" applyFont="1" applyBorder="1"/>
    <xf numFmtId="17" fontId="7" fillId="0" borderId="18" xfId="2" applyNumberFormat="1" applyFont="1" applyBorder="1" applyAlignment="1">
      <alignment horizontal="right"/>
    </xf>
    <xf numFmtId="0" fontId="7" fillId="0" borderId="22" xfId="2" applyFont="1" applyBorder="1" applyAlignment="1">
      <alignment horizontal="right"/>
    </xf>
    <xf numFmtId="17" fontId="7" fillId="0" borderId="0" xfId="2" applyNumberFormat="1" applyFont="1" applyAlignment="1">
      <alignment horizontal="right"/>
    </xf>
    <xf numFmtId="0" fontId="7" fillId="0" borderId="15" xfId="2" applyFont="1" applyBorder="1" applyAlignment="1">
      <alignment horizontal="right"/>
    </xf>
    <xf numFmtId="0" fontId="3" fillId="3" borderId="15" xfId="2" applyFont="1" applyFill="1" applyBorder="1" applyProtection="1">
      <protection locked="0"/>
    </xf>
    <xf numFmtId="0" fontId="3" fillId="3" borderId="16" xfId="2" applyFont="1" applyFill="1" applyBorder="1" applyProtection="1">
      <protection locked="0"/>
    </xf>
    <xf numFmtId="0" fontId="8" fillId="0" borderId="63" xfId="2" applyFont="1" applyBorder="1" applyAlignment="1">
      <alignment wrapText="1"/>
    </xf>
    <xf numFmtId="0" fontId="8" fillId="0" borderId="45" xfId="2" applyFont="1" applyBorder="1" applyAlignment="1">
      <alignment horizontal="right"/>
    </xf>
    <xf numFmtId="1" fontId="8" fillId="0" borderId="6" xfId="2" applyNumberFormat="1" applyFont="1" applyBorder="1" applyAlignment="1">
      <alignment horizontal="right"/>
    </xf>
    <xf numFmtId="0" fontId="0" fillId="0" borderId="5" xfId="2" applyFont="1" applyBorder="1" applyProtection="1">
      <protection locked="0"/>
    </xf>
    <xf numFmtId="0" fontId="0" fillId="0" borderId="17" xfId="2" applyFont="1" applyBorder="1" applyProtection="1">
      <protection locked="0"/>
    </xf>
    <xf numFmtId="0" fontId="0" fillId="3" borderId="5" xfId="2" applyFont="1" applyFill="1" applyBorder="1" applyProtection="1">
      <protection locked="0"/>
    </xf>
    <xf numFmtId="0" fontId="0" fillId="3" borderId="17" xfId="2" applyFont="1" applyFill="1" applyBorder="1" applyProtection="1">
      <protection locked="0"/>
    </xf>
    <xf numFmtId="0" fontId="107" fillId="0" borderId="0" xfId="2" applyFont="1"/>
    <xf numFmtId="0" fontId="107" fillId="0" borderId="0" xfId="2" applyFont="1" applyProtection="1">
      <protection locked="0"/>
    </xf>
    <xf numFmtId="0" fontId="107" fillId="0" borderId="0" xfId="2" applyFont="1" applyAlignment="1" applyProtection="1">
      <alignment vertical="top" wrapText="1"/>
      <protection locked="0"/>
    </xf>
    <xf numFmtId="0" fontId="107" fillId="0" borderId="0" xfId="2" applyFont="1" applyAlignment="1" applyProtection="1">
      <alignment wrapText="1"/>
      <protection locked="0"/>
    </xf>
    <xf numFmtId="0" fontId="15" fillId="0" borderId="6" xfId="2" applyFont="1" applyBorder="1" applyProtection="1">
      <protection locked="0"/>
    </xf>
    <xf numFmtId="0" fontId="7" fillId="0" borderId="65" xfId="2" applyFont="1" applyBorder="1" applyAlignment="1">
      <alignment horizontal="left" wrapText="1"/>
    </xf>
    <xf numFmtId="0" fontId="108" fillId="0" borderId="0" xfId="2" applyFont="1" applyAlignment="1" applyProtection="1">
      <alignment horizontal="right"/>
      <protection locked="0"/>
    </xf>
    <xf numFmtId="0" fontId="7" fillId="0" borderId="67" xfId="2" applyFont="1" applyBorder="1" applyAlignment="1">
      <alignment horizontal="left" wrapText="1"/>
    </xf>
    <xf numFmtId="0" fontId="41" fillId="0" borderId="5" xfId="2" applyFont="1" applyBorder="1" applyAlignment="1">
      <alignment horizontal="center"/>
    </xf>
    <xf numFmtId="0" fontId="41" fillId="0" borderId="50" xfId="2" applyFont="1" applyBorder="1" applyAlignment="1">
      <alignment horizontal="center"/>
    </xf>
    <xf numFmtId="0" fontId="41" fillId="0" borderId="6" xfId="2" applyFont="1" applyBorder="1" applyAlignment="1">
      <alignment horizontal="center"/>
    </xf>
    <xf numFmtId="0" fontId="41" fillId="0" borderId="45" xfId="2" applyFont="1" applyBorder="1" applyAlignment="1">
      <alignment horizontal="center"/>
    </xf>
    <xf numFmtId="0" fontId="41" fillId="0" borderId="17" xfId="2" applyFont="1" applyBorder="1" applyAlignment="1">
      <alignment horizontal="center"/>
    </xf>
    <xf numFmtId="0" fontId="8" fillId="0" borderId="67" xfId="2" applyFont="1" applyBorder="1" applyAlignment="1">
      <alignment horizontal="left" wrapText="1"/>
    </xf>
    <xf numFmtId="178" fontId="28" fillId="0" borderId="0" xfId="2" applyNumberFormat="1" applyFont="1" applyAlignment="1">
      <alignment horizontal="right"/>
    </xf>
    <xf numFmtId="178" fontId="28" fillId="0" borderId="22" xfId="2" applyNumberFormat="1" applyFont="1" applyBorder="1" applyAlignment="1">
      <alignment horizontal="right"/>
    </xf>
    <xf numFmtId="178" fontId="28" fillId="0" borderId="0" xfId="2" applyNumberFormat="1" applyFont="1" applyAlignment="1">
      <alignment horizontal="right" wrapText="1"/>
    </xf>
    <xf numFmtId="178" fontId="28" fillId="0" borderId="18" xfId="2" applyNumberFormat="1" applyFont="1" applyBorder="1" applyAlignment="1">
      <alignment horizontal="right"/>
    </xf>
    <xf numFmtId="178" fontId="28" fillId="0" borderId="16" xfId="2" applyNumberFormat="1" applyFont="1" applyBorder="1" applyAlignment="1">
      <alignment horizontal="right"/>
    </xf>
    <xf numFmtId="198" fontId="107" fillId="0" borderId="0" xfId="2" applyNumberFormat="1" applyFont="1" applyProtection="1">
      <protection locked="0"/>
    </xf>
    <xf numFmtId="184" fontId="107" fillId="0" borderId="0" xfId="2" applyNumberFormat="1" applyFont="1" applyAlignment="1" applyProtection="1">
      <alignment wrapText="1"/>
      <protection locked="0"/>
    </xf>
    <xf numFmtId="184" fontId="8" fillId="0" borderId="67" xfId="2" applyNumberFormat="1" applyFont="1" applyBorder="1" applyAlignment="1">
      <alignment wrapText="1"/>
    </xf>
    <xf numFmtId="0" fontId="8" fillId="0" borderId="67" xfId="2" applyFont="1" applyBorder="1" applyAlignment="1">
      <alignment wrapText="1"/>
    </xf>
    <xf numFmtId="0" fontId="28" fillId="0" borderId="0" xfId="2" applyFont="1" applyProtection="1">
      <protection locked="0"/>
    </xf>
    <xf numFmtId="0" fontId="8" fillId="0" borderId="24" xfId="2" applyFont="1" applyBorder="1" applyAlignment="1">
      <alignment wrapText="1"/>
    </xf>
    <xf numFmtId="178" fontId="28" fillId="0" borderId="6" xfId="2" applyNumberFormat="1" applyFont="1" applyBorder="1" applyAlignment="1">
      <alignment horizontal="right"/>
    </xf>
    <xf numFmtId="178" fontId="28" fillId="0" borderId="45" xfId="2" applyNumberFormat="1" applyFont="1" applyBorder="1" applyAlignment="1">
      <alignment horizontal="right"/>
    </xf>
    <xf numFmtId="178" fontId="28" fillId="0" borderId="50" xfId="2" applyNumberFormat="1" applyFont="1" applyBorder="1" applyAlignment="1">
      <alignment horizontal="right"/>
    </xf>
    <xf numFmtId="178" fontId="28" fillId="2" borderId="45" xfId="2" applyNumberFormat="1" applyFont="1" applyFill="1" applyBorder="1" applyAlignment="1">
      <alignment horizontal="right"/>
    </xf>
    <xf numFmtId="178" fontId="28" fillId="2" borderId="17" xfId="2" applyNumberFormat="1" applyFont="1" applyFill="1" applyBorder="1" applyAlignment="1">
      <alignment horizontal="right"/>
    </xf>
    <xf numFmtId="0" fontId="8" fillId="0" borderId="23" xfId="2" applyFont="1" applyBorder="1" applyAlignment="1">
      <alignment wrapText="1"/>
    </xf>
    <xf numFmtId="178" fontId="28" fillId="0" borderId="1" xfId="2" applyNumberFormat="1" applyFont="1" applyBorder="1" applyAlignment="1">
      <alignment horizontal="right"/>
    </xf>
    <xf numFmtId="178" fontId="28" fillId="0" borderId="2" xfId="2" applyNumberFormat="1" applyFont="1" applyBorder="1" applyAlignment="1">
      <alignment horizontal="right"/>
    </xf>
    <xf numFmtId="178" fontId="28" fillId="0" borderId="3" xfId="2" applyNumberFormat="1" applyFont="1" applyBorder="1" applyAlignment="1">
      <alignment horizontal="right"/>
    </xf>
    <xf numFmtId="178" fontId="8" fillId="0" borderId="0" xfId="2" applyNumberFormat="1" applyFont="1" applyAlignment="1">
      <alignment horizontal="right"/>
    </xf>
    <xf numFmtId="178" fontId="8" fillId="0" borderId="50" xfId="2" applyNumberFormat="1" applyFont="1" applyBorder="1" applyAlignment="1">
      <alignment horizontal="right"/>
    </xf>
    <xf numFmtId="9" fontId="107" fillId="0" borderId="0" xfId="1" applyFont="1" applyFill="1" applyBorder="1" applyAlignment="1" applyProtection="1">
      <alignment wrapText="1"/>
      <protection locked="0"/>
    </xf>
    <xf numFmtId="9" fontId="0" fillId="0" borderId="0" xfId="0" applyNumberFormat="1"/>
    <xf numFmtId="0" fontId="32" fillId="0" borderId="23" xfId="2" applyFont="1" applyBorder="1"/>
    <xf numFmtId="0" fontId="32" fillId="0" borderId="3" xfId="2" applyFont="1" applyBorder="1"/>
    <xf numFmtId="0" fontId="32" fillId="0" borderId="23" xfId="2" applyFont="1" applyBorder="1" applyProtection="1">
      <protection locked="0"/>
    </xf>
    <xf numFmtId="1" fontId="36" fillId="0" borderId="4" xfId="0" applyNumberFormat="1" applyFont="1" applyBorder="1" applyAlignment="1">
      <alignment horizontal="center"/>
    </xf>
    <xf numFmtId="1" fontId="36" fillId="0" borderId="21" xfId="0" applyNumberFormat="1" applyFont="1" applyBorder="1" applyAlignment="1">
      <alignment horizontal="center"/>
    </xf>
    <xf numFmtId="1" fontId="109" fillId="19" borderId="0" xfId="0" applyNumberFormat="1" applyFont="1" applyFill="1" applyAlignment="1">
      <alignment horizontal="center" vertical="center"/>
    </xf>
    <xf numFmtId="0" fontId="12" fillId="0" borderId="15" xfId="2" applyFont="1" applyBorder="1" applyAlignment="1">
      <alignment horizontal="center"/>
    </xf>
    <xf numFmtId="0" fontId="12" fillId="0" borderId="16" xfId="2" applyFont="1" applyBorder="1" applyAlignment="1">
      <alignment horizontal="center"/>
    </xf>
    <xf numFmtId="1" fontId="12" fillId="0" borderId="15" xfId="2" applyNumberFormat="1" applyFont="1" applyBorder="1" applyAlignment="1">
      <alignment horizontal="center"/>
    </xf>
    <xf numFmtId="1" fontId="12" fillId="0" borderId="16" xfId="2" applyNumberFormat="1" applyFont="1" applyBorder="1" applyAlignment="1">
      <alignment horizontal="center"/>
    </xf>
    <xf numFmtId="1" fontId="12" fillId="0" borderId="4" xfId="2" applyNumberFormat="1" applyFont="1" applyBorder="1" applyAlignment="1">
      <alignment horizontal="center"/>
    </xf>
    <xf numFmtId="1" fontId="12" fillId="0" borderId="21" xfId="2" applyNumberFormat="1" applyFont="1" applyBorder="1" applyAlignment="1">
      <alignment horizontal="center"/>
    </xf>
    <xf numFmtId="1" fontId="36" fillId="0" borderId="15" xfId="0" applyNumberFormat="1" applyFont="1" applyBorder="1" applyAlignment="1">
      <alignment horizontal="center"/>
    </xf>
    <xf numFmtId="1" fontId="36" fillId="0" borderId="16" xfId="0" applyNumberFormat="1" applyFont="1" applyBorder="1" applyAlignment="1">
      <alignment horizontal="center"/>
    </xf>
    <xf numFmtId="1" fontId="36" fillId="0" borderId="0" xfId="0" applyNumberFormat="1" applyFont="1" applyAlignment="1">
      <alignment horizontal="center"/>
    </xf>
    <xf numFmtId="1" fontId="36" fillId="0" borderId="5" xfId="0" applyNumberFormat="1" applyFont="1" applyBorder="1" applyAlignment="1">
      <alignment horizontal="center"/>
    </xf>
    <xf numFmtId="1" fontId="36" fillId="0" borderId="17" xfId="0" applyNumberFormat="1" applyFont="1" applyBorder="1" applyAlignment="1">
      <alignment horizontal="center"/>
    </xf>
    <xf numFmtId="1" fontId="109" fillId="19" borderId="17" xfId="0" applyNumberFormat="1" applyFont="1" applyFill="1" applyBorder="1" applyAlignment="1">
      <alignment horizontal="center" vertical="center"/>
    </xf>
    <xf numFmtId="0" fontId="12" fillId="0" borderId="5" xfId="2" applyFont="1" applyBorder="1" applyAlignment="1">
      <alignment horizontal="center"/>
    </xf>
    <xf numFmtId="0" fontId="12" fillId="0" borderId="17" xfId="2" applyFont="1" applyBorder="1" applyAlignment="1">
      <alignment horizontal="center"/>
    </xf>
    <xf numFmtId="1" fontId="12" fillId="0" borderId="5" xfId="2" applyNumberFormat="1" applyFont="1" applyBorder="1" applyAlignment="1">
      <alignment horizontal="center"/>
    </xf>
    <xf numFmtId="1" fontId="12" fillId="0" borderId="17" xfId="2" applyNumberFormat="1" applyFont="1" applyBorder="1" applyAlignment="1">
      <alignment horizontal="center"/>
    </xf>
    <xf numFmtId="0" fontId="108" fillId="0" borderId="0" xfId="2" applyFont="1" applyAlignment="1" applyProtection="1">
      <alignment wrapText="1"/>
      <protection locked="0"/>
    </xf>
    <xf numFmtId="0" fontId="10" fillId="0" borderId="0" xfId="2" applyFont="1"/>
    <xf numFmtId="0" fontId="4" fillId="0" borderId="6" xfId="2" applyBorder="1"/>
    <xf numFmtId="0" fontId="10" fillId="0" borderId="54" xfId="2" applyFont="1" applyBorder="1"/>
    <xf numFmtId="0" fontId="10" fillId="0" borderId="62" xfId="2" applyFont="1" applyBorder="1"/>
    <xf numFmtId="0" fontId="7" fillId="0" borderId="90" xfId="2" applyFont="1" applyBorder="1" applyAlignment="1" applyProtection="1">
      <alignment horizontal="right"/>
      <protection locked="0"/>
    </xf>
    <xf numFmtId="0" fontId="7" fillId="2" borderId="64" xfId="2" applyFont="1" applyFill="1" applyBorder="1" applyAlignment="1" applyProtection="1">
      <alignment horizontal="right"/>
      <protection locked="0"/>
    </xf>
    <xf numFmtId="0" fontId="7" fillId="0" borderId="91" xfId="2" applyFont="1" applyBorder="1" applyAlignment="1" applyProtection="1">
      <alignment horizontal="right"/>
      <protection locked="0"/>
    </xf>
    <xf numFmtId="0" fontId="8" fillId="0" borderId="92" xfId="2" applyFont="1" applyBorder="1" applyProtection="1">
      <protection locked="0"/>
    </xf>
    <xf numFmtId="0" fontId="8" fillId="2" borderId="22" xfId="2" applyFont="1" applyFill="1" applyBorder="1"/>
    <xf numFmtId="0" fontId="8" fillId="0" borderId="93" xfId="2" applyFont="1" applyBorder="1" applyProtection="1">
      <protection locked="0"/>
    </xf>
    <xf numFmtId="0" fontId="8" fillId="0" borderId="44" xfId="2" applyFont="1" applyBorder="1"/>
    <xf numFmtId="0" fontId="8" fillId="0" borderId="17" xfId="2" applyFont="1" applyBorder="1"/>
    <xf numFmtId="0" fontId="8" fillId="0" borderId="94" xfId="2" applyFont="1" applyBorder="1" applyProtection="1">
      <protection locked="0"/>
    </xf>
    <xf numFmtId="0" fontId="8" fillId="2" borderId="95" xfId="2" applyFont="1" applyFill="1" applyBorder="1"/>
    <xf numFmtId="0" fontId="8" fillId="0" borderId="81" xfId="2" applyFont="1" applyBorder="1" applyProtection="1">
      <protection locked="0"/>
    </xf>
    <xf numFmtId="0" fontId="110" fillId="0" borderId="0" xfId="2" applyFont="1" applyProtection="1">
      <protection locked="0"/>
    </xf>
    <xf numFmtId="0" fontId="8" fillId="0" borderId="4" xfId="2" applyFont="1" applyBorder="1" applyAlignment="1">
      <alignment horizontal="right"/>
    </xf>
    <xf numFmtId="0" fontId="7" fillId="0" borderId="55" xfId="2" applyFont="1" applyBorder="1" applyAlignment="1">
      <alignment horizontal="right"/>
    </xf>
    <xf numFmtId="0" fontId="7" fillId="0" borderId="61" xfId="2" applyFont="1" applyBorder="1" applyAlignment="1">
      <alignment horizontal="right"/>
    </xf>
    <xf numFmtId="0" fontId="7" fillId="0" borderId="68" xfId="2" applyFont="1" applyBorder="1" applyAlignment="1">
      <alignment horizontal="right"/>
    </xf>
    <xf numFmtId="17" fontId="7" fillId="0" borderId="61" xfId="2" quotePrefix="1" applyNumberFormat="1" applyFont="1" applyBorder="1" applyAlignment="1">
      <alignment horizontal="center"/>
    </xf>
    <xf numFmtId="17" fontId="7" fillId="0" borderId="96" xfId="2" quotePrefix="1" applyNumberFormat="1" applyFont="1" applyBorder="1" applyAlignment="1">
      <alignment horizontal="center"/>
    </xf>
    <xf numFmtId="17" fontId="7" fillId="0" borderId="97" xfId="2" quotePrefix="1" applyNumberFormat="1" applyFont="1" applyBorder="1" applyAlignment="1">
      <alignment horizontal="center"/>
    </xf>
    <xf numFmtId="17" fontId="7" fillId="0" borderId="98" xfId="2" quotePrefix="1" applyNumberFormat="1" applyFont="1" applyBorder="1" applyAlignment="1">
      <alignment horizontal="center"/>
    </xf>
    <xf numFmtId="0" fontId="8" fillId="0" borderId="15" xfId="2" applyFont="1" applyBorder="1" applyAlignment="1">
      <alignment horizontal="right"/>
    </xf>
    <xf numFmtId="0" fontId="7" fillId="0" borderId="93" xfId="2" applyFont="1" applyBorder="1" applyAlignment="1">
      <alignment horizontal="right"/>
    </xf>
    <xf numFmtId="0" fontId="11" fillId="2" borderId="99" xfId="2" applyFont="1" applyFill="1" applyBorder="1" applyProtection="1">
      <protection locked="0"/>
    </xf>
    <xf numFmtId="0" fontId="11" fillId="2" borderId="100" xfId="2" applyFont="1" applyFill="1" applyBorder="1" applyProtection="1">
      <protection locked="0"/>
    </xf>
    <xf numFmtId="0" fontId="11" fillId="0" borderId="99" xfId="2" applyFont="1" applyBorder="1" applyProtection="1">
      <protection locked="0"/>
    </xf>
    <xf numFmtId="0" fontId="11" fillId="0" borderId="100" xfId="2" applyFont="1" applyBorder="1" applyProtection="1">
      <protection locked="0"/>
    </xf>
    <xf numFmtId="0" fontId="6" fillId="0" borderId="0" xfId="2" applyFont="1" applyAlignment="1">
      <alignment vertical="top" wrapText="1"/>
    </xf>
    <xf numFmtId="10" fontId="6" fillId="0" borderId="0" xfId="2" applyNumberFormat="1" applyFont="1"/>
    <xf numFmtId="0" fontId="111" fillId="0" borderId="0" xfId="2" applyFont="1" applyProtection="1">
      <protection locked="0"/>
    </xf>
    <xf numFmtId="9" fontId="0" fillId="0" borderId="0" xfId="2" applyNumberFormat="1" applyFont="1" applyProtection="1">
      <protection locked="0"/>
    </xf>
    <xf numFmtId="170" fontId="0" fillId="0" borderId="0" xfId="2" applyNumberFormat="1" applyFont="1" applyProtection="1">
      <protection locked="0"/>
    </xf>
    <xf numFmtId="10" fontId="0" fillId="0" borderId="0" xfId="2" applyNumberFormat="1" applyFont="1" applyProtection="1">
      <protection locked="0"/>
    </xf>
    <xf numFmtId="0" fontId="32" fillId="0" borderId="1" xfId="2" applyFont="1" applyBorder="1" applyAlignment="1">
      <alignment horizontal="center"/>
    </xf>
    <xf numFmtId="0" fontId="32" fillId="0" borderId="3" xfId="2" applyFont="1" applyBorder="1" applyAlignment="1">
      <alignment horizontal="center"/>
    </xf>
    <xf numFmtId="0" fontId="12" fillId="0" borderId="21" xfId="2" applyFont="1" applyBorder="1" applyAlignment="1">
      <alignment horizontal="center"/>
    </xf>
    <xf numFmtId="0" fontId="12" fillId="0" borderId="4" xfId="2" applyFont="1" applyBorder="1" applyAlignment="1">
      <alignment horizontal="center"/>
    </xf>
    <xf numFmtId="0" fontId="112" fillId="0" borderId="0" xfId="2" applyFont="1" applyAlignment="1">
      <alignment vertical="top"/>
    </xf>
    <xf numFmtId="0" fontId="112" fillId="0" borderId="0" xfId="2" applyFont="1" applyProtection="1">
      <protection locked="0"/>
    </xf>
    <xf numFmtId="17" fontId="7" fillId="0" borderId="0" xfId="2" quotePrefix="1" applyNumberFormat="1" applyFont="1"/>
    <xf numFmtId="17" fontId="68" fillId="0" borderId="0" xfId="2" quotePrefix="1" applyNumberFormat="1" applyFont="1"/>
    <xf numFmtId="1" fontId="26" fillId="0" borderId="0" xfId="2" applyNumberFormat="1" applyFont="1" applyProtection="1">
      <protection locked="0"/>
    </xf>
    <xf numFmtId="0" fontId="68" fillId="0" borderId="0" xfId="2" applyFont="1" applyAlignment="1">
      <alignment horizontal="right"/>
    </xf>
    <xf numFmtId="0" fontId="67" fillId="0" borderId="6" xfId="2" applyFont="1" applyBorder="1"/>
    <xf numFmtId="0" fontId="0" fillId="0" borderId="22" xfId="2" applyFont="1" applyBorder="1" applyAlignment="1">
      <alignment vertical="top"/>
    </xf>
    <xf numFmtId="0" fontId="8" fillId="0" borderId="6" xfId="15" applyFont="1" applyBorder="1" applyAlignment="1">
      <alignment horizontal="left"/>
    </xf>
    <xf numFmtId="2" fontId="8" fillId="0" borderId="6" xfId="1" applyNumberFormat="1" applyFont="1" applyBorder="1" applyAlignment="1">
      <alignment horizontal="right"/>
    </xf>
    <xf numFmtId="0" fontId="7" fillId="0" borderId="68" xfId="15" applyFont="1" applyBorder="1" applyAlignment="1">
      <alignment horizontal="center"/>
    </xf>
    <xf numFmtId="0" fontId="8" fillId="0" borderId="22" xfId="15" applyFont="1" applyBorder="1" applyAlignment="1">
      <alignment horizontal="left"/>
    </xf>
    <xf numFmtId="0" fontId="7" fillId="0" borderId="6" xfId="15" applyFont="1" applyBorder="1" applyAlignment="1">
      <alignment horizontal="left"/>
    </xf>
    <xf numFmtId="165" fontId="7" fillId="0" borderId="44" xfId="15" applyNumberFormat="1" applyFont="1" applyBorder="1" applyAlignment="1">
      <alignment horizontal="right"/>
    </xf>
    <xf numFmtId="165" fontId="7" fillId="0" borderId="6" xfId="15" applyNumberFormat="1" applyFont="1" applyBorder="1" applyAlignment="1">
      <alignment horizontal="right"/>
    </xf>
    <xf numFmtId="0" fontId="15" fillId="0" borderId="6" xfId="15" applyFont="1" applyBorder="1" applyAlignment="1">
      <alignment vertical="top" wrapText="1"/>
    </xf>
    <xf numFmtId="165" fontId="7" fillId="2" borderId="6" xfId="15" applyNumberFormat="1" applyFont="1" applyFill="1" applyBorder="1" applyAlignment="1">
      <alignment horizontal="right"/>
    </xf>
    <xf numFmtId="184" fontId="15" fillId="0" borderId="0" xfId="2" applyNumberFormat="1" applyFont="1" applyAlignment="1">
      <alignment vertical="top"/>
    </xf>
    <xf numFmtId="184" fontId="7" fillId="2" borderId="0" xfId="2" applyNumberFormat="1" applyFont="1" applyFill="1"/>
    <xf numFmtId="184" fontId="15" fillId="0" borderId="0" xfId="2" applyNumberFormat="1" applyFont="1" applyProtection="1">
      <protection locked="0"/>
    </xf>
    <xf numFmtId="199" fontId="0" fillId="0" borderId="0" xfId="2" applyNumberFormat="1" applyFont="1" applyProtection="1">
      <protection locked="0"/>
    </xf>
    <xf numFmtId="0" fontId="114" fillId="0" borderId="0" xfId="2" applyFont="1" applyAlignment="1">
      <alignment horizontal="right"/>
    </xf>
    <xf numFmtId="0" fontId="0" fillId="0" borderId="0" xfId="2" applyFont="1" applyAlignment="1">
      <alignment horizontal="right"/>
    </xf>
    <xf numFmtId="165" fontId="0" fillId="0" borderId="0" xfId="2" applyNumberFormat="1" applyFont="1" applyAlignment="1">
      <alignment vertical="top"/>
    </xf>
    <xf numFmtId="49" fontId="7" fillId="0" borderId="0" xfId="2" applyNumberFormat="1" applyFont="1" applyAlignment="1">
      <alignment vertical="top"/>
    </xf>
    <xf numFmtId="0" fontId="6" fillId="0" borderId="0" xfId="2" applyFont="1" applyAlignment="1" applyProtection="1">
      <alignment horizontal="left" vertical="top" wrapText="1"/>
      <protection locked="0"/>
    </xf>
    <xf numFmtId="0" fontId="4" fillId="0" borderId="0" xfId="2" applyAlignment="1" applyProtection="1">
      <alignment vertical="top" wrapText="1"/>
      <protection locked="0"/>
    </xf>
    <xf numFmtId="0" fontId="32" fillId="0" borderId="0" xfId="2" applyFont="1"/>
    <xf numFmtId="0" fontId="36" fillId="0" borderId="0" xfId="2" applyFont="1" applyAlignment="1" applyProtection="1">
      <alignment wrapText="1"/>
      <protection locked="0"/>
    </xf>
    <xf numFmtId="167" fontId="12" fillId="0" borderId="0" xfId="2" applyNumberFormat="1" applyFont="1"/>
    <xf numFmtId="0" fontId="115" fillId="0" borderId="0" xfId="2" applyFont="1"/>
    <xf numFmtId="184" fontId="69" fillId="0" borderId="0" xfId="2" applyNumberFormat="1" applyFont="1" applyProtection="1">
      <protection locked="0"/>
    </xf>
    <xf numFmtId="49" fontId="8" fillId="0" borderId="0" xfId="2" applyNumberFormat="1" applyFont="1"/>
    <xf numFmtId="199" fontId="2" fillId="0" borderId="0" xfId="2" applyNumberFormat="1" applyFont="1" applyProtection="1">
      <protection locked="0"/>
    </xf>
    <xf numFmtId="49" fontId="8" fillId="0" borderId="0" xfId="2" applyNumberFormat="1" applyFont="1" applyAlignment="1">
      <alignment vertical="top"/>
    </xf>
    <xf numFmtId="167" fontId="8" fillId="0" borderId="0" xfId="2" applyNumberFormat="1" applyFont="1"/>
    <xf numFmtId="167" fontId="8" fillId="20" borderId="0" xfId="2" applyNumberFormat="1" applyFont="1" applyFill="1"/>
    <xf numFmtId="0" fontId="8" fillId="20" borderId="0" xfId="2" applyFont="1" applyFill="1" applyProtection="1">
      <protection locked="0"/>
    </xf>
    <xf numFmtId="165" fontId="8" fillId="20" borderId="0" xfId="2" applyNumberFormat="1" applyFont="1" applyFill="1" applyProtection="1">
      <protection locked="0"/>
    </xf>
    <xf numFmtId="0" fontId="8" fillId="20" borderId="0" xfId="2" applyFont="1" applyFill="1"/>
    <xf numFmtId="167" fontId="7" fillId="20" borderId="6" xfId="2" applyNumberFormat="1" applyFont="1" applyFill="1" applyBorder="1" applyProtection="1">
      <protection locked="0"/>
    </xf>
    <xf numFmtId="167" fontId="7" fillId="0" borderId="6" xfId="2" applyNumberFormat="1" applyFont="1" applyBorder="1"/>
    <xf numFmtId="0" fontId="14" fillId="0" borderId="0" xfId="2" applyFont="1"/>
    <xf numFmtId="167" fontId="14" fillId="0" borderId="0" xfId="2" applyNumberFormat="1" applyFont="1"/>
    <xf numFmtId="167" fontId="14" fillId="0" borderId="0" xfId="2" applyNumberFormat="1" applyFont="1" applyAlignment="1">
      <alignment horizontal="left" indent="1"/>
    </xf>
    <xf numFmtId="0" fontId="11" fillId="0" borderId="0" xfId="2" applyFont="1" applyProtection="1">
      <protection locked="0"/>
    </xf>
    <xf numFmtId="2" fontId="26" fillId="0" borderId="0" xfId="17" applyNumberFormat="1" applyFont="1" applyFill="1" applyProtection="1">
      <protection locked="0"/>
    </xf>
    <xf numFmtId="2" fontId="26" fillId="0" borderId="101" xfId="17" applyNumberFormat="1" applyFont="1" applyFill="1" applyBorder="1" applyProtection="1">
      <protection locked="0"/>
    </xf>
    <xf numFmtId="0" fontId="14" fillId="0" borderId="6" xfId="2" applyFont="1" applyBorder="1" applyProtection="1">
      <protection locked="0"/>
    </xf>
    <xf numFmtId="2" fontId="3" fillId="0" borderId="6" xfId="17" applyNumberFormat="1" applyFont="1" applyFill="1" applyBorder="1" applyProtection="1">
      <protection locked="0"/>
    </xf>
    <xf numFmtId="2" fontId="111" fillId="0" borderId="6" xfId="17" applyNumberFormat="1" applyFont="1" applyFill="1" applyBorder="1" applyProtection="1">
      <protection locked="0"/>
    </xf>
    <xf numFmtId="178" fontId="8" fillId="0" borderId="0" xfId="2" applyNumberFormat="1" applyFont="1" applyProtection="1">
      <protection locked="0"/>
    </xf>
    <xf numFmtId="167" fontId="7" fillId="0" borderId="0" xfId="2" applyNumberFormat="1" applyFont="1"/>
    <xf numFmtId="165" fontId="0" fillId="0" borderId="0" xfId="2" applyNumberFormat="1" applyFont="1"/>
    <xf numFmtId="199" fontId="7" fillId="0" borderId="0" xfId="2" applyNumberFormat="1" applyFont="1" applyProtection="1">
      <protection locked="0"/>
    </xf>
    <xf numFmtId="199" fontId="8" fillId="0" borderId="0" xfId="2" applyNumberFormat="1" applyFont="1" applyProtection="1">
      <protection locked="0"/>
    </xf>
    <xf numFmtId="0" fontId="8" fillId="11" borderId="0" xfId="2" applyFont="1" applyFill="1"/>
    <xf numFmtId="0" fontId="8" fillId="11" borderId="6" xfId="2" applyFont="1" applyFill="1" applyBorder="1"/>
    <xf numFmtId="0" fontId="7" fillId="0" borderId="2" xfId="2" quotePrefix="1" applyFont="1" applyBorder="1" applyAlignment="1">
      <alignment horizontal="right"/>
    </xf>
    <xf numFmtId="17" fontId="7" fillId="0" borderId="2" xfId="2" quotePrefix="1" applyNumberFormat="1" applyFont="1" applyBorder="1" applyAlignment="1">
      <alignment horizontal="right"/>
    </xf>
    <xf numFmtId="17" fontId="63" fillId="3" borderId="2" xfId="2" quotePrefix="1" applyNumberFormat="1" applyFont="1" applyFill="1" applyBorder="1" applyAlignment="1">
      <alignment horizontal="right"/>
    </xf>
    <xf numFmtId="167" fontId="8" fillId="0" borderId="0" xfId="35" applyNumberFormat="1" applyFont="1" applyAlignment="1">
      <alignment horizontal="right"/>
    </xf>
    <xf numFmtId="167" fontId="44" fillId="3" borderId="0" xfId="35" applyNumberFormat="1" applyFont="1" applyFill="1" applyAlignment="1">
      <alignment horizontal="right"/>
    </xf>
    <xf numFmtId="167" fontId="8" fillId="0" borderId="101" xfId="35" applyNumberFormat="1" applyFont="1" applyBorder="1" applyAlignment="1">
      <alignment horizontal="right"/>
    </xf>
    <xf numFmtId="167" fontId="8" fillId="0" borderId="101" xfId="2" applyNumberFormat="1" applyFont="1" applyBorder="1"/>
    <xf numFmtId="167" fontId="44" fillId="3" borderId="101" xfId="35" applyNumberFormat="1" applyFont="1" applyFill="1" applyBorder="1" applyAlignment="1">
      <alignment horizontal="right"/>
    </xf>
    <xf numFmtId="167" fontId="7" fillId="0" borderId="6" xfId="35" applyNumberFormat="1" applyFont="1" applyBorder="1" applyAlignment="1">
      <alignment horizontal="right"/>
    </xf>
    <xf numFmtId="167" fontId="63" fillId="3" borderId="6" xfId="35" applyNumberFormat="1" applyFont="1" applyFill="1" applyBorder="1" applyAlignment="1">
      <alignment horizontal="right"/>
    </xf>
    <xf numFmtId="0" fontId="116" fillId="0" borderId="0" xfId="2" applyFont="1" applyProtection="1">
      <protection locked="0"/>
    </xf>
    <xf numFmtId="167" fontId="11" fillId="0" borderId="0" xfId="35" applyNumberFormat="1" applyFont="1" applyAlignment="1">
      <alignment horizontal="right"/>
    </xf>
    <xf numFmtId="167" fontId="11" fillId="3" borderId="0" xfId="35" applyNumberFormat="1" applyFont="1" applyFill="1" applyAlignment="1">
      <alignment horizontal="right"/>
    </xf>
    <xf numFmtId="167" fontId="11" fillId="0" borderId="0" xfId="2" applyNumberFormat="1" applyFont="1"/>
    <xf numFmtId="167" fontId="44" fillId="3" borderId="0" xfId="2" applyNumberFormat="1" applyFont="1" applyFill="1"/>
    <xf numFmtId="0" fontId="25" fillId="0" borderId="0" xfId="2" applyFont="1"/>
    <xf numFmtId="0" fontId="40" fillId="0" borderId="0" xfId="2" applyFont="1"/>
    <xf numFmtId="0" fontId="4" fillId="0" borderId="0" xfId="2" quotePrefix="1"/>
    <xf numFmtId="17" fontId="4" fillId="0" borderId="0" xfId="2" quotePrefix="1" applyNumberFormat="1"/>
    <xf numFmtId="3" fontId="4" fillId="0" borderId="0" xfId="35" applyAlignment="1">
      <alignment vertical="top"/>
    </xf>
    <xf numFmtId="0" fontId="8" fillId="0" borderId="0" xfId="17" applyNumberFormat="1" applyFont="1" applyBorder="1" applyAlignment="1">
      <alignment horizontal="right"/>
    </xf>
    <xf numFmtId="165" fontId="8" fillId="0" borderId="0" xfId="17" applyNumberFormat="1" applyFont="1" applyBorder="1" applyAlignment="1">
      <alignment horizontal="right"/>
    </xf>
    <xf numFmtId="165" fontId="11" fillId="0" borderId="0" xfId="17" applyNumberFormat="1" applyFont="1" applyBorder="1" applyAlignment="1">
      <alignment horizontal="right"/>
    </xf>
    <xf numFmtId="165" fontId="11" fillId="0" borderId="0" xfId="2" applyNumberFormat="1" applyFont="1"/>
    <xf numFmtId="165" fontId="44" fillId="0" borderId="0" xfId="2" applyNumberFormat="1" applyFont="1"/>
    <xf numFmtId="0" fontId="8" fillId="0" borderId="6" xfId="17" applyNumberFormat="1" applyFont="1" applyBorder="1" applyAlignment="1">
      <alignment horizontal="right"/>
    </xf>
    <xf numFmtId="165" fontId="8" fillId="0" borderId="6" xfId="17" applyNumberFormat="1" applyFont="1" applyBorder="1" applyAlignment="1">
      <alignment horizontal="right"/>
    </xf>
    <xf numFmtId="165" fontId="11" fillId="0" borderId="6" xfId="17" applyNumberFormat="1" applyFont="1" applyBorder="1" applyAlignment="1">
      <alignment horizontal="right"/>
    </xf>
    <xf numFmtId="165" fontId="44" fillId="0" borderId="6" xfId="17" applyNumberFormat="1" applyFont="1" applyBorder="1" applyAlignment="1">
      <alignment horizontal="right"/>
    </xf>
    <xf numFmtId="165" fontId="44" fillId="0" borderId="6" xfId="2" applyNumberFormat="1" applyFont="1" applyBorder="1"/>
    <xf numFmtId="167" fontId="63" fillId="3" borderId="0" xfId="35" applyNumberFormat="1" applyFont="1" applyFill="1" applyAlignment="1">
      <alignment horizontal="right"/>
    </xf>
    <xf numFmtId="165" fontId="4" fillId="0" borderId="0" xfId="2" applyNumberFormat="1" applyAlignment="1">
      <alignment vertical="top"/>
    </xf>
    <xf numFmtId="165" fontId="4" fillId="0" borderId="0" xfId="2" applyNumberFormat="1"/>
    <xf numFmtId="0" fontId="15" fillId="0" borderId="0" xfId="2" quotePrefix="1" applyFont="1"/>
    <xf numFmtId="17" fontId="15" fillId="0" borderId="0" xfId="2" quotePrefix="1" applyNumberFormat="1" applyFont="1"/>
    <xf numFmtId="0" fontId="117" fillId="0" borderId="0" xfId="2" quotePrefix="1" applyFont="1" applyAlignment="1">
      <alignment horizontal="right"/>
    </xf>
    <xf numFmtId="0" fontId="7" fillId="0" borderId="0" xfId="2" quotePrefix="1" applyFont="1" applyAlignment="1">
      <alignment horizontal="right"/>
    </xf>
    <xf numFmtId="3" fontId="4" fillId="0" borderId="0" xfId="35"/>
    <xf numFmtId="3" fontId="118" fillId="0" borderId="0" xfId="35" applyFont="1" applyAlignment="1">
      <alignment horizontal="right"/>
    </xf>
    <xf numFmtId="0" fontId="0" fillId="22" borderId="0" xfId="2" applyFont="1" applyFill="1" applyProtection="1">
      <protection locked="0"/>
    </xf>
    <xf numFmtId="0" fontId="119" fillId="0" borderId="0" xfId="2" applyFont="1" applyAlignment="1">
      <alignment horizontal="right"/>
    </xf>
    <xf numFmtId="165" fontId="114" fillId="0" borderId="0" xfId="2" applyNumberFormat="1" applyFont="1" applyAlignment="1">
      <alignment horizontal="right"/>
    </xf>
    <xf numFmtId="170" fontId="4" fillId="0" borderId="0" xfId="17" applyNumberFormat="1" applyFont="1" applyProtection="1"/>
    <xf numFmtId="0" fontId="26" fillId="0" borderId="0" xfId="3" applyFont="1"/>
    <xf numFmtId="170" fontId="8" fillId="0" borderId="0" xfId="17" applyNumberFormat="1" applyFont="1" applyProtection="1"/>
    <xf numFmtId="0" fontId="7" fillId="0" borderId="61" xfId="2" quotePrefix="1" applyFont="1" applyBorder="1" applyAlignment="1">
      <alignment horizontal="right"/>
    </xf>
    <xf numFmtId="0" fontId="121" fillId="0" borderId="0" xfId="2" applyFont="1" applyAlignment="1">
      <alignment horizontal="right" vertical="top" textRotation="90" wrapText="1"/>
    </xf>
    <xf numFmtId="167" fontId="8" fillId="0" borderId="6" xfId="35" applyNumberFormat="1" applyFont="1" applyBorder="1" applyAlignment="1">
      <alignment horizontal="right"/>
    </xf>
    <xf numFmtId="167" fontId="8" fillId="0" borderId="6" xfId="2" applyNumberFormat="1" applyFont="1" applyBorder="1"/>
    <xf numFmtId="0" fontId="7" fillId="0" borderId="2" xfId="2" applyFont="1" applyBorder="1" applyAlignment="1">
      <alignment horizontal="left"/>
    </xf>
    <xf numFmtId="167" fontId="7" fillId="0" borderId="2" xfId="2" applyNumberFormat="1" applyFont="1" applyBorder="1" applyAlignment="1">
      <alignment horizontal="right"/>
    </xf>
    <xf numFmtId="167" fontId="7" fillId="0" borderId="2" xfId="35" applyNumberFormat="1" applyFont="1" applyBorder="1" applyAlignment="1">
      <alignment horizontal="right"/>
    </xf>
    <xf numFmtId="167" fontId="7" fillId="0" borderId="2" xfId="2" applyNumberFormat="1" applyFont="1" applyBorder="1"/>
    <xf numFmtId="167" fontId="8" fillId="0" borderId="0" xfId="2" applyNumberFormat="1" applyFont="1" applyAlignment="1">
      <alignment horizontal="right"/>
    </xf>
    <xf numFmtId="170" fontId="4" fillId="0" borderId="0" xfId="17" applyNumberFormat="1" applyFont="1" applyFill="1" applyProtection="1"/>
    <xf numFmtId="170" fontId="4" fillId="0" borderId="0" xfId="17" applyNumberFormat="1" applyFont="1" applyProtection="1">
      <protection locked="0"/>
    </xf>
    <xf numFmtId="181" fontId="8" fillId="0" borderId="0" xfId="2" applyNumberFormat="1" applyFont="1" applyAlignment="1">
      <alignment horizontal="right" vertical="top" wrapText="1"/>
    </xf>
    <xf numFmtId="200" fontId="8" fillId="0" borderId="0" xfId="2" applyNumberFormat="1" applyFont="1" applyAlignment="1">
      <alignment horizontal="right" vertical="top" wrapText="1"/>
    </xf>
    <xf numFmtId="0" fontId="8" fillId="0" borderId="6" xfId="2" applyFont="1" applyBorder="1" applyAlignment="1">
      <alignment vertical="top" wrapText="1"/>
    </xf>
    <xf numFmtId="181" fontId="8" fillId="0" borderId="6" xfId="2" applyNumberFormat="1" applyFont="1" applyBorder="1" applyAlignment="1">
      <alignment horizontal="right" vertical="top" wrapText="1"/>
    </xf>
    <xf numFmtId="3" fontId="8" fillId="0" borderId="0" xfId="2" applyNumberFormat="1" applyFont="1" applyAlignment="1">
      <alignment horizontal="right" vertical="top" wrapText="1"/>
    </xf>
    <xf numFmtId="170" fontId="8" fillId="0" borderId="0" xfId="17" applyNumberFormat="1" applyFont="1" applyFill="1" applyBorder="1" applyAlignment="1">
      <alignment horizontal="right" vertical="top" wrapText="1"/>
    </xf>
    <xf numFmtId="170" fontId="0" fillId="0" borderId="0" xfId="1" applyNumberFormat="1" applyFont="1" applyBorder="1"/>
    <xf numFmtId="170" fontId="4" fillId="0" borderId="0" xfId="1" applyNumberFormat="1" applyFont="1"/>
    <xf numFmtId="181" fontId="8" fillId="2" borderId="0" xfId="2" applyNumberFormat="1" applyFont="1" applyFill="1" applyAlignment="1">
      <alignment horizontal="right" vertical="top" wrapText="1"/>
    </xf>
    <xf numFmtId="173" fontId="44" fillId="0" borderId="0" xfId="7" applyNumberFormat="1" applyFont="1" applyFill="1"/>
    <xf numFmtId="173" fontId="40" fillId="0" borderId="0" xfId="7" applyNumberFormat="1" applyFont="1"/>
    <xf numFmtId="170" fontId="40" fillId="0" borderId="0" xfId="1" applyNumberFormat="1" applyFont="1"/>
    <xf numFmtId="165" fontId="4" fillId="0" borderId="0" xfId="15" applyNumberFormat="1"/>
    <xf numFmtId="165" fontId="4" fillId="0" borderId="6" xfId="15" applyNumberFormat="1" applyBorder="1"/>
    <xf numFmtId="3" fontId="7" fillId="0" borderId="6" xfId="15" applyNumberFormat="1" applyFont="1" applyBorder="1"/>
    <xf numFmtId="0" fontId="8" fillId="0" borderId="61" xfId="2" applyFont="1" applyBorder="1"/>
    <xf numFmtId="0" fontId="14" fillId="0" borderId="61" xfId="2" quotePrefix="1" applyFont="1" applyBorder="1" applyAlignment="1">
      <alignment horizontal="right"/>
    </xf>
    <xf numFmtId="165" fontId="11" fillId="0" borderId="0" xfId="2" applyNumberFormat="1" applyFont="1" applyAlignment="1">
      <alignment horizontal="right"/>
    </xf>
    <xf numFmtId="165" fontId="11" fillId="0" borderId="0" xfId="35" applyNumberFormat="1" applyFont="1" applyAlignment="1">
      <alignment horizontal="right"/>
    </xf>
    <xf numFmtId="167" fontId="8" fillId="2" borderId="0" xfId="35" applyNumberFormat="1" applyFont="1" applyFill="1" applyAlignment="1">
      <alignment horizontal="right"/>
    </xf>
    <xf numFmtId="167" fontId="7" fillId="2" borderId="6" xfId="35" applyNumberFormat="1" applyFont="1" applyFill="1" applyBorder="1" applyAlignment="1">
      <alignment horizontal="right"/>
    </xf>
    <xf numFmtId="167" fontId="14" fillId="0" borderId="6" xfId="35" applyNumberFormat="1" applyFont="1" applyBorder="1" applyAlignment="1">
      <alignment horizontal="right"/>
    </xf>
    <xf numFmtId="0" fontId="90" fillId="0" borderId="0" xfId="2" applyFont="1" applyAlignment="1">
      <alignment horizontal="right" vertical="top" textRotation="90" wrapText="1"/>
    </xf>
    <xf numFmtId="0" fontId="122" fillId="0" borderId="0" xfId="2" applyFont="1" applyAlignment="1">
      <alignment horizontal="right" vertical="top" textRotation="90" wrapText="1"/>
    </xf>
    <xf numFmtId="0" fontId="8" fillId="0" borderId="61" xfId="2" applyFont="1" applyBorder="1" applyAlignment="1">
      <alignment horizontal="left" vertical="top"/>
    </xf>
    <xf numFmtId="0" fontId="7" fillId="2" borderId="61" xfId="15" applyFont="1" applyFill="1" applyBorder="1" applyAlignment="1">
      <alignment horizontal="right" wrapText="1"/>
    </xf>
    <xf numFmtId="0" fontId="77" fillId="0" borderId="0" xfId="2" applyFont="1" applyProtection="1">
      <protection locked="0"/>
    </xf>
    <xf numFmtId="170" fontId="8" fillId="2" borderId="0" xfId="15" applyNumberFormat="1" applyFont="1" applyFill="1" applyAlignment="1">
      <alignment horizontal="right"/>
    </xf>
    <xf numFmtId="170" fontId="44" fillId="2" borderId="0" xfId="15" applyNumberFormat="1" applyFont="1" applyFill="1" applyAlignment="1">
      <alignment horizontal="right"/>
    </xf>
    <xf numFmtId="170" fontId="7" fillId="2" borderId="6" xfId="15" applyNumberFormat="1" applyFont="1" applyFill="1" applyBorder="1" applyAlignment="1">
      <alignment horizontal="right"/>
    </xf>
    <xf numFmtId="170" fontId="63" fillId="2" borderId="6" xfId="15" applyNumberFormat="1" applyFont="1" applyFill="1" applyBorder="1" applyAlignment="1">
      <alignment horizontal="right"/>
    </xf>
    <xf numFmtId="0" fontId="123" fillId="0" borderId="23" xfId="2" applyFont="1" applyBorder="1" applyProtection="1">
      <protection locked="0"/>
    </xf>
    <xf numFmtId="0" fontId="124" fillId="0" borderId="23" xfId="2" applyFont="1" applyBorder="1" applyProtection="1">
      <protection locked="0"/>
    </xf>
    <xf numFmtId="0" fontId="125" fillId="0" borderId="23" xfId="2" applyFont="1" applyBorder="1" applyAlignment="1" applyProtection="1">
      <alignment wrapText="1"/>
      <protection locked="0"/>
    </xf>
    <xf numFmtId="173" fontId="125" fillId="0" borderId="23" xfId="7" applyNumberFormat="1" applyFont="1" applyBorder="1" applyProtection="1">
      <protection locked="0"/>
    </xf>
    <xf numFmtId="173" fontId="126" fillId="0" borderId="23" xfId="7" applyNumberFormat="1" applyFont="1" applyBorder="1" applyProtection="1">
      <protection locked="0"/>
    </xf>
    <xf numFmtId="0" fontId="125" fillId="0" borderId="23" xfId="2" applyFont="1" applyBorder="1" applyProtection="1">
      <protection locked="0"/>
    </xf>
    <xf numFmtId="3" fontId="11" fillId="23" borderId="0" xfId="15" applyNumberFormat="1" applyFont="1" applyFill="1" applyAlignment="1">
      <alignment horizontal="right"/>
    </xf>
    <xf numFmtId="3" fontId="11" fillId="23" borderId="93" xfId="15" applyNumberFormat="1" applyFont="1" applyFill="1" applyBorder="1" applyAlignment="1">
      <alignment horizontal="right"/>
    </xf>
    <xf numFmtId="3" fontId="11" fillId="2" borderId="0" xfId="15" applyNumberFormat="1" applyFont="1" applyFill="1" applyAlignment="1">
      <alignment horizontal="right"/>
    </xf>
    <xf numFmtId="3" fontId="14" fillId="2" borderId="6" xfId="15" applyNumberFormat="1" applyFont="1" applyFill="1" applyBorder="1" applyAlignment="1">
      <alignment horizontal="right"/>
    </xf>
    <xf numFmtId="3" fontId="14" fillId="2" borderId="0" xfId="15" applyNumberFormat="1" applyFont="1" applyFill="1" applyAlignment="1">
      <alignment horizontal="right"/>
    </xf>
    <xf numFmtId="0" fontId="7" fillId="2" borderId="0" xfId="2" applyFont="1" applyFill="1" applyAlignment="1">
      <alignment horizontal="right"/>
    </xf>
    <xf numFmtId="0" fontId="14" fillId="0" borderId="0" xfId="2" applyFont="1" applyAlignment="1">
      <alignment horizontal="right"/>
    </xf>
    <xf numFmtId="0" fontId="0" fillId="0" borderId="0" xfId="2" applyFont="1" applyAlignment="1" applyProtection="1">
      <alignment horizontal="right"/>
      <protection locked="0"/>
    </xf>
    <xf numFmtId="0" fontId="7" fillId="2" borderId="61" xfId="2" quotePrefix="1" applyFont="1" applyFill="1" applyBorder="1" applyAlignment="1">
      <alignment horizontal="right"/>
    </xf>
    <xf numFmtId="0" fontId="11" fillId="23" borderId="0" xfId="15" applyFont="1" applyFill="1" applyAlignment="1">
      <alignment horizontal="right"/>
    </xf>
    <xf numFmtId="165" fontId="11" fillId="23" borderId="0" xfId="15" applyNumberFormat="1" applyFont="1" applyFill="1" applyAlignment="1">
      <alignment horizontal="right"/>
    </xf>
    <xf numFmtId="165" fontId="11" fillId="2" borderId="0" xfId="15" applyNumberFormat="1" applyFont="1" applyFill="1" applyAlignment="1">
      <alignment horizontal="right"/>
    </xf>
    <xf numFmtId="165" fontId="8" fillId="2" borderId="0" xfId="35" applyNumberFormat="1" applyFont="1" applyFill="1" applyAlignment="1">
      <alignment horizontal="right"/>
    </xf>
    <xf numFmtId="0" fontId="14" fillId="2" borderId="6" xfId="15" applyFont="1" applyFill="1" applyBorder="1" applyAlignment="1">
      <alignment horizontal="right"/>
    </xf>
    <xf numFmtId="165" fontId="14" fillId="2" borderId="6" xfId="15" applyNumberFormat="1" applyFont="1" applyFill="1" applyBorder="1" applyAlignment="1">
      <alignment horizontal="right"/>
    </xf>
    <xf numFmtId="165" fontId="7" fillId="2" borderId="6" xfId="35" applyNumberFormat="1" applyFont="1" applyFill="1" applyBorder="1" applyAlignment="1">
      <alignment horizontal="right"/>
    </xf>
    <xf numFmtId="167" fontId="14" fillId="0" borderId="0" xfId="35" applyNumberFormat="1" applyFont="1" applyAlignment="1">
      <alignment horizontal="right"/>
    </xf>
    <xf numFmtId="167" fontId="8" fillId="2" borderId="6" xfId="35" applyNumberFormat="1" applyFont="1" applyFill="1" applyBorder="1" applyAlignment="1">
      <alignment horizontal="right"/>
    </xf>
    <xf numFmtId="0" fontId="14" fillId="23" borderId="61" xfId="15" applyFont="1" applyFill="1" applyBorder="1" applyAlignment="1">
      <alignment horizontal="right" wrapText="1"/>
    </xf>
    <xf numFmtId="0" fontId="14" fillId="2" borderId="61" xfId="2" applyFont="1" applyFill="1" applyBorder="1" applyAlignment="1" applyProtection="1">
      <alignment horizontal="center" wrapText="1"/>
      <protection locked="0"/>
    </xf>
    <xf numFmtId="0" fontId="14" fillId="2" borderId="61" xfId="15" applyFont="1" applyFill="1" applyBorder="1" applyAlignment="1">
      <alignment horizontal="right" wrapText="1"/>
    </xf>
    <xf numFmtId="0" fontId="14" fillId="0" borderId="61" xfId="15" applyFont="1" applyBorder="1" applyAlignment="1">
      <alignment horizontal="right" wrapText="1"/>
    </xf>
    <xf numFmtId="0" fontId="7" fillId="0" borderId="61" xfId="15" applyFont="1" applyBorder="1" applyAlignment="1">
      <alignment horizontal="right" wrapText="1"/>
    </xf>
    <xf numFmtId="0" fontId="14" fillId="23" borderId="0" xfId="15" applyFont="1" applyFill="1" applyAlignment="1">
      <alignment horizontal="right" wrapText="1"/>
    </xf>
    <xf numFmtId="170" fontId="44" fillId="23" borderId="0" xfId="15" applyNumberFormat="1" applyFont="1" applyFill="1" applyAlignment="1">
      <alignment horizontal="right"/>
    </xf>
    <xf numFmtId="170" fontId="128" fillId="23" borderId="0" xfId="15" applyNumberFormat="1" applyFont="1" applyFill="1" applyAlignment="1">
      <alignment horizontal="right"/>
    </xf>
    <xf numFmtId="170" fontId="129" fillId="23" borderId="0" xfId="15" applyNumberFormat="1" applyFont="1" applyFill="1" applyAlignment="1">
      <alignment horizontal="right"/>
    </xf>
    <xf numFmtId="170" fontId="128" fillId="2" borderId="0" xfId="15" applyNumberFormat="1" applyFont="1" applyFill="1" applyAlignment="1">
      <alignment horizontal="right"/>
    </xf>
    <xf numFmtId="170" fontId="44" fillId="0" borderId="0" xfId="15" applyNumberFormat="1" applyFont="1" applyAlignment="1">
      <alignment horizontal="right"/>
    </xf>
    <xf numFmtId="10" fontId="7" fillId="0" borderId="0" xfId="1" applyNumberFormat="1" applyFont="1" applyBorder="1" applyAlignment="1">
      <alignment horizontal="right"/>
    </xf>
    <xf numFmtId="170" fontId="128" fillId="0" borderId="0" xfId="15" applyNumberFormat="1" applyFont="1" applyAlignment="1">
      <alignment horizontal="right"/>
    </xf>
    <xf numFmtId="170" fontId="81" fillId="2" borderId="6" xfId="15" applyNumberFormat="1" applyFont="1" applyFill="1" applyBorder="1" applyAlignment="1">
      <alignment horizontal="right"/>
    </xf>
    <xf numFmtId="170" fontId="130" fillId="2" borderId="6" xfId="15" applyNumberFormat="1" applyFont="1" applyFill="1" applyBorder="1" applyAlignment="1">
      <alignment horizontal="right"/>
    </xf>
    <xf numFmtId="0" fontId="3" fillId="0" borderId="23" xfId="2" applyFont="1" applyBorder="1" applyAlignment="1">
      <alignment vertical="top"/>
    </xf>
    <xf numFmtId="17" fontId="3" fillId="0" borderId="23" xfId="2" quotePrefix="1" applyNumberFormat="1" applyFont="1" applyBorder="1" applyAlignment="1">
      <alignment vertical="top"/>
    </xf>
    <xf numFmtId="0" fontId="0" fillId="0" borderId="23" xfId="2" applyFont="1" applyBorder="1" applyAlignment="1">
      <alignment vertical="top"/>
    </xf>
    <xf numFmtId="173" fontId="0" fillId="0" borderId="23" xfId="7" applyNumberFormat="1" applyFont="1" applyBorder="1" applyAlignment="1" applyProtection="1">
      <alignment vertical="top"/>
    </xf>
    <xf numFmtId="0" fontId="0" fillId="0" borderId="23" xfId="2" applyFont="1" applyBorder="1" applyAlignment="1">
      <alignment vertical="top" wrapText="1"/>
    </xf>
    <xf numFmtId="165" fontId="0" fillId="0" borderId="23" xfId="2" applyNumberFormat="1" applyFont="1" applyBorder="1" applyAlignment="1">
      <alignment vertical="top"/>
    </xf>
    <xf numFmtId="165" fontId="0" fillId="3" borderId="23" xfId="2" applyNumberFormat="1" applyFont="1" applyFill="1" applyBorder="1" applyAlignment="1">
      <alignment vertical="top"/>
    </xf>
    <xf numFmtId="0" fontId="99" fillId="0" borderId="0" xfId="2" applyFont="1" applyAlignment="1" applyProtection="1">
      <alignment horizontal="right"/>
      <protection locked="0"/>
    </xf>
    <xf numFmtId="0" fontId="131" fillId="0" borderId="0" xfId="2" applyFont="1" applyProtection="1">
      <protection locked="0"/>
    </xf>
    <xf numFmtId="0" fontId="40" fillId="0" borderId="0" xfId="2" applyFont="1" applyProtection="1">
      <protection locked="0"/>
    </xf>
    <xf numFmtId="0" fontId="25" fillId="0" borderId="0" xfId="2" applyFont="1" applyProtection="1">
      <protection locked="0"/>
    </xf>
    <xf numFmtId="185" fontId="15" fillId="0" borderId="0" xfId="2" applyNumberFormat="1" applyFont="1" applyAlignment="1">
      <alignment horizontal="left"/>
    </xf>
    <xf numFmtId="185" fontId="4" fillId="0" borderId="6" xfId="2" applyNumberFormat="1" applyBorder="1" applyAlignment="1">
      <alignment horizontal="left"/>
    </xf>
    <xf numFmtId="0" fontId="40" fillId="2" borderId="6" xfId="2" applyFont="1" applyFill="1" applyBorder="1" applyProtection="1">
      <protection locked="0"/>
    </xf>
    <xf numFmtId="185" fontId="4" fillId="0" borderId="0" xfId="2" applyNumberFormat="1" applyAlignment="1">
      <alignment horizontal="left" wrapText="1"/>
    </xf>
    <xf numFmtId="185" fontId="4" fillId="0" borderId="6" xfId="2" applyNumberFormat="1" applyBorder="1" applyAlignment="1">
      <alignment horizontal="left" wrapText="1"/>
    </xf>
    <xf numFmtId="0" fontId="27" fillId="0" borderId="0" xfId="2" applyFont="1" applyAlignment="1">
      <alignment vertical="top"/>
    </xf>
    <xf numFmtId="185" fontId="11" fillId="0" borderId="0" xfId="2" applyNumberFormat="1" applyFont="1" applyAlignment="1">
      <alignment horizontal="left" vertical="top" wrapText="1"/>
    </xf>
    <xf numFmtId="185" fontId="14" fillId="0" borderId="0" xfId="2" applyNumberFormat="1" applyFont="1" applyAlignment="1">
      <alignment horizontal="center" vertical="top"/>
    </xf>
    <xf numFmtId="185" fontId="7" fillId="2" borderId="0" xfId="2" applyNumberFormat="1" applyFont="1" applyFill="1" applyAlignment="1">
      <alignment horizontal="center" vertical="top"/>
    </xf>
    <xf numFmtId="0" fontId="6" fillId="2" borderId="0" xfId="2" applyFont="1" applyFill="1" applyProtection="1">
      <protection locked="0"/>
    </xf>
    <xf numFmtId="0" fontId="100" fillId="0" borderId="0" xfId="2" applyFont="1" applyAlignment="1" applyProtection="1">
      <alignment horizontal="right"/>
      <protection locked="0"/>
    </xf>
    <xf numFmtId="0" fontId="100" fillId="0" borderId="0" xfId="2" applyFont="1" applyProtection="1">
      <protection locked="0"/>
    </xf>
    <xf numFmtId="199" fontId="99" fillId="0" borderId="0" xfId="2" applyNumberFormat="1" applyFont="1" applyProtection="1">
      <protection locked="0"/>
    </xf>
    <xf numFmtId="184" fontId="8" fillId="2" borderId="0" xfId="2" applyNumberFormat="1" applyFont="1" applyFill="1" applyAlignment="1">
      <alignment horizontal="right"/>
    </xf>
    <xf numFmtId="9" fontId="8" fillId="0" borderId="0" xfId="24" applyFont="1" applyFill="1" applyBorder="1" applyAlignment="1">
      <alignment horizontal="right"/>
    </xf>
    <xf numFmtId="0" fontId="48" fillId="0" borderId="6" xfId="2" applyFont="1" applyBorder="1"/>
    <xf numFmtId="0" fontId="48" fillId="0" borderId="0" xfId="2" applyFont="1"/>
    <xf numFmtId="170" fontId="8" fillId="0" borderId="0" xfId="24" applyNumberFormat="1" applyFont="1" applyFill="1" applyBorder="1" applyAlignment="1">
      <alignment horizontal="left"/>
    </xf>
    <xf numFmtId="0" fontId="60" fillId="4" borderId="0" xfId="2" applyFont="1" applyFill="1" applyAlignment="1">
      <alignment horizontal="right" vertical="top"/>
    </xf>
    <xf numFmtId="0" fontId="8" fillId="4" borderId="0" xfId="2" applyFont="1" applyFill="1" applyAlignment="1">
      <alignment horizontal="left" indent="1"/>
    </xf>
    <xf numFmtId="184" fontId="133" fillId="0" borderId="0" xfId="2" applyNumberFormat="1" applyFont="1" applyAlignment="1">
      <alignment horizontal="right"/>
    </xf>
    <xf numFmtId="184" fontId="133" fillId="4" borderId="0" xfId="2" applyNumberFormat="1" applyFont="1" applyFill="1" applyAlignment="1">
      <alignment horizontal="right"/>
    </xf>
    <xf numFmtId="184" fontId="8" fillId="4" borderId="0" xfId="2" applyNumberFormat="1" applyFont="1" applyFill="1" applyAlignment="1">
      <alignment horizontal="right"/>
    </xf>
    <xf numFmtId="0" fontId="60" fillId="24" borderId="0" xfId="2" applyFont="1" applyFill="1" applyAlignment="1">
      <alignment horizontal="right" vertical="top"/>
    </xf>
    <xf numFmtId="0" fontId="8" fillId="24" borderId="0" xfId="2" applyFont="1" applyFill="1" applyAlignment="1">
      <alignment horizontal="left" indent="1"/>
    </xf>
    <xf numFmtId="0" fontId="60" fillId="0" borderId="0" xfId="2" applyFont="1" applyAlignment="1">
      <alignment horizontal="right" vertical="top"/>
    </xf>
    <xf numFmtId="0" fontId="40" fillId="2" borderId="0" xfId="32" applyFont="1" applyFill="1"/>
    <xf numFmtId="0" fontId="7" fillId="2" borderId="6" xfId="2" applyFont="1" applyFill="1" applyBorder="1" applyAlignment="1">
      <alignment horizontal="left"/>
    </xf>
    <xf numFmtId="0" fontId="8" fillId="4" borderId="0" xfId="2" applyFont="1" applyFill="1" applyAlignment="1">
      <alignment horizontal="right"/>
    </xf>
    <xf numFmtId="0" fontId="8" fillId="4" borderId="6" xfId="2" applyFont="1" applyFill="1" applyBorder="1" applyAlignment="1">
      <alignment horizontal="right"/>
    </xf>
    <xf numFmtId="0" fontId="44" fillId="0" borderId="6" xfId="2" applyFont="1" applyBorder="1" applyAlignment="1">
      <alignment horizontal="right"/>
    </xf>
    <xf numFmtId="0" fontId="44" fillId="4" borderId="6" xfId="2" applyFont="1" applyFill="1" applyBorder="1" applyAlignment="1">
      <alignment horizontal="right"/>
    </xf>
    <xf numFmtId="170" fontId="7" fillId="0" borderId="0" xfId="2" applyNumberFormat="1" applyFont="1" applyAlignment="1">
      <alignment horizontal="right"/>
    </xf>
    <xf numFmtId="170" fontId="14" fillId="0" borderId="0" xfId="2" applyNumberFormat="1" applyFont="1" applyAlignment="1">
      <alignment horizontal="right"/>
    </xf>
    <xf numFmtId="170" fontId="7" fillId="0" borderId="6" xfId="2" applyNumberFormat="1" applyFont="1" applyBorder="1" applyAlignment="1">
      <alignment horizontal="right"/>
    </xf>
    <xf numFmtId="170" fontId="14" fillId="0" borderId="6" xfId="2" applyNumberFormat="1" applyFont="1" applyBorder="1" applyAlignment="1">
      <alignment horizontal="right"/>
    </xf>
    <xf numFmtId="170" fontId="11" fillId="0" borderId="0" xfId="2" applyNumberFormat="1" applyFont="1" applyAlignment="1">
      <alignment horizontal="right"/>
    </xf>
    <xf numFmtId="0" fontId="25" fillId="2" borderId="0" xfId="32" applyFont="1" applyFill="1"/>
    <xf numFmtId="0" fontId="8" fillId="0" borderId="101" xfId="2" applyFont="1" applyBorder="1" applyAlignment="1">
      <alignment horizontal="left"/>
    </xf>
    <xf numFmtId="9" fontId="8" fillId="0" borderId="0" xfId="24" applyFont="1" applyFill="1" applyBorder="1"/>
    <xf numFmtId="184" fontId="4" fillId="0" borderId="0" xfId="32" applyNumberFormat="1"/>
    <xf numFmtId="0" fontId="125" fillId="0" borderId="0" xfId="2" applyFont="1" applyAlignment="1">
      <alignment vertical="top"/>
    </xf>
    <xf numFmtId="0" fontId="125" fillId="0" borderId="0" xfId="2" applyFont="1"/>
    <xf numFmtId="0" fontId="125" fillId="0" borderId="0" xfId="2" applyFont="1" applyProtection="1">
      <protection locked="0"/>
    </xf>
    <xf numFmtId="0" fontId="135" fillId="0" borderId="0" xfId="2" applyFont="1" applyProtection="1">
      <protection locked="0"/>
    </xf>
    <xf numFmtId="176" fontId="125" fillId="0" borderId="0" xfId="2" applyNumberFormat="1" applyFont="1" applyProtection="1">
      <protection locked="0"/>
    </xf>
    <xf numFmtId="0" fontId="125" fillId="0" borderId="0" xfId="2" applyFont="1" applyAlignment="1">
      <alignment horizontal="center" vertical="top"/>
    </xf>
    <xf numFmtId="0" fontId="15" fillId="0" borderId="6" xfId="2" applyFont="1" applyBorder="1"/>
    <xf numFmtId="0" fontId="27" fillId="0" borderId="0" xfId="2" quotePrefix="1" applyFont="1" applyAlignment="1">
      <alignment horizontal="left"/>
    </xf>
    <xf numFmtId="0" fontId="4" fillId="0" borderId="0" xfId="2" applyAlignment="1">
      <alignment horizontal="center"/>
    </xf>
    <xf numFmtId="0" fontId="15" fillId="0" borderId="0" xfId="2" applyFont="1" applyAlignment="1">
      <alignment horizontal="center"/>
    </xf>
    <xf numFmtId="0" fontId="125" fillId="0" borderId="0" xfId="2" applyFont="1" applyAlignment="1">
      <alignment horizontal="center"/>
    </xf>
    <xf numFmtId="199" fontId="4" fillId="0" borderId="0" xfId="2" applyNumberFormat="1" applyAlignment="1">
      <alignment horizontal="center"/>
    </xf>
    <xf numFmtId="0" fontId="125" fillId="0" borderId="0" xfId="2" applyFont="1" applyAlignment="1" applyProtection="1">
      <alignment horizontal="center"/>
      <protection locked="0"/>
    </xf>
    <xf numFmtId="0" fontId="36" fillId="0" borderId="0" xfId="2" applyFont="1" applyAlignment="1" applyProtection="1">
      <alignment horizontal="center"/>
      <protection locked="0"/>
    </xf>
    <xf numFmtId="0" fontId="69" fillId="0" borderId="0" xfId="2" applyFont="1" applyAlignment="1">
      <alignment vertical="top"/>
    </xf>
    <xf numFmtId="0" fontId="136" fillId="0" borderId="0" xfId="2" applyFont="1" applyAlignment="1">
      <alignment vertical="top"/>
    </xf>
    <xf numFmtId="0" fontId="24" fillId="0" borderId="0" xfId="2" quotePrefix="1" applyFont="1" applyAlignment="1">
      <alignment horizontal="left"/>
    </xf>
    <xf numFmtId="176" fontId="12" fillId="0" borderId="0" xfId="2" applyNumberFormat="1" applyFont="1" applyAlignment="1">
      <alignment horizontal="right"/>
    </xf>
    <xf numFmtId="176" fontId="12" fillId="2" borderId="0" xfId="2" applyNumberFormat="1" applyFont="1" applyFill="1" applyAlignment="1">
      <alignment horizontal="right"/>
    </xf>
    <xf numFmtId="0" fontId="137" fillId="0" borderId="0" xfId="2" applyFont="1" applyProtection="1">
      <protection locked="0"/>
    </xf>
    <xf numFmtId="0" fontId="4" fillId="0" borderId="0" xfId="2" quotePrefix="1" applyAlignment="1">
      <alignment horizontal="left"/>
    </xf>
    <xf numFmtId="176" fontId="12" fillId="0" borderId="0" xfId="2" applyNumberFormat="1" applyFont="1" applyProtection="1">
      <protection locked="0"/>
    </xf>
    <xf numFmtId="176" fontId="12" fillId="2" borderId="0" xfId="2" applyNumberFormat="1" applyFont="1" applyFill="1" applyProtection="1">
      <protection locked="0"/>
    </xf>
    <xf numFmtId="199" fontId="125" fillId="0" borderId="0" xfId="2" applyNumberFormat="1" applyFont="1" applyAlignment="1">
      <alignment vertical="top"/>
    </xf>
    <xf numFmtId="199" fontId="125" fillId="0" borderId="0" xfId="2" applyNumberFormat="1" applyFont="1"/>
    <xf numFmtId="176" fontId="4" fillId="0" borderId="0" xfId="2" applyNumberFormat="1" applyProtection="1">
      <protection locked="0"/>
    </xf>
    <xf numFmtId="176" fontId="4" fillId="2" borderId="0" xfId="2" applyNumberFormat="1" applyFill="1" applyProtection="1">
      <protection locked="0"/>
    </xf>
    <xf numFmtId="0" fontId="4" fillId="0" borderId="0" xfId="2" applyAlignment="1">
      <alignment horizontal="left"/>
    </xf>
    <xf numFmtId="185" fontId="4" fillId="2" borderId="0" xfId="2" applyNumberFormat="1" applyFill="1" applyAlignment="1">
      <alignment horizontal="right"/>
    </xf>
    <xf numFmtId="176" fontId="8" fillId="0" borderId="0" xfId="2" applyNumberFormat="1" applyFont="1" applyProtection="1">
      <protection locked="0"/>
    </xf>
    <xf numFmtId="176" fontId="8" fillId="2" borderId="0" xfId="2" applyNumberFormat="1" applyFont="1" applyFill="1" applyProtection="1">
      <protection locked="0"/>
    </xf>
    <xf numFmtId="0" fontId="132" fillId="0" borderId="0" xfId="2" applyFont="1" applyProtection="1">
      <protection locked="0"/>
    </xf>
    <xf numFmtId="0" fontId="25" fillId="0" borderId="0" xfId="2" applyFont="1" applyAlignment="1">
      <alignment vertical="top"/>
    </xf>
    <xf numFmtId="199" fontId="125" fillId="0" borderId="0" xfId="2" applyNumberFormat="1" applyFont="1" applyProtection="1">
      <protection locked="0"/>
    </xf>
    <xf numFmtId="0" fontId="138" fillId="0" borderId="0" xfId="2" applyFont="1" applyAlignment="1" applyProtection="1">
      <alignment horizontal="center"/>
      <protection locked="0"/>
    </xf>
    <xf numFmtId="0" fontId="28" fillId="0" borderId="0" xfId="2" applyFont="1"/>
    <xf numFmtId="0" fontId="28" fillId="0" borderId="6" xfId="2" applyFont="1" applyBorder="1" applyAlignment="1">
      <alignment horizontal="left"/>
    </xf>
    <xf numFmtId="185" fontId="28" fillId="2" borderId="6" xfId="2" applyNumberFormat="1" applyFont="1" applyFill="1" applyBorder="1" applyAlignment="1">
      <alignment horizontal="right"/>
    </xf>
    <xf numFmtId="0" fontId="41" fillId="0" borderId="6" xfId="2" applyFont="1" applyBorder="1" applyAlignment="1">
      <alignment horizontal="left"/>
    </xf>
    <xf numFmtId="185" fontId="41" fillId="0" borderId="6" xfId="2" applyNumberFormat="1" applyFont="1" applyBorder="1" applyAlignment="1">
      <alignment horizontal="right"/>
    </xf>
    <xf numFmtId="185" fontId="41" fillId="2" borderId="6" xfId="2" applyNumberFormat="1" applyFont="1" applyFill="1" applyBorder="1" applyAlignment="1">
      <alignment horizontal="right"/>
    </xf>
    <xf numFmtId="0" fontId="26" fillId="2" borderId="6" xfId="2" applyFont="1" applyFill="1" applyBorder="1" applyAlignment="1" applyProtection="1">
      <alignment horizontal="center"/>
      <protection locked="0"/>
    </xf>
    <xf numFmtId="0" fontId="26" fillId="0" borderId="0" xfId="2" applyFont="1" applyAlignment="1" applyProtection="1">
      <alignment horizontal="center"/>
      <protection locked="0"/>
    </xf>
    <xf numFmtId="0" fontId="41" fillId="2" borderId="0" xfId="2" applyFont="1" applyFill="1" applyAlignment="1" applyProtection="1">
      <alignment horizontal="right"/>
      <protection locked="0"/>
    </xf>
    <xf numFmtId="0" fontId="57" fillId="0" borderId="0" xfId="2" applyFont="1" applyAlignment="1" applyProtection="1">
      <alignment horizontal="center"/>
      <protection locked="0"/>
    </xf>
    <xf numFmtId="2" fontId="3" fillId="0" borderId="0" xfId="2" applyNumberFormat="1" applyFont="1" applyProtection="1">
      <protection locked="0"/>
    </xf>
    <xf numFmtId="0" fontId="99" fillId="0" borderId="0" xfId="2" applyFont="1" applyAlignment="1">
      <alignment horizontal="center" vertical="top"/>
    </xf>
    <xf numFmtId="0" fontId="14" fillId="0" borderId="0" xfId="2" applyFont="1" applyAlignment="1">
      <alignment horizontal="left" vertical="top"/>
    </xf>
    <xf numFmtId="0" fontId="99" fillId="0" borderId="0" xfId="2" applyFont="1" applyAlignment="1" applyProtection="1">
      <alignment horizontal="center"/>
      <protection locked="0"/>
    </xf>
    <xf numFmtId="0" fontId="14" fillId="0" borderId="0" xfId="2" applyFont="1" applyAlignment="1">
      <alignment horizontal="center"/>
    </xf>
    <xf numFmtId="0" fontId="11" fillId="0" borderId="0" xfId="2" applyFont="1" applyAlignment="1">
      <alignment horizontal="center"/>
    </xf>
    <xf numFmtId="0" fontId="11" fillId="0" borderId="0" xfId="2" applyFont="1" applyAlignment="1" applyProtection="1">
      <alignment horizontal="center"/>
      <protection locked="0"/>
    </xf>
    <xf numFmtId="185" fontId="11" fillId="0" borderId="0" xfId="2" applyNumberFormat="1" applyFont="1" applyAlignment="1">
      <alignment horizontal="right"/>
    </xf>
    <xf numFmtId="185" fontId="11" fillId="0" borderId="0" xfId="2" applyNumberFormat="1" applyFont="1" applyAlignment="1">
      <alignment horizontal="center" vertical="top"/>
    </xf>
    <xf numFmtId="185" fontId="8" fillId="0" borderId="0" xfId="2" applyNumberFormat="1" applyFont="1" applyAlignment="1">
      <alignment horizontal="center" vertical="top"/>
    </xf>
    <xf numFmtId="185" fontId="8" fillId="2" borderId="0" xfId="2" applyNumberFormat="1" applyFont="1" applyFill="1" applyAlignment="1">
      <alignment horizontal="center" vertical="top"/>
    </xf>
    <xf numFmtId="185" fontId="7" fillId="0" borderId="0" xfId="2" applyNumberFormat="1" applyFont="1" applyAlignment="1">
      <alignment horizontal="center" vertical="top"/>
    </xf>
    <xf numFmtId="185" fontId="14" fillId="0" borderId="0" xfId="2" applyNumberFormat="1" applyFont="1" applyAlignment="1">
      <alignment horizontal="left" vertical="top" wrapText="1"/>
    </xf>
    <xf numFmtId="0" fontId="14" fillId="0" borderId="0" xfId="2" applyFont="1" applyAlignment="1">
      <alignment horizontal="center" vertical="top"/>
    </xf>
    <xf numFmtId="185" fontId="11" fillId="2" borderId="0" xfId="2" applyNumberFormat="1" applyFont="1" applyFill="1" applyAlignment="1">
      <alignment horizontal="center"/>
    </xf>
    <xf numFmtId="185" fontId="8" fillId="0" borderId="0" xfId="2" applyNumberFormat="1" applyFont="1" applyAlignment="1">
      <alignment horizontal="center"/>
    </xf>
    <xf numFmtId="185" fontId="8" fillId="2" borderId="0" xfId="2" applyNumberFormat="1" applyFont="1" applyFill="1" applyAlignment="1">
      <alignment horizontal="center"/>
    </xf>
    <xf numFmtId="199" fontId="99" fillId="0" borderId="0" xfId="2" applyNumberFormat="1" applyFont="1"/>
    <xf numFmtId="173" fontId="8" fillId="0" borderId="0" xfId="14" applyNumberFormat="1" applyFont="1" applyBorder="1" applyAlignment="1" applyProtection="1">
      <alignment horizontal="right"/>
    </xf>
    <xf numFmtId="173" fontId="8" fillId="2" borderId="0" xfId="14" applyNumberFormat="1" applyFont="1" applyFill="1" applyBorder="1" applyAlignment="1" applyProtection="1">
      <alignment horizontal="right"/>
    </xf>
    <xf numFmtId="9" fontId="8" fillId="0" borderId="0" xfId="17" applyFont="1" applyBorder="1" applyAlignment="1" applyProtection="1">
      <alignment horizontal="right"/>
    </xf>
    <xf numFmtId="9" fontId="8" fillId="2" borderId="0" xfId="17" applyFont="1" applyFill="1" applyBorder="1" applyAlignment="1" applyProtection="1">
      <alignment horizontal="right"/>
    </xf>
    <xf numFmtId="17" fontId="14" fillId="2" borderId="0" xfId="2" quotePrefix="1" applyNumberFormat="1" applyFont="1" applyFill="1" applyAlignment="1">
      <alignment horizontal="right"/>
    </xf>
    <xf numFmtId="0" fontId="14" fillId="2" borderId="0" xfId="2" quotePrefix="1" applyFont="1" applyFill="1" applyAlignment="1">
      <alignment horizontal="right"/>
    </xf>
    <xf numFmtId="0" fontId="11" fillId="0" borderId="0" xfId="2" applyFont="1" applyAlignment="1">
      <alignment horizontal="left"/>
    </xf>
    <xf numFmtId="0" fontId="11" fillId="2" borderId="0" xfId="2" applyFont="1" applyFill="1" applyAlignment="1">
      <alignment horizontal="right"/>
    </xf>
    <xf numFmtId="176" fontId="11" fillId="2" borderId="6" xfId="2" applyNumberFormat="1" applyFont="1" applyFill="1" applyBorder="1" applyAlignment="1">
      <alignment horizontal="right"/>
    </xf>
    <xf numFmtId="0" fontId="11" fillId="0" borderId="0" xfId="2" applyFont="1"/>
    <xf numFmtId="0" fontId="44" fillId="2" borderId="0" xfId="2" applyFont="1" applyFill="1"/>
    <xf numFmtId="173" fontId="8" fillId="2" borderId="0" xfId="14" applyNumberFormat="1" applyFont="1" applyFill="1" applyBorder="1" applyAlignment="1">
      <alignment horizontal="right"/>
    </xf>
    <xf numFmtId="173" fontId="8" fillId="0" borderId="0" xfId="14" applyNumberFormat="1" applyFont="1" applyFill="1" applyBorder="1" applyAlignment="1">
      <alignment horizontal="right"/>
    </xf>
    <xf numFmtId="0" fontId="8" fillId="0" borderId="105" xfId="2" applyFont="1" applyBorder="1"/>
    <xf numFmtId="0" fontId="117" fillId="0" borderId="0" xfId="2" applyFont="1" applyAlignment="1">
      <alignment vertical="top"/>
    </xf>
    <xf numFmtId="1" fontId="8" fillId="0" borderId="0" xfId="2" quotePrefix="1" applyNumberFormat="1" applyFont="1" applyAlignment="1">
      <alignment horizontal="right"/>
    </xf>
    <xf numFmtId="1" fontId="8" fillId="0" borderId="0" xfId="2" quotePrefix="1" applyNumberFormat="1" applyFont="1"/>
    <xf numFmtId="1" fontId="8" fillId="2" borderId="0" xfId="2" quotePrefix="1" applyNumberFormat="1" applyFont="1" applyFill="1" applyAlignment="1">
      <alignment horizontal="right"/>
    </xf>
    <xf numFmtId="1" fontId="8" fillId="0" borderId="0" xfId="2" applyNumberFormat="1" applyFont="1" applyAlignment="1">
      <alignment horizontal="left"/>
    </xf>
    <xf numFmtId="1" fontId="63" fillId="0" borderId="0" xfId="2" applyNumberFormat="1" applyFont="1" applyAlignment="1">
      <alignment horizontal="right" wrapText="1"/>
    </xf>
    <xf numFmtId="0" fontId="63" fillId="2" borderId="6" xfId="2" applyFont="1" applyFill="1" applyBorder="1"/>
    <xf numFmtId="0" fontId="14" fillId="2" borderId="0" xfId="2" applyFont="1" applyFill="1" applyAlignment="1">
      <alignment horizontal="right"/>
    </xf>
    <xf numFmtId="0" fontId="11" fillId="2" borderId="6" xfId="2" applyFont="1" applyFill="1" applyBorder="1" applyAlignment="1">
      <alignment horizontal="right"/>
    </xf>
    <xf numFmtId="0" fontId="11" fillId="0" borderId="0" xfId="0" applyFont="1"/>
    <xf numFmtId="0" fontId="11" fillId="0" borderId="6" xfId="0" applyFont="1" applyBorder="1"/>
    <xf numFmtId="0" fontId="14" fillId="0" borderId="32" xfId="2" applyFont="1" applyBorder="1" applyAlignment="1">
      <alignment horizontal="right"/>
    </xf>
    <xf numFmtId="2" fontId="8" fillId="0" borderId="34" xfId="2" applyNumberFormat="1" applyFont="1" applyBorder="1"/>
    <xf numFmtId="165" fontId="8" fillId="0" borderId="23" xfId="2" applyNumberFormat="1" applyFont="1" applyBorder="1"/>
    <xf numFmtId="165" fontId="8" fillId="0" borderId="34" xfId="2" applyNumberFormat="1" applyFont="1" applyBorder="1"/>
    <xf numFmtId="2" fontId="45" fillId="0" borderId="23" xfId="0" applyNumberFormat="1" applyFont="1" applyBorder="1" applyAlignment="1">
      <alignment horizontal="center" vertical="center"/>
    </xf>
    <xf numFmtId="2" fontId="11" fillId="0" borderId="23" xfId="0" applyNumberFormat="1" applyFont="1" applyBorder="1" applyAlignment="1">
      <alignment horizontal="center"/>
    </xf>
    <xf numFmtId="2" fontId="77" fillId="0" borderId="23" xfId="0" applyNumberFormat="1" applyFont="1" applyBorder="1" applyAlignment="1">
      <alignment horizontal="center"/>
    </xf>
    <xf numFmtId="178" fontId="8" fillId="0" borderId="66" xfId="2" applyNumberFormat="1" applyFont="1" applyBorder="1" applyAlignment="1">
      <alignment horizontal="right"/>
    </xf>
    <xf numFmtId="178" fontId="8" fillId="0" borderId="44" xfId="2" applyNumberFormat="1" applyFont="1" applyBorder="1" applyAlignment="1">
      <alignment horizontal="right"/>
    </xf>
    <xf numFmtId="178" fontId="8" fillId="0" borderId="45" xfId="2" applyNumberFormat="1" applyFont="1" applyBorder="1" applyAlignment="1">
      <alignment horizontal="right"/>
    </xf>
    <xf numFmtId="178" fontId="8" fillId="0" borderId="46" xfId="2" applyNumberFormat="1" applyFont="1" applyBorder="1" applyAlignment="1">
      <alignment horizontal="right"/>
    </xf>
    <xf numFmtId="178" fontId="8" fillId="0" borderId="60" xfId="2" applyNumberFormat="1" applyFont="1" applyBorder="1" applyAlignment="1">
      <alignment horizontal="right"/>
    </xf>
    <xf numFmtId="178" fontId="8" fillId="0" borderId="59" xfId="2" applyNumberFormat="1" applyFont="1" applyBorder="1" applyAlignment="1">
      <alignment horizontal="right"/>
    </xf>
    <xf numFmtId="178" fontId="8" fillId="0" borderId="63" xfId="2" applyNumberFormat="1" applyFont="1" applyBorder="1" applyAlignment="1">
      <alignment horizontal="right"/>
    </xf>
    <xf numFmtId="165" fontId="8" fillId="0" borderId="43" xfId="2" applyNumberFormat="1" applyFont="1" applyBorder="1" applyAlignment="1">
      <alignment horizontal="right"/>
    </xf>
    <xf numFmtId="165" fontId="8" fillId="0" borderId="46" xfId="2" applyNumberFormat="1" applyFont="1" applyBorder="1" applyAlignment="1">
      <alignment horizontal="right"/>
    </xf>
    <xf numFmtId="165" fontId="77" fillId="0" borderId="15" xfId="2" applyNumberFormat="1" applyFont="1" applyBorder="1"/>
    <xf numFmtId="165" fontId="77" fillId="0" borderId="0" xfId="2" applyNumberFormat="1" applyFont="1"/>
    <xf numFmtId="165" fontId="77" fillId="0" borderId="16" xfId="2" applyNumberFormat="1" applyFont="1" applyBorder="1"/>
    <xf numFmtId="165" fontId="36" fillId="0" borderId="0" xfId="2" applyNumberFormat="1" applyFont="1"/>
    <xf numFmtId="165" fontId="12" fillId="0" borderId="0" xfId="2" applyNumberFormat="1" applyFont="1"/>
    <xf numFmtId="165" fontId="8" fillId="0" borderId="15" xfId="2" applyNumberFormat="1" applyFont="1" applyBorder="1"/>
    <xf numFmtId="0" fontId="7" fillId="0" borderId="0" xfId="2" applyFont="1" applyAlignment="1">
      <alignment horizontal="center" vertical="top"/>
    </xf>
    <xf numFmtId="0" fontId="139" fillId="0" borderId="0" xfId="2" applyFont="1" applyAlignment="1">
      <alignment vertical="top"/>
    </xf>
    <xf numFmtId="0" fontId="138" fillId="0" borderId="0" xfId="2" applyFont="1" applyProtection="1">
      <protection locked="0"/>
    </xf>
    <xf numFmtId="0" fontId="140" fillId="0" borderId="0" xfId="2" applyFont="1" applyAlignment="1">
      <alignment horizontal="left" vertical="top" wrapText="1"/>
    </xf>
    <xf numFmtId="0" fontId="140" fillId="0" borderId="0" xfId="2" applyFont="1" applyAlignment="1">
      <alignment wrapText="1"/>
    </xf>
    <xf numFmtId="0" fontId="141" fillId="0" borderId="0" xfId="2" applyFont="1" applyAlignment="1">
      <alignment vertical="top"/>
    </xf>
    <xf numFmtId="0" fontId="138" fillId="0" borderId="0" xfId="2" applyFont="1"/>
    <xf numFmtId="0" fontId="138" fillId="0" borderId="0" xfId="0" applyFont="1"/>
    <xf numFmtId="0" fontId="14" fillId="0" borderId="23" xfId="0" applyFont="1" applyBorder="1"/>
    <xf numFmtId="0" fontId="11" fillId="0" borderId="23" xfId="0" applyFont="1" applyBorder="1"/>
    <xf numFmtId="2" fontId="14" fillId="0" borderId="23" xfId="0" applyNumberFormat="1" applyFont="1" applyBorder="1"/>
    <xf numFmtId="2" fontId="11" fillId="0" borderId="23" xfId="0" applyNumberFormat="1" applyFont="1" applyBorder="1"/>
    <xf numFmtId="0" fontId="138" fillId="0" borderId="16" xfId="2" applyFont="1" applyBorder="1" applyAlignment="1">
      <alignment vertical="top"/>
    </xf>
    <xf numFmtId="0" fontId="139" fillId="0" borderId="0" xfId="2" applyFont="1" applyAlignment="1">
      <alignment vertical="top" wrapText="1"/>
    </xf>
    <xf numFmtId="0" fontId="7" fillId="3" borderId="0" xfId="2" applyFont="1" applyFill="1"/>
    <xf numFmtId="174" fontId="7" fillId="0" borderId="0" xfId="2" applyNumberFormat="1" applyFont="1" applyAlignment="1">
      <alignment horizontal="right"/>
    </xf>
    <xf numFmtId="174" fontId="8" fillId="2" borderId="0" xfId="2" applyNumberFormat="1" applyFont="1" applyFill="1" applyAlignment="1">
      <alignment horizontal="center"/>
    </xf>
    <xf numFmtId="0" fontId="7" fillId="0" borderId="105" xfId="2" applyFont="1" applyBorder="1" applyAlignment="1">
      <alignment wrapText="1"/>
    </xf>
    <xf numFmtId="174" fontId="8" fillId="0" borderId="105" xfId="2" applyNumberFormat="1" applyFont="1" applyBorder="1" applyAlignment="1">
      <alignment horizontal="right"/>
    </xf>
    <xf numFmtId="174" fontId="8" fillId="2" borderId="0" xfId="2" applyNumberFormat="1" applyFont="1" applyFill="1" applyAlignment="1">
      <alignment horizontal="right"/>
    </xf>
    <xf numFmtId="0" fontId="59" fillId="0" borderId="0" xfId="2" applyFont="1" applyAlignment="1">
      <alignment horizontal="right"/>
    </xf>
    <xf numFmtId="174" fontId="7" fillId="2" borderId="0" xfId="2" applyNumberFormat="1" applyFont="1" applyFill="1" applyAlignment="1">
      <alignment horizontal="left"/>
    </xf>
    <xf numFmtId="0" fontId="45" fillId="0" borderId="0" xfId="15" applyFont="1" applyAlignment="1">
      <alignment horizontal="center"/>
    </xf>
    <xf numFmtId="0" fontId="7" fillId="2" borderId="105" xfId="2" applyFont="1" applyFill="1" applyBorder="1"/>
    <xf numFmtId="0" fontId="7" fillId="2" borderId="22" xfId="2" applyFont="1" applyFill="1" applyBorder="1" applyAlignment="1">
      <alignment horizontal="right"/>
    </xf>
    <xf numFmtId="203" fontId="8" fillId="2" borderId="0" xfId="2" applyNumberFormat="1" applyFont="1" applyFill="1" applyAlignment="1">
      <alignment horizontal="right"/>
    </xf>
    <xf numFmtId="203" fontId="8" fillId="2" borderId="22" xfId="2" applyNumberFormat="1" applyFont="1" applyFill="1" applyBorder="1" applyAlignment="1">
      <alignment horizontal="right"/>
    </xf>
    <xf numFmtId="203" fontId="8" fillId="2" borderId="0" xfId="2" quotePrefix="1" applyNumberFormat="1" applyFont="1" applyFill="1" applyAlignment="1">
      <alignment horizontal="right"/>
    </xf>
    <xf numFmtId="0" fontId="7" fillId="2" borderId="0" xfId="2" applyFont="1" applyFill="1" applyAlignment="1">
      <alignment horizontal="center" wrapText="1"/>
    </xf>
    <xf numFmtId="0" fontId="7" fillId="2" borderId="0" xfId="2" applyFont="1" applyFill="1" applyAlignment="1">
      <alignment horizontal="right" wrapText="1"/>
    </xf>
    <xf numFmtId="204" fontId="8" fillId="2" borderId="0" xfId="2" applyNumberFormat="1" applyFont="1" applyFill="1" applyAlignment="1">
      <alignment horizontal="right"/>
    </xf>
    <xf numFmtId="0" fontId="78" fillId="2" borderId="0" xfId="2" applyFont="1" applyFill="1"/>
    <xf numFmtId="3" fontId="7" fillId="2" borderId="6" xfId="2" applyNumberFormat="1" applyFont="1" applyFill="1" applyBorder="1"/>
    <xf numFmtId="203" fontId="7" fillId="2" borderId="6" xfId="2" applyNumberFormat="1" applyFont="1" applyFill="1" applyBorder="1" applyProtection="1">
      <protection locked="0"/>
    </xf>
    <xf numFmtId="203" fontId="7" fillId="2" borderId="50" xfId="2" applyNumberFormat="1" applyFont="1" applyFill="1" applyBorder="1" applyProtection="1">
      <protection locked="0"/>
    </xf>
    <xf numFmtId="203" fontId="8" fillId="2" borderId="6" xfId="2" quotePrefix="1" applyNumberFormat="1" applyFont="1" applyFill="1" applyBorder="1" applyAlignment="1">
      <alignment horizontal="right"/>
    </xf>
    <xf numFmtId="203" fontId="7" fillId="2" borderId="0" xfId="2" applyNumberFormat="1" applyFont="1" applyFill="1" applyProtection="1">
      <protection locked="0"/>
    </xf>
    <xf numFmtId="0" fontId="143" fillId="0" borderId="6" xfId="2" applyFont="1" applyBorder="1"/>
    <xf numFmtId="0" fontId="143" fillId="0" borderId="54" xfId="2" applyFont="1" applyBorder="1" applyAlignment="1">
      <alignment horizontal="right"/>
    </xf>
    <xf numFmtId="0" fontId="143" fillId="0" borderId="56" xfId="2" applyFont="1" applyBorder="1" applyAlignment="1">
      <alignment horizontal="right"/>
    </xf>
    <xf numFmtId="0" fontId="143" fillId="0" borderId="68" xfId="2" applyFont="1" applyBorder="1" applyAlignment="1">
      <alignment horizontal="right"/>
    </xf>
    <xf numFmtId="0" fontId="143" fillId="0" borderId="54" xfId="2" applyFont="1" applyBorder="1" applyAlignment="1">
      <alignment horizontal="center"/>
    </xf>
    <xf numFmtId="0" fontId="106" fillId="0" borderId="0" xfId="0" applyFont="1"/>
    <xf numFmtId="2" fontId="41" fillId="0" borderId="41" xfId="2" applyNumberFormat="1" applyFont="1" applyBorder="1" applyAlignment="1">
      <alignment horizontal="right"/>
    </xf>
    <xf numFmtId="2" fontId="41" fillId="0" borderId="22" xfId="2" applyNumberFormat="1" applyFont="1" applyBorder="1" applyAlignment="1">
      <alignment horizontal="right"/>
    </xf>
    <xf numFmtId="0" fontId="106" fillId="0" borderId="0" xfId="2" applyFont="1" applyProtection="1">
      <protection locked="0"/>
    </xf>
    <xf numFmtId="0" fontId="23" fillId="0" borderId="41" xfId="0" applyFont="1" applyBorder="1" applyAlignment="1">
      <alignment horizontal="right"/>
    </xf>
    <xf numFmtId="0" fontId="23" fillId="0" borderId="43" xfId="0" applyFont="1" applyBorder="1" applyAlignment="1">
      <alignment horizontal="right"/>
    </xf>
    <xf numFmtId="0" fontId="23" fillId="0" borderId="22" xfId="0" applyFont="1" applyBorder="1" applyAlignment="1">
      <alignment horizontal="right"/>
    </xf>
    <xf numFmtId="0" fontId="144" fillId="0" borderId="0" xfId="2" applyFont="1"/>
    <xf numFmtId="0" fontId="144" fillId="0" borderId="6" xfId="2" applyFont="1" applyBorder="1"/>
    <xf numFmtId="0" fontId="23" fillId="0" borderId="44" xfId="0" applyFont="1" applyBorder="1" applyAlignment="1">
      <alignment horizontal="right"/>
    </xf>
    <xf numFmtId="0" fontId="23" fillId="0" borderId="46" xfId="0" applyFont="1" applyBorder="1" applyAlignment="1">
      <alignment horizontal="right"/>
    </xf>
    <xf numFmtId="0" fontId="23" fillId="0" borderId="50" xfId="0" applyFont="1" applyBorder="1" applyAlignment="1">
      <alignment horizontal="right"/>
    </xf>
    <xf numFmtId="0" fontId="5" fillId="0" borderId="0" xfId="3" applyFont="1" applyAlignment="1">
      <alignment vertical="top"/>
    </xf>
    <xf numFmtId="0" fontId="1" fillId="0" borderId="0" xfId="3" applyFont="1" applyAlignment="1">
      <alignment vertical="top"/>
    </xf>
    <xf numFmtId="0" fontId="7" fillId="2" borderId="0" xfId="3" applyFont="1" applyFill="1"/>
    <xf numFmtId="174" fontId="7" fillId="2" borderId="0" xfId="3" applyNumberFormat="1" applyFont="1" applyFill="1" applyAlignment="1">
      <alignment horizontal="left"/>
    </xf>
    <xf numFmtId="0" fontId="7" fillId="0" borderId="0" xfId="3" applyFont="1"/>
    <xf numFmtId="174" fontId="8" fillId="2" borderId="0" xfId="3" applyNumberFormat="1" applyFont="1" applyFill="1" applyAlignment="1">
      <alignment horizontal="right"/>
    </xf>
    <xf numFmtId="0" fontId="7" fillId="2" borderId="105" xfId="3" applyFont="1" applyFill="1" applyBorder="1"/>
    <xf numFmtId="0" fontId="41" fillId="2" borderId="0" xfId="3" applyFont="1" applyFill="1"/>
    <xf numFmtId="0" fontId="143" fillId="0" borderId="61" xfId="2" applyFont="1" applyBorder="1" applyAlignment="1">
      <alignment horizontal="right"/>
    </xf>
    <xf numFmtId="0" fontId="143" fillId="0" borderId="68" xfId="2" applyFont="1" applyBorder="1" applyAlignment="1">
      <alignment horizontal="center"/>
    </xf>
    <xf numFmtId="0" fontId="143" fillId="0" borderId="62" xfId="2" applyFont="1" applyBorder="1" applyAlignment="1">
      <alignment horizontal="center"/>
    </xf>
    <xf numFmtId="0" fontId="7" fillId="2" borderId="0" xfId="3" applyFont="1" applyFill="1" applyAlignment="1">
      <alignment horizontal="center"/>
    </xf>
    <xf numFmtId="3" fontId="143" fillId="2" borderId="6" xfId="3" applyNumberFormat="1" applyFont="1" applyFill="1" applyBorder="1"/>
    <xf numFmtId="2" fontId="57" fillId="0" borderId="6" xfId="0" applyNumberFormat="1" applyFont="1" applyBorder="1"/>
    <xf numFmtId="2" fontId="57" fillId="0" borderId="50" xfId="0" applyNumberFormat="1" applyFont="1" applyBorder="1"/>
    <xf numFmtId="2" fontId="57" fillId="0" borderId="17" xfId="0" applyNumberFormat="1" applyFont="1" applyBorder="1"/>
    <xf numFmtId="204" fontId="8" fillId="2" borderId="0" xfId="3" applyNumberFormat="1" applyFont="1" applyFill="1" applyAlignment="1">
      <alignment horizontal="right"/>
    </xf>
    <xf numFmtId="3" fontId="41" fillId="2" borderId="105" xfId="3" applyNumberFormat="1" applyFont="1" applyFill="1" applyBorder="1"/>
    <xf numFmtId="2" fontId="57" fillId="0" borderId="105" xfId="0" applyNumberFormat="1" applyFont="1" applyBorder="1"/>
    <xf numFmtId="0" fontId="3" fillId="0" borderId="0" xfId="0" applyFont="1"/>
    <xf numFmtId="2" fontId="3" fillId="0" borderId="0" xfId="0" applyNumberFormat="1" applyFont="1"/>
    <xf numFmtId="0" fontId="4" fillId="2" borderId="0" xfId="3" applyFill="1" applyProtection="1">
      <protection locked="0"/>
    </xf>
    <xf numFmtId="3" fontId="41" fillId="2" borderId="6" xfId="3" applyNumberFormat="1" applyFont="1" applyFill="1" applyBorder="1"/>
    <xf numFmtId="9" fontId="8" fillId="0" borderId="0" xfId="21" applyFont="1" applyFill="1" applyBorder="1" applyAlignment="1">
      <alignment horizontal="right"/>
    </xf>
    <xf numFmtId="204" fontId="8" fillId="0" borderId="0" xfId="2" applyNumberFormat="1" applyFont="1" applyProtection="1">
      <protection locked="0"/>
    </xf>
    <xf numFmtId="204" fontId="8" fillId="0" borderId="0" xfId="2" applyNumberFormat="1" applyFont="1" applyAlignment="1">
      <alignment horizontal="right"/>
    </xf>
    <xf numFmtId="204" fontId="8" fillId="0" borderId="0" xfId="21" applyNumberFormat="1" applyFont="1" applyFill="1" applyBorder="1"/>
    <xf numFmtId="204" fontId="8" fillId="0" borderId="0" xfId="2" applyNumberFormat="1" applyFont="1"/>
    <xf numFmtId="204" fontId="78" fillId="0" borderId="0" xfId="2" applyNumberFormat="1" applyFont="1"/>
    <xf numFmtId="9" fontId="7" fillId="0" borderId="0" xfId="21" applyFont="1" applyFill="1" applyBorder="1" applyAlignment="1">
      <alignment horizontal="right"/>
    </xf>
    <xf numFmtId="204" fontId="7" fillId="0" borderId="0" xfId="2" applyNumberFormat="1" applyFont="1" applyProtection="1">
      <protection locked="0"/>
    </xf>
    <xf numFmtId="204" fontId="7" fillId="0" borderId="0" xfId="2" applyNumberFormat="1" applyFont="1" applyAlignment="1">
      <alignment horizontal="right"/>
    </xf>
    <xf numFmtId="204" fontId="7" fillId="0" borderId="0" xfId="21" applyNumberFormat="1" applyFont="1" applyFill="1" applyBorder="1"/>
    <xf numFmtId="204" fontId="7" fillId="0" borderId="0" xfId="2" applyNumberFormat="1" applyFont="1"/>
    <xf numFmtId="0" fontId="1" fillId="0" borderId="16" xfId="2" applyFont="1" applyBorder="1" applyAlignment="1">
      <alignment vertical="top"/>
    </xf>
    <xf numFmtId="0" fontId="1" fillId="0" borderId="18" xfId="2" applyFont="1" applyBorder="1" applyProtection="1">
      <protection locked="0"/>
    </xf>
    <xf numFmtId="0" fontId="4" fillId="0" borderId="18" xfId="2" applyBorder="1" applyAlignment="1">
      <alignment vertical="top" wrapText="1"/>
    </xf>
    <xf numFmtId="0" fontId="22" fillId="0" borderId="0" xfId="2" applyFont="1" applyAlignment="1">
      <alignment horizontal="right"/>
    </xf>
    <xf numFmtId="0" fontId="0" fillId="0" borderId="22" xfId="2" applyFont="1" applyBorder="1" applyAlignment="1" applyProtection="1">
      <alignment horizontal="right"/>
      <protection locked="0"/>
    </xf>
    <xf numFmtId="9" fontId="8" fillId="2" borderId="0" xfId="21" applyFont="1" applyFill="1" applyBorder="1" applyAlignment="1" applyProtection="1">
      <alignment horizontal="right"/>
    </xf>
    <xf numFmtId="0" fontId="142" fillId="4" borderId="2" xfId="2" applyFont="1" applyFill="1" applyBorder="1" applyAlignment="1">
      <alignment vertical="top"/>
    </xf>
    <xf numFmtId="0" fontId="142" fillId="0" borderId="38" xfId="2" applyFont="1" applyBorder="1" applyAlignment="1">
      <alignment horizontal="right"/>
    </xf>
    <xf numFmtId="3" fontId="140" fillId="4" borderId="0" xfId="2" applyNumberFormat="1" applyFont="1" applyFill="1"/>
    <xf numFmtId="9" fontId="140" fillId="0" borderId="41" xfId="1" applyFont="1" applyFill="1" applyBorder="1" applyAlignment="1" applyProtection="1">
      <alignment horizontal="right"/>
      <protection locked="0"/>
    </xf>
    <xf numFmtId="9" fontId="145" fillId="0" borderId="41" xfId="1" applyFont="1" applyBorder="1" applyAlignment="1">
      <alignment horizontal="right"/>
    </xf>
    <xf numFmtId="205" fontId="140" fillId="0" borderId="41" xfId="2" applyNumberFormat="1" applyFont="1" applyBorder="1" applyAlignment="1" applyProtection="1">
      <alignment horizontal="right"/>
      <protection locked="0"/>
    </xf>
    <xf numFmtId="0" fontId="145" fillId="0" borderId="41" xfId="0" applyFont="1" applyBorder="1" applyAlignment="1">
      <alignment horizontal="right"/>
    </xf>
    <xf numFmtId="206" fontId="8" fillId="0" borderId="0" xfId="2" applyNumberFormat="1" applyFont="1" applyAlignment="1" applyProtection="1">
      <alignment horizontal="right"/>
      <protection locked="0"/>
    </xf>
    <xf numFmtId="10" fontId="8" fillId="4" borderId="0" xfId="21" applyNumberFormat="1" applyFont="1" applyFill="1" applyBorder="1" applyAlignment="1">
      <alignment horizontal="right"/>
    </xf>
    <xf numFmtId="9" fontId="8" fillId="0" borderId="0" xfId="21" applyFont="1" applyFill="1" applyBorder="1" applyAlignment="1" applyProtection="1">
      <alignment horizontal="right"/>
    </xf>
    <xf numFmtId="3" fontId="140" fillId="4" borderId="6" xfId="2" applyNumberFormat="1" applyFont="1" applyFill="1" applyBorder="1"/>
    <xf numFmtId="205" fontId="140" fillId="0" borderId="44" xfId="2" applyNumberFormat="1" applyFont="1" applyBorder="1" applyAlignment="1" applyProtection="1">
      <alignment horizontal="right"/>
      <protection locked="0"/>
    </xf>
    <xf numFmtId="0" fontId="145" fillId="0" borderId="44" xfId="0" applyFont="1" applyBorder="1" applyAlignment="1">
      <alignment horizontal="right"/>
    </xf>
    <xf numFmtId="0" fontId="4" fillId="0" borderId="0" xfId="2" applyAlignment="1" applyProtection="1">
      <alignment horizontal="right"/>
      <protection locked="0"/>
    </xf>
    <xf numFmtId="1" fontId="146" fillId="0" borderId="0" xfId="2" applyNumberFormat="1" applyFont="1"/>
    <xf numFmtId="1" fontId="0" fillId="0" borderId="0" xfId="2" applyNumberFormat="1" applyFont="1"/>
    <xf numFmtId="206" fontId="7" fillId="0" borderId="0" xfId="2" applyNumberFormat="1" applyFont="1" applyAlignment="1" applyProtection="1">
      <alignment horizontal="right"/>
      <protection locked="0"/>
    </xf>
    <xf numFmtId="10" fontId="7" fillId="4" borderId="0" xfId="21" applyNumberFormat="1" applyFont="1" applyFill="1" applyBorder="1" applyAlignment="1">
      <alignment horizontal="right"/>
    </xf>
    <xf numFmtId="185" fontId="7" fillId="0" borderId="0" xfId="2" applyNumberFormat="1" applyFont="1"/>
    <xf numFmtId="10" fontId="7" fillId="0" borderId="0" xfId="21" applyNumberFormat="1" applyFont="1" applyFill="1" applyBorder="1" applyAlignment="1" applyProtection="1"/>
    <xf numFmtId="9" fontId="8" fillId="4" borderId="0" xfId="21" applyFont="1" applyFill="1" applyBorder="1" applyAlignment="1">
      <alignment horizontal="right"/>
    </xf>
    <xf numFmtId="185" fontId="8" fillId="0" borderId="0" xfId="2" applyNumberFormat="1" applyFont="1"/>
    <xf numFmtId="9" fontId="8" fillId="0" borderId="0" xfId="21" applyFont="1" applyFill="1" applyBorder="1" applyAlignment="1" applyProtection="1"/>
    <xf numFmtId="173" fontId="8" fillId="0" borderId="0" xfId="22" applyNumberFormat="1" applyFont="1" applyFill="1" applyBorder="1" applyAlignment="1" applyProtection="1"/>
    <xf numFmtId="10" fontId="8" fillId="0" borderId="0" xfId="21" applyNumberFormat="1" applyFont="1" applyFill="1" applyBorder="1" applyAlignment="1" applyProtection="1"/>
    <xf numFmtId="206" fontId="8" fillId="0" borderId="0" xfId="2" applyNumberFormat="1" applyFont="1" applyAlignment="1">
      <alignment horizontal="right"/>
    </xf>
    <xf numFmtId="10" fontId="45" fillId="0" borderId="0" xfId="15" applyNumberFormat="1" applyFont="1" applyAlignment="1">
      <alignment horizontal="center"/>
    </xf>
    <xf numFmtId="10" fontId="45" fillId="0" borderId="0" xfId="15" applyNumberFormat="1" applyFont="1" applyAlignment="1">
      <alignment horizontal="center" wrapText="1"/>
    </xf>
    <xf numFmtId="0" fontId="25" fillId="2" borderId="0" xfId="2" applyFont="1" applyFill="1" applyAlignment="1">
      <alignment vertical="top" wrapText="1"/>
    </xf>
    <xf numFmtId="0" fontId="25" fillId="2" borderId="0" xfId="2" applyFont="1" applyFill="1" applyAlignment="1">
      <alignment vertical="top"/>
    </xf>
    <xf numFmtId="0" fontId="41" fillId="4" borderId="2" xfId="2" applyFont="1" applyFill="1" applyBorder="1" applyAlignment="1">
      <alignment vertical="top"/>
    </xf>
    <xf numFmtId="3" fontId="28" fillId="4" borderId="105" xfId="2" applyNumberFormat="1" applyFont="1" applyFill="1" applyBorder="1"/>
    <xf numFmtId="9" fontId="28" fillId="0" borderId="42" xfId="1" applyFont="1" applyFill="1" applyBorder="1" applyAlignment="1" applyProtection="1">
      <alignment horizontal="right"/>
      <protection locked="0"/>
    </xf>
    <xf numFmtId="9" fontId="23" fillId="0" borderId="42" xfId="1" applyFont="1" applyBorder="1" applyAlignment="1">
      <alignment horizontal="right"/>
    </xf>
    <xf numFmtId="9" fontId="28" fillId="3" borderId="48" xfId="1" applyFont="1" applyFill="1" applyBorder="1" applyAlignment="1" applyProtection="1">
      <alignment horizontal="right"/>
      <protection locked="0"/>
    </xf>
    <xf numFmtId="3" fontId="28" fillId="4" borderId="0" xfId="2" applyNumberFormat="1" applyFont="1" applyFill="1"/>
    <xf numFmtId="9" fontId="28" fillId="0" borderId="41" xfId="1" applyFont="1" applyFill="1" applyBorder="1" applyAlignment="1" applyProtection="1">
      <alignment horizontal="right"/>
      <protection locked="0"/>
    </xf>
    <xf numFmtId="9" fontId="23" fillId="0" borderId="41" xfId="1" applyFont="1" applyBorder="1" applyAlignment="1">
      <alignment horizontal="right"/>
    </xf>
    <xf numFmtId="9" fontId="28" fillId="3" borderId="43" xfId="1" applyFont="1" applyFill="1" applyBorder="1" applyAlignment="1" applyProtection="1">
      <alignment horizontal="right"/>
      <protection locked="0"/>
    </xf>
    <xf numFmtId="3" fontId="28" fillId="4" borderId="6" xfId="2" applyNumberFormat="1" applyFont="1" applyFill="1" applyBorder="1"/>
    <xf numFmtId="9" fontId="28" fillId="0" borderId="44" xfId="1" applyFont="1" applyFill="1" applyBorder="1" applyAlignment="1" applyProtection="1">
      <alignment horizontal="right"/>
      <protection locked="0"/>
    </xf>
    <xf numFmtId="9" fontId="23" fillId="0" borderId="44" xfId="1" applyFont="1" applyBorder="1" applyAlignment="1">
      <alignment horizontal="right"/>
    </xf>
    <xf numFmtId="9" fontId="28" fillId="3" borderId="46" xfId="1" applyFont="1" applyFill="1" applyBorder="1" applyAlignment="1" applyProtection="1">
      <alignment horizontal="right"/>
      <protection locked="0"/>
    </xf>
    <xf numFmtId="0" fontId="0" fillId="0" borderId="0" xfId="2" applyFont="1" applyAlignment="1">
      <alignment horizontal="left"/>
    </xf>
    <xf numFmtId="0" fontId="41" fillId="0" borderId="1" xfId="2" applyFont="1" applyBorder="1" applyAlignment="1">
      <alignment vertical="top"/>
    </xf>
    <xf numFmtId="0" fontId="41" fillId="0" borderId="23" xfId="2" applyFont="1" applyBorder="1" applyAlignment="1">
      <alignment horizontal="right"/>
    </xf>
    <xf numFmtId="3" fontId="28" fillId="0" borderId="15" xfId="2" applyNumberFormat="1" applyFont="1" applyBorder="1"/>
    <xf numFmtId="0" fontId="8" fillId="0" borderId="42" xfId="2" applyFont="1" applyBorder="1" applyAlignment="1" applyProtection="1">
      <alignment horizontal="center"/>
      <protection locked="0"/>
    </xf>
    <xf numFmtId="0" fontId="8" fillId="0" borderId="48" xfId="2" applyFont="1" applyBorder="1" applyAlignment="1" applyProtection="1">
      <alignment horizontal="center"/>
      <protection locked="0"/>
    </xf>
    <xf numFmtId="0" fontId="8" fillId="0" borderId="41" xfId="2" applyFont="1" applyBorder="1" applyAlignment="1" applyProtection="1">
      <alignment horizontal="center"/>
      <protection locked="0"/>
    </xf>
    <xf numFmtId="0" fontId="8" fillId="0" borderId="43" xfId="2" applyFont="1" applyBorder="1" applyAlignment="1" applyProtection="1">
      <alignment horizontal="center"/>
      <protection locked="0"/>
    </xf>
    <xf numFmtId="0" fontId="41" fillId="0" borderId="1" xfId="2" applyFont="1" applyBorder="1"/>
    <xf numFmtId="0" fontId="7" fillId="0" borderId="38" xfId="2" applyFont="1" applyBorder="1" applyAlignment="1" applyProtection="1">
      <alignment horizontal="center"/>
      <protection locked="0"/>
    </xf>
    <xf numFmtId="0" fontId="7" fillId="0" borderId="40" xfId="2" applyFont="1" applyBorder="1" applyAlignment="1" applyProtection="1">
      <alignment horizontal="center"/>
      <protection locked="0"/>
    </xf>
    <xf numFmtId="0" fontId="11" fillId="0" borderId="0" xfId="0" applyFont="1" applyAlignment="1">
      <alignment horizontal="right"/>
    </xf>
    <xf numFmtId="10" fontId="14" fillId="0" borderId="0" xfId="1" applyNumberFormat="1" applyFont="1" applyFill="1" applyBorder="1" applyAlignment="1"/>
    <xf numFmtId="10" fontId="11" fillId="0" borderId="0" xfId="1" applyNumberFormat="1" applyFont="1" applyFill="1" applyBorder="1" applyAlignment="1"/>
    <xf numFmtId="3" fontId="14" fillId="0" borderId="0" xfId="0" applyNumberFormat="1" applyFont="1" applyAlignment="1">
      <alignment horizontal="right"/>
    </xf>
    <xf numFmtId="10" fontId="14" fillId="0" borderId="0" xfId="1" applyNumberFormat="1" applyFont="1" applyFill="1" applyBorder="1" applyAlignment="1">
      <alignment horizontal="right"/>
    </xf>
    <xf numFmtId="10" fontId="8" fillId="0" borderId="0" xfId="1" applyNumberFormat="1" applyFont="1" applyFill="1" applyBorder="1" applyAlignment="1"/>
    <xf numFmtId="10" fontId="59" fillId="0" borderId="0" xfId="1" applyNumberFormat="1" applyFont="1" applyFill="1" applyBorder="1" applyAlignment="1"/>
    <xf numFmtId="3" fontId="11" fillId="0" borderId="0" xfId="0" applyNumberFormat="1" applyFont="1" applyAlignment="1">
      <alignment horizontal="right"/>
    </xf>
    <xf numFmtId="10" fontId="11" fillId="0" borderId="0" xfId="1" applyNumberFormat="1" applyFont="1" applyFill="1" applyBorder="1" applyAlignment="1">
      <alignment horizontal="right"/>
    </xf>
    <xf numFmtId="0" fontId="8" fillId="0" borderId="0" xfId="2" applyFont="1" applyAlignment="1">
      <alignment horizontal="center" vertical="top" wrapText="1"/>
    </xf>
    <xf numFmtId="0" fontId="8" fillId="0" borderId="15" xfId="2" applyFont="1" applyBorder="1" applyAlignment="1">
      <alignment horizontal="left" wrapText="1"/>
    </xf>
    <xf numFmtId="0" fontId="8" fillId="0" borderId="27" xfId="2" applyFont="1" applyBorder="1" applyAlignment="1">
      <alignment horizontal="left" wrapText="1"/>
    </xf>
    <xf numFmtId="170" fontId="52" fillId="0" borderId="0" xfId="17" applyNumberFormat="1" applyFont="1" applyFill="1" applyBorder="1" applyAlignment="1">
      <alignment wrapText="1"/>
    </xf>
    <xf numFmtId="170" fontId="52" fillId="0" borderId="0" xfId="17" applyNumberFormat="1" applyFont="1" applyFill="1" applyBorder="1" applyAlignment="1">
      <alignment horizontal="right"/>
    </xf>
    <xf numFmtId="170" fontId="149" fillId="0" borderId="0" xfId="17" applyNumberFormat="1" applyFont="1" applyFill="1" applyBorder="1" applyAlignment="1">
      <alignment horizontal="right"/>
    </xf>
    <xf numFmtId="170" fontId="52" fillId="0" borderId="6" xfId="17" applyNumberFormat="1" applyFont="1" applyFill="1" applyBorder="1" applyAlignment="1">
      <alignment horizontal="right"/>
    </xf>
    <xf numFmtId="170" fontId="149" fillId="0" borderId="6" xfId="17" applyNumberFormat="1" applyFont="1" applyFill="1" applyBorder="1" applyAlignment="1">
      <alignment horizontal="right"/>
    </xf>
    <xf numFmtId="184" fontId="8" fillId="0" borderId="42" xfId="2" applyNumberFormat="1" applyFont="1" applyBorder="1"/>
    <xf numFmtId="184" fontId="8" fillId="0" borderId="41" xfId="2" applyNumberFormat="1" applyFont="1" applyBorder="1"/>
    <xf numFmtId="0" fontId="5" fillId="0" borderId="0" xfId="2" applyFont="1" applyAlignment="1">
      <alignment horizontal="center" vertical="top"/>
    </xf>
    <xf numFmtId="9" fontId="14" fillId="0" borderId="0" xfId="1" applyFont="1" applyBorder="1" applyAlignment="1">
      <alignment wrapText="1"/>
    </xf>
    <xf numFmtId="0" fontId="13" fillId="0" borderId="0" xfId="2" applyFont="1" applyAlignment="1" applyProtection="1">
      <alignment vertical="top"/>
      <protection locked="0"/>
    </xf>
    <xf numFmtId="9" fontId="8" fillId="0" borderId="0" xfId="26" applyFont="1" applyFill="1" applyBorder="1" applyAlignment="1">
      <alignment horizontal="right"/>
    </xf>
    <xf numFmtId="3" fontId="8" fillId="0" borderId="0" xfId="26" applyNumberFormat="1" applyFont="1" applyFill="1" applyBorder="1" applyAlignment="1">
      <alignment horizontal="right"/>
    </xf>
    <xf numFmtId="0" fontId="8" fillId="0" borderId="0" xfId="26" applyNumberFormat="1" applyFont="1" applyFill="1" applyBorder="1" applyAlignment="1">
      <alignment horizontal="right"/>
    </xf>
    <xf numFmtId="0" fontId="43" fillId="0" borderId="0" xfId="2" applyFont="1"/>
    <xf numFmtId="0" fontId="4" fillId="0" borderId="0" xfId="27"/>
    <xf numFmtId="184" fontId="23" fillId="2" borderId="43" xfId="2" applyNumberFormat="1" applyFont="1" applyFill="1" applyBorder="1"/>
    <xf numFmtId="0" fontId="23" fillId="2" borderId="43" xfId="2" applyFont="1" applyFill="1" applyBorder="1"/>
    <xf numFmtId="10" fontId="23" fillId="2" borderId="46" xfId="17" applyNumberFormat="1" applyFont="1" applyFill="1" applyBorder="1" applyAlignment="1">
      <alignment horizontal="right"/>
    </xf>
    <xf numFmtId="0" fontId="7" fillId="0" borderId="41" xfId="2" applyFont="1" applyBorder="1" applyAlignment="1">
      <alignment horizontal="right"/>
    </xf>
    <xf numFmtId="0" fontId="12" fillId="0" borderId="0" xfId="2" applyFont="1" applyAlignment="1">
      <alignment horizontal="right"/>
    </xf>
    <xf numFmtId="0" fontId="15" fillId="0" borderId="6" xfId="2" applyFont="1" applyBorder="1" applyAlignment="1">
      <alignment horizontal="right"/>
    </xf>
    <xf numFmtId="17" fontId="7" fillId="0" borderId="38" xfId="2" quotePrefix="1" applyNumberFormat="1" applyFont="1" applyBorder="1" applyAlignment="1">
      <alignment horizontal="right"/>
    </xf>
    <xf numFmtId="0" fontId="7" fillId="0" borderId="38" xfId="2" quotePrefix="1" applyFont="1" applyBorder="1" applyAlignment="1">
      <alignment horizontal="right"/>
    </xf>
    <xf numFmtId="17" fontId="7" fillId="0" borderId="40" xfId="2" quotePrefix="1" applyNumberFormat="1" applyFont="1" applyBorder="1" applyAlignment="1">
      <alignment horizontal="right"/>
    </xf>
    <xf numFmtId="0" fontId="8" fillId="2" borderId="43" xfId="2" applyFont="1" applyFill="1" applyBorder="1"/>
    <xf numFmtId="1" fontId="8" fillId="0" borderId="41" xfId="17" applyNumberFormat="1" applyFont="1" applyFill="1" applyBorder="1" applyAlignment="1">
      <alignment horizontal="right"/>
    </xf>
    <xf numFmtId="0" fontId="8" fillId="0" borderId="43" xfId="2" applyFont="1" applyBorder="1"/>
    <xf numFmtId="0" fontId="51" fillId="0" borderId="0" xfId="2" applyFont="1" applyAlignment="1">
      <alignment vertical="top"/>
    </xf>
    <xf numFmtId="0" fontId="52" fillId="0" borderId="0" xfId="2" applyFont="1" applyAlignment="1">
      <alignment vertical="top"/>
    </xf>
    <xf numFmtId="170" fontId="8" fillId="0" borderId="60" xfId="2" applyNumberFormat="1" applyFont="1" applyBorder="1" applyAlignment="1">
      <alignment horizontal="right"/>
    </xf>
    <xf numFmtId="0" fontId="52" fillId="0" borderId="0" xfId="2" applyFont="1"/>
    <xf numFmtId="3" fontId="8" fillId="0" borderId="41" xfId="2" applyNumberFormat="1" applyFont="1" applyBorder="1"/>
    <xf numFmtId="1" fontId="8" fillId="0" borderId="41" xfId="17" applyNumberFormat="1" applyFont="1" applyFill="1" applyBorder="1"/>
    <xf numFmtId="170" fontId="8" fillId="0" borderId="60" xfId="2" applyNumberFormat="1" applyFont="1" applyBorder="1"/>
    <xf numFmtId="3" fontId="8" fillId="0" borderId="41" xfId="17" applyNumberFormat="1" applyFont="1" applyFill="1" applyBorder="1"/>
    <xf numFmtId="3" fontId="8" fillId="0" borderId="41" xfId="17" applyNumberFormat="1" applyFont="1" applyFill="1" applyBorder="1" applyAlignment="1">
      <alignment horizontal="right"/>
    </xf>
    <xf numFmtId="1" fontId="8" fillId="0" borderId="41" xfId="17" applyNumberFormat="1" applyFont="1" applyFill="1" applyBorder="1" applyAlignment="1"/>
    <xf numFmtId="0" fontId="8" fillId="0" borderId="41" xfId="2" applyFont="1" applyBorder="1" applyAlignment="1">
      <alignment horizontal="center"/>
    </xf>
    <xf numFmtId="1" fontId="8" fillId="0" borderId="41" xfId="17" applyNumberFormat="1" applyFont="1" applyFill="1" applyBorder="1" applyAlignment="1">
      <alignment horizontal="center"/>
    </xf>
    <xf numFmtId="170" fontId="8" fillId="0" borderId="44" xfId="2" applyNumberFormat="1" applyFont="1" applyBorder="1"/>
    <xf numFmtId="170" fontId="8" fillId="0" borderId="44" xfId="2" applyNumberFormat="1" applyFont="1" applyBorder="1" applyAlignment="1">
      <alignment horizontal="right"/>
    </xf>
    <xf numFmtId="170" fontId="8" fillId="0" borderId="0" xfId="2" applyNumberFormat="1" applyFont="1"/>
    <xf numFmtId="170" fontId="44" fillId="0" borderId="0" xfId="2" applyNumberFormat="1" applyFont="1" applyAlignment="1">
      <alignment horizontal="right"/>
    </xf>
    <xf numFmtId="3" fontId="12" fillId="0" borderId="0" xfId="2" applyNumberFormat="1" applyFont="1"/>
    <xf numFmtId="0" fontId="7" fillId="0" borderId="105" xfId="2" applyFont="1" applyBorder="1" applyAlignment="1">
      <alignment horizontal="right"/>
    </xf>
    <xf numFmtId="170" fontId="8" fillId="0" borderId="6" xfId="2" applyNumberFormat="1" applyFont="1" applyBorder="1"/>
    <xf numFmtId="9" fontId="12" fillId="0" borderId="0" xfId="17" applyFont="1" applyFill="1" applyBorder="1"/>
    <xf numFmtId="0" fontId="11" fillId="0" borderId="2" xfId="0" applyFont="1" applyBorder="1" applyAlignment="1">
      <alignment vertical="center"/>
    </xf>
    <xf numFmtId="0" fontId="14" fillId="0" borderId="38" xfId="0" applyFont="1" applyBorder="1" applyAlignment="1">
      <alignment horizontal="right" vertical="center"/>
    </xf>
    <xf numFmtId="0" fontId="14" fillId="0" borderId="38" xfId="0" applyFont="1" applyBorder="1" applyAlignment="1">
      <alignment horizontal="right" vertical="center" wrapText="1"/>
    </xf>
    <xf numFmtId="0" fontId="14" fillId="0" borderId="39" xfId="0" applyFont="1" applyBorder="1" applyAlignment="1">
      <alignment horizontal="right" vertical="center" wrapText="1"/>
    </xf>
    <xf numFmtId="0" fontId="14" fillId="0" borderId="40" xfId="0" applyFont="1" applyBorder="1" applyAlignment="1">
      <alignment horizontal="right" vertical="center" wrapText="1"/>
    </xf>
    <xf numFmtId="0" fontId="7" fillId="0" borderId="40" xfId="0" applyFont="1" applyBorder="1" applyAlignment="1">
      <alignment horizontal="right" vertical="center" wrapText="1"/>
    </xf>
    <xf numFmtId="0" fontId="11" fillId="0" borderId="0" xfId="0" applyFont="1" applyAlignment="1">
      <alignment vertical="center" wrapText="1"/>
    </xf>
    <xf numFmtId="0" fontId="11" fillId="0" borderId="41" xfId="0" applyFont="1" applyBorder="1" applyAlignment="1">
      <alignment horizontal="right" vertical="center"/>
    </xf>
    <xf numFmtId="0" fontId="11" fillId="0" borderId="41" xfId="0" applyFont="1" applyBorder="1" applyAlignment="1">
      <alignment horizontal="right" vertical="center" wrapText="1"/>
    </xf>
    <xf numFmtId="0" fontId="8" fillId="0" borderId="41" xfId="2" applyFont="1" applyBorder="1" applyAlignment="1">
      <alignment vertical="center"/>
    </xf>
    <xf numFmtId="0" fontId="8" fillId="0" borderId="43" xfId="2" applyFont="1" applyBorder="1" applyAlignment="1">
      <alignment vertical="center"/>
    </xf>
    <xf numFmtId="0" fontId="11" fillId="0" borderId="43" xfId="0" applyFont="1" applyBorder="1" applyAlignment="1">
      <alignment horizontal="right" vertical="center" wrapText="1"/>
    </xf>
    <xf numFmtId="0" fontId="8" fillId="0" borderId="43" xfId="0" applyFont="1" applyBorder="1" applyAlignment="1">
      <alignment horizontal="right" vertical="center" wrapText="1"/>
    </xf>
    <xf numFmtId="0" fontId="11" fillId="0" borderId="6" xfId="0" applyFont="1" applyBorder="1" applyAlignment="1">
      <alignment vertical="center" wrapText="1"/>
    </xf>
    <xf numFmtId="0" fontId="11" fillId="0" borderId="44" xfId="0" applyFont="1" applyBorder="1" applyAlignment="1">
      <alignment horizontal="right" vertical="center"/>
    </xf>
    <xf numFmtId="0" fontId="11" fillId="0" borderId="44" xfId="0" applyFont="1" applyBorder="1" applyAlignment="1">
      <alignment horizontal="right" vertical="center" wrapText="1"/>
    </xf>
    <xf numFmtId="0" fontId="11" fillId="0" borderId="46" xfId="0" applyFont="1" applyBorder="1" applyAlignment="1">
      <alignment horizontal="right" vertical="center" wrapText="1"/>
    </xf>
    <xf numFmtId="0" fontId="8" fillId="0" borderId="46" xfId="0" applyFont="1" applyBorder="1" applyAlignment="1">
      <alignment horizontal="right" vertical="center" wrapText="1"/>
    </xf>
    <xf numFmtId="0" fontId="157" fillId="0" borderId="0" xfId="2" applyFont="1" applyAlignment="1">
      <alignment horizontal="left"/>
    </xf>
    <xf numFmtId="0" fontId="7" fillId="0" borderId="108" xfId="2" applyFont="1" applyBorder="1"/>
    <xf numFmtId="0" fontId="7" fillId="0" borderId="109" xfId="2" applyFont="1" applyBorder="1"/>
    <xf numFmtId="0" fontId="8" fillId="0" borderId="109" xfId="2" applyFont="1" applyBorder="1"/>
    <xf numFmtId="0" fontId="8" fillId="0" borderId="110" xfId="2" applyFont="1" applyBorder="1"/>
    <xf numFmtId="0" fontId="63" fillId="0" borderId="108" xfId="2" applyFont="1" applyBorder="1"/>
    <xf numFmtId="0" fontId="63" fillId="0" borderId="109" xfId="2" applyFont="1" applyBorder="1"/>
    <xf numFmtId="0" fontId="44" fillId="0" borderId="109" xfId="2" applyFont="1" applyBorder="1"/>
    <xf numFmtId="0" fontId="44" fillId="0" borderId="110" xfId="2" applyFont="1" applyBorder="1"/>
    <xf numFmtId="0" fontId="7" fillId="0" borderId="10" xfId="2" applyFont="1" applyBorder="1" applyAlignment="1">
      <alignment vertical="top"/>
    </xf>
    <xf numFmtId="0" fontId="8" fillId="0" borderId="11" xfId="2" applyFont="1" applyBorder="1" applyAlignment="1">
      <alignment vertical="top"/>
    </xf>
    <xf numFmtId="0" fontId="44" fillId="0" borderId="11" xfId="2" applyFont="1" applyBorder="1" applyAlignment="1">
      <alignment vertical="top"/>
    </xf>
    <xf numFmtId="0" fontId="8" fillId="0" borderId="76" xfId="2" applyFont="1" applyBorder="1" applyAlignment="1">
      <alignment vertical="top"/>
    </xf>
    <xf numFmtId="0" fontId="8" fillId="0" borderId="76" xfId="2" applyFont="1" applyBorder="1" applyAlignment="1">
      <alignment vertical="top" wrapText="1"/>
    </xf>
    <xf numFmtId="0" fontId="44" fillId="0" borderId="76" xfId="2" applyFont="1" applyBorder="1" applyAlignment="1">
      <alignment vertical="top" wrapText="1"/>
    </xf>
    <xf numFmtId="0" fontId="8" fillId="0" borderId="11" xfId="2" applyFont="1" applyBorder="1" applyAlignment="1">
      <alignment vertical="top" wrapText="1"/>
    </xf>
    <xf numFmtId="0" fontId="44" fillId="0" borderId="0" xfId="2" applyFont="1" applyAlignment="1">
      <alignment vertical="top" wrapText="1"/>
    </xf>
    <xf numFmtId="0" fontId="44" fillId="0" borderId="11" xfId="2" applyFont="1" applyBorder="1" applyAlignment="1">
      <alignment vertical="top" wrapText="1"/>
    </xf>
    <xf numFmtId="0" fontId="8" fillId="0" borderId="10" xfId="2" applyFont="1" applyBorder="1" applyAlignment="1">
      <alignment vertical="top"/>
    </xf>
    <xf numFmtId="0" fontId="8" fillId="0" borderId="10" xfId="2" applyFont="1" applyBorder="1" applyAlignment="1">
      <alignment vertical="top" wrapText="1"/>
    </xf>
    <xf numFmtId="0" fontId="44" fillId="0" borderId="10" xfId="2" applyFont="1" applyBorder="1" applyAlignment="1">
      <alignment vertical="top" wrapText="1"/>
    </xf>
    <xf numFmtId="0" fontId="8" fillId="0" borderId="0" xfId="2" applyFont="1" applyAlignment="1">
      <alignment horizontal="left" vertical="top" wrapText="1"/>
    </xf>
    <xf numFmtId="0" fontId="44" fillId="0" borderId="0" xfId="2" applyFont="1" applyAlignment="1">
      <alignment horizontal="left" vertical="top" wrapText="1"/>
    </xf>
    <xf numFmtId="0" fontId="7" fillId="0" borderId="10" xfId="2" applyFont="1" applyBorder="1" applyAlignment="1">
      <alignment horizontal="left" vertical="top"/>
    </xf>
    <xf numFmtId="0" fontId="8" fillId="0" borderId="10" xfId="2" applyFont="1" applyBorder="1" applyAlignment="1">
      <alignment horizontal="left" vertical="top"/>
    </xf>
    <xf numFmtId="0" fontId="44" fillId="0" borderId="10" xfId="2" applyFont="1" applyBorder="1" applyAlignment="1">
      <alignment vertical="top"/>
    </xf>
    <xf numFmtId="0" fontId="8" fillId="0" borderId="76" xfId="2" applyFont="1" applyBorder="1" applyAlignment="1">
      <alignment horizontal="left" vertical="top"/>
    </xf>
    <xf numFmtId="0" fontId="44" fillId="0" borderId="76" xfId="2" applyFont="1" applyBorder="1" applyAlignment="1">
      <alignment vertical="top"/>
    </xf>
    <xf numFmtId="0" fontId="8" fillId="0" borderId="11" xfId="2" applyFont="1" applyBorder="1" applyAlignment="1">
      <alignment horizontal="left" vertical="top" wrapText="1"/>
    </xf>
    <xf numFmtId="0" fontId="44" fillId="0" borderId="11" xfId="2" applyFont="1" applyBorder="1" applyAlignment="1">
      <alignment horizontal="left" vertical="top" wrapText="1"/>
    </xf>
    <xf numFmtId="0" fontId="0" fillId="0" borderId="10" xfId="2" applyFont="1" applyBorder="1" applyAlignment="1">
      <alignment vertical="top"/>
    </xf>
    <xf numFmtId="0" fontId="0" fillId="0" borderId="11" xfId="2" applyFont="1" applyBorder="1" applyAlignment="1">
      <alignment vertical="top"/>
    </xf>
    <xf numFmtId="0" fontId="0" fillId="0" borderId="0" xfId="2" applyFont="1" applyAlignment="1">
      <alignment vertical="top" wrapText="1"/>
    </xf>
    <xf numFmtId="0" fontId="40" fillId="0" borderId="0" xfId="2" applyFont="1" applyAlignment="1">
      <alignment vertical="top" wrapText="1"/>
    </xf>
    <xf numFmtId="0" fontId="0" fillId="0" borderId="12" xfId="2" applyFont="1" applyBorder="1" applyAlignment="1">
      <alignment vertical="top"/>
    </xf>
    <xf numFmtId="0" fontId="0" fillId="0" borderId="13" xfId="2" applyFont="1" applyBorder="1" applyAlignment="1">
      <alignment vertical="top"/>
    </xf>
    <xf numFmtId="0" fontId="0" fillId="0" borderId="14" xfId="2" applyFont="1" applyBorder="1" applyAlignment="1">
      <alignment vertical="top"/>
    </xf>
    <xf numFmtId="0" fontId="8" fillId="0" borderId="12" xfId="2" applyFont="1" applyBorder="1" applyAlignment="1">
      <alignment vertical="top" wrapText="1"/>
    </xf>
    <xf numFmtId="0" fontId="8" fillId="0" borderId="13" xfId="2" applyFont="1" applyBorder="1" applyAlignment="1">
      <alignment vertical="top" wrapText="1"/>
    </xf>
    <xf numFmtId="0" fontId="0" fillId="0" borderId="13" xfId="2" applyFont="1" applyBorder="1" applyAlignment="1">
      <alignment vertical="top" wrapText="1"/>
    </xf>
    <xf numFmtId="0" fontId="8" fillId="0" borderId="14" xfId="2" applyFont="1" applyBorder="1" applyAlignment="1">
      <alignment vertical="top"/>
    </xf>
    <xf numFmtId="0" fontId="4" fillId="0" borderId="13" xfId="2" applyBorder="1" applyAlignment="1">
      <alignment vertical="top" wrapText="1"/>
    </xf>
    <xf numFmtId="0" fontId="44" fillId="0" borderId="12" xfId="2" applyFont="1" applyBorder="1" applyAlignment="1">
      <alignment vertical="top" wrapText="1"/>
    </xf>
    <xf numFmtId="0" fontId="44" fillId="0" borderId="13" xfId="2" applyFont="1" applyBorder="1" applyAlignment="1">
      <alignment vertical="top" wrapText="1"/>
    </xf>
    <xf numFmtId="0" fontId="40" fillId="0" borderId="13" xfId="2" applyFont="1" applyBorder="1" applyAlignment="1">
      <alignment vertical="top" wrapText="1"/>
    </xf>
    <xf numFmtId="0" fontId="44" fillId="0" borderId="14" xfId="2" applyFont="1" applyBorder="1" applyAlignment="1">
      <alignment vertical="top"/>
    </xf>
    <xf numFmtId="0" fontId="12" fillId="0" borderId="0" xfId="2" applyFont="1" applyAlignment="1">
      <alignment horizontal="left" vertical="top" wrapText="1"/>
    </xf>
    <xf numFmtId="0" fontId="25" fillId="0" borderId="0" xfId="2" applyFont="1" applyAlignment="1">
      <alignment vertical="top" wrapText="1"/>
    </xf>
    <xf numFmtId="0" fontId="4" fillId="0" borderId="0" xfId="39" applyFont="1" applyFill="1" applyBorder="1" applyAlignment="1" applyProtection="1">
      <alignment horizontal="left" vertical="top" wrapText="1"/>
    </xf>
    <xf numFmtId="0" fontId="159" fillId="0" borderId="0" xfId="15" applyFont="1"/>
    <xf numFmtId="17" fontId="7" fillId="0" borderId="6" xfId="2" applyNumberFormat="1" applyFont="1" applyBorder="1" applyAlignment="1">
      <alignment horizontal="right"/>
    </xf>
    <xf numFmtId="17" fontId="41" fillId="0" borderId="6" xfId="2" applyNumberFormat="1" applyFont="1" applyBorder="1" applyAlignment="1">
      <alignment horizontal="right"/>
    </xf>
    <xf numFmtId="0" fontId="41" fillId="0" borderId="50" xfId="2" applyFont="1" applyBorder="1" applyAlignment="1">
      <alignment horizontal="right"/>
    </xf>
    <xf numFmtId="173" fontId="31" fillId="0" borderId="0" xfId="14" applyNumberFormat="1" applyFont="1" applyAlignment="1">
      <alignment horizontal="right" vertical="top"/>
    </xf>
    <xf numFmtId="173" fontId="8" fillId="0" borderId="0" xfId="14" applyNumberFormat="1" applyFont="1" applyAlignment="1">
      <alignment horizontal="right" vertical="top"/>
    </xf>
    <xf numFmtId="173" fontId="8" fillId="0" borderId="6" xfId="14" applyNumberFormat="1" applyFont="1" applyBorder="1" applyAlignment="1">
      <alignment horizontal="right"/>
    </xf>
    <xf numFmtId="173" fontId="8" fillId="0" borderId="50" xfId="14" applyNumberFormat="1" applyFont="1" applyFill="1" applyBorder="1" applyAlignment="1">
      <alignment horizontal="right"/>
    </xf>
    <xf numFmtId="173" fontId="28" fillId="0" borderId="6" xfId="14" applyNumberFormat="1" applyFont="1" applyBorder="1" applyAlignment="1">
      <alignment horizontal="right"/>
    </xf>
    <xf numFmtId="173" fontId="28" fillId="0" borderId="50" xfId="14" applyNumberFormat="1" applyFont="1" applyFill="1" applyBorder="1" applyAlignment="1">
      <alignment horizontal="right"/>
    </xf>
    <xf numFmtId="173" fontId="8" fillId="0" borderId="0" xfId="14" applyNumberFormat="1" applyFont="1" applyBorder="1" applyAlignment="1">
      <alignment horizontal="right"/>
    </xf>
    <xf numFmtId="0" fontId="32" fillId="4" borderId="0" xfId="2" applyFont="1" applyFill="1" applyAlignment="1">
      <alignment horizontal="left"/>
    </xf>
    <xf numFmtId="0" fontId="12" fillId="4" borderId="0" xfId="2" applyFont="1" applyFill="1" applyAlignment="1">
      <alignment horizontal="left"/>
    </xf>
    <xf numFmtId="0" fontId="28" fillId="3" borderId="0" xfId="2" applyFont="1" applyFill="1"/>
    <xf numFmtId="0" fontId="28" fillId="0" borderId="6" xfId="2" applyFont="1" applyBorder="1"/>
    <xf numFmtId="0" fontId="12" fillId="3" borderId="0" xfId="2" applyFont="1" applyFill="1"/>
    <xf numFmtId="0" fontId="7" fillId="0" borderId="49" xfId="2" applyFont="1" applyBorder="1"/>
    <xf numFmtId="17" fontId="7" fillId="3" borderId="0" xfId="2" applyNumberFormat="1" applyFont="1" applyFill="1" applyAlignment="1">
      <alignment horizontal="right"/>
    </xf>
    <xf numFmtId="173" fontId="8" fillId="3" borderId="6" xfId="14" applyNumberFormat="1" applyFont="1" applyFill="1" applyBorder="1" applyAlignment="1">
      <alignment horizontal="right"/>
    </xf>
    <xf numFmtId="173" fontId="8" fillId="3" borderId="0" xfId="14" applyNumberFormat="1" applyFont="1" applyFill="1" applyBorder="1" applyAlignment="1">
      <alignment horizontal="right"/>
    </xf>
    <xf numFmtId="173" fontId="8" fillId="0" borderId="0" xfId="14" applyNumberFormat="1" applyFont="1" applyBorder="1" applyAlignment="1"/>
    <xf numFmtId="173" fontId="8" fillId="3" borderId="0" xfId="14" applyNumberFormat="1" applyFont="1" applyFill="1" applyBorder="1" applyAlignment="1"/>
    <xf numFmtId="1" fontId="12" fillId="0" borderId="23" xfId="2" applyNumberFormat="1" applyFont="1" applyBorder="1"/>
    <xf numFmtId="0" fontId="12" fillId="0" borderId="23" xfId="2" applyFont="1" applyBorder="1"/>
    <xf numFmtId="1" fontId="12" fillId="0" borderId="0" xfId="2" applyNumberFormat="1" applyFont="1"/>
    <xf numFmtId="0" fontId="131" fillId="0" borderId="0" xfId="2" applyFont="1"/>
    <xf numFmtId="0" fontId="8" fillId="0" borderId="1" xfId="2" applyFont="1" applyBorder="1" applyAlignment="1">
      <alignment horizontal="left"/>
    </xf>
    <xf numFmtId="0" fontId="7" fillId="0" borderId="38" xfId="16" applyFont="1" applyBorder="1" applyAlignment="1">
      <alignment horizontal="right" vertical="top"/>
    </xf>
    <xf numFmtId="0" fontId="7" fillId="2" borderId="38" xfId="2" applyFont="1" applyFill="1" applyBorder="1" applyAlignment="1">
      <alignment horizontal="right" vertical="top" wrapText="1"/>
    </xf>
    <xf numFmtId="0" fontId="63" fillId="2" borderId="38" xfId="2" applyFont="1" applyFill="1" applyBorder="1" applyAlignment="1">
      <alignment horizontal="right" vertical="top" wrapText="1"/>
    </xf>
    <xf numFmtId="0" fontId="7" fillId="2" borderId="40" xfId="2" applyFont="1" applyFill="1" applyBorder="1" applyAlignment="1">
      <alignment horizontal="left" vertical="top" wrapText="1"/>
    </xf>
    <xf numFmtId="0" fontId="7" fillId="2" borderId="0" xfId="2" applyFont="1" applyFill="1" applyAlignment="1">
      <alignment horizontal="left" vertical="top" wrapText="1"/>
    </xf>
    <xf numFmtId="173" fontId="8" fillId="0" borderId="41" xfId="14" applyNumberFormat="1" applyFont="1" applyFill="1" applyBorder="1" applyAlignment="1">
      <alignment horizontal="right"/>
    </xf>
    <xf numFmtId="173" fontId="8" fillId="0" borderId="41" xfId="14" quotePrefix="1" applyNumberFormat="1" applyFont="1" applyFill="1" applyBorder="1" applyAlignment="1">
      <alignment horizontal="right"/>
    </xf>
    <xf numFmtId="173" fontId="8" fillId="2" borderId="41" xfId="14" quotePrefix="1" applyNumberFormat="1" applyFont="1" applyFill="1" applyBorder="1" applyAlignment="1">
      <alignment horizontal="right"/>
    </xf>
    <xf numFmtId="173" fontId="44" fillId="2" borderId="41" xfId="14" quotePrefix="1" applyNumberFormat="1" applyFont="1" applyFill="1" applyBorder="1" applyAlignment="1">
      <alignment horizontal="right"/>
    </xf>
    <xf numFmtId="173" fontId="7" fillId="2" borderId="43" xfId="14" quotePrefix="1" applyNumberFormat="1" applyFont="1" applyFill="1" applyBorder="1" applyAlignment="1">
      <alignment horizontal="right"/>
    </xf>
    <xf numFmtId="173" fontId="8" fillId="2" borderId="0" xfId="14" quotePrefix="1" applyNumberFormat="1" applyFont="1" applyFill="1" applyBorder="1" applyAlignment="1">
      <alignment horizontal="right"/>
    </xf>
    <xf numFmtId="0" fontId="7" fillId="2" borderId="15" xfId="2" applyFont="1" applyFill="1" applyBorder="1" applyAlignment="1">
      <alignment horizontal="left"/>
    </xf>
    <xf numFmtId="0" fontId="7" fillId="2" borderId="41" xfId="2" applyFont="1" applyFill="1" applyBorder="1" applyAlignment="1">
      <alignment horizontal="right"/>
    </xf>
    <xf numFmtId="173" fontId="7" fillId="2" borderId="41" xfId="14" applyNumberFormat="1" applyFont="1" applyFill="1" applyBorder="1" applyAlignment="1">
      <alignment horizontal="right"/>
    </xf>
    <xf numFmtId="173" fontId="7" fillId="2" borderId="41" xfId="14" quotePrefix="1" applyNumberFormat="1" applyFont="1" applyFill="1" applyBorder="1" applyAlignment="1">
      <alignment horizontal="right"/>
    </xf>
    <xf numFmtId="173" fontId="63" fillId="2" borderId="41" xfId="14" quotePrefix="1" applyNumberFormat="1" applyFont="1" applyFill="1" applyBorder="1" applyAlignment="1">
      <alignment horizontal="right"/>
    </xf>
    <xf numFmtId="0" fontId="8" fillId="0" borderId="27" xfId="2" applyFont="1" applyBorder="1" applyAlignment="1">
      <alignment horizontal="left"/>
    </xf>
    <xf numFmtId="0" fontId="8" fillId="0" borderId="60" xfId="2" applyFont="1" applyBorder="1" applyAlignment="1">
      <alignment horizontal="right"/>
    </xf>
    <xf numFmtId="173" fontId="8" fillId="0" borderId="60" xfId="14" applyNumberFormat="1" applyFont="1" applyFill="1" applyBorder="1" applyAlignment="1">
      <alignment horizontal="right"/>
    </xf>
    <xf numFmtId="0" fontId="7" fillId="0" borderId="1" xfId="16" applyFont="1" applyBorder="1" applyAlignment="1">
      <alignment vertical="top"/>
    </xf>
    <xf numFmtId="0" fontId="7" fillId="0" borderId="2" xfId="16" applyFont="1" applyBorder="1" applyAlignment="1">
      <alignment horizontal="right" vertical="top"/>
    </xf>
    <xf numFmtId="0" fontId="7" fillId="0" borderId="38" xfId="2" applyFont="1" applyBorder="1" applyAlignment="1">
      <alignment horizontal="right" vertical="top" wrapText="1"/>
    </xf>
    <xf numFmtId="0" fontId="4" fillId="0" borderId="0" xfId="16" applyFont="1" applyAlignment="1">
      <alignment vertical="top"/>
    </xf>
    <xf numFmtId="0" fontId="8" fillId="0" borderId="15" xfId="16" applyFont="1" applyBorder="1" applyAlignment="1">
      <alignment horizontal="left" vertical="top"/>
    </xf>
    <xf numFmtId="0" fontId="8" fillId="0" borderId="0" xfId="16" applyFont="1" applyAlignment="1">
      <alignment horizontal="right" vertical="center"/>
    </xf>
    <xf numFmtId="0" fontId="8" fillId="0" borderId="41" xfId="16" applyFont="1" applyBorder="1" applyAlignment="1">
      <alignment horizontal="right" vertical="center"/>
    </xf>
    <xf numFmtId="0" fontId="8" fillId="2" borderId="41" xfId="16" applyFont="1" applyFill="1" applyBorder="1" applyAlignment="1">
      <alignment horizontal="right" vertical="top"/>
    </xf>
    <xf numFmtId="0" fontId="44" fillId="2" borderId="41" xfId="16" applyFont="1" applyFill="1" applyBorder="1" applyAlignment="1">
      <alignment horizontal="right" vertical="top"/>
    </xf>
    <xf numFmtId="0" fontId="8" fillId="0" borderId="0" xfId="16" applyFont="1" applyAlignment="1">
      <alignment horizontal="right" vertical="top"/>
    </xf>
    <xf numFmtId="0" fontId="8" fillId="0" borderId="41" xfId="16" applyFont="1" applyBorder="1" applyAlignment="1">
      <alignment horizontal="right" vertical="top"/>
    </xf>
    <xf numFmtId="0" fontId="8" fillId="2" borderId="15" xfId="16" applyFont="1" applyFill="1" applyBorder="1" applyAlignment="1">
      <alignment horizontal="left" vertical="center"/>
    </xf>
    <xf numFmtId="0" fontId="8" fillId="2" borderId="0" xfId="16" applyFont="1" applyFill="1" applyAlignment="1">
      <alignment horizontal="right" vertical="top"/>
    </xf>
    <xf numFmtId="0" fontId="8" fillId="2" borderId="41" xfId="16" applyFont="1" applyFill="1" applyBorder="1" applyAlignment="1">
      <alignment horizontal="right" vertical="center"/>
    </xf>
    <xf numFmtId="0" fontId="8" fillId="0" borderId="5" xfId="16" applyFont="1" applyBorder="1" applyAlignment="1">
      <alignment horizontal="left" vertical="top"/>
    </xf>
    <xf numFmtId="0" fontId="8" fillId="0" borderId="6" xfId="16" applyFont="1" applyBorder="1" applyAlignment="1">
      <alignment horizontal="right" vertical="center"/>
    </xf>
    <xf numFmtId="0" fontId="8" fillId="0" borderId="44" xfId="16" applyFont="1" applyBorder="1" applyAlignment="1">
      <alignment horizontal="right" vertical="center"/>
    </xf>
    <xf numFmtId="0" fontId="8" fillId="2" borderId="44" xfId="16" applyFont="1" applyFill="1" applyBorder="1" applyAlignment="1">
      <alignment horizontal="right" vertical="top"/>
    </xf>
    <xf numFmtId="0" fontId="44" fillId="2" borderId="44" xfId="16" applyFont="1" applyFill="1" applyBorder="1" applyAlignment="1">
      <alignment horizontal="right" vertical="top"/>
    </xf>
    <xf numFmtId="173" fontId="7" fillId="2" borderId="46" xfId="14" quotePrefix="1" applyNumberFormat="1" applyFont="1" applyFill="1" applyBorder="1" applyAlignment="1">
      <alignment horizontal="right"/>
    </xf>
    <xf numFmtId="0" fontId="63" fillId="0" borderId="38" xfId="16" applyFont="1" applyBorder="1" applyAlignment="1">
      <alignment horizontal="right" vertical="top"/>
    </xf>
    <xf numFmtId="0" fontId="12" fillId="0" borderId="0" xfId="2" applyFont="1" applyAlignment="1">
      <alignment wrapText="1"/>
    </xf>
    <xf numFmtId="0" fontId="160" fillId="0" borderId="0" xfId="2" applyFont="1"/>
    <xf numFmtId="0" fontId="52" fillId="0" borderId="0" xfId="2" applyFont="1" applyAlignment="1">
      <alignment horizontal="left"/>
    </xf>
    <xf numFmtId="0" fontId="8" fillId="0" borderId="4" xfId="2" applyFont="1" applyBorder="1" applyAlignment="1">
      <alignment horizontal="right" wrapText="1"/>
    </xf>
    <xf numFmtId="0" fontId="14" fillId="0" borderId="23" xfId="0" applyFont="1" applyBorder="1" applyAlignment="1">
      <alignment horizontal="right" vertical="center"/>
    </xf>
    <xf numFmtId="0" fontId="105" fillId="0" borderId="0" xfId="2" applyFont="1" applyAlignment="1">
      <alignment horizontal="right"/>
    </xf>
    <xf numFmtId="0" fontId="8" fillId="0" borderId="105" xfId="2" applyFont="1" applyBorder="1" applyAlignment="1">
      <alignment horizontal="right"/>
    </xf>
    <xf numFmtId="0" fontId="7" fillId="0" borderId="42" xfId="2" applyFont="1" applyBorder="1" applyAlignment="1">
      <alignment horizontal="right"/>
    </xf>
    <xf numFmtId="0" fontId="7" fillId="0" borderId="48" xfId="2" applyFont="1" applyBorder="1" applyAlignment="1">
      <alignment horizontal="right"/>
    </xf>
    <xf numFmtId="184" fontId="8" fillId="0" borderId="42" xfId="2" applyNumberFormat="1" applyFont="1" applyBorder="1" applyAlignment="1">
      <alignment horizontal="right"/>
    </xf>
    <xf numFmtId="3" fontId="11" fillId="0" borderId="41" xfId="0" applyNumberFormat="1" applyFont="1" applyBorder="1" applyAlignment="1">
      <alignment horizontal="right"/>
    </xf>
    <xf numFmtId="0" fontId="11" fillId="0" borderId="41" xfId="0" applyFont="1" applyBorder="1" applyAlignment="1">
      <alignment horizontal="right"/>
    </xf>
    <xf numFmtId="0" fontId="8" fillId="0" borderId="4" xfId="2" applyFont="1" applyBorder="1" applyAlignment="1">
      <alignment horizontal="left" wrapText="1"/>
    </xf>
    <xf numFmtId="3" fontId="8" fillId="0" borderId="105" xfId="2" applyNumberFormat="1" applyFont="1" applyBorder="1"/>
    <xf numFmtId="0" fontId="8" fillId="0" borderId="42" xfId="2" applyFont="1" applyBorder="1"/>
    <xf numFmtId="0" fontId="8" fillId="0" borderId="48" xfId="2" applyFont="1" applyBorder="1"/>
    <xf numFmtId="184" fontId="8" fillId="0" borderId="41" xfId="14" applyNumberFormat="1" applyFont="1" applyFill="1" applyBorder="1" applyAlignment="1">
      <alignment horizontal="right"/>
    </xf>
    <xf numFmtId="170" fontId="8" fillId="0" borderId="41" xfId="17" applyNumberFormat="1" applyFont="1" applyFill="1" applyBorder="1" applyAlignment="1">
      <alignment horizontal="right"/>
    </xf>
    <xf numFmtId="170" fontId="8" fillId="0" borderId="41" xfId="17" applyNumberFormat="1" applyFont="1" applyFill="1" applyBorder="1" applyAlignment="1"/>
    <xf numFmtId="170" fontId="8" fillId="0" borderId="43" xfId="17" applyNumberFormat="1" applyFont="1" applyFill="1" applyBorder="1" applyAlignment="1"/>
    <xf numFmtId="184" fontId="8" fillId="0" borderId="0" xfId="14" applyNumberFormat="1" applyFont="1" applyFill="1" applyBorder="1" applyAlignment="1">
      <alignment horizontal="right"/>
    </xf>
    <xf numFmtId="184" fontId="52" fillId="0" borderId="0" xfId="14" applyNumberFormat="1" applyFont="1" applyFill="1" applyBorder="1" applyAlignment="1">
      <alignment horizontal="right"/>
    </xf>
    <xf numFmtId="184" fontId="8" fillId="0" borderId="15" xfId="14" applyNumberFormat="1" applyFont="1" applyFill="1" applyBorder="1" applyAlignment="1">
      <alignment wrapText="1"/>
    </xf>
    <xf numFmtId="184" fontId="8" fillId="0" borderId="0" xfId="14" applyNumberFormat="1" applyFont="1" applyFill="1" applyBorder="1" applyAlignment="1"/>
    <xf numFmtId="184" fontId="8" fillId="0" borderId="41" xfId="14" applyNumberFormat="1" applyFont="1" applyFill="1" applyBorder="1" applyAlignment="1"/>
    <xf numFmtId="184" fontId="8" fillId="0" borderId="43" xfId="14" applyNumberFormat="1" applyFont="1" applyFill="1" applyBorder="1" applyAlignment="1"/>
    <xf numFmtId="0" fontId="52" fillId="0" borderId="41" xfId="2" applyFont="1" applyBorder="1" applyAlignment="1">
      <alignment horizontal="right"/>
    </xf>
    <xf numFmtId="0" fontId="46" fillId="0" borderId="41" xfId="0" applyFont="1" applyBorder="1" applyAlignment="1">
      <alignment horizontal="right"/>
    </xf>
    <xf numFmtId="10" fontId="52" fillId="0" borderId="41" xfId="2" applyNumberFormat="1" applyFont="1" applyBorder="1"/>
    <xf numFmtId="170" fontId="52" fillId="0" borderId="0" xfId="17" applyNumberFormat="1" applyFont="1" applyFill="1" applyBorder="1" applyAlignment="1"/>
    <xf numFmtId="0" fontId="52" fillId="0" borderId="41" xfId="2" applyFont="1" applyBorder="1"/>
    <xf numFmtId="0" fontId="52" fillId="0" borderId="60" xfId="2" applyFont="1" applyBorder="1" applyAlignment="1">
      <alignment horizontal="right"/>
    </xf>
    <xf numFmtId="0" fontId="7" fillId="0" borderId="15" xfId="2" applyFont="1" applyBorder="1" applyAlignment="1">
      <alignment horizontal="left" vertical="center" wrapText="1"/>
    </xf>
    <xf numFmtId="0" fontId="105" fillId="0" borderId="41" xfId="2" applyFont="1" applyBorder="1" applyAlignment="1">
      <alignment horizontal="right"/>
    </xf>
    <xf numFmtId="0" fontId="105" fillId="0" borderId="43" xfId="2" applyFont="1" applyBorder="1" applyAlignment="1">
      <alignment horizontal="right"/>
    </xf>
    <xf numFmtId="0" fontId="7" fillId="0" borderId="1" xfId="2" applyFont="1" applyBorder="1" applyAlignment="1">
      <alignment horizontal="left" vertical="center" wrapText="1"/>
    </xf>
    <xf numFmtId="0" fontId="52" fillId="0" borderId="2" xfId="2" applyFont="1" applyBorder="1"/>
    <xf numFmtId="0" fontId="7" fillId="0" borderId="38" xfId="2" applyFont="1" applyBorder="1" applyAlignment="1">
      <alignment horizontal="center"/>
    </xf>
    <xf numFmtId="0" fontId="7" fillId="0" borderId="40" xfId="2" applyFont="1" applyBorder="1" applyAlignment="1">
      <alignment horizontal="center"/>
    </xf>
    <xf numFmtId="184" fontId="52" fillId="0" borderId="41" xfId="2" applyNumberFormat="1" applyFont="1" applyBorder="1" applyAlignment="1">
      <alignment horizontal="right"/>
    </xf>
    <xf numFmtId="184" fontId="52" fillId="0" borderId="43" xfId="2" applyNumberFormat="1" applyFont="1" applyBorder="1" applyAlignment="1">
      <alignment horizontal="right"/>
    </xf>
    <xf numFmtId="170" fontId="8" fillId="0" borderId="0" xfId="17" applyNumberFormat="1" applyFont="1" applyFill="1" applyBorder="1" applyAlignment="1"/>
    <xf numFmtId="184" fontId="8" fillId="0" borderId="41" xfId="17" applyNumberFormat="1" applyFont="1" applyFill="1" applyBorder="1" applyAlignment="1"/>
    <xf numFmtId="170" fontId="8" fillId="0" borderId="41" xfId="17" applyNumberFormat="1" applyFont="1" applyFill="1" applyBorder="1" applyAlignment="1">
      <alignment horizontal="center"/>
    </xf>
    <xf numFmtId="170" fontId="8" fillId="0" borderId="43" xfId="17" applyNumberFormat="1" applyFont="1" applyFill="1" applyBorder="1" applyAlignment="1">
      <alignment horizontal="right"/>
    </xf>
    <xf numFmtId="170" fontId="8" fillId="0" borderId="44" xfId="17" applyNumberFormat="1" applyFont="1" applyFill="1" applyBorder="1" applyAlignment="1">
      <alignment horizontal="right"/>
    </xf>
    <xf numFmtId="0" fontId="52" fillId="0" borderId="44" xfId="2" applyFont="1" applyBorder="1"/>
    <xf numFmtId="170" fontId="8" fillId="0" borderId="44" xfId="17" applyNumberFormat="1" applyFont="1" applyFill="1" applyBorder="1" applyAlignment="1"/>
    <xf numFmtId="0" fontId="52" fillId="0" borderId="44" xfId="2" applyFont="1" applyBorder="1" applyAlignment="1">
      <alignment horizontal="left"/>
    </xf>
    <xf numFmtId="0" fontId="52" fillId="0" borderId="46" xfId="2" applyFont="1" applyBorder="1" applyAlignment="1">
      <alignment horizontal="left"/>
    </xf>
    <xf numFmtId="0" fontId="52" fillId="0" borderId="0" xfId="2" applyFont="1" applyAlignment="1">
      <alignment wrapText="1"/>
    </xf>
    <xf numFmtId="170" fontId="52" fillId="0" borderId="41" xfId="17" applyNumberFormat="1" applyFont="1" applyFill="1" applyBorder="1" applyAlignment="1"/>
    <xf numFmtId="0" fontId="52" fillId="0" borderId="6" xfId="2" applyFont="1" applyBorder="1" applyAlignment="1">
      <alignment wrapText="1"/>
    </xf>
    <xf numFmtId="0" fontId="52" fillId="0" borderId="6" xfId="2" applyFont="1" applyBorder="1"/>
    <xf numFmtId="170" fontId="52" fillId="0" borderId="44" xfId="17" applyNumberFormat="1" applyFont="1" applyFill="1" applyBorder="1" applyAlignment="1"/>
    <xf numFmtId="170" fontId="8" fillId="0" borderId="46" xfId="17" applyNumberFormat="1" applyFont="1" applyFill="1" applyBorder="1" applyAlignment="1"/>
    <xf numFmtId="0" fontId="12" fillId="0" borderId="0" xfId="2" applyFont="1" applyAlignment="1">
      <alignment horizontal="right" wrapText="1"/>
    </xf>
    <xf numFmtId="170" fontId="12" fillId="0" borderId="0" xfId="17" applyNumberFormat="1" applyFont="1" applyFill="1" applyBorder="1" applyAlignment="1">
      <alignment horizontal="right"/>
    </xf>
    <xf numFmtId="170" fontId="12" fillId="0" borderId="0" xfId="17" applyNumberFormat="1" applyFont="1" applyFill="1"/>
    <xf numFmtId="170" fontId="12" fillId="0" borderId="0" xfId="17" applyNumberFormat="1" applyFont="1" applyFill="1" applyBorder="1"/>
    <xf numFmtId="170" fontId="161" fillId="0" borderId="6" xfId="17" applyNumberFormat="1" applyFont="1" applyFill="1" applyBorder="1" applyAlignment="1"/>
    <xf numFmtId="170" fontId="52" fillId="0" borderId="6" xfId="17" applyNumberFormat="1" applyFont="1" applyFill="1" applyBorder="1"/>
    <xf numFmtId="0" fontId="7" fillId="0" borderId="4" xfId="2" applyFont="1" applyBorder="1" applyAlignment="1">
      <alignment horizontal="left"/>
    </xf>
    <xf numFmtId="0" fontId="7" fillId="0" borderId="105" xfId="2" applyFont="1" applyBorder="1" applyAlignment="1">
      <alignment horizontal="center"/>
    </xf>
    <xf numFmtId="0" fontId="7" fillId="0" borderId="15" xfId="2" applyFont="1" applyBorder="1" applyAlignment="1">
      <alignment horizontal="left"/>
    </xf>
    <xf numFmtId="0" fontId="7" fillId="0" borderId="45" xfId="2" applyFont="1" applyBorder="1" applyAlignment="1">
      <alignment vertical="top" wrapText="1"/>
    </xf>
    <xf numFmtId="0" fontId="7" fillId="0" borderId="6" xfId="2" applyFont="1" applyBorder="1" applyAlignment="1">
      <alignment horizontal="center" vertical="top"/>
    </xf>
    <xf numFmtId="170" fontId="7" fillId="0" borderId="50" xfId="17" applyNumberFormat="1" applyFont="1" applyFill="1" applyBorder="1" applyAlignment="1">
      <alignment horizontal="center" vertical="top" wrapText="1"/>
    </xf>
    <xf numFmtId="0" fontId="7" fillId="0" borderId="6" xfId="2" applyFont="1" applyBorder="1" applyAlignment="1">
      <alignment vertical="top" wrapText="1"/>
    </xf>
    <xf numFmtId="170" fontId="7" fillId="0" borderId="6" xfId="17" applyNumberFormat="1" applyFont="1" applyFill="1" applyBorder="1" applyAlignment="1">
      <alignment horizontal="center" vertical="top"/>
    </xf>
    <xf numFmtId="170" fontId="7" fillId="0" borderId="17" xfId="17" applyNumberFormat="1" applyFont="1" applyFill="1" applyBorder="1" applyAlignment="1">
      <alignment horizontal="center" vertical="top"/>
    </xf>
    <xf numFmtId="3" fontId="8" fillId="0" borderId="18" xfId="2" applyNumberFormat="1" applyFont="1" applyBorder="1" applyAlignment="1">
      <alignment horizontal="right"/>
    </xf>
    <xf numFmtId="170" fontId="8" fillId="0" borderId="22" xfId="17" applyNumberFormat="1" applyFont="1" applyFill="1" applyBorder="1"/>
    <xf numFmtId="170" fontId="8" fillId="0" borderId="0" xfId="17" applyNumberFormat="1" applyFont="1" applyFill="1" applyBorder="1"/>
    <xf numFmtId="170" fontId="8" fillId="0" borderId="49" xfId="17" applyNumberFormat="1" applyFont="1" applyFill="1" applyBorder="1"/>
    <xf numFmtId="3" fontId="11" fillId="0" borderId="0" xfId="0" applyNumberFormat="1" applyFont="1" applyAlignment="1">
      <alignment horizontal="right" vertical="center"/>
    </xf>
    <xf numFmtId="10" fontId="11" fillId="0" borderId="21" xfId="0" applyNumberFormat="1" applyFont="1" applyBorder="1" applyAlignment="1">
      <alignment horizontal="right" vertical="center"/>
    </xf>
    <xf numFmtId="10" fontId="11" fillId="0" borderId="16" xfId="0" applyNumberFormat="1" applyFont="1" applyBorder="1" applyAlignment="1">
      <alignment horizontal="right" vertical="center"/>
    </xf>
    <xf numFmtId="9" fontId="7" fillId="0" borderId="6" xfId="2" applyNumberFormat="1" applyFont="1" applyBorder="1" applyAlignment="1">
      <alignment horizontal="right"/>
    </xf>
    <xf numFmtId="173" fontId="7" fillId="0" borderId="45" xfId="14" applyNumberFormat="1" applyFont="1" applyFill="1" applyBorder="1" applyAlignment="1">
      <alignment horizontal="right"/>
    </xf>
    <xf numFmtId="173" fontId="7" fillId="0" borderId="6" xfId="14" applyNumberFormat="1" applyFont="1" applyFill="1" applyBorder="1" applyAlignment="1">
      <alignment horizontal="right"/>
    </xf>
    <xf numFmtId="170" fontId="7" fillId="0" borderId="50" xfId="17" applyNumberFormat="1" applyFont="1" applyFill="1" applyBorder="1" applyAlignment="1">
      <alignment horizontal="right"/>
    </xf>
    <xf numFmtId="170" fontId="7" fillId="0" borderId="6" xfId="17" applyNumberFormat="1" applyFont="1" applyFill="1" applyBorder="1" applyAlignment="1">
      <alignment horizontal="right"/>
    </xf>
    <xf numFmtId="3" fontId="14" fillId="0" borderId="6" xfId="0" applyNumberFormat="1" applyFont="1" applyBorder="1" applyAlignment="1">
      <alignment horizontal="right" vertical="center"/>
    </xf>
    <xf numFmtId="0" fontId="14" fillId="0" borderId="17" xfId="0" applyFont="1" applyBorder="1" applyAlignment="1">
      <alignment horizontal="right" vertical="center"/>
    </xf>
    <xf numFmtId="9" fontId="7" fillId="0" borderId="0" xfId="2" applyNumberFormat="1" applyFont="1" applyAlignment="1">
      <alignment horizontal="right"/>
    </xf>
    <xf numFmtId="173" fontId="7" fillId="0" borderId="0" xfId="14" applyNumberFormat="1" applyFont="1" applyFill="1" applyBorder="1" applyAlignment="1">
      <alignment horizontal="right"/>
    </xf>
    <xf numFmtId="170" fontId="105" fillId="0" borderId="6" xfId="17" applyNumberFormat="1" applyFont="1" applyFill="1" applyBorder="1" applyAlignment="1"/>
    <xf numFmtId="0" fontId="7" fillId="0" borderId="27" xfId="2" applyFont="1" applyBorder="1" applyAlignment="1">
      <alignment horizontal="left"/>
    </xf>
    <xf numFmtId="170" fontId="7" fillId="0" borderId="50" xfId="17" applyNumberFormat="1" applyFont="1" applyFill="1" applyBorder="1" applyAlignment="1">
      <alignment horizontal="center" vertical="top"/>
    </xf>
    <xf numFmtId="170" fontId="8" fillId="0" borderId="16" xfId="17" applyNumberFormat="1" applyFont="1" applyFill="1" applyBorder="1"/>
    <xf numFmtId="208" fontId="11" fillId="0" borderId="0" xfId="0" applyNumberFormat="1" applyFont="1"/>
    <xf numFmtId="9" fontId="11" fillId="0" borderId="21" xfId="1" applyFont="1" applyBorder="1"/>
    <xf numFmtId="9" fontId="11" fillId="0" borderId="16" xfId="1" applyFont="1" applyBorder="1"/>
    <xf numFmtId="208" fontId="11" fillId="0" borderId="27" xfId="0" applyNumberFormat="1" applyFont="1" applyBorder="1"/>
    <xf numFmtId="170" fontId="7" fillId="0" borderId="17" xfId="17" applyNumberFormat="1" applyFont="1" applyFill="1" applyBorder="1" applyAlignment="1">
      <alignment horizontal="right"/>
    </xf>
    <xf numFmtId="208" fontId="14" fillId="0" borderId="5" xfId="0" applyNumberFormat="1" applyFont="1" applyBorder="1"/>
    <xf numFmtId="208" fontId="14" fillId="0" borderId="6" xfId="0" applyNumberFormat="1" applyFont="1" applyBorder="1"/>
    <xf numFmtId="9" fontId="14" fillId="0" borderId="17" xfId="1" applyFont="1" applyFill="1" applyBorder="1"/>
    <xf numFmtId="173" fontId="32" fillId="0" borderId="0" xfId="14" applyNumberFormat="1" applyFont="1" applyFill="1" applyBorder="1" applyAlignment="1">
      <alignment horizontal="right"/>
    </xf>
    <xf numFmtId="170" fontId="32" fillId="0" borderId="0" xfId="17" applyNumberFormat="1" applyFont="1" applyFill="1" applyBorder="1" applyAlignment="1">
      <alignment horizontal="right"/>
    </xf>
    <xf numFmtId="173" fontId="162" fillId="0" borderId="0" xfId="14" applyNumberFormat="1" applyFont="1" applyFill="1" applyBorder="1" applyAlignment="1">
      <alignment horizontal="right"/>
    </xf>
    <xf numFmtId="170" fontId="32" fillId="0" borderId="0" xfId="17" applyNumberFormat="1" applyFont="1" applyFill="1" applyBorder="1"/>
    <xf numFmtId="0" fontId="5" fillId="0" borderId="22" xfId="2" applyFont="1" applyBorder="1" applyAlignment="1">
      <alignment vertical="top"/>
    </xf>
    <xf numFmtId="0" fontId="7" fillId="0" borderId="27" xfId="2" applyFont="1" applyBorder="1" applyAlignment="1">
      <alignment horizontal="center"/>
    </xf>
    <xf numFmtId="0" fontId="8" fillId="0" borderId="58" xfId="2" applyFont="1" applyBorder="1" applyAlignment="1">
      <alignment wrapText="1"/>
    </xf>
    <xf numFmtId="0" fontId="8" fillId="0" borderId="18" xfId="2" applyFont="1" applyBorder="1"/>
    <xf numFmtId="0" fontId="11" fillId="0" borderId="0" xfId="0" applyFont="1" applyAlignment="1">
      <alignment horizontal="right" vertical="center"/>
    </xf>
    <xf numFmtId="0" fontId="11" fillId="0" borderId="16" xfId="0" applyFont="1" applyBorder="1" applyAlignment="1">
      <alignment vertical="center"/>
    </xf>
    <xf numFmtId="0" fontId="157" fillId="0" borderId="0" xfId="2" applyFont="1" applyAlignment="1">
      <alignment vertical="top" wrapText="1"/>
    </xf>
    <xf numFmtId="0" fontId="7" fillId="0" borderId="18" xfId="2" applyFont="1" applyBorder="1" applyAlignment="1">
      <alignment horizontal="center"/>
    </xf>
    <xf numFmtId="0" fontId="7" fillId="0" borderId="16" xfId="2" applyFont="1" applyBorder="1" applyAlignment="1">
      <alignment horizontal="center"/>
    </xf>
    <xf numFmtId="0" fontId="7" fillId="0" borderId="15" xfId="2" applyFont="1" applyBorder="1" applyAlignment="1">
      <alignment horizontal="center"/>
    </xf>
    <xf numFmtId="0" fontId="7" fillId="0" borderId="22" xfId="2" applyFont="1" applyBorder="1" applyAlignment="1">
      <alignment horizontal="center"/>
    </xf>
    <xf numFmtId="173" fontId="8" fillId="0" borderId="18" xfId="2" applyNumberFormat="1" applyFont="1" applyBorder="1" applyAlignment="1">
      <alignment horizontal="right"/>
    </xf>
    <xf numFmtId="165" fontId="8" fillId="0" borderId="22" xfId="2" applyNumberFormat="1" applyFont="1" applyBorder="1" applyAlignment="1">
      <alignment horizontal="right"/>
    </xf>
    <xf numFmtId="165" fontId="8" fillId="0" borderId="16" xfId="2" applyNumberFormat="1" applyFont="1" applyBorder="1" applyAlignment="1">
      <alignment horizontal="right"/>
    </xf>
    <xf numFmtId="173" fontId="8" fillId="0" borderId="15" xfId="2" applyNumberFormat="1" applyFont="1" applyBorder="1" applyAlignment="1">
      <alignment horizontal="right"/>
    </xf>
    <xf numFmtId="173" fontId="8" fillId="0" borderId="27" xfId="2" applyNumberFormat="1" applyFont="1" applyBorder="1" applyAlignment="1">
      <alignment horizontal="right"/>
    </xf>
    <xf numFmtId="173" fontId="7" fillId="0" borderId="45" xfId="2" applyNumberFormat="1" applyFont="1" applyBorder="1" applyAlignment="1">
      <alignment horizontal="right"/>
    </xf>
    <xf numFmtId="173" fontId="7" fillId="0" borderId="6" xfId="2" applyNumberFormat="1" applyFont="1" applyBorder="1" applyAlignment="1">
      <alignment horizontal="right"/>
    </xf>
    <xf numFmtId="165" fontId="7" fillId="0" borderId="50" xfId="2" applyNumberFormat="1" applyFont="1" applyBorder="1" applyAlignment="1">
      <alignment horizontal="right"/>
    </xf>
    <xf numFmtId="165" fontId="7" fillId="0" borderId="17" xfId="2" applyNumberFormat="1" applyFont="1" applyBorder="1" applyAlignment="1">
      <alignment horizontal="right"/>
    </xf>
    <xf numFmtId="0" fontId="14" fillId="28" borderId="45" xfId="0" applyFont="1" applyFill="1" applyBorder="1"/>
    <xf numFmtId="0" fontId="14" fillId="28" borderId="6" xfId="0" applyFont="1" applyFill="1" applyBorder="1"/>
    <xf numFmtId="9" fontId="14" fillId="0" borderId="17" xfId="1" applyFont="1" applyBorder="1"/>
    <xf numFmtId="0" fontId="12" fillId="0" borderId="6" xfId="2" applyFont="1" applyBorder="1"/>
    <xf numFmtId="0" fontId="157" fillId="0" borderId="0" xfId="2" applyFont="1"/>
    <xf numFmtId="0" fontId="7" fillId="0" borderId="38" xfId="2" applyFont="1" applyBorder="1" applyAlignment="1">
      <alignment horizontal="right" vertical="center"/>
    </xf>
    <xf numFmtId="0" fontId="7" fillId="0" borderId="40" xfId="2" applyFont="1" applyBorder="1" applyAlignment="1">
      <alignment horizontal="right" vertical="center"/>
    </xf>
    <xf numFmtId="0" fontId="81" fillId="0" borderId="0" xfId="2" applyFont="1" applyAlignment="1">
      <alignment vertical="top"/>
    </xf>
    <xf numFmtId="0" fontId="7" fillId="0" borderId="2" xfId="2" applyFont="1" applyBorder="1" applyAlignment="1">
      <alignment horizontal="center" vertical="center"/>
    </xf>
    <xf numFmtId="0" fontId="8" fillId="0" borderId="0" xfId="2" applyFont="1" applyAlignment="1">
      <alignment vertical="center" wrapText="1"/>
    </xf>
    <xf numFmtId="0" fontId="7" fillId="0" borderId="3" xfId="2" applyFont="1" applyBorder="1"/>
    <xf numFmtId="0" fontId="8" fillId="0" borderId="15" xfId="2" applyFont="1" applyBorder="1" applyAlignment="1">
      <alignment vertical="center" wrapText="1"/>
    </xf>
    <xf numFmtId="170" fontId="8" fillId="0" borderId="44" xfId="1" applyNumberFormat="1" applyFont="1" applyFill="1" applyBorder="1"/>
    <xf numFmtId="0" fontId="7" fillId="0" borderId="2" xfId="2" applyFont="1" applyBorder="1" applyAlignment="1">
      <alignment horizontal="left" vertical="center"/>
    </xf>
    <xf numFmtId="10" fontId="45" fillId="0" borderId="0" xfId="0" applyNumberFormat="1" applyFont="1" applyAlignment="1">
      <alignment horizontal="left" vertical="center" wrapText="1"/>
    </xf>
    <xf numFmtId="10" fontId="8" fillId="0" borderId="41" xfId="1" applyNumberFormat="1" applyFont="1" applyFill="1" applyBorder="1" applyAlignment="1"/>
    <xf numFmtId="10" fontId="8" fillId="0" borderId="41" xfId="1" applyNumberFormat="1" applyFont="1" applyFill="1" applyBorder="1"/>
    <xf numFmtId="10" fontId="8" fillId="0" borderId="43" xfId="1" applyNumberFormat="1" applyFont="1" applyFill="1" applyBorder="1"/>
    <xf numFmtId="0" fontId="135" fillId="20" borderId="0" xfId="2" applyFont="1" applyFill="1"/>
    <xf numFmtId="0" fontId="163" fillId="0" borderId="0" xfId="2" applyFont="1"/>
    <xf numFmtId="10" fontId="135" fillId="20" borderId="0" xfId="1" applyNumberFormat="1" applyFont="1" applyFill="1"/>
    <xf numFmtId="0" fontId="135" fillId="20" borderId="0" xfId="2" applyFont="1" applyFill="1" applyAlignment="1">
      <alignment wrapText="1"/>
    </xf>
    <xf numFmtId="0" fontId="75" fillId="0" borderId="0" xfId="2" applyFont="1"/>
    <xf numFmtId="0" fontId="164" fillId="0" borderId="0" xfId="2" applyFont="1"/>
    <xf numFmtId="0" fontId="165" fillId="0" borderId="23" xfId="0" applyFont="1" applyBorder="1" applyAlignment="1">
      <alignment horizontal="center" vertical="center" wrapText="1"/>
    </xf>
    <xf numFmtId="0" fontId="23" fillId="0" borderId="23" xfId="0" applyFont="1" applyBorder="1" applyAlignment="1">
      <alignment horizontal="center" vertical="center" wrapText="1"/>
    </xf>
    <xf numFmtId="0" fontId="57" fillId="0" borderId="23" xfId="0" applyFont="1" applyBorder="1" applyAlignment="1">
      <alignment horizontal="center"/>
    </xf>
    <xf numFmtId="0" fontId="8" fillId="0" borderId="50" xfId="2" applyFont="1" applyBorder="1" applyAlignment="1">
      <alignment wrapText="1"/>
    </xf>
    <xf numFmtId="10" fontId="8" fillId="0" borderId="16" xfId="1" applyNumberFormat="1" applyFont="1" applyFill="1" applyBorder="1"/>
    <xf numFmtId="10" fontId="8" fillId="0" borderId="44" xfId="1" applyNumberFormat="1" applyFont="1" applyFill="1" applyBorder="1"/>
    <xf numFmtId="10" fontId="8" fillId="0" borderId="24" xfId="1" applyNumberFormat="1" applyFont="1" applyFill="1" applyBorder="1"/>
    <xf numFmtId="10" fontId="8" fillId="0" borderId="46" xfId="1" applyNumberFormat="1" applyFont="1" applyFill="1" applyBorder="1"/>
    <xf numFmtId="209" fontId="8" fillId="0" borderId="65" xfId="18" applyNumberFormat="1" applyFont="1" applyFill="1" applyBorder="1"/>
    <xf numFmtId="0" fontId="166" fillId="0" borderId="0" xfId="2" applyFont="1" applyAlignment="1">
      <alignment vertical="top"/>
    </xf>
    <xf numFmtId="0" fontId="40" fillId="0" borderId="0" xfId="2" applyFont="1" applyAlignment="1">
      <alignment horizontal="right"/>
    </xf>
    <xf numFmtId="0" fontId="166" fillId="0" borderId="0" xfId="2" applyFont="1" applyAlignment="1">
      <alignment horizontal="right"/>
    </xf>
    <xf numFmtId="0" fontId="166" fillId="0" borderId="0" xfId="2" applyFont="1" applyAlignment="1" applyProtection="1">
      <alignment horizontal="right"/>
      <protection locked="0"/>
    </xf>
    <xf numFmtId="0" fontId="166" fillId="0" borderId="22" xfId="2" applyFont="1" applyBorder="1" applyAlignment="1" applyProtection="1">
      <alignment horizontal="right"/>
      <protection locked="0"/>
    </xf>
    <xf numFmtId="0" fontId="166" fillId="0" borderId="0" xfId="2" applyFont="1" applyProtection="1">
      <protection locked="0"/>
    </xf>
    <xf numFmtId="0" fontId="69" fillId="0" borderId="0" xfId="15" applyFont="1"/>
    <xf numFmtId="0" fontId="113" fillId="0" borderId="0" xfId="15" applyFont="1"/>
    <xf numFmtId="0" fontId="7" fillId="0" borderId="65" xfId="15" applyFont="1" applyBorder="1"/>
    <xf numFmtId="0" fontId="8" fillId="0" borderId="67" xfId="15" applyFont="1" applyBorder="1"/>
    <xf numFmtId="0" fontId="49" fillId="0" borderId="28" xfId="0" applyFont="1" applyBorder="1" applyAlignment="1">
      <alignment horizontal="right" vertical="center"/>
    </xf>
    <xf numFmtId="0" fontId="49" fillId="0" borderId="61" xfId="0" applyFont="1" applyBorder="1" applyAlignment="1">
      <alignment horizontal="right" vertical="center"/>
    </xf>
    <xf numFmtId="0" fontId="49" fillId="0" borderId="62" xfId="0" applyFont="1" applyBorder="1" applyAlignment="1">
      <alignment horizontal="right" vertical="center"/>
    </xf>
    <xf numFmtId="0" fontId="8" fillId="0" borderId="107" xfId="15" applyFont="1" applyBorder="1"/>
    <xf numFmtId="3" fontId="45" fillId="0" borderId="15" xfId="0" applyNumberFormat="1" applyFont="1" applyBorder="1" applyAlignment="1">
      <alignment horizontal="right" vertical="center"/>
    </xf>
    <xf numFmtId="3" fontId="45" fillId="0" borderId="0" xfId="0" applyNumberFormat="1" applyFont="1" applyAlignment="1">
      <alignment horizontal="right" vertical="center"/>
    </xf>
    <xf numFmtId="3" fontId="45" fillId="0" borderId="16" xfId="0" applyNumberFormat="1" applyFont="1" applyBorder="1" applyAlignment="1">
      <alignment horizontal="right" vertical="center"/>
    </xf>
    <xf numFmtId="10" fontId="45" fillId="0" borderId="5" xfId="0" applyNumberFormat="1" applyFont="1" applyBorder="1" applyAlignment="1">
      <alignment horizontal="right" vertical="center"/>
    </xf>
    <xf numFmtId="10" fontId="45" fillId="0" borderId="6" xfId="0" applyNumberFormat="1" applyFont="1" applyBorder="1" applyAlignment="1">
      <alignment horizontal="right" vertical="center"/>
    </xf>
    <xf numFmtId="10" fontId="45" fillId="0" borderId="17" xfId="0" applyNumberFormat="1" applyFont="1" applyBorder="1" applyAlignment="1">
      <alignment horizontal="right" vertical="center"/>
    </xf>
    <xf numFmtId="187" fontId="8" fillId="0" borderId="0" xfId="18" applyNumberFormat="1" applyFont="1" applyFill="1" applyBorder="1"/>
    <xf numFmtId="0" fontId="12" fillId="0" borderId="22" xfId="15" applyFont="1" applyBorder="1"/>
    <xf numFmtId="10" fontId="45" fillId="0" borderId="0" xfId="0" applyNumberFormat="1" applyFont="1" applyAlignment="1">
      <alignment horizontal="right" vertical="center"/>
    </xf>
    <xf numFmtId="10" fontId="45" fillId="0" borderId="16" xfId="0" applyNumberFormat="1" applyFont="1" applyBorder="1" applyAlignment="1">
      <alignment horizontal="right" vertical="center"/>
    </xf>
    <xf numFmtId="0" fontId="69" fillId="0" borderId="0" xfId="2" applyFont="1" applyAlignment="1" applyProtection="1">
      <alignment vertical="top"/>
      <protection locked="0"/>
    </xf>
    <xf numFmtId="0" fontId="166" fillId="0" borderId="0" xfId="2" applyFont="1" applyAlignment="1" applyProtection="1">
      <alignment vertical="top"/>
      <protection locked="0"/>
    </xf>
    <xf numFmtId="0" fontId="7" fillId="25" borderId="0" xfId="2" applyFont="1" applyFill="1"/>
    <xf numFmtId="1" fontId="166" fillId="0" borderId="0" xfId="2" applyNumberFormat="1" applyFont="1" applyProtection="1">
      <protection locked="0"/>
    </xf>
    <xf numFmtId="0" fontId="167" fillId="0" borderId="0" xfId="2" applyFont="1" applyAlignment="1">
      <alignment vertical="top"/>
    </xf>
    <xf numFmtId="0" fontId="167" fillId="0" borderId="0" xfId="2" applyFont="1" applyAlignment="1">
      <alignment vertical="top" wrapText="1"/>
    </xf>
    <xf numFmtId="0" fontId="168" fillId="0" borderId="0" xfId="2" applyFont="1" applyProtection="1">
      <protection locked="0"/>
    </xf>
    <xf numFmtId="0" fontId="24" fillId="25" borderId="0" xfId="2" applyFont="1" applyFill="1" applyAlignment="1">
      <alignment vertical="top" wrapText="1"/>
    </xf>
    <xf numFmtId="0" fontId="24" fillId="0" borderId="0" xfId="2" applyFont="1" applyProtection="1">
      <protection locked="0"/>
    </xf>
    <xf numFmtId="1" fontId="168" fillId="0" borderId="0" xfId="2" applyNumberFormat="1" applyFont="1" applyProtection="1">
      <protection locked="0"/>
    </xf>
    <xf numFmtId="1" fontId="169" fillId="0" borderId="0" xfId="2" applyNumberFormat="1" applyFont="1"/>
    <xf numFmtId="1" fontId="168" fillId="0" borderId="0" xfId="2" applyNumberFormat="1" applyFont="1"/>
    <xf numFmtId="1" fontId="166" fillId="0" borderId="0" xfId="2" applyNumberFormat="1" applyFont="1"/>
    <xf numFmtId="0" fontId="151" fillId="0" borderId="0" xfId="2" applyFont="1" applyAlignment="1">
      <alignment vertical="top"/>
    </xf>
    <xf numFmtId="0" fontId="170" fillId="0" borderId="0" xfId="2" applyFont="1" applyProtection="1">
      <protection locked="0"/>
    </xf>
    <xf numFmtId="0" fontId="4" fillId="25" borderId="0" xfId="2" applyFill="1" applyAlignment="1">
      <alignment vertical="top"/>
    </xf>
    <xf numFmtId="1" fontId="170" fillId="0" borderId="0" xfId="2" applyNumberFormat="1" applyFont="1"/>
    <xf numFmtId="0" fontId="15" fillId="0" borderId="0" xfId="2" applyFont="1" applyAlignment="1">
      <alignment horizontal="left" vertical="top" wrapText="1"/>
    </xf>
    <xf numFmtId="0" fontId="171" fillId="0" borderId="0" xfId="2" applyFont="1" applyAlignment="1">
      <alignment vertical="top"/>
    </xf>
    <xf numFmtId="176" fontId="8" fillId="0" borderId="58" xfId="17" applyNumberFormat="1" applyFont="1" applyFill="1" applyBorder="1" applyAlignment="1" applyProtection="1">
      <alignment horizontal="right"/>
    </xf>
    <xf numFmtId="170" fontId="8" fillId="0" borderId="63" xfId="17" applyNumberFormat="1" applyFont="1" applyFill="1" applyBorder="1" applyAlignment="1" applyProtection="1">
      <alignment horizontal="right"/>
    </xf>
    <xf numFmtId="0" fontId="4" fillId="0" borderId="43" xfId="2" applyBorder="1" applyProtection="1">
      <protection locked="0"/>
    </xf>
    <xf numFmtId="2" fontId="8" fillId="0" borderId="46" xfId="0" applyNumberFormat="1" applyFont="1" applyBorder="1" applyAlignment="1">
      <alignment horizontal="right"/>
    </xf>
    <xf numFmtId="0" fontId="41" fillId="2" borderId="3" xfId="2" applyFont="1" applyFill="1" applyBorder="1" applyAlignment="1">
      <alignment horizontal="right"/>
    </xf>
    <xf numFmtId="184" fontId="28" fillId="2" borderId="21" xfId="2" applyNumberFormat="1" applyFont="1" applyFill="1" applyBorder="1" applyAlignment="1">
      <alignment horizontal="right"/>
    </xf>
    <xf numFmtId="184" fontId="28" fillId="2" borderId="16" xfId="2" applyNumberFormat="1" applyFont="1" applyFill="1" applyBorder="1" applyAlignment="1">
      <alignment horizontal="right"/>
    </xf>
    <xf numFmtId="0" fontId="41" fillId="0" borderId="39" xfId="2" applyFont="1" applyBorder="1" applyAlignment="1">
      <alignment horizontal="right"/>
    </xf>
    <xf numFmtId="184" fontId="8" fillId="0" borderId="4" xfId="2" applyNumberFormat="1" applyFont="1" applyBorder="1" applyAlignment="1">
      <alignment horizontal="right"/>
    </xf>
    <xf numFmtId="184" fontId="28" fillId="0" borderId="18" xfId="2" applyNumberFormat="1" applyFont="1" applyBorder="1" applyAlignment="1">
      <alignment horizontal="right"/>
    </xf>
    <xf numFmtId="1" fontId="28" fillId="0" borderId="45" xfId="2" applyNumberFormat="1" applyFont="1" applyBorder="1" applyAlignment="1">
      <alignment horizontal="right"/>
    </xf>
    <xf numFmtId="1" fontId="28" fillId="2" borderId="17" xfId="2" applyNumberFormat="1" applyFont="1" applyFill="1" applyBorder="1" applyAlignment="1">
      <alignment horizontal="right"/>
    </xf>
    <xf numFmtId="0" fontId="41" fillId="2" borderId="23" xfId="2" applyFont="1" applyFill="1" applyBorder="1" applyAlignment="1">
      <alignment horizontal="right"/>
    </xf>
    <xf numFmtId="184" fontId="8" fillId="0" borderId="67" xfId="2" applyNumberFormat="1" applyFont="1" applyBorder="1" applyAlignment="1">
      <alignment horizontal="right"/>
    </xf>
    <xf numFmtId="184" fontId="8" fillId="0" borderId="24" xfId="2" applyNumberFormat="1" applyFont="1" applyBorder="1" applyAlignment="1">
      <alignment horizontal="right"/>
    </xf>
    <xf numFmtId="1" fontId="41" fillId="2" borderId="0" xfId="2" applyNumberFormat="1" applyFont="1" applyFill="1" applyAlignment="1">
      <alignment horizontal="right"/>
    </xf>
    <xf numFmtId="3" fontId="8" fillId="0" borderId="67" xfId="2" applyNumberFormat="1" applyFont="1" applyBorder="1"/>
    <xf numFmtId="0" fontId="7" fillId="0" borderId="3" xfId="2" applyFont="1" applyBorder="1" applyProtection="1">
      <protection locked="0"/>
    </xf>
    <xf numFmtId="0" fontId="4" fillId="0" borderId="16" xfId="2" applyBorder="1" applyProtection="1">
      <protection locked="0"/>
    </xf>
    <xf numFmtId="169" fontId="0" fillId="0" borderId="16" xfId="2" applyNumberFormat="1" applyFont="1" applyBorder="1" applyProtection="1">
      <protection locked="0"/>
    </xf>
    <xf numFmtId="0" fontId="7" fillId="0" borderId="3" xfId="15" applyFont="1" applyBorder="1"/>
    <xf numFmtId="0" fontId="4" fillId="0" borderId="16" xfId="15" applyBorder="1"/>
    <xf numFmtId="2" fontId="8" fillId="0" borderId="16" xfId="40" applyNumberFormat="1" applyFont="1" applyBorder="1" applyAlignment="1">
      <alignment horizontal="right"/>
    </xf>
    <xf numFmtId="181" fontId="45" fillId="2" borderId="0" xfId="0" applyNumberFormat="1" applyFont="1" applyFill="1" applyAlignment="1">
      <alignment horizontal="right" vertical="center"/>
    </xf>
    <xf numFmtId="181" fontId="45" fillId="2" borderId="22" xfId="0" applyNumberFormat="1" applyFont="1" applyFill="1" applyBorder="1" applyAlignment="1">
      <alignment horizontal="right" vertical="center"/>
    </xf>
    <xf numFmtId="181" fontId="11" fillId="2" borderId="0" xfId="0" applyNumberFormat="1" applyFont="1" applyFill="1"/>
    <xf numFmtId="1" fontId="11" fillId="0" borderId="41" xfId="2" applyNumberFormat="1" applyFont="1" applyBorder="1" applyProtection="1">
      <protection locked="0"/>
    </xf>
    <xf numFmtId="0" fontId="8" fillId="0" borderId="48" xfId="2" applyFont="1" applyBorder="1" applyAlignment="1">
      <alignment horizontal="center" vertical="top" wrapText="1"/>
    </xf>
    <xf numFmtId="1" fontId="11" fillId="0" borderId="43" xfId="2" applyNumberFormat="1" applyFont="1" applyBorder="1" applyProtection="1">
      <protection locked="0"/>
    </xf>
    <xf numFmtId="0" fontId="8" fillId="0" borderId="39" xfId="2" applyFont="1" applyBorder="1" applyAlignment="1">
      <alignment horizontal="center" vertical="top" wrapText="1"/>
    </xf>
    <xf numFmtId="0" fontId="8" fillId="0" borderId="22" xfId="2" applyFont="1" applyBorder="1" applyAlignment="1">
      <alignment horizontal="justify"/>
    </xf>
    <xf numFmtId="3" fontId="11" fillId="0" borderId="0" xfId="2" applyNumberFormat="1" applyFont="1" applyProtection="1">
      <protection locked="0"/>
    </xf>
    <xf numFmtId="2" fontId="11" fillId="0" borderId="22" xfId="2" applyNumberFormat="1" applyFont="1" applyBorder="1" applyProtection="1">
      <protection locked="0"/>
    </xf>
    <xf numFmtId="2" fontId="11" fillId="0" borderId="0" xfId="2" applyNumberFormat="1" applyFont="1" applyProtection="1">
      <protection locked="0"/>
    </xf>
    <xf numFmtId="3" fontId="11" fillId="0" borderId="22" xfId="2" applyNumberFormat="1" applyFont="1" applyBorder="1" applyProtection="1">
      <protection locked="0"/>
    </xf>
    <xf numFmtId="1" fontId="11" fillId="0" borderId="42" xfId="2" applyNumberFormat="1" applyFont="1" applyBorder="1" applyProtection="1">
      <protection locked="0"/>
    </xf>
    <xf numFmtId="0" fontId="8" fillId="0" borderId="51" xfId="2" applyFont="1" applyBorder="1" applyAlignment="1">
      <alignment horizontal="center" vertical="top"/>
    </xf>
    <xf numFmtId="0" fontId="8" fillId="0" borderId="51" xfId="2" applyFont="1" applyBorder="1" applyAlignment="1">
      <alignment horizontal="left" vertical="top"/>
    </xf>
    <xf numFmtId="0" fontId="4" fillId="2" borderId="23" xfId="2" quotePrefix="1" applyFill="1" applyBorder="1" applyAlignment="1">
      <alignment horizontal="center" vertical="top" wrapText="1"/>
    </xf>
    <xf numFmtId="0" fontId="1" fillId="6" borderId="0" xfId="2" applyFont="1" applyFill="1"/>
    <xf numFmtId="0" fontId="4" fillId="2" borderId="0" xfId="3" applyFill="1" applyAlignment="1">
      <alignment horizontal="left" vertical="top" wrapText="1"/>
    </xf>
    <xf numFmtId="171" fontId="7" fillId="0" borderId="105" xfId="4" quotePrefix="1" applyNumberFormat="1" applyFont="1" applyBorder="1" applyAlignment="1">
      <alignment horizontal="right"/>
    </xf>
    <xf numFmtId="166" fontId="7" fillId="2" borderId="105" xfId="4" quotePrefix="1" applyFont="1" applyFill="1" applyBorder="1" applyAlignment="1">
      <alignment horizontal="right"/>
    </xf>
    <xf numFmtId="1" fontId="7" fillId="2" borderId="105" xfId="4" quotePrefix="1" applyNumberFormat="1" applyFont="1" applyFill="1" applyBorder="1" applyAlignment="1">
      <alignment horizontal="right"/>
    </xf>
    <xf numFmtId="1" fontId="7" fillId="0" borderId="105" xfId="4" quotePrefix="1" applyNumberFormat="1" applyFont="1" applyBorder="1" applyAlignment="1">
      <alignment horizontal="right"/>
    </xf>
    <xf numFmtId="166" fontId="10" fillId="0" borderId="3" xfId="4" quotePrefix="1" applyFont="1" applyBorder="1" applyAlignment="1" applyProtection="1">
      <alignment horizontal="right"/>
      <protection locked="0"/>
    </xf>
    <xf numFmtId="166" fontId="7" fillId="0" borderId="105" xfId="4" quotePrefix="1" applyFont="1" applyBorder="1" applyAlignment="1">
      <alignment horizontal="right"/>
    </xf>
    <xf numFmtId="0" fontId="1" fillId="0" borderId="105" xfId="2" applyFont="1" applyBorder="1" applyAlignment="1">
      <alignment horizontal="center" vertical="top"/>
    </xf>
    <xf numFmtId="171" fontId="41" fillId="2" borderId="105" xfId="6" applyNumberFormat="1" applyFont="1" applyFill="1" applyBorder="1" applyAlignment="1">
      <alignment horizontal="right"/>
    </xf>
    <xf numFmtId="49" fontId="41" fillId="2" borderId="105" xfId="6" applyNumberFormat="1" applyFont="1" applyFill="1" applyBorder="1" applyAlignment="1">
      <alignment horizontal="right"/>
    </xf>
    <xf numFmtId="0" fontId="8" fillId="2" borderId="105" xfId="2" applyFont="1" applyFill="1" applyBorder="1"/>
    <xf numFmtId="0" fontId="7" fillId="2" borderId="105" xfId="2" applyFont="1" applyFill="1" applyBorder="1" applyAlignment="1">
      <alignment horizontal="right"/>
    </xf>
    <xf numFmtId="0" fontId="7" fillId="13" borderId="0" xfId="3" applyFont="1" applyFill="1" applyAlignment="1" applyProtection="1">
      <alignment horizontal="left"/>
      <protection locked="0"/>
    </xf>
    <xf numFmtId="0" fontId="15" fillId="13" borderId="0" xfId="3" applyFont="1" applyFill="1" applyAlignment="1" applyProtection="1">
      <alignment horizontal="left"/>
      <protection locked="0"/>
    </xf>
    <xf numFmtId="0" fontId="4" fillId="13" borderId="0" xfId="3" applyFill="1" applyAlignment="1" applyProtection="1">
      <alignment horizontal="left"/>
      <protection locked="0"/>
    </xf>
    <xf numFmtId="165" fontId="4" fillId="13" borderId="0" xfId="3" applyNumberFormat="1" applyFill="1" applyProtection="1">
      <protection locked="0"/>
    </xf>
    <xf numFmtId="165" fontId="8" fillId="13" borderId="0" xfId="3" applyNumberFormat="1" applyFont="1" applyFill="1" applyProtection="1">
      <protection locked="0"/>
    </xf>
    <xf numFmtId="0" fontId="1" fillId="13" borderId="0" xfId="3" applyFont="1" applyFill="1" applyProtection="1">
      <protection locked="0"/>
    </xf>
    <xf numFmtId="0" fontId="7" fillId="13" borderId="4" xfId="3" applyFont="1" applyFill="1" applyBorder="1" applyAlignment="1" applyProtection="1">
      <alignment horizontal="left"/>
      <protection locked="0"/>
    </xf>
    <xf numFmtId="0" fontId="7" fillId="13" borderId="2" xfId="3" applyFont="1" applyFill="1" applyBorder="1" applyAlignment="1" applyProtection="1">
      <alignment horizontal="left"/>
      <protection locked="0"/>
    </xf>
    <xf numFmtId="0" fontId="7" fillId="13" borderId="2" xfId="3" applyFont="1" applyFill="1" applyBorder="1" applyAlignment="1" applyProtection="1">
      <alignment horizontal="right"/>
      <protection locked="0"/>
    </xf>
    <xf numFmtId="1" fontId="7" fillId="13" borderId="2" xfId="3" applyNumberFormat="1" applyFont="1" applyFill="1" applyBorder="1" applyProtection="1">
      <protection locked="0"/>
    </xf>
    <xf numFmtId="1" fontId="7" fillId="13" borderId="3" xfId="3" applyNumberFormat="1" applyFont="1" applyFill="1" applyBorder="1" applyProtection="1">
      <protection locked="0"/>
    </xf>
    <xf numFmtId="0" fontId="8" fillId="13" borderId="5" xfId="3" applyFont="1" applyFill="1" applyBorder="1" applyAlignment="1" applyProtection="1">
      <alignment horizontal="left"/>
      <protection locked="0"/>
    </xf>
    <xf numFmtId="0" fontId="8" fillId="13" borderId="6" xfId="3" applyFont="1" applyFill="1" applyBorder="1" applyAlignment="1" applyProtection="1">
      <alignment horizontal="left"/>
      <protection locked="0"/>
    </xf>
    <xf numFmtId="1" fontId="8" fillId="13" borderId="6" xfId="3" applyNumberFormat="1" applyFont="1" applyFill="1" applyBorder="1" applyAlignment="1" applyProtection="1">
      <alignment horizontal="right"/>
      <protection locked="0"/>
    </xf>
    <xf numFmtId="1" fontId="8" fillId="13" borderId="2" xfId="3" applyNumberFormat="1" applyFont="1" applyFill="1" applyBorder="1" applyAlignment="1" applyProtection="1">
      <alignment horizontal="right"/>
      <protection locked="0"/>
    </xf>
    <xf numFmtId="165" fontId="8" fillId="13" borderId="6" xfId="3" applyNumberFormat="1" applyFont="1" applyFill="1" applyBorder="1" applyProtection="1">
      <protection locked="0"/>
    </xf>
    <xf numFmtId="1" fontId="8" fillId="13" borderId="17" xfId="3" applyNumberFormat="1" applyFont="1" applyFill="1" applyBorder="1" applyProtection="1">
      <protection locked="0"/>
    </xf>
    <xf numFmtId="0" fontId="8" fillId="13" borderId="0" xfId="3" applyFont="1" applyFill="1" applyAlignment="1" applyProtection="1">
      <alignment horizontal="left"/>
      <protection locked="0"/>
    </xf>
    <xf numFmtId="1" fontId="8" fillId="13" borderId="0" xfId="3" applyNumberFormat="1" applyFont="1" applyFill="1" applyAlignment="1" applyProtection="1">
      <alignment horizontal="right"/>
      <protection locked="0"/>
    </xf>
    <xf numFmtId="0" fontId="11" fillId="13" borderId="4" xfId="0" applyFont="1" applyFill="1" applyBorder="1" applyAlignment="1">
      <alignment vertical="center"/>
    </xf>
    <xf numFmtId="0" fontId="14" fillId="13" borderId="20" xfId="0" applyFont="1" applyFill="1" applyBorder="1" applyAlignment="1">
      <alignment horizontal="right" vertical="center" wrapText="1"/>
    </xf>
    <xf numFmtId="0" fontId="14" fillId="13" borderId="20" xfId="0" applyFont="1" applyFill="1" applyBorder="1" applyAlignment="1">
      <alignment horizontal="right" vertical="center"/>
    </xf>
    <xf numFmtId="0" fontId="7" fillId="13" borderId="20" xfId="3" applyFont="1" applyFill="1" applyBorder="1" applyProtection="1">
      <protection locked="0"/>
    </xf>
    <xf numFmtId="0" fontId="7" fillId="13" borderId="21" xfId="3" applyFont="1" applyFill="1" applyBorder="1" applyProtection="1">
      <protection locked="0"/>
    </xf>
    <xf numFmtId="0" fontId="7" fillId="13" borderId="0" xfId="3" applyFont="1" applyFill="1" applyProtection="1">
      <protection locked="0"/>
    </xf>
    <xf numFmtId="0" fontId="11" fillId="13" borderId="15" xfId="0" applyFont="1" applyFill="1" applyBorder="1" applyAlignment="1">
      <alignment vertical="center"/>
    </xf>
    <xf numFmtId="0" fontId="11" fillId="13" borderId="0" xfId="0" applyFont="1" applyFill="1" applyAlignment="1">
      <alignment horizontal="right" vertical="center" wrapText="1"/>
    </xf>
    <xf numFmtId="10" fontId="11" fillId="13" borderId="0" xfId="0" applyNumberFormat="1" applyFont="1" applyFill="1" applyAlignment="1">
      <alignment horizontal="right" vertical="center"/>
    </xf>
    <xf numFmtId="0" fontId="45" fillId="13" borderId="0" xfId="0" applyFont="1" applyFill="1" applyAlignment="1">
      <alignment horizontal="right" vertical="center"/>
    </xf>
    <xf numFmtId="10" fontId="45" fillId="13" borderId="0" xfId="0" applyNumberFormat="1" applyFont="1" applyFill="1" applyAlignment="1">
      <alignment horizontal="right" vertical="center"/>
    </xf>
    <xf numFmtId="0" fontId="11" fillId="13" borderId="0" xfId="3" applyFont="1" applyFill="1" applyProtection="1">
      <protection locked="0"/>
    </xf>
    <xf numFmtId="165" fontId="8" fillId="13" borderId="16" xfId="3" applyNumberFormat="1" applyFont="1" applyFill="1" applyBorder="1" applyProtection="1">
      <protection locked="0"/>
    </xf>
    <xf numFmtId="0" fontId="46" fillId="13" borderId="0" xfId="0" applyFont="1" applyFill="1" applyAlignment="1">
      <alignment horizontal="right" vertical="center" wrapText="1"/>
    </xf>
    <xf numFmtId="0" fontId="11" fillId="13" borderId="5" xfId="0" applyFont="1" applyFill="1" applyBorder="1" applyAlignment="1">
      <alignment vertical="center"/>
    </xf>
    <xf numFmtId="0" fontId="46" fillId="13" borderId="6" xfId="0" applyFont="1" applyFill="1" applyBorder="1" applyAlignment="1">
      <alignment horizontal="right" vertical="center" wrapText="1"/>
    </xf>
    <xf numFmtId="0" fontId="11" fillId="13" borderId="6" xfId="0" applyFont="1" applyFill="1" applyBorder="1" applyAlignment="1">
      <alignment horizontal="right" vertical="center"/>
    </xf>
    <xf numFmtId="0" fontId="45" fillId="13" borderId="6" xfId="0" applyFont="1" applyFill="1" applyBorder="1" applyAlignment="1">
      <alignment horizontal="right" vertical="center"/>
    </xf>
    <xf numFmtId="10" fontId="45" fillId="13" borderId="6" xfId="0" applyNumberFormat="1" applyFont="1" applyFill="1" applyBorder="1" applyAlignment="1">
      <alignment horizontal="right" vertical="center"/>
    </xf>
    <xf numFmtId="0" fontId="11" fillId="13" borderId="6" xfId="3" applyFont="1" applyFill="1" applyBorder="1" applyProtection="1">
      <protection locked="0"/>
    </xf>
    <xf numFmtId="165" fontId="8" fillId="13" borderId="17" xfId="3" applyNumberFormat="1" applyFont="1" applyFill="1" applyBorder="1" applyProtection="1">
      <protection locked="0"/>
    </xf>
    <xf numFmtId="0" fontId="11" fillId="13" borderId="0" xfId="0" applyFont="1" applyFill="1" applyAlignment="1">
      <alignment vertical="center"/>
    </xf>
    <xf numFmtId="0" fontId="11" fillId="13" borderId="0" xfId="0" applyFont="1" applyFill="1" applyAlignment="1">
      <alignment horizontal="right" vertical="center"/>
    </xf>
    <xf numFmtId="0" fontId="11" fillId="13" borderId="20" xfId="0" applyFont="1" applyFill="1" applyBorder="1" applyAlignment="1">
      <alignment horizontal="right" vertical="center" wrapText="1"/>
    </xf>
    <xf numFmtId="10" fontId="11" fillId="13" borderId="20" xfId="0" applyNumberFormat="1" applyFont="1" applyFill="1" applyBorder="1" applyAlignment="1">
      <alignment horizontal="right" vertical="center"/>
    </xf>
    <xf numFmtId="10" fontId="8" fillId="13" borderId="20" xfId="11" applyNumberFormat="1" applyFont="1" applyFill="1" applyBorder="1">
      <protection locked="0"/>
    </xf>
    <xf numFmtId="10" fontId="45" fillId="13" borderId="20" xfId="1" applyNumberFormat="1" applyFont="1" applyFill="1" applyBorder="1" applyAlignment="1">
      <alignment horizontal="right" vertical="center"/>
    </xf>
    <xf numFmtId="10" fontId="45" fillId="13" borderId="20" xfId="0" applyNumberFormat="1" applyFont="1" applyFill="1" applyBorder="1" applyAlignment="1">
      <alignment horizontal="right" vertical="center"/>
    </xf>
    <xf numFmtId="10" fontId="11" fillId="13" borderId="20" xfId="1" applyNumberFormat="1" applyFont="1" applyFill="1" applyBorder="1" applyProtection="1">
      <protection locked="0"/>
    </xf>
    <xf numFmtId="10" fontId="8" fillId="13" borderId="20" xfId="1" applyNumberFormat="1" applyFont="1" applyFill="1" applyBorder="1" applyAlignment="1" applyProtection="1">
      <alignment horizontal="right"/>
      <protection locked="0"/>
    </xf>
    <xf numFmtId="10" fontId="45" fillId="13" borderId="20" xfId="0" applyNumberFormat="1" applyFont="1" applyFill="1" applyBorder="1" applyAlignment="1">
      <alignment horizontal="right"/>
    </xf>
    <xf numFmtId="180" fontId="8" fillId="13" borderId="20" xfId="12" applyNumberFormat="1" applyFont="1" applyFill="1" applyBorder="1" applyAlignment="1">
      <alignment horizontal="right"/>
      <protection locked="0"/>
    </xf>
    <xf numFmtId="180" fontId="8" fillId="13" borderId="20" xfId="12" applyNumberFormat="1" applyFont="1" applyFill="1" applyBorder="1">
      <protection locked="0"/>
    </xf>
    <xf numFmtId="10" fontId="8" fillId="13" borderId="20" xfId="1" applyNumberFormat="1" applyFont="1" applyFill="1" applyBorder="1" applyProtection="1">
      <protection locked="0"/>
    </xf>
    <xf numFmtId="10" fontId="8" fillId="13" borderId="21" xfId="1" applyNumberFormat="1" applyFont="1" applyFill="1" applyBorder="1" applyProtection="1">
      <protection locked="0"/>
    </xf>
    <xf numFmtId="10" fontId="8" fillId="13" borderId="0" xfId="1" applyNumberFormat="1" applyFont="1" applyFill="1" applyBorder="1" applyProtection="1">
      <protection locked="0"/>
    </xf>
    <xf numFmtId="180" fontId="8" fillId="13" borderId="0" xfId="12" applyNumberFormat="1" applyFont="1" applyFill="1">
      <protection locked="0"/>
    </xf>
    <xf numFmtId="10" fontId="8" fillId="13" borderId="0" xfId="0" applyNumberFormat="1" applyFont="1" applyFill="1" applyAlignment="1">
      <alignment horizontal="right" vertical="center"/>
    </xf>
    <xf numFmtId="10" fontId="45" fillId="13" borderId="16" xfId="0" applyNumberFormat="1" applyFont="1" applyFill="1" applyBorder="1" applyAlignment="1">
      <alignment horizontal="right" vertical="center"/>
    </xf>
    <xf numFmtId="10" fontId="8" fillId="13" borderId="0" xfId="1" applyNumberFormat="1" applyFont="1" applyFill="1" applyProtection="1">
      <protection locked="0"/>
    </xf>
    <xf numFmtId="10" fontId="45" fillId="13" borderId="0" xfId="1" applyNumberFormat="1" applyFont="1" applyFill="1" applyBorder="1" applyAlignment="1">
      <alignment horizontal="right" vertical="center"/>
    </xf>
    <xf numFmtId="10" fontId="11" fillId="13" borderId="0" xfId="1" applyNumberFormat="1" applyFont="1" applyFill="1" applyBorder="1" applyProtection="1">
      <protection locked="0"/>
    </xf>
    <xf numFmtId="10" fontId="8" fillId="13" borderId="0" xfId="1" applyNumberFormat="1" applyFont="1" applyFill="1" applyBorder="1" applyAlignment="1" applyProtection="1">
      <alignment horizontal="right"/>
      <protection locked="0"/>
    </xf>
    <xf numFmtId="10" fontId="8" fillId="13" borderId="16" xfId="1" applyNumberFormat="1" applyFont="1" applyFill="1" applyBorder="1" applyProtection="1">
      <protection locked="0"/>
    </xf>
    <xf numFmtId="10" fontId="45" fillId="13" borderId="6" xfId="1" applyNumberFormat="1" applyFont="1" applyFill="1" applyBorder="1" applyAlignment="1">
      <alignment horizontal="right" vertical="center"/>
    </xf>
    <xf numFmtId="10" fontId="45" fillId="13" borderId="17" xfId="0" applyNumberFormat="1" applyFont="1" applyFill="1" applyBorder="1" applyAlignment="1">
      <alignment horizontal="right" vertical="center"/>
    </xf>
    <xf numFmtId="173" fontId="8" fillId="2" borderId="0" xfId="18" applyNumberFormat="1" applyFont="1" applyFill="1" applyBorder="1"/>
    <xf numFmtId="0" fontId="3" fillId="14" borderId="0" xfId="0" applyFont="1" applyFill="1"/>
    <xf numFmtId="1" fontId="7" fillId="0" borderId="0" xfId="15" applyNumberFormat="1" applyFont="1" applyAlignment="1">
      <alignment horizontal="center"/>
    </xf>
    <xf numFmtId="167" fontId="8" fillId="0" borderId="0" xfId="19" applyNumberFormat="1" applyFont="1" applyAlignment="1">
      <alignment horizontal="right"/>
    </xf>
    <xf numFmtId="167" fontId="7" fillId="0" borderId="0" xfId="19" applyNumberFormat="1" applyFont="1" applyAlignment="1">
      <alignment horizontal="right"/>
    </xf>
    <xf numFmtId="1" fontId="7" fillId="0" borderId="0" xfId="15" applyNumberFormat="1" applyFont="1" applyAlignment="1">
      <alignment horizontal="right"/>
    </xf>
    <xf numFmtId="0" fontId="173" fillId="2" borderId="23" xfId="0" applyFont="1" applyFill="1" applyBorder="1" applyAlignment="1">
      <alignment vertical="center"/>
    </xf>
    <xf numFmtId="0" fontId="172" fillId="2" borderId="23" xfId="0" applyFont="1" applyFill="1" applyBorder="1" applyAlignment="1">
      <alignment vertical="top"/>
    </xf>
    <xf numFmtId="0" fontId="174" fillId="2" borderId="23" xfId="0" applyFont="1" applyFill="1" applyBorder="1" applyAlignment="1">
      <alignment vertical="center"/>
    </xf>
    <xf numFmtId="0" fontId="173" fillId="2" borderId="23" xfId="0" applyFont="1" applyFill="1" applyBorder="1" applyAlignment="1">
      <alignment vertical="center" wrapText="1"/>
    </xf>
    <xf numFmtId="0" fontId="172" fillId="2" borderId="23" xfId="0" applyFont="1" applyFill="1" applyBorder="1" applyAlignment="1">
      <alignment vertical="top" wrapText="1"/>
    </xf>
    <xf numFmtId="0" fontId="174" fillId="2" borderId="23" xfId="0" applyFont="1" applyFill="1" applyBorder="1" applyAlignment="1">
      <alignment vertical="center" wrapText="1"/>
    </xf>
    <xf numFmtId="0" fontId="173" fillId="2" borderId="23" xfId="0" applyFont="1" applyFill="1" applyBorder="1" applyAlignment="1">
      <alignment horizontal="left" vertical="top"/>
    </xf>
    <xf numFmtId="10" fontId="31" fillId="0" borderId="0" xfId="1" applyNumberFormat="1" applyFont="1" applyFill="1" applyBorder="1" applyAlignment="1">
      <alignment horizontal="center" vertical="center" wrapText="1"/>
    </xf>
    <xf numFmtId="9" fontId="151" fillId="0" borderId="0" xfId="1" applyFont="1" applyBorder="1" applyAlignment="1" applyProtection="1">
      <protection locked="0"/>
    </xf>
    <xf numFmtId="0" fontId="14" fillId="0" borderId="0" xfId="0" applyFont="1"/>
    <xf numFmtId="0" fontId="4" fillId="0" borderId="23" xfId="3" applyBorder="1" applyAlignment="1">
      <alignment horizontal="left" vertical="top"/>
    </xf>
    <xf numFmtId="0" fontId="4" fillId="0" borderId="23" xfId="3" applyBorder="1" applyAlignment="1">
      <alignment horizontal="left" vertical="top" wrapText="1"/>
    </xf>
    <xf numFmtId="0" fontId="4" fillId="0" borderId="24" xfId="3" applyBorder="1" applyAlignment="1">
      <alignment horizontal="left" vertical="top"/>
    </xf>
    <xf numFmtId="3" fontId="4" fillId="0" borderId="24" xfId="3" applyNumberFormat="1" applyBorder="1" applyAlignment="1">
      <alignment horizontal="left" vertical="top"/>
    </xf>
    <xf numFmtId="0" fontId="4" fillId="0" borderId="113" xfId="3" applyBorder="1" applyAlignment="1">
      <alignment horizontal="left" vertical="top"/>
    </xf>
    <xf numFmtId="0" fontId="4" fillId="0" borderId="114" xfId="3" applyBorder="1" applyAlignment="1">
      <alignment horizontal="left" vertical="top" wrapText="1"/>
    </xf>
    <xf numFmtId="0" fontId="4" fillId="0" borderId="115" xfId="3" applyBorder="1" applyAlignment="1">
      <alignment horizontal="left" vertical="top"/>
    </xf>
    <xf numFmtId="0" fontId="4" fillId="0" borderId="24" xfId="3" applyBorder="1" applyAlignment="1">
      <alignment horizontal="left" vertical="top" wrapText="1"/>
    </xf>
    <xf numFmtId="0" fontId="4" fillId="0" borderId="36" xfId="3" applyBorder="1" applyAlignment="1">
      <alignment horizontal="left" vertical="top" wrapText="1"/>
    </xf>
    <xf numFmtId="0" fontId="1" fillId="0" borderId="36" xfId="2" applyFont="1" applyBorder="1" applyProtection="1">
      <protection locked="0"/>
    </xf>
    <xf numFmtId="0" fontId="4" fillId="0" borderId="36" xfId="3" applyBorder="1" applyAlignment="1">
      <alignment horizontal="left" vertical="top"/>
    </xf>
    <xf numFmtId="0" fontId="4" fillId="0" borderId="37" xfId="3" applyBorder="1" applyAlignment="1">
      <alignment horizontal="left" vertical="top"/>
    </xf>
    <xf numFmtId="1" fontId="11" fillId="0" borderId="46" xfId="2" applyNumberFormat="1" applyFont="1" applyBorder="1"/>
    <xf numFmtId="1" fontId="11" fillId="0" borderId="16" xfId="2" applyNumberFormat="1" applyFont="1" applyBorder="1"/>
    <xf numFmtId="165" fontId="8" fillId="0" borderId="45" xfId="2" applyNumberFormat="1" applyFont="1" applyBorder="1"/>
    <xf numFmtId="165" fontId="8" fillId="0" borderId="18" xfId="2" applyNumberFormat="1" applyFont="1" applyBorder="1" applyAlignment="1">
      <alignment horizontal="right"/>
    </xf>
    <xf numFmtId="165" fontId="8" fillId="0" borderId="45" xfId="2" applyNumberFormat="1" applyFont="1" applyBorder="1" applyAlignment="1">
      <alignment horizontal="right"/>
    </xf>
    <xf numFmtId="165" fontId="8" fillId="0" borderId="48" xfId="2" applyNumberFormat="1" applyFont="1" applyBorder="1"/>
    <xf numFmtId="165" fontId="8" fillId="0" borderId="43" xfId="2" applyNumberFormat="1" applyFont="1" applyBorder="1"/>
    <xf numFmtId="165" fontId="8" fillId="0" borderId="46" xfId="2" applyNumberFormat="1" applyFont="1" applyBorder="1"/>
    <xf numFmtId="165" fontId="11" fillId="2" borderId="23" xfId="0" applyNumberFormat="1" applyFont="1" applyFill="1" applyBorder="1" applyAlignment="1">
      <alignment horizontal="center"/>
    </xf>
    <xf numFmtId="165" fontId="11" fillId="0" borderId="23" xfId="0" applyNumberFormat="1" applyFont="1" applyBorder="1" applyAlignment="1">
      <alignment horizontal="center"/>
    </xf>
    <xf numFmtId="2" fontId="11" fillId="0" borderId="23" xfId="0" applyNumberFormat="1" applyFont="1" applyBorder="1" applyAlignment="1">
      <alignment horizontal="right"/>
    </xf>
    <xf numFmtId="0" fontId="5" fillId="0" borderId="0" xfId="2" applyFont="1" applyAlignment="1">
      <alignment horizontal="center" vertical="top" wrapText="1"/>
    </xf>
    <xf numFmtId="0" fontId="20" fillId="0" borderId="0" xfId="2" applyFont="1"/>
    <xf numFmtId="0" fontId="80" fillId="0" borderId="0" xfId="2" applyFont="1" applyAlignment="1">
      <alignment wrapText="1"/>
    </xf>
    <xf numFmtId="0" fontId="22" fillId="0" borderId="0" xfId="2" applyFont="1" applyAlignment="1">
      <alignment wrapText="1"/>
    </xf>
    <xf numFmtId="49" fontId="5" fillId="0" borderId="0" xfId="2" applyNumberFormat="1" applyFont="1" applyAlignment="1">
      <alignment vertical="top"/>
    </xf>
    <xf numFmtId="49" fontId="0" fillId="0" borderId="0" xfId="2" applyNumberFormat="1" applyFont="1" applyAlignment="1">
      <alignment vertical="top" wrapText="1"/>
    </xf>
    <xf numFmtId="49" fontId="0" fillId="0" borderId="0" xfId="2" applyNumberFormat="1" applyFont="1" applyAlignment="1">
      <alignment vertical="top"/>
    </xf>
    <xf numFmtId="49" fontId="0" fillId="0" borderId="0" xfId="2" applyNumberFormat="1" applyFont="1"/>
    <xf numFmtId="0" fontId="148" fillId="0" borderId="0" xfId="2" applyFont="1" applyAlignment="1">
      <alignment vertical="top"/>
    </xf>
    <xf numFmtId="3" fontId="11" fillId="0" borderId="41" xfId="0" applyNumberFormat="1" applyFont="1" applyBorder="1"/>
    <xf numFmtId="3" fontId="11" fillId="0" borderId="42" xfId="0" applyNumberFormat="1" applyFont="1" applyBorder="1"/>
    <xf numFmtId="3" fontId="0" fillId="0" borderId="0" xfId="2" applyNumberFormat="1" applyFont="1"/>
    <xf numFmtId="0" fontId="52" fillId="0" borderId="0" xfId="2" applyFont="1" applyAlignment="1">
      <alignment vertical="top" wrapText="1"/>
    </xf>
    <xf numFmtId="0" fontId="154" fillId="0" borderId="0" xfId="2" applyFont="1" applyAlignment="1">
      <alignment vertical="top"/>
    </xf>
    <xf numFmtId="0" fontId="155" fillId="0" borderId="0" xfId="2" applyFont="1" applyAlignment="1">
      <alignment vertical="top" wrapText="1"/>
    </xf>
    <xf numFmtId="0" fontId="156" fillId="0" borderId="0" xfId="2" applyFont="1" applyAlignment="1">
      <alignment vertical="top"/>
    </xf>
    <xf numFmtId="0" fontId="52" fillId="0" borderId="0" xfId="2" applyFont="1" applyAlignment="1">
      <alignment horizontal="right" vertical="top" wrapText="1"/>
    </xf>
    <xf numFmtId="167" fontId="46" fillId="0" borderId="41" xfId="0" applyNumberFormat="1" applyFont="1" applyBorder="1"/>
    <xf numFmtId="0" fontId="155" fillId="0" borderId="0" xfId="2" applyFont="1"/>
    <xf numFmtId="0" fontId="5" fillId="0" borderId="0" xfId="2" applyFont="1" applyAlignment="1">
      <alignment vertical="center"/>
    </xf>
    <xf numFmtId="0" fontId="0" fillId="0" borderId="0" xfId="2" applyFont="1" applyAlignment="1">
      <alignment vertical="center" wrapText="1"/>
    </xf>
    <xf numFmtId="0" fontId="148" fillId="0" borderId="0" xfId="2" applyFont="1" applyAlignment="1">
      <alignment vertical="center"/>
    </xf>
    <xf numFmtId="0" fontId="8" fillId="0" borderId="6" xfId="2" applyFont="1" applyBorder="1" applyAlignment="1">
      <alignment vertical="center" wrapText="1"/>
    </xf>
    <xf numFmtId="184" fontId="8" fillId="0" borderId="44" xfId="2" applyNumberFormat="1" applyFont="1" applyBorder="1" applyAlignment="1">
      <alignment horizontal="right" vertical="center"/>
    </xf>
    <xf numFmtId="0" fontId="0" fillId="0" borderId="0" xfId="2" applyFont="1" applyAlignment="1">
      <alignment vertical="center"/>
    </xf>
    <xf numFmtId="3" fontId="8" fillId="0" borderId="0" xfId="3" applyNumberFormat="1" applyFont="1" applyAlignment="1">
      <alignment horizontal="right"/>
    </xf>
    <xf numFmtId="167" fontId="8" fillId="0" borderId="0" xfId="3" applyNumberFormat="1" applyFont="1" applyAlignment="1">
      <alignment horizontal="right"/>
    </xf>
    <xf numFmtId="0" fontId="31" fillId="0" borderId="0" xfId="2" applyFont="1" applyAlignment="1">
      <alignment vertical="top" wrapText="1"/>
    </xf>
    <xf numFmtId="0" fontId="80" fillId="0" borderId="0" xfId="2" applyFont="1" applyAlignment="1">
      <alignment vertical="top" wrapText="1"/>
    </xf>
    <xf numFmtId="0" fontId="7" fillId="0" borderId="105" xfId="2" applyFont="1" applyBorder="1"/>
    <xf numFmtId="0" fontId="7" fillId="2" borderId="18" xfId="2" applyFont="1" applyFill="1" applyBorder="1"/>
    <xf numFmtId="0" fontId="11" fillId="0" borderId="0" xfId="0" applyFont="1" applyAlignment="1">
      <alignment wrapText="1"/>
    </xf>
    <xf numFmtId="167" fontId="11" fillId="0" borderId="0" xfId="0" applyNumberFormat="1" applyFont="1" applyAlignment="1">
      <alignment vertical="top" wrapText="1"/>
    </xf>
    <xf numFmtId="167" fontId="11" fillId="3" borderId="0" xfId="0" applyNumberFormat="1" applyFont="1" applyFill="1" applyAlignment="1">
      <alignment vertical="top" wrapText="1"/>
    </xf>
    <xf numFmtId="170" fontId="0" fillId="0" borderId="0" xfId="2" applyNumberFormat="1" applyFont="1"/>
    <xf numFmtId="0" fontId="11" fillId="0" borderId="105" xfId="2" applyFont="1" applyBorder="1"/>
    <xf numFmtId="17" fontId="14" fillId="0" borderId="105" xfId="2" quotePrefix="1" applyNumberFormat="1" applyFont="1" applyBorder="1" applyAlignment="1">
      <alignment horizontal="right"/>
    </xf>
    <xf numFmtId="0" fontId="14" fillId="0" borderId="105" xfId="2" quotePrefix="1" applyFont="1" applyBorder="1" applyAlignment="1">
      <alignment horizontal="right"/>
    </xf>
    <xf numFmtId="170" fontId="14" fillId="0" borderId="105" xfId="2" quotePrefix="1" applyNumberFormat="1" applyFont="1" applyBorder="1" applyAlignment="1">
      <alignment horizontal="right"/>
    </xf>
    <xf numFmtId="0" fontId="14" fillId="0" borderId="105" xfId="2" applyFont="1" applyBorder="1" applyAlignment="1">
      <alignment horizontal="right"/>
    </xf>
    <xf numFmtId="3" fontId="11" fillId="0" borderId="0" xfId="2" applyNumberFormat="1" applyFont="1" applyAlignment="1">
      <alignment horizontal="right"/>
    </xf>
    <xf numFmtId="0" fontId="11" fillId="0" borderId="6" xfId="2" applyFont="1" applyBorder="1"/>
    <xf numFmtId="3" fontId="11" fillId="0" borderId="6" xfId="2" applyNumberFormat="1" applyFont="1" applyBorder="1" applyAlignment="1">
      <alignment horizontal="right"/>
    </xf>
    <xf numFmtId="0" fontId="80" fillId="0" borderId="0" xfId="2" applyFont="1" applyProtection="1">
      <protection locked="0"/>
    </xf>
    <xf numFmtId="0" fontId="7" fillId="2" borderId="38" xfId="2" applyFont="1" applyFill="1" applyBorder="1"/>
    <xf numFmtId="0" fontId="148" fillId="0" borderId="0" xfId="2" applyFont="1"/>
    <xf numFmtId="3" fontId="8" fillId="0" borderId="0" xfId="2" applyNumberFormat="1" applyFont="1" applyProtection="1">
      <protection locked="0"/>
    </xf>
    <xf numFmtId="0" fontId="20" fillId="0" borderId="0" xfId="2" applyFont="1" applyAlignment="1">
      <alignment wrapText="1"/>
    </xf>
    <xf numFmtId="0" fontId="151" fillId="0" borderId="0" xfId="2" applyFont="1" applyProtection="1">
      <protection locked="0"/>
    </xf>
    <xf numFmtId="184" fontId="80" fillId="0" borderId="0" xfId="2" applyNumberFormat="1" applyFont="1" applyAlignment="1">
      <alignment wrapText="1"/>
    </xf>
    <xf numFmtId="0" fontId="151" fillId="0" borderId="6" xfId="2" applyFont="1" applyBorder="1" applyProtection="1">
      <protection locked="0"/>
    </xf>
    <xf numFmtId="0" fontId="14" fillId="0" borderId="0" xfId="0" applyFont="1" applyAlignment="1">
      <alignment wrapText="1"/>
    </xf>
    <xf numFmtId="3" fontId="7" fillId="0" borderId="0" xfId="2" applyNumberFormat="1" applyFont="1" applyProtection="1">
      <protection locked="0"/>
    </xf>
    <xf numFmtId="3" fontId="14" fillId="0" borderId="0" xfId="0" applyNumberFormat="1" applyFont="1" applyAlignment="1">
      <alignment wrapText="1"/>
    </xf>
    <xf numFmtId="3" fontId="7" fillId="2" borderId="0" xfId="2" applyNumberFormat="1" applyFont="1" applyFill="1" applyProtection="1">
      <protection locked="0"/>
    </xf>
    <xf numFmtId="0" fontId="153" fillId="0" borderId="0" xfId="2" applyFont="1" applyProtection="1">
      <protection locked="0"/>
    </xf>
    <xf numFmtId="184" fontId="151" fillId="0" borderId="0" xfId="2" applyNumberFormat="1" applyFont="1" applyProtection="1">
      <protection locked="0"/>
    </xf>
    <xf numFmtId="184" fontId="6" fillId="0" borderId="0" xfId="2" applyNumberFormat="1" applyFont="1" applyProtection="1">
      <protection locked="0"/>
    </xf>
    <xf numFmtId="0" fontId="152" fillId="27" borderId="0" xfId="2" applyFont="1" applyFill="1" applyProtection="1">
      <protection locked="0"/>
    </xf>
    <xf numFmtId="0" fontId="7" fillId="0" borderId="39" xfId="2" applyFont="1" applyBorder="1" applyAlignment="1">
      <alignment horizontal="right" wrapText="1"/>
    </xf>
    <xf numFmtId="0" fontId="7" fillId="0" borderId="2" xfId="2" applyFont="1" applyBorder="1" applyAlignment="1">
      <alignment horizontal="right" wrapText="1"/>
    </xf>
    <xf numFmtId="0" fontId="7" fillId="0" borderId="38" xfId="2" applyFont="1" applyBorder="1" applyAlignment="1">
      <alignment horizontal="right" wrapText="1"/>
    </xf>
    <xf numFmtId="0" fontId="147" fillId="0" borderId="0" xfId="2" applyFont="1" applyAlignment="1">
      <alignment horizontal="right" vertical="top"/>
    </xf>
    <xf numFmtId="0" fontId="148" fillId="0" borderId="0" xfId="2" applyFont="1" applyAlignment="1">
      <alignment horizontal="right"/>
    </xf>
    <xf numFmtId="0" fontId="31" fillId="0" borderId="0" xfId="2" applyFont="1" applyAlignment="1">
      <alignment horizontal="center" vertical="center" wrapText="1"/>
    </xf>
    <xf numFmtId="184" fontId="8" fillId="0" borderId="18" xfId="2" applyNumberFormat="1" applyFont="1" applyBorder="1" applyAlignment="1">
      <alignment wrapText="1"/>
    </xf>
    <xf numFmtId="184" fontId="28" fillId="0" borderId="0" xfId="2" applyNumberFormat="1" applyFont="1"/>
    <xf numFmtId="3" fontId="31" fillId="0" borderId="0" xfId="2" applyNumberFormat="1" applyFont="1" applyAlignment="1">
      <alignment horizontal="center" vertical="center" wrapText="1"/>
    </xf>
    <xf numFmtId="0" fontId="8" fillId="0" borderId="18" xfId="2" applyFont="1" applyBorder="1" applyAlignment="1">
      <alignment wrapText="1"/>
    </xf>
    <xf numFmtId="0" fontId="8" fillId="0" borderId="15" xfId="2" applyFont="1" applyBorder="1" applyAlignment="1">
      <alignment horizontal="right" wrapText="1"/>
    </xf>
    <xf numFmtId="170" fontId="31" fillId="0" borderId="0" xfId="2" applyNumberFormat="1" applyFont="1" applyAlignment="1">
      <alignment horizontal="center" vertical="center" wrapText="1"/>
    </xf>
    <xf numFmtId="0" fontId="0" fillId="0" borderId="18" xfId="2" applyFont="1" applyBorder="1"/>
    <xf numFmtId="207" fontId="8" fillId="0" borderId="0" xfId="2" applyNumberFormat="1" applyFont="1"/>
    <xf numFmtId="184" fontId="8" fillId="0" borderId="18" xfId="2" applyNumberFormat="1" applyFont="1" applyBorder="1" applyAlignment="1">
      <alignment horizontal="right" wrapText="1"/>
    </xf>
    <xf numFmtId="0" fontId="8" fillId="0" borderId="27" xfId="2" applyFont="1" applyBorder="1" applyAlignment="1">
      <alignment horizontal="right" wrapText="1"/>
    </xf>
    <xf numFmtId="0" fontId="8" fillId="0" borderId="15" xfId="2" applyFont="1" applyBorder="1" applyAlignment="1">
      <alignment horizontal="left" vertical="top" wrapText="1"/>
    </xf>
    <xf numFmtId="0" fontId="8" fillId="0" borderId="15" xfId="2" applyFont="1" applyBorder="1" applyAlignment="1">
      <alignment vertical="top" wrapText="1"/>
    </xf>
    <xf numFmtId="0" fontId="0" fillId="0" borderId="18" xfId="2" applyFont="1" applyBorder="1" applyAlignment="1">
      <alignment wrapText="1"/>
    </xf>
    <xf numFmtId="0" fontId="0" fillId="0" borderId="5" xfId="2" applyFont="1" applyBorder="1" applyAlignment="1">
      <alignment wrapText="1"/>
    </xf>
    <xf numFmtId="0" fontId="0" fillId="0" borderId="45" xfId="2" applyFont="1" applyBorder="1" applyAlignment="1">
      <alignment wrapText="1"/>
    </xf>
    <xf numFmtId="17" fontId="7" fillId="0" borderId="38" xfId="2" quotePrefix="1" applyNumberFormat="1" applyFont="1" applyBorder="1" applyAlignment="1">
      <alignment horizontal="right" wrapText="1"/>
    </xf>
    <xf numFmtId="17" fontId="7" fillId="0" borderId="40" xfId="2" quotePrefix="1" applyNumberFormat="1" applyFont="1" applyBorder="1" applyAlignment="1">
      <alignment horizontal="right" wrapText="1"/>
    </xf>
    <xf numFmtId="0" fontId="8" fillId="0" borderId="5" xfId="2" applyFont="1" applyBorder="1" applyAlignment="1">
      <alignment horizontal="right" wrapText="1"/>
    </xf>
    <xf numFmtId="0" fontId="6" fillId="0" borderId="106" xfId="2" applyFont="1" applyBorder="1"/>
    <xf numFmtId="0" fontId="7" fillId="0" borderId="0" xfId="2" quotePrefix="1" applyFont="1" applyAlignment="1">
      <alignment horizontal="center" wrapText="1"/>
    </xf>
    <xf numFmtId="0" fontId="80" fillId="0" borderId="0" xfId="2" applyFont="1" applyAlignment="1">
      <alignment horizontal="left" vertical="top"/>
    </xf>
    <xf numFmtId="184" fontId="8" fillId="0" borderId="22" xfId="2" applyNumberFormat="1" applyFont="1" applyBorder="1"/>
    <xf numFmtId="0" fontId="6" fillId="0" borderId="0" xfId="2" applyFont="1" applyAlignment="1">
      <alignment horizontal="left" vertical="top"/>
    </xf>
    <xf numFmtId="0" fontId="6" fillId="0" borderId="0" xfId="2" applyFont="1" applyAlignment="1">
      <alignment horizontal="center" vertical="top"/>
    </xf>
    <xf numFmtId="0" fontId="8" fillId="0" borderId="59" xfId="2" applyFont="1" applyBorder="1"/>
    <xf numFmtId="0" fontId="6" fillId="0" borderId="0" xfId="2" applyFont="1" applyAlignment="1">
      <alignment horizontal="center"/>
    </xf>
    <xf numFmtId="0" fontId="150" fillId="0" borderId="0" xfId="2" applyFont="1" applyAlignment="1">
      <alignment horizontal="center"/>
    </xf>
    <xf numFmtId="3" fontId="8" fillId="0" borderId="0" xfId="25" applyNumberFormat="1" applyFont="1"/>
    <xf numFmtId="165" fontId="12" fillId="0" borderId="23" xfId="2" applyNumberFormat="1" applyFont="1" applyBorder="1"/>
    <xf numFmtId="17" fontId="32" fillId="0" borderId="23" xfId="2" applyNumberFormat="1" applyFont="1" applyBorder="1"/>
    <xf numFmtId="49" fontId="7" fillId="0" borderId="47" xfId="2" applyNumberFormat="1" applyFont="1" applyBorder="1" applyAlignment="1">
      <alignment horizontal="right"/>
    </xf>
    <xf numFmtId="184" fontId="7" fillId="0" borderId="6" xfId="2" applyNumberFormat="1" applyFont="1" applyBorder="1"/>
    <xf numFmtId="173" fontId="7" fillId="0" borderId="6" xfId="2" applyNumberFormat="1" applyFont="1" applyBorder="1"/>
    <xf numFmtId="190" fontId="7" fillId="0" borderId="38" xfId="2" applyNumberFormat="1" applyFont="1" applyBorder="1" applyAlignment="1">
      <alignment horizontal="right"/>
    </xf>
    <xf numFmtId="190" fontId="7" fillId="0" borderId="38" xfId="24" applyNumberFormat="1" applyFont="1" applyFill="1" applyBorder="1" applyAlignment="1">
      <alignment horizontal="right"/>
    </xf>
    <xf numFmtId="190" fontId="7" fillId="0" borderId="38" xfId="2" quotePrefix="1" applyNumberFormat="1" applyFont="1" applyBorder="1" applyAlignment="1">
      <alignment horizontal="right"/>
    </xf>
    <xf numFmtId="190" fontId="7" fillId="0" borderId="39" xfId="2" quotePrefix="1" applyNumberFormat="1" applyFont="1" applyBorder="1" applyAlignment="1">
      <alignment horizontal="right"/>
    </xf>
    <xf numFmtId="190" fontId="7" fillId="2" borderId="23" xfId="2" quotePrefix="1" applyNumberFormat="1" applyFont="1" applyFill="1" applyBorder="1" applyAlignment="1">
      <alignment horizontal="right"/>
    </xf>
    <xf numFmtId="187" fontId="7" fillId="0" borderId="41" xfId="2" applyNumberFormat="1" applyFont="1" applyBorder="1" applyAlignment="1">
      <alignment horizontal="right"/>
    </xf>
    <xf numFmtId="0" fontId="8" fillId="2" borderId="67" xfId="2" applyFont="1" applyFill="1" applyBorder="1"/>
    <xf numFmtId="173" fontId="8" fillId="2" borderId="41" xfId="7" applyNumberFormat="1" applyFont="1" applyFill="1" applyBorder="1"/>
    <xf numFmtId="169" fontId="8" fillId="2" borderId="41" xfId="7" applyNumberFormat="1" applyFont="1" applyFill="1" applyBorder="1"/>
    <xf numFmtId="169" fontId="8" fillId="2" borderId="23" xfId="7" applyNumberFormat="1" applyFont="1" applyFill="1" applyBorder="1"/>
    <xf numFmtId="9" fontId="8" fillId="0" borderId="0" xfId="1" applyFont="1" applyFill="1" applyBorder="1" applyAlignment="1">
      <alignment horizontal="right"/>
    </xf>
    <xf numFmtId="9" fontId="8" fillId="2" borderId="0" xfId="1" applyFont="1" applyFill="1" applyBorder="1" applyAlignment="1">
      <alignment horizontal="right"/>
    </xf>
    <xf numFmtId="9" fontId="12" fillId="0" borderId="0" xfId="1" applyFont="1" applyFill="1"/>
    <xf numFmtId="169" fontId="12" fillId="0" borderId="0" xfId="1" applyNumberFormat="1" applyFont="1" applyFill="1"/>
    <xf numFmtId="169" fontId="12" fillId="0" borderId="0" xfId="2" applyNumberFormat="1" applyFont="1"/>
    <xf numFmtId="2" fontId="12" fillId="0" borderId="0" xfId="1" applyNumberFormat="1" applyFont="1" applyFill="1"/>
    <xf numFmtId="184" fontId="12" fillId="0" borderId="0" xfId="1" applyNumberFormat="1" applyFont="1" applyFill="1"/>
    <xf numFmtId="210" fontId="12" fillId="0" borderId="0" xfId="2" applyNumberFormat="1" applyFont="1"/>
    <xf numFmtId="173" fontId="12" fillId="0" borderId="0" xfId="1" applyNumberFormat="1" applyFont="1" applyFill="1"/>
    <xf numFmtId="168" fontId="12" fillId="0" borderId="0" xfId="7" applyFont="1" applyFill="1"/>
    <xf numFmtId="2" fontId="12" fillId="0" borderId="0" xfId="2" applyNumberFormat="1" applyFont="1"/>
    <xf numFmtId="0" fontId="4" fillId="0" borderId="0" xfId="8"/>
    <xf numFmtId="0" fontId="4" fillId="3" borderId="0" xfId="2" applyFill="1" applyAlignment="1">
      <alignment horizontal="left" vertical="top" wrapText="1"/>
    </xf>
    <xf numFmtId="0" fontId="7" fillId="0" borderId="0" xfId="2" applyFont="1" applyAlignment="1">
      <alignment horizontal="center" wrapText="1"/>
    </xf>
    <xf numFmtId="0" fontId="120" fillId="0" borderId="0" xfId="2" applyFont="1" applyAlignment="1">
      <alignment horizontal="right" vertical="top" textRotation="90" wrapText="1"/>
    </xf>
    <xf numFmtId="0" fontId="26" fillId="0" borderId="6" xfId="2" applyFont="1" applyBorder="1"/>
    <xf numFmtId="0" fontId="26" fillId="0" borderId="6" xfId="2" applyFont="1" applyBorder="1" applyProtection="1">
      <protection locked="0"/>
    </xf>
    <xf numFmtId="49" fontId="7" fillId="0" borderId="2" xfId="4" applyNumberFormat="1" applyFont="1" applyBorder="1" applyAlignment="1">
      <alignment horizontal="right"/>
    </xf>
    <xf numFmtId="49" fontId="7" fillId="0" borderId="3" xfId="4" applyNumberFormat="1" applyFont="1" applyBorder="1" applyAlignment="1">
      <alignment horizontal="right"/>
    </xf>
    <xf numFmtId="0" fontId="28" fillId="0" borderId="6" xfId="0" applyFont="1" applyBorder="1"/>
    <xf numFmtId="165" fontId="28" fillId="0" borderId="6" xfId="0" applyNumberFormat="1" applyFont="1" applyBorder="1"/>
    <xf numFmtId="167" fontId="8" fillId="0" borderId="6" xfId="4" applyNumberFormat="1" applyFont="1" applyBorder="1"/>
    <xf numFmtId="167" fontId="8" fillId="0" borderId="17" xfId="4" applyNumberFormat="1" applyFont="1" applyBorder="1"/>
    <xf numFmtId="170" fontId="37" fillId="0" borderId="17" xfId="1" applyNumberFormat="1" applyFont="1" applyFill="1" applyBorder="1" applyAlignment="1">
      <alignment horizontal="center" wrapText="1"/>
    </xf>
    <xf numFmtId="173" fontId="99" fillId="0" borderId="0" xfId="43" applyNumberFormat="1" applyFont="1" applyFill="1" applyProtection="1">
      <protection locked="0"/>
    </xf>
    <xf numFmtId="185" fontId="47" fillId="2" borderId="0" xfId="2" applyNumberFormat="1" applyFont="1" applyFill="1" applyAlignment="1">
      <alignment horizontal="left"/>
    </xf>
    <xf numFmtId="0" fontId="175" fillId="2" borderId="0" xfId="2" applyFont="1" applyFill="1" applyProtection="1">
      <protection locked="0"/>
    </xf>
    <xf numFmtId="0" fontId="40" fillId="2" borderId="0" xfId="2" applyFont="1" applyFill="1" applyProtection="1">
      <protection locked="0"/>
    </xf>
    <xf numFmtId="0" fontId="40" fillId="0" borderId="6" xfId="2" applyFont="1" applyBorder="1" applyProtection="1">
      <protection locked="0"/>
    </xf>
    <xf numFmtId="0" fontId="25" fillId="0" borderId="6" xfId="2" applyFont="1" applyBorder="1" applyProtection="1">
      <protection locked="0"/>
    </xf>
    <xf numFmtId="0" fontId="25" fillId="0" borderId="6" xfId="2" applyFont="1" applyBorder="1" applyAlignment="1" applyProtection="1">
      <alignment horizontal="right"/>
      <protection locked="0"/>
    </xf>
    <xf numFmtId="0" fontId="99" fillId="0" borderId="6" xfId="2" applyFont="1" applyBorder="1" applyProtection="1">
      <protection locked="0"/>
    </xf>
    <xf numFmtId="173" fontId="99" fillId="0" borderId="0" xfId="43" applyNumberFormat="1" applyFont="1" applyProtection="1">
      <protection locked="0"/>
    </xf>
    <xf numFmtId="0" fontId="124" fillId="0" borderId="0" xfId="44" applyFont="1" applyAlignment="1">
      <alignment horizontal="center" wrapText="1"/>
    </xf>
    <xf numFmtId="0" fontId="124" fillId="0" borderId="105" xfId="44" applyFont="1" applyBorder="1" applyAlignment="1">
      <alignment horizontal="center" wrapText="1"/>
    </xf>
    <xf numFmtId="0" fontId="124" fillId="0" borderId="0" xfId="44" applyFont="1" applyAlignment="1">
      <alignment horizontal="right" wrapText="1"/>
    </xf>
    <xf numFmtId="0" fontId="124" fillId="2" borderId="16" xfId="44" applyFont="1" applyFill="1" applyBorder="1" applyAlignment="1">
      <alignment horizontal="center" wrapText="1"/>
    </xf>
    <xf numFmtId="0" fontId="126" fillId="0" borderId="0" xfId="44" applyFont="1" applyAlignment="1">
      <alignment horizontal="center" wrapText="1"/>
    </xf>
    <xf numFmtId="0" fontId="126" fillId="0" borderId="0" xfId="44" applyFont="1" applyAlignment="1">
      <alignment horizontal="right" wrapText="1"/>
    </xf>
    <xf numFmtId="0" fontId="126" fillId="2" borderId="0" xfId="44" applyFont="1" applyFill="1" applyAlignment="1">
      <alignment horizontal="right" wrapText="1"/>
    </xf>
    <xf numFmtId="0" fontId="37" fillId="0" borderId="0" xfId="45" applyNumberFormat="1" applyFont="1" applyFill="1" applyBorder="1" applyAlignment="1">
      <alignment horizontal="center" wrapText="1"/>
    </xf>
    <xf numFmtId="0" fontId="37" fillId="0" borderId="16" xfId="45" applyNumberFormat="1" applyFont="1" applyFill="1" applyBorder="1" applyAlignment="1">
      <alignment horizontal="center" wrapText="1"/>
    </xf>
    <xf numFmtId="0" fontId="126" fillId="0" borderId="6" xfId="44" applyFont="1" applyBorder="1" applyAlignment="1">
      <alignment horizontal="center" wrapText="1"/>
    </xf>
    <xf numFmtId="0" fontId="126" fillId="0" borderId="6" xfId="44" applyFont="1" applyBorder="1" applyAlignment="1">
      <alignment horizontal="right" wrapText="1"/>
    </xf>
    <xf numFmtId="0" fontId="126" fillId="2" borderId="6" xfId="44" applyFont="1" applyFill="1" applyBorder="1" applyAlignment="1">
      <alignment horizontal="right" wrapText="1"/>
    </xf>
    <xf numFmtId="0" fontId="37" fillId="0" borderId="6" xfId="45" applyNumberFormat="1" applyFont="1" applyFill="1" applyBorder="1" applyAlignment="1">
      <alignment horizontal="center" wrapText="1"/>
    </xf>
    <xf numFmtId="0" fontId="37" fillId="2" borderId="17" xfId="45" applyNumberFormat="1" applyFont="1" applyFill="1" applyBorder="1" applyAlignment="1" applyProtection="1">
      <alignment horizontal="center" wrapText="1"/>
    </xf>
    <xf numFmtId="0" fontId="127" fillId="0" borderId="0" xfId="44" applyFont="1" applyAlignment="1">
      <alignment wrapText="1"/>
    </xf>
    <xf numFmtId="0" fontId="127" fillId="0" borderId="0" xfId="44" applyFont="1" applyAlignment="1">
      <alignment horizontal="center" wrapText="1"/>
    </xf>
    <xf numFmtId="0" fontId="127" fillId="0" borderId="0" xfId="44" applyFont="1" applyAlignment="1">
      <alignment horizontal="right" wrapText="1"/>
    </xf>
    <xf numFmtId="170" fontId="127" fillId="0" borderId="0" xfId="45" applyNumberFormat="1" applyFont="1" applyBorder="1" applyAlignment="1">
      <alignment horizontal="center" wrapText="1"/>
    </xf>
    <xf numFmtId="185" fontId="15" fillId="0" borderId="0" xfId="2" applyNumberFormat="1" applyFont="1" applyAlignment="1">
      <alignment horizontal="center"/>
    </xf>
    <xf numFmtId="185" fontId="69" fillId="0" borderId="0" xfId="2" applyNumberFormat="1" applyFont="1" applyAlignment="1">
      <alignment horizontal="center" vertical="top"/>
    </xf>
    <xf numFmtId="185" fontId="69" fillId="2" borderId="0" xfId="2" applyNumberFormat="1" applyFont="1" applyFill="1" applyAlignment="1">
      <alignment horizontal="center" vertical="top"/>
    </xf>
    <xf numFmtId="0" fontId="40" fillId="0" borderId="0" xfId="2" applyFont="1" applyAlignment="1" applyProtection="1">
      <alignment horizontal="right"/>
      <protection locked="0"/>
    </xf>
    <xf numFmtId="0" fontId="4" fillId="2" borderId="105" xfId="44" applyFont="1" applyFill="1" applyBorder="1" applyAlignment="1">
      <alignment horizontal="left" vertical="top" wrapText="1"/>
    </xf>
    <xf numFmtId="0" fontId="4" fillId="0" borderId="105" xfId="2" applyBorder="1" applyProtection="1">
      <protection locked="0"/>
    </xf>
    <xf numFmtId="17" fontId="15" fillId="2" borderId="105" xfId="2" quotePrefix="1" applyNumberFormat="1" applyFont="1" applyFill="1" applyBorder="1" applyAlignment="1">
      <alignment horizontal="center" vertical="top" wrapText="1"/>
    </xf>
    <xf numFmtId="0" fontId="15" fillId="2" borderId="105" xfId="2" applyFont="1" applyFill="1" applyBorder="1" applyAlignment="1" applyProtection="1">
      <alignment horizontal="center" vertical="top" wrapText="1"/>
      <protection locked="0"/>
    </xf>
    <xf numFmtId="0" fontId="15" fillId="2" borderId="105" xfId="2" applyFont="1" applyFill="1" applyBorder="1" applyAlignment="1" applyProtection="1">
      <alignment horizontal="right" vertical="top" wrapText="1"/>
      <protection locked="0"/>
    </xf>
    <xf numFmtId="0" fontId="15" fillId="0" borderId="105" xfId="2" applyFont="1" applyBorder="1" applyAlignment="1" applyProtection="1">
      <alignment horizontal="right" vertical="top" wrapText="1"/>
      <protection locked="0"/>
    </xf>
    <xf numFmtId="201" fontId="126" fillId="0" borderId="0" xfId="44" applyNumberFormat="1" applyFont="1" applyAlignment="1">
      <alignment horizontal="center" wrapText="1"/>
    </xf>
    <xf numFmtId="0" fontId="126" fillId="0" borderId="17" xfId="44" applyFont="1" applyBorder="1" applyAlignment="1">
      <alignment horizontal="center" wrapText="1"/>
    </xf>
    <xf numFmtId="0" fontId="111" fillId="0" borderId="0" xfId="44" applyFont="1" applyAlignment="1">
      <alignment horizontal="left" wrapText="1"/>
    </xf>
    <xf numFmtId="0" fontId="124" fillId="0" borderId="105" xfId="44" applyFont="1" applyBorder="1" applyAlignment="1">
      <alignment horizontal="right" wrapText="1"/>
    </xf>
    <xf numFmtId="0" fontId="124" fillId="2" borderId="105" xfId="44" applyFont="1" applyFill="1" applyBorder="1" applyAlignment="1">
      <alignment horizontal="right" wrapText="1"/>
    </xf>
    <xf numFmtId="0" fontId="40" fillId="2" borderId="105" xfId="2" applyFont="1" applyFill="1" applyBorder="1" applyProtection="1">
      <protection locked="0"/>
    </xf>
    <xf numFmtId="0" fontId="131" fillId="2" borderId="105" xfId="2" applyFont="1" applyFill="1" applyBorder="1" applyProtection="1">
      <protection locked="0"/>
    </xf>
    <xf numFmtId="165" fontId="4" fillId="0" borderId="6" xfId="2" applyNumberFormat="1" applyBorder="1"/>
    <xf numFmtId="166" fontId="7" fillId="0" borderId="3" xfId="4" quotePrefix="1" applyFont="1" applyBorder="1" applyAlignment="1">
      <alignment horizontal="right"/>
    </xf>
    <xf numFmtId="165" fontId="28" fillId="0" borderId="17" xfId="2" applyNumberFormat="1" applyFont="1" applyBorder="1" applyProtection="1">
      <protection locked="0"/>
    </xf>
    <xf numFmtId="165" fontId="26" fillId="0" borderId="0" xfId="2" applyNumberFormat="1" applyFont="1" applyProtection="1">
      <protection locked="0"/>
    </xf>
    <xf numFmtId="0" fontId="7" fillId="0" borderId="0" xfId="0" applyFont="1"/>
    <xf numFmtId="3" fontId="11" fillId="0" borderId="16" xfId="2" applyNumberFormat="1" applyFont="1" applyBorder="1" applyAlignment="1">
      <alignment horizontal="right"/>
    </xf>
    <xf numFmtId="3" fontId="11" fillId="0" borderId="17" xfId="2" applyNumberFormat="1" applyFont="1" applyBorder="1" applyAlignment="1">
      <alignment horizontal="right"/>
    </xf>
    <xf numFmtId="17" fontId="7" fillId="0" borderId="105" xfId="2" quotePrefix="1" applyNumberFormat="1" applyFont="1" applyBorder="1" applyAlignment="1">
      <alignment horizontal="right"/>
    </xf>
    <xf numFmtId="184" fontId="26" fillId="0" borderId="17" xfId="2" applyNumberFormat="1" applyFont="1" applyBorder="1"/>
    <xf numFmtId="0" fontId="14" fillId="0" borderId="119" xfId="2" applyFont="1" applyBorder="1" applyAlignment="1">
      <alignment horizontal="right"/>
    </xf>
    <xf numFmtId="0" fontId="11" fillId="0" borderId="120" xfId="0" applyFont="1" applyBorder="1" applyAlignment="1">
      <alignment horizontal="right" vertical="center"/>
    </xf>
    <xf numFmtId="2" fontId="11" fillId="0" borderId="120" xfId="0" applyNumberFormat="1" applyFont="1" applyBorder="1" applyAlignment="1">
      <alignment horizontal="right"/>
    </xf>
    <xf numFmtId="165" fontId="11" fillId="0" borderId="120" xfId="0" applyNumberFormat="1" applyFont="1" applyBorder="1" applyAlignment="1">
      <alignment horizontal="right"/>
    </xf>
    <xf numFmtId="0" fontId="8" fillId="0" borderId="12" xfId="2" applyFont="1" applyBorder="1"/>
    <xf numFmtId="0" fontId="7" fillId="0" borderId="121" xfId="2" applyFont="1" applyBorder="1" applyAlignment="1" applyProtection="1">
      <alignment horizontal="right"/>
      <protection locked="0"/>
    </xf>
    <xf numFmtId="0" fontId="8" fillId="0" borderId="122" xfId="2" applyFont="1" applyBorder="1" applyProtection="1">
      <protection locked="0"/>
    </xf>
    <xf numFmtId="0" fontId="8" fillId="0" borderId="123" xfId="2" applyFont="1" applyBorder="1" applyProtection="1">
      <protection locked="0"/>
    </xf>
    <xf numFmtId="1" fontId="23" fillId="0" borderId="23" xfId="0" applyNumberFormat="1" applyFont="1" applyBorder="1" applyAlignment="1">
      <alignment horizontal="center" vertical="center" wrapText="1"/>
    </xf>
    <xf numFmtId="0" fontId="26" fillId="0" borderId="16" xfId="2" applyFont="1" applyBorder="1" applyProtection="1">
      <protection locked="0"/>
    </xf>
    <xf numFmtId="0" fontId="7" fillId="0" borderId="23" xfId="2" quotePrefix="1" applyFont="1" applyBorder="1" applyAlignment="1">
      <alignment horizontal="right"/>
    </xf>
    <xf numFmtId="17" fontId="7" fillId="0" borderId="23" xfId="2" quotePrefix="1" applyNumberFormat="1" applyFont="1" applyBorder="1" applyAlignment="1">
      <alignment horizontal="right"/>
    </xf>
    <xf numFmtId="0" fontId="8" fillId="0" borderId="23" xfId="2" applyFont="1" applyBorder="1"/>
    <xf numFmtId="167" fontId="8" fillId="0" borderId="23" xfId="2" applyNumberFormat="1" applyFont="1" applyBorder="1"/>
    <xf numFmtId="184" fontId="7" fillId="0" borderId="0" xfId="2" applyNumberFormat="1" applyFont="1" applyProtection="1">
      <protection locked="0"/>
    </xf>
    <xf numFmtId="17" fontId="7" fillId="0" borderId="105" xfId="2" applyNumberFormat="1" applyFont="1" applyBorder="1" applyAlignment="1">
      <alignment horizontal="right"/>
    </xf>
    <xf numFmtId="0" fontId="7" fillId="20" borderId="105" xfId="2" applyFont="1" applyFill="1" applyBorder="1" applyAlignment="1">
      <alignment horizontal="right"/>
    </xf>
    <xf numFmtId="0" fontId="8" fillId="0" borderId="117" xfId="2" applyFont="1" applyBorder="1"/>
    <xf numFmtId="0" fontId="8" fillId="2" borderId="117" xfId="2" applyFont="1" applyFill="1" applyBorder="1"/>
    <xf numFmtId="167" fontId="7" fillId="2" borderId="6" xfId="2" applyNumberFormat="1" applyFont="1" applyFill="1" applyBorder="1"/>
    <xf numFmtId="167" fontId="7" fillId="20" borderId="6" xfId="2" applyNumberFormat="1" applyFont="1" applyFill="1" applyBorder="1"/>
    <xf numFmtId="0" fontId="0" fillId="0" borderId="105" xfId="2" applyFont="1" applyBorder="1" applyProtection="1">
      <protection locked="0"/>
    </xf>
    <xf numFmtId="0" fontId="14" fillId="0" borderId="105" xfId="2" applyFont="1" applyBorder="1" applyAlignment="1" applyProtection="1">
      <alignment horizontal="right"/>
      <protection locked="0"/>
    </xf>
    <xf numFmtId="17" fontId="14" fillId="0" borderId="105" xfId="2" applyNumberFormat="1" applyFont="1" applyBorder="1" applyAlignment="1" applyProtection="1">
      <alignment horizontal="right"/>
      <protection locked="0"/>
    </xf>
    <xf numFmtId="0" fontId="7" fillId="12" borderId="105" xfId="2" applyFont="1" applyFill="1" applyBorder="1" applyAlignment="1">
      <alignment horizontal="right"/>
    </xf>
    <xf numFmtId="0" fontId="7" fillId="21" borderId="105" xfId="2" applyFont="1" applyFill="1" applyBorder="1" applyAlignment="1">
      <alignment horizontal="right"/>
    </xf>
    <xf numFmtId="2" fontId="0" fillId="0" borderId="0" xfId="17" applyNumberFormat="1" applyFont="1" applyFill="1" applyProtection="1">
      <protection locked="0"/>
    </xf>
    <xf numFmtId="2" fontId="0" fillId="0" borderId="101" xfId="17" applyNumberFormat="1" applyFont="1" applyFill="1" applyBorder="1" applyProtection="1">
      <protection locked="0"/>
    </xf>
    <xf numFmtId="2" fontId="26" fillId="0" borderId="6" xfId="17" applyNumberFormat="1" applyFont="1" applyFill="1" applyBorder="1" applyProtection="1">
      <protection locked="0"/>
    </xf>
    <xf numFmtId="9" fontId="0" fillId="0" borderId="0" xfId="17" applyFont="1" applyFill="1" applyProtection="1">
      <protection locked="0"/>
    </xf>
    <xf numFmtId="9" fontId="0" fillId="0" borderId="0" xfId="17" applyFont="1" applyFill="1" applyProtection="1"/>
    <xf numFmtId="17" fontId="15" fillId="0" borderId="0" xfId="2" applyNumberFormat="1" applyFont="1"/>
    <xf numFmtId="0" fontId="7" fillId="2" borderId="105" xfId="15" applyFont="1" applyFill="1" applyBorder="1"/>
    <xf numFmtId="0" fontId="7" fillId="2" borderId="105" xfId="15" applyFont="1" applyFill="1" applyBorder="1" applyAlignment="1">
      <alignment horizontal="right"/>
    </xf>
    <xf numFmtId="0" fontId="7" fillId="0" borderId="105" xfId="15" applyFont="1" applyBorder="1" applyAlignment="1">
      <alignment horizontal="right"/>
    </xf>
    <xf numFmtId="2" fontId="8" fillId="0" borderId="0" xfId="1" applyNumberFormat="1" applyFont="1" applyBorder="1" applyAlignment="1">
      <alignment horizontal="right"/>
    </xf>
    <xf numFmtId="2" fontId="8" fillId="0" borderId="0" xfId="45" applyNumberFormat="1" applyFont="1" applyBorder="1" applyAlignment="1">
      <alignment horizontal="right"/>
    </xf>
    <xf numFmtId="2" fontId="8" fillId="0" borderId="6" xfId="45" applyNumberFormat="1" applyFont="1" applyBorder="1" applyAlignment="1">
      <alignment horizontal="right"/>
    </xf>
    <xf numFmtId="0" fontId="8" fillId="0" borderId="105" xfId="15" applyFont="1" applyBorder="1" applyAlignment="1">
      <alignment horizontal="left"/>
    </xf>
    <xf numFmtId="0" fontId="8" fillId="0" borderId="111" xfId="15" applyFont="1" applyBorder="1" applyAlignment="1">
      <alignment horizontal="right"/>
    </xf>
    <xf numFmtId="0" fontId="8" fillId="0" borderId="111" xfId="15" applyFont="1" applyBorder="1" applyAlignment="1">
      <alignment horizontal="right" wrapText="1"/>
    </xf>
    <xf numFmtId="165" fontId="8" fillId="0" borderId="41" xfId="15" applyNumberFormat="1" applyFont="1" applyBorder="1" applyAlignment="1">
      <alignment horizontal="right"/>
    </xf>
    <xf numFmtId="165" fontId="8" fillId="0" borderId="60" xfId="15" applyNumberFormat="1" applyFont="1" applyBorder="1" applyAlignment="1">
      <alignment horizontal="right"/>
    </xf>
    <xf numFmtId="165" fontId="7" fillId="0" borderId="50" xfId="15" applyNumberFormat="1" applyFont="1" applyBorder="1" applyAlignment="1">
      <alignment horizontal="right"/>
    </xf>
    <xf numFmtId="0" fontId="15" fillId="0" borderId="0" xfId="15" applyFont="1" applyAlignment="1">
      <alignment vertical="top"/>
    </xf>
    <xf numFmtId="0" fontId="4" fillId="0" borderId="0" xfId="15" applyAlignment="1">
      <alignment horizontal="right" wrapText="1"/>
    </xf>
    <xf numFmtId="0" fontId="26" fillId="0" borderId="0" xfId="2" applyFont="1" applyAlignment="1">
      <alignment vertical="top"/>
    </xf>
    <xf numFmtId="0" fontId="26" fillId="0" borderId="0" xfId="2" applyFont="1" applyAlignment="1" applyProtection="1">
      <alignment vertical="top"/>
      <protection locked="0"/>
    </xf>
    <xf numFmtId="17" fontId="0" fillId="0" borderId="0" xfId="2" applyNumberFormat="1" applyFont="1"/>
    <xf numFmtId="0" fontId="12" fillId="0" borderId="105" xfId="2" applyFont="1" applyBorder="1"/>
    <xf numFmtId="0" fontId="32" fillId="0" borderId="105" xfId="2" applyFont="1" applyBorder="1" applyAlignment="1">
      <alignment horizontal="right"/>
    </xf>
    <xf numFmtId="0" fontId="32" fillId="0" borderId="105" xfId="2" quotePrefix="1" applyFont="1" applyBorder="1" applyAlignment="1">
      <alignment horizontal="right"/>
    </xf>
    <xf numFmtId="17" fontId="32" fillId="0" borderId="105" xfId="2" quotePrefix="1" applyNumberFormat="1" applyFont="1" applyBorder="1" applyAlignment="1">
      <alignment horizontal="right"/>
    </xf>
    <xf numFmtId="167" fontId="32" fillId="0" borderId="6" xfId="2" applyNumberFormat="1" applyFont="1" applyBorder="1"/>
    <xf numFmtId="0" fontId="7" fillId="0" borderId="105" xfId="2" quotePrefix="1" applyFont="1" applyBorder="1" applyAlignment="1">
      <alignment horizontal="right"/>
    </xf>
    <xf numFmtId="0" fontId="7" fillId="20" borderId="105" xfId="2" quotePrefix="1" applyFont="1" applyFill="1" applyBorder="1" applyAlignment="1">
      <alignment horizontal="right"/>
    </xf>
    <xf numFmtId="0" fontId="14" fillId="0" borderId="105" xfId="2" quotePrefix="1" applyFont="1" applyBorder="1" applyAlignment="1" applyProtection="1">
      <alignment horizontal="right"/>
      <protection locked="0"/>
    </xf>
    <xf numFmtId="17" fontId="14" fillId="0" borderId="105" xfId="2" quotePrefix="1" applyNumberFormat="1" applyFont="1" applyBorder="1" applyAlignment="1" applyProtection="1">
      <alignment horizontal="right"/>
      <protection locked="0"/>
    </xf>
    <xf numFmtId="0" fontId="7" fillId="12" borderId="105" xfId="2" quotePrefix="1" applyFont="1" applyFill="1" applyBorder="1" applyAlignment="1">
      <alignment horizontal="right"/>
    </xf>
    <xf numFmtId="0" fontId="7" fillId="21" borderId="105" xfId="2" quotePrefix="1" applyFont="1" applyFill="1" applyBorder="1" applyAlignment="1">
      <alignment horizontal="right"/>
    </xf>
    <xf numFmtId="17" fontId="7" fillId="0" borderId="3" xfId="2" quotePrefix="1" applyNumberFormat="1" applyFont="1" applyBorder="1" applyAlignment="1">
      <alignment horizontal="right"/>
    </xf>
    <xf numFmtId="167" fontId="8" fillId="0" borderId="16" xfId="35" applyNumberFormat="1" applyFont="1" applyBorder="1" applyAlignment="1">
      <alignment horizontal="right"/>
    </xf>
    <xf numFmtId="167" fontId="8" fillId="0" borderId="124" xfId="35" applyNumberFormat="1" applyFont="1" applyBorder="1" applyAlignment="1">
      <alignment horizontal="right"/>
    </xf>
    <xf numFmtId="167" fontId="7" fillId="0" borderId="17" xfId="35" applyNumberFormat="1" applyFont="1" applyBorder="1" applyAlignment="1">
      <alignment horizontal="right"/>
    </xf>
    <xf numFmtId="17" fontId="7" fillId="3" borderId="105" xfId="2" quotePrefix="1" applyNumberFormat="1" applyFont="1" applyFill="1" applyBorder="1" applyAlignment="1">
      <alignment horizontal="right"/>
    </xf>
    <xf numFmtId="167" fontId="8" fillId="3" borderId="0" xfId="2" applyNumberFormat="1" applyFont="1" applyFill="1"/>
    <xf numFmtId="167" fontId="11" fillId="0" borderId="6" xfId="35" applyNumberFormat="1" applyFont="1" applyBorder="1" applyAlignment="1">
      <alignment horizontal="right"/>
    </xf>
    <xf numFmtId="167" fontId="11" fillId="3" borderId="6" xfId="35" applyNumberFormat="1" applyFont="1" applyFill="1" applyBorder="1" applyAlignment="1">
      <alignment horizontal="right"/>
    </xf>
    <xf numFmtId="0" fontId="11" fillId="0" borderId="6" xfId="2" applyFont="1" applyBorder="1" applyProtection="1">
      <protection locked="0"/>
    </xf>
    <xf numFmtId="167" fontId="8" fillId="3" borderId="6" xfId="2" applyNumberFormat="1" applyFont="1" applyFill="1" applyBorder="1"/>
    <xf numFmtId="17" fontId="4" fillId="0" borderId="0" xfId="2" applyNumberFormat="1"/>
    <xf numFmtId="17" fontId="14" fillId="3" borderId="105" xfId="2" quotePrefix="1" applyNumberFormat="1" applyFont="1" applyFill="1" applyBorder="1" applyAlignment="1">
      <alignment horizontal="right"/>
    </xf>
    <xf numFmtId="0" fontId="117" fillId="0" borderId="0" xfId="2" applyFont="1" applyAlignment="1">
      <alignment horizontal="right"/>
    </xf>
    <xf numFmtId="0" fontId="26" fillId="0" borderId="105" xfId="2" applyFont="1" applyBorder="1" applyProtection="1">
      <protection locked="0"/>
    </xf>
    <xf numFmtId="0" fontId="7" fillId="0" borderId="105" xfId="15" applyFont="1" applyBorder="1"/>
    <xf numFmtId="165" fontId="7" fillId="0" borderId="105" xfId="2" quotePrefix="1" applyNumberFormat="1" applyFont="1" applyBorder="1" applyAlignment="1">
      <alignment horizontal="right"/>
    </xf>
    <xf numFmtId="3" fontId="8" fillId="23" borderId="0" xfId="15" applyNumberFormat="1" applyFont="1" applyFill="1"/>
    <xf numFmtId="3" fontId="8" fillId="0" borderId="105" xfId="15" applyNumberFormat="1" applyFont="1" applyBorder="1"/>
    <xf numFmtId="3" fontId="8" fillId="0" borderId="16" xfId="15" applyNumberFormat="1" applyFont="1" applyBorder="1"/>
    <xf numFmtId="3" fontId="7" fillId="2" borderId="6" xfId="15" applyNumberFormat="1" applyFont="1" applyFill="1" applyBorder="1"/>
    <xf numFmtId="3" fontId="7" fillId="2" borderId="0" xfId="15" applyNumberFormat="1" applyFont="1" applyFill="1"/>
    <xf numFmtId="167" fontId="7" fillId="0" borderId="0" xfId="15" applyNumberFormat="1" applyFont="1"/>
    <xf numFmtId="0" fontId="8" fillId="23" borderId="0" xfId="15" applyFont="1" applyFill="1"/>
    <xf numFmtId="165" fontId="8" fillId="0" borderId="0" xfId="35" applyNumberFormat="1" applyFont="1" applyAlignment="1">
      <alignment horizontal="right"/>
    </xf>
    <xf numFmtId="0" fontId="7" fillId="2" borderId="6" xfId="15" applyFont="1" applyFill="1" applyBorder="1"/>
    <xf numFmtId="0" fontId="7" fillId="0" borderId="62" xfId="15" applyFont="1" applyBorder="1" applyAlignment="1">
      <alignment horizontal="right" wrapText="1"/>
    </xf>
    <xf numFmtId="170" fontId="8" fillId="0" borderId="0" xfId="15" applyNumberFormat="1" applyFont="1" applyAlignment="1">
      <alignment horizontal="right"/>
    </xf>
    <xf numFmtId="170" fontId="7" fillId="0" borderId="6" xfId="15" applyNumberFormat="1" applyFont="1" applyBorder="1" applyAlignment="1">
      <alignment horizontal="right"/>
    </xf>
    <xf numFmtId="173" fontId="126" fillId="3" borderId="23" xfId="7" applyNumberFormat="1" applyFont="1" applyFill="1" applyBorder="1" applyProtection="1">
      <protection locked="0"/>
    </xf>
    <xf numFmtId="2" fontId="125" fillId="0" borderId="23" xfId="2" applyNumberFormat="1" applyFont="1" applyBorder="1" applyProtection="1">
      <protection locked="0"/>
    </xf>
    <xf numFmtId="2" fontId="126" fillId="0" borderId="23" xfId="2" applyNumberFormat="1" applyFont="1" applyBorder="1" applyProtection="1">
      <protection locked="0"/>
    </xf>
    <xf numFmtId="2" fontId="126" fillId="3" borderId="23" xfId="2" applyNumberFormat="1" applyFont="1" applyFill="1" applyBorder="1" applyProtection="1">
      <protection locked="0"/>
    </xf>
    <xf numFmtId="0" fontId="7" fillId="0" borderId="101" xfId="2" applyFont="1" applyBorder="1" applyAlignment="1">
      <alignment horizontal="right"/>
    </xf>
    <xf numFmtId="0" fontId="26" fillId="0" borderId="101" xfId="2" applyFont="1" applyBorder="1" applyProtection="1">
      <protection locked="0"/>
    </xf>
    <xf numFmtId="0" fontId="26" fillId="0" borderId="124" xfId="2" applyFont="1" applyBorder="1" applyProtection="1">
      <protection locked="0"/>
    </xf>
    <xf numFmtId="3" fontId="8" fillId="0" borderId="0" xfId="15" applyNumberFormat="1" applyFont="1" applyAlignment="1">
      <alignment horizontal="right"/>
    </xf>
    <xf numFmtId="3" fontId="8" fillId="0" borderId="16" xfId="15" applyNumberFormat="1" applyFont="1" applyBorder="1" applyAlignment="1">
      <alignment horizontal="right"/>
    </xf>
    <xf numFmtId="3" fontId="7" fillId="0" borderId="6" xfId="15" applyNumberFormat="1" applyFont="1" applyBorder="1" applyAlignment="1">
      <alignment horizontal="right"/>
    </xf>
    <xf numFmtId="3" fontId="7" fillId="0" borderId="17" xfId="15" applyNumberFormat="1" applyFont="1" applyBorder="1" applyAlignment="1">
      <alignment horizontal="right"/>
    </xf>
    <xf numFmtId="167" fontId="11" fillId="0" borderId="105" xfId="35" applyNumberFormat="1" applyFont="1" applyBorder="1" applyAlignment="1">
      <alignment horizontal="right"/>
    </xf>
    <xf numFmtId="170" fontId="44" fillId="0" borderId="16" xfId="15" applyNumberFormat="1" applyFont="1" applyBorder="1" applyAlignment="1">
      <alignment horizontal="right"/>
    </xf>
    <xf numFmtId="170" fontId="63" fillId="0" borderId="6" xfId="15" applyNumberFormat="1" applyFont="1" applyBorder="1" applyAlignment="1">
      <alignment horizontal="right"/>
    </xf>
    <xf numFmtId="170" fontId="81" fillId="0" borderId="6" xfId="15" applyNumberFormat="1" applyFont="1" applyBorder="1" applyAlignment="1">
      <alignment horizontal="right"/>
    </xf>
    <xf numFmtId="170" fontId="63" fillId="0" borderId="17" xfId="15" applyNumberFormat="1" applyFont="1" applyBorder="1" applyAlignment="1">
      <alignment horizontal="right"/>
    </xf>
    <xf numFmtId="0" fontId="111" fillId="0" borderId="23" xfId="2" applyFont="1" applyBorder="1" applyAlignment="1">
      <alignment vertical="top"/>
    </xf>
    <xf numFmtId="0" fontId="111" fillId="0" borderId="64" xfId="2" applyFont="1" applyBorder="1" applyAlignment="1">
      <alignment vertical="top"/>
    </xf>
    <xf numFmtId="173" fontId="26" fillId="3" borderId="23" xfId="7" applyNumberFormat="1" applyFont="1" applyFill="1" applyBorder="1" applyAlignment="1" applyProtection="1">
      <alignment vertical="top"/>
    </xf>
    <xf numFmtId="3" fontId="26" fillId="0" borderId="23" xfId="2" applyNumberFormat="1" applyFont="1" applyBorder="1" applyProtection="1">
      <protection locked="0"/>
    </xf>
    <xf numFmtId="165" fontId="26" fillId="3" borderId="23" xfId="2" applyNumberFormat="1" applyFont="1" applyFill="1" applyBorder="1" applyAlignment="1">
      <alignment vertical="top"/>
    </xf>
    <xf numFmtId="185" fontId="47" fillId="0" borderId="0" xfId="2" applyNumberFormat="1" applyFont="1" applyAlignment="1">
      <alignment horizontal="left"/>
    </xf>
    <xf numFmtId="0" fontId="48" fillId="0" borderId="0" xfId="2" applyFont="1" applyProtection="1">
      <protection locked="0"/>
    </xf>
    <xf numFmtId="173" fontId="6" fillId="0" borderId="0" xfId="43" applyNumberFormat="1" applyFont="1" applyFill="1" applyProtection="1">
      <protection locked="0"/>
    </xf>
    <xf numFmtId="185" fontId="15" fillId="0" borderId="105" xfId="2" applyNumberFormat="1" applyFont="1" applyBorder="1" applyAlignment="1">
      <alignment horizontal="left"/>
    </xf>
    <xf numFmtId="0" fontId="124" fillId="0" borderId="16" xfId="44" applyFont="1" applyBorder="1" applyAlignment="1">
      <alignment horizontal="center" wrapText="1"/>
    </xf>
    <xf numFmtId="0" fontId="124" fillId="0" borderId="65" xfId="44" applyFont="1" applyBorder="1" applyAlignment="1">
      <alignment horizontal="center" wrapText="1"/>
    </xf>
    <xf numFmtId="2" fontId="126" fillId="0" borderId="6" xfId="44" applyNumberFormat="1" applyFont="1" applyBorder="1" applyAlignment="1">
      <alignment horizontal="center" wrapText="1"/>
    </xf>
    <xf numFmtId="170" fontId="126" fillId="0" borderId="6" xfId="44" applyNumberFormat="1" applyFont="1" applyBorder="1" applyAlignment="1">
      <alignment horizontal="center" wrapText="1"/>
    </xf>
    <xf numFmtId="170" fontId="126" fillId="0" borderId="6" xfId="44" applyNumberFormat="1" applyFont="1" applyBorder="1" applyAlignment="1">
      <alignment horizontal="right" wrapText="1"/>
    </xf>
    <xf numFmtId="170" fontId="37" fillId="0" borderId="6" xfId="1" applyNumberFormat="1" applyFont="1" applyFill="1" applyBorder="1" applyAlignment="1">
      <alignment horizontal="center" wrapText="1"/>
    </xf>
    <xf numFmtId="170" fontId="37" fillId="0" borderId="16" xfId="45" applyNumberFormat="1" applyFont="1" applyFill="1" applyBorder="1" applyAlignment="1">
      <alignment horizontal="center" wrapText="1"/>
    </xf>
    <xf numFmtId="0" fontId="37" fillId="0" borderId="17" xfId="45" applyNumberFormat="1" applyFont="1" applyFill="1" applyBorder="1" applyAlignment="1" applyProtection="1">
      <alignment horizontal="center" wrapText="1"/>
    </xf>
    <xf numFmtId="0" fontId="126" fillId="0" borderId="0" xfId="44" applyFont="1" applyAlignment="1">
      <alignment wrapText="1"/>
    </xf>
    <xf numFmtId="170" fontId="126" fillId="0" borderId="0" xfId="45" applyNumberFormat="1" applyFont="1" applyFill="1" applyBorder="1" applyAlignment="1">
      <alignment horizontal="center" wrapText="1"/>
    </xf>
    <xf numFmtId="185" fontId="15" fillId="0" borderId="0" xfId="2" applyNumberFormat="1" applyFont="1" applyAlignment="1">
      <alignment horizontal="center" vertical="top"/>
    </xf>
    <xf numFmtId="185" fontId="15" fillId="0" borderId="6" xfId="2" applyNumberFormat="1" applyFont="1" applyBorder="1" applyAlignment="1">
      <alignment horizontal="center" vertical="top"/>
    </xf>
    <xf numFmtId="0" fontId="4" fillId="0" borderId="6" xfId="2" applyBorder="1" applyAlignment="1" applyProtection="1">
      <alignment horizontal="right"/>
      <protection locked="0"/>
    </xf>
    <xf numFmtId="0" fontId="6" fillId="0" borderId="6" xfId="2" applyFont="1" applyBorder="1" applyProtection="1">
      <protection locked="0"/>
    </xf>
    <xf numFmtId="0" fontId="15" fillId="0" borderId="23" xfId="2" applyFont="1" applyBorder="1" applyAlignment="1" applyProtection="1">
      <alignment horizontal="center" vertical="top" wrapText="1"/>
      <protection locked="0"/>
    </xf>
    <xf numFmtId="0" fontId="15" fillId="0" borderId="23" xfId="2" applyFont="1" applyBorder="1" applyAlignment="1" applyProtection="1">
      <alignment horizontal="right" vertical="top" wrapText="1"/>
      <protection locked="0"/>
    </xf>
    <xf numFmtId="185" fontId="4" fillId="0" borderId="4" xfId="2" applyNumberFormat="1" applyBorder="1" applyAlignment="1">
      <alignment horizontal="left" wrapText="1"/>
    </xf>
    <xf numFmtId="170" fontId="126" fillId="0" borderId="105" xfId="1" applyNumberFormat="1" applyFont="1" applyFill="1" applyBorder="1" applyAlignment="1">
      <alignment horizontal="center" wrapText="1"/>
    </xf>
    <xf numFmtId="185" fontId="4" fillId="0" borderId="15" xfId="2" applyNumberFormat="1" applyBorder="1" applyAlignment="1">
      <alignment horizontal="left" wrapText="1"/>
    </xf>
    <xf numFmtId="0" fontId="37" fillId="0" borderId="0" xfId="45" applyNumberFormat="1" applyFont="1" applyFill="1" applyBorder="1" applyAlignment="1" applyProtection="1">
      <alignment horizontal="center" wrapText="1"/>
    </xf>
    <xf numFmtId="0" fontId="37" fillId="0" borderId="16" xfId="45" applyNumberFormat="1" applyFont="1" applyFill="1" applyBorder="1" applyAlignment="1" applyProtection="1">
      <alignment horizontal="center" wrapText="1"/>
    </xf>
    <xf numFmtId="185" fontId="4" fillId="0" borderId="5" xfId="2" applyNumberFormat="1" applyBorder="1" applyAlignment="1">
      <alignment horizontal="left" wrapText="1"/>
    </xf>
    <xf numFmtId="0" fontId="37" fillId="0" borderId="6" xfId="45" applyNumberFormat="1" applyFont="1" applyFill="1" applyBorder="1" applyAlignment="1" applyProtection="1">
      <alignment horizontal="center" wrapText="1"/>
    </xf>
    <xf numFmtId="0" fontId="124" fillId="0" borderId="0" xfId="44" applyFont="1" applyAlignment="1">
      <alignment horizontal="left" wrapText="1"/>
    </xf>
    <xf numFmtId="170" fontId="8" fillId="0" borderId="0" xfId="45" applyNumberFormat="1" applyFont="1" applyFill="1" applyBorder="1"/>
    <xf numFmtId="170" fontId="44" fillId="0" borderId="0" xfId="45" applyNumberFormat="1" applyFont="1" applyFill="1" applyBorder="1"/>
    <xf numFmtId="0" fontId="4" fillId="2" borderId="0" xfId="32" applyFill="1"/>
    <xf numFmtId="0" fontId="60" fillId="0" borderId="16" xfId="2" applyFont="1" applyBorder="1" applyAlignment="1">
      <alignment horizontal="right" vertical="top"/>
    </xf>
    <xf numFmtId="49" fontId="7" fillId="0" borderId="0" xfId="2" applyNumberFormat="1" applyFont="1" applyAlignment="1">
      <alignment horizontal="right"/>
    </xf>
    <xf numFmtId="49" fontId="7" fillId="0" borderId="105" xfId="2" applyNumberFormat="1" applyFont="1" applyBorder="1" applyAlignment="1">
      <alignment horizontal="right"/>
    </xf>
    <xf numFmtId="49" fontId="7" fillId="0" borderId="105" xfId="2" applyNumberFormat="1" applyFont="1" applyBorder="1" applyAlignment="1">
      <alignment horizontal="right" wrapText="1"/>
    </xf>
    <xf numFmtId="49" fontId="7" fillId="2" borderId="105" xfId="2" applyNumberFormat="1" applyFont="1" applyFill="1" applyBorder="1" applyAlignment="1">
      <alignment horizontal="right" wrapText="1"/>
    </xf>
    <xf numFmtId="10" fontId="7" fillId="0" borderId="0" xfId="2" applyNumberFormat="1" applyFont="1" applyAlignment="1">
      <alignment horizontal="right"/>
    </xf>
    <xf numFmtId="170" fontId="7" fillId="2" borderId="6" xfId="2" applyNumberFormat="1" applyFont="1" applyFill="1" applyBorder="1" applyAlignment="1">
      <alignment horizontal="right"/>
    </xf>
    <xf numFmtId="10" fontId="7" fillId="2" borderId="6" xfId="2" applyNumberFormat="1" applyFont="1" applyFill="1" applyBorder="1" applyAlignment="1">
      <alignment horizontal="right"/>
    </xf>
    <xf numFmtId="0" fontId="32" fillId="0" borderId="105" xfId="2" applyFont="1" applyBorder="1" applyAlignment="1" applyProtection="1">
      <alignment horizontal="right"/>
      <protection locked="0"/>
    </xf>
    <xf numFmtId="0" fontId="176" fillId="0" borderId="0" xfId="2" applyFont="1" applyProtection="1">
      <protection locked="0"/>
    </xf>
    <xf numFmtId="0" fontId="41" fillId="0" borderId="105" xfId="2" quotePrefix="1" applyFont="1" applyBorder="1" applyAlignment="1">
      <alignment horizontal="right"/>
    </xf>
    <xf numFmtId="17" fontId="41" fillId="0" borderId="105" xfId="2" quotePrefix="1" applyNumberFormat="1" applyFont="1" applyBorder="1" applyAlignment="1">
      <alignment horizontal="right"/>
    </xf>
    <xf numFmtId="185" fontId="28" fillId="0" borderId="105" xfId="2" applyNumberFormat="1" applyFont="1" applyBorder="1" applyAlignment="1">
      <alignment horizontal="right"/>
    </xf>
    <xf numFmtId="185" fontId="41" fillId="26" borderId="6" xfId="2" applyNumberFormat="1" applyFont="1" applyFill="1" applyBorder="1" applyAlignment="1">
      <alignment horizontal="right"/>
    </xf>
    <xf numFmtId="0" fontId="41" fillId="2" borderId="105" xfId="2" quotePrefix="1" applyFont="1" applyFill="1" applyBorder="1" applyAlignment="1">
      <alignment horizontal="right"/>
    </xf>
    <xf numFmtId="0" fontId="41" fillId="2" borderId="105" xfId="2" applyFont="1" applyFill="1" applyBorder="1" applyAlignment="1" applyProtection="1">
      <alignment horizontal="right"/>
      <protection locked="0"/>
    </xf>
    <xf numFmtId="0" fontId="41" fillId="0" borderId="105" xfId="2" applyFont="1" applyBorder="1" applyAlignment="1">
      <alignment horizontal="right"/>
    </xf>
    <xf numFmtId="0" fontId="99" fillId="2" borderId="105" xfId="0" applyFont="1" applyFill="1" applyBorder="1" applyAlignment="1">
      <alignment horizontal="center" vertical="top" wrapText="1"/>
    </xf>
    <xf numFmtId="0" fontId="14" fillId="2" borderId="105" xfId="2" quotePrefix="1" applyFont="1" applyFill="1" applyBorder="1" applyAlignment="1">
      <alignment horizontal="center" vertical="top" wrapText="1"/>
    </xf>
    <xf numFmtId="17" fontId="14" fillId="2" borderId="105" xfId="2" quotePrefix="1" applyNumberFormat="1" applyFont="1" applyFill="1" applyBorder="1" applyAlignment="1">
      <alignment horizontal="center" vertical="top" wrapText="1"/>
    </xf>
    <xf numFmtId="0" fontId="14" fillId="0" borderId="105" xfId="2" applyFont="1" applyBorder="1" applyAlignment="1" applyProtection="1">
      <alignment horizontal="center" vertical="top" wrapText="1"/>
      <protection locked="0"/>
    </xf>
    <xf numFmtId="0" fontId="7" fillId="0" borderId="105" xfId="2" applyFont="1" applyBorder="1" applyAlignment="1" applyProtection="1">
      <alignment horizontal="center" vertical="top" wrapText="1"/>
      <protection locked="0"/>
    </xf>
    <xf numFmtId="185" fontId="8" fillId="25" borderId="0" xfId="2" applyNumberFormat="1" applyFont="1" applyFill="1" applyAlignment="1">
      <alignment horizontal="center" vertical="top"/>
    </xf>
    <xf numFmtId="0" fontId="99" fillId="2" borderId="105" xfId="0" applyFont="1" applyFill="1" applyBorder="1" applyAlignment="1">
      <alignment horizontal="left" vertical="top" wrapText="1"/>
    </xf>
    <xf numFmtId="0" fontId="7" fillId="2" borderId="105" xfId="2" applyFont="1" applyFill="1" applyBorder="1" applyAlignment="1" applyProtection="1">
      <alignment horizontal="center" vertical="top" wrapText="1"/>
      <protection locked="0"/>
    </xf>
    <xf numFmtId="185" fontId="8" fillId="25" borderId="0" xfId="2" applyNumberFormat="1" applyFont="1" applyFill="1" applyAlignment="1">
      <alignment horizontal="center"/>
    </xf>
    <xf numFmtId="0" fontId="6" fillId="0" borderId="0" xfId="2" applyFont="1" applyAlignment="1" applyProtection="1">
      <alignment vertical="top" wrapText="1"/>
      <protection locked="0"/>
    </xf>
    <xf numFmtId="173" fontId="177" fillId="0" borderId="0" xfId="14" applyNumberFormat="1" applyFont="1" applyFill="1" applyBorder="1" applyAlignment="1" applyProtection="1">
      <alignment horizontal="right"/>
    </xf>
    <xf numFmtId="2" fontId="177" fillId="0" borderId="0" xfId="2" applyNumberFormat="1" applyFont="1" applyAlignment="1">
      <alignment horizontal="right"/>
    </xf>
    <xf numFmtId="49" fontId="8" fillId="0" borderId="0" xfId="2" applyNumberFormat="1" applyFont="1" applyAlignment="1">
      <alignment wrapText="1"/>
    </xf>
    <xf numFmtId="9" fontId="177" fillId="0" borderId="0" xfId="17" applyFont="1" applyFill="1" applyBorder="1" applyAlignment="1" applyProtection="1">
      <alignment horizontal="right"/>
    </xf>
    <xf numFmtId="173" fontId="177" fillId="0" borderId="0" xfId="2" applyNumberFormat="1" applyFont="1" applyAlignment="1">
      <alignment horizontal="right"/>
    </xf>
    <xf numFmtId="173" fontId="8" fillId="2" borderId="0" xfId="2" applyNumberFormat="1" applyFont="1" applyFill="1" applyAlignment="1">
      <alignment horizontal="right"/>
    </xf>
    <xf numFmtId="173" fontId="177" fillId="0" borderId="6" xfId="2" applyNumberFormat="1" applyFont="1" applyBorder="1" applyAlignment="1">
      <alignment horizontal="right"/>
    </xf>
    <xf numFmtId="173" fontId="8" fillId="0" borderId="6" xfId="2" applyNumberFormat="1" applyFont="1" applyBorder="1" applyAlignment="1">
      <alignment horizontal="right"/>
    </xf>
    <xf numFmtId="173" fontId="8" fillId="2" borderId="6" xfId="2" applyNumberFormat="1" applyFont="1" applyFill="1" applyBorder="1" applyAlignment="1">
      <alignment horizontal="right"/>
    </xf>
    <xf numFmtId="173" fontId="6" fillId="0" borderId="0" xfId="2" applyNumberFormat="1" applyFont="1"/>
    <xf numFmtId="173" fontId="8" fillId="0" borderId="0" xfId="2" applyNumberFormat="1" applyFont="1"/>
    <xf numFmtId="0" fontId="6" fillId="2" borderId="0" xfId="2" applyFont="1" applyFill="1"/>
    <xf numFmtId="0" fontId="6" fillId="0" borderId="0" xfId="2" applyFont="1" applyAlignment="1">
      <alignment horizontal="left"/>
    </xf>
    <xf numFmtId="167" fontId="8" fillId="0" borderId="17" xfId="35" applyNumberFormat="1" applyFont="1" applyBorder="1" applyAlignment="1">
      <alignment horizontal="right"/>
    </xf>
    <xf numFmtId="3" fontId="8" fillId="0" borderId="16" xfId="2" applyNumberFormat="1" applyFont="1" applyBorder="1" applyProtection="1">
      <protection locked="0"/>
    </xf>
    <xf numFmtId="2" fontId="8" fillId="2" borderId="16" xfId="2" applyNumberFormat="1" applyFont="1" applyFill="1" applyBorder="1" applyAlignment="1">
      <alignment horizontal="right"/>
    </xf>
    <xf numFmtId="9" fontId="8" fillId="2" borderId="16" xfId="17" applyFont="1" applyFill="1" applyBorder="1" applyAlignment="1" applyProtection="1">
      <alignment horizontal="right"/>
    </xf>
    <xf numFmtId="3" fontId="8" fillId="0" borderId="17" xfId="2" applyNumberFormat="1" applyFont="1" applyBorder="1" applyProtection="1">
      <protection locked="0"/>
    </xf>
    <xf numFmtId="167" fontId="12" fillId="0" borderId="16" xfId="2" applyNumberFormat="1" applyFont="1" applyBorder="1"/>
    <xf numFmtId="167" fontId="32" fillId="0" borderId="17" xfId="2" applyNumberFormat="1" applyFont="1" applyBorder="1"/>
    <xf numFmtId="0" fontId="14" fillId="2" borderId="105" xfId="2" quotePrefix="1" applyFont="1" applyFill="1" applyBorder="1" applyAlignment="1">
      <alignment horizontal="right"/>
    </xf>
    <xf numFmtId="0" fontId="14" fillId="2" borderId="105" xfId="2" applyFont="1" applyFill="1" applyBorder="1" applyAlignment="1">
      <alignment horizontal="right"/>
    </xf>
    <xf numFmtId="0" fontId="4" fillId="0" borderId="0" xfId="2" applyAlignment="1">
      <alignment horizontal="right" vertical="top" wrapText="1"/>
    </xf>
    <xf numFmtId="0" fontId="5" fillId="0" borderId="0" xfId="2" applyFont="1" applyAlignment="1">
      <alignment wrapText="1"/>
    </xf>
    <xf numFmtId="0" fontId="81" fillId="0" borderId="0" xfId="2" applyFont="1"/>
    <xf numFmtId="3" fontId="8" fillId="0" borderId="0" xfId="2" applyNumberFormat="1" applyFont="1" applyAlignment="1">
      <alignment horizontal="center" vertical="center"/>
    </xf>
    <xf numFmtId="3" fontId="126" fillId="0" borderId="0" xfId="0" applyNumberFormat="1" applyFont="1" applyAlignment="1">
      <alignment horizontal="center" vertical="center"/>
    </xf>
    <xf numFmtId="211" fontId="8" fillId="0" borderId="0" xfId="46" applyNumberFormat="1" applyFont="1" applyFill="1" applyBorder="1" applyAlignment="1">
      <alignment horizontal="center" vertical="center"/>
    </xf>
    <xf numFmtId="3" fontId="126" fillId="0" borderId="0" xfId="0" applyNumberFormat="1" applyFont="1"/>
    <xf numFmtId="3" fontId="8" fillId="0" borderId="0" xfId="15" applyNumberFormat="1" applyFont="1" applyAlignment="1">
      <alignment horizontal="center" vertical="center"/>
    </xf>
    <xf numFmtId="211" fontId="8" fillId="0" borderId="0" xfId="46" applyNumberFormat="1" applyFont="1" applyFill="1" applyAlignment="1">
      <alignment horizontal="center" vertical="center"/>
    </xf>
    <xf numFmtId="3" fontId="44" fillId="0" borderId="0" xfId="2" applyNumberFormat="1" applyFont="1" applyAlignment="1">
      <alignment horizontal="right"/>
    </xf>
    <xf numFmtId="1" fontId="8" fillId="2" borderId="0" xfId="2" applyNumberFormat="1" applyFont="1" applyFill="1" applyAlignment="1">
      <alignment horizontal="right"/>
    </xf>
    <xf numFmtId="173" fontId="8" fillId="2" borderId="0" xfId="14" applyNumberFormat="1" applyFont="1" applyFill="1" applyBorder="1" applyAlignment="1">
      <alignment horizontal="center" vertical="center"/>
    </xf>
    <xf numFmtId="173" fontId="8" fillId="0" borderId="0" xfId="14" applyNumberFormat="1" applyFont="1" applyFill="1" applyBorder="1" applyAlignment="1">
      <alignment horizontal="center" vertical="center"/>
    </xf>
    <xf numFmtId="211" fontId="8" fillId="0" borderId="0" xfId="46" applyNumberFormat="1" applyFont="1" applyFill="1" applyAlignment="1">
      <alignment horizontal="right"/>
    </xf>
    <xf numFmtId="0" fontId="8" fillId="0" borderId="0" xfId="2" applyFont="1" applyAlignment="1">
      <alignment horizontal="center" vertical="center"/>
    </xf>
    <xf numFmtId="0" fontId="8" fillId="2" borderId="0" xfId="2" applyFont="1" applyFill="1" applyAlignment="1">
      <alignment horizontal="left" wrapText="1"/>
    </xf>
    <xf numFmtId="0" fontId="8" fillId="2" borderId="0" xfId="2" applyFont="1" applyFill="1" applyAlignment="1">
      <alignment horizontal="right" wrapText="1"/>
    </xf>
    <xf numFmtId="170" fontId="8" fillId="2" borderId="0" xfId="2" applyNumberFormat="1" applyFont="1" applyFill="1" applyAlignment="1">
      <alignment horizontal="right"/>
    </xf>
    <xf numFmtId="170" fontId="8" fillId="2" borderId="0" xfId="2" applyNumberFormat="1" applyFont="1" applyFill="1" applyAlignment="1">
      <alignment horizontal="center" vertical="center"/>
    </xf>
    <xf numFmtId="170" fontId="8" fillId="0" borderId="0" xfId="2" applyNumberFormat="1" applyFont="1" applyAlignment="1">
      <alignment horizontal="center" vertical="center"/>
    </xf>
    <xf numFmtId="170" fontId="8" fillId="0" borderId="0" xfId="2" applyNumberFormat="1" applyFont="1" applyAlignment="1">
      <alignment vertical="center"/>
    </xf>
    <xf numFmtId="170" fontId="8" fillId="0" borderId="0" xfId="1" applyNumberFormat="1" applyFont="1" applyFill="1" applyAlignment="1">
      <alignment vertical="center"/>
    </xf>
    <xf numFmtId="3" fontId="8" fillId="2" borderId="0" xfId="2" applyNumberFormat="1" applyFont="1" applyFill="1" applyAlignment="1">
      <alignment horizontal="center" vertical="center"/>
    </xf>
    <xf numFmtId="173" fontId="8" fillId="0" borderId="15" xfId="14" applyNumberFormat="1" applyFont="1" applyFill="1" applyBorder="1" applyAlignment="1">
      <alignment horizontal="center" vertical="center"/>
    </xf>
    <xf numFmtId="0" fontId="81" fillId="0" borderId="6" xfId="2" applyFont="1" applyBorder="1"/>
    <xf numFmtId="0" fontId="8" fillId="2" borderId="6" xfId="2" applyFont="1" applyFill="1" applyBorder="1" applyAlignment="1">
      <alignment horizontal="left"/>
    </xf>
    <xf numFmtId="1" fontId="8" fillId="2" borderId="6" xfId="2" applyNumberFormat="1" applyFont="1" applyFill="1" applyBorder="1" applyAlignment="1">
      <alignment horizontal="right"/>
    </xf>
    <xf numFmtId="173" fontId="8" fillId="2" borderId="6" xfId="14" applyNumberFormat="1" applyFont="1" applyFill="1" applyBorder="1" applyAlignment="1">
      <alignment horizontal="right"/>
    </xf>
    <xf numFmtId="170" fontId="8" fillId="0" borderId="6" xfId="2" applyNumberFormat="1" applyFont="1" applyBorder="1" applyAlignment="1">
      <alignment horizontal="center" vertical="center"/>
    </xf>
    <xf numFmtId="9" fontId="8" fillId="0" borderId="126" xfId="1" applyFont="1" applyFill="1" applyBorder="1"/>
    <xf numFmtId="170" fontId="8" fillId="0" borderId="126" xfId="1" applyNumberFormat="1" applyFont="1" applyFill="1" applyBorder="1"/>
    <xf numFmtId="170" fontId="8" fillId="0" borderId="6" xfId="2" applyNumberFormat="1" applyFont="1" applyBorder="1" applyAlignment="1">
      <alignment horizontal="center"/>
    </xf>
    <xf numFmtId="170" fontId="8" fillId="0" borderId="6" xfId="1" applyNumberFormat="1" applyFont="1" applyFill="1" applyBorder="1" applyAlignment="1"/>
    <xf numFmtId="165" fontId="8" fillId="2" borderId="0" xfId="2" applyNumberFormat="1" applyFont="1" applyFill="1" applyAlignment="1">
      <alignment horizontal="center" vertical="center"/>
    </xf>
    <xf numFmtId="165" fontId="8" fillId="2" borderId="0" xfId="14" applyNumberFormat="1" applyFont="1" applyFill="1" applyBorder="1" applyAlignment="1">
      <alignment horizontal="center" vertical="center"/>
    </xf>
    <xf numFmtId="165" fontId="8" fillId="0" borderId="0" xfId="14" applyNumberFormat="1" applyFont="1" applyFill="1" applyBorder="1" applyAlignment="1">
      <alignment horizontal="center" vertical="center"/>
    </xf>
    <xf numFmtId="165" fontId="8" fillId="0" borderId="0" xfId="20" applyNumberFormat="1" applyFont="1" applyAlignment="1" applyProtection="1">
      <alignment horizontal="center" vertical="center"/>
      <protection locked="0"/>
    </xf>
    <xf numFmtId="165" fontId="8" fillId="0" borderId="0" xfId="2" applyNumberFormat="1" applyFont="1" applyAlignment="1">
      <alignment horizontal="center" vertical="center"/>
    </xf>
    <xf numFmtId="202" fontId="8" fillId="0" borderId="0" xfId="2" applyNumberFormat="1" applyFont="1" applyAlignment="1">
      <alignment horizontal="center" vertical="center"/>
    </xf>
    <xf numFmtId="167" fontId="8" fillId="0" borderId="0" xfId="2" applyNumberFormat="1" applyFont="1" applyAlignment="1">
      <alignment horizontal="center" vertical="center"/>
    </xf>
    <xf numFmtId="170" fontId="8" fillId="0" borderId="0" xfId="17" applyNumberFormat="1" applyFont="1" applyFill="1" applyBorder="1" applyAlignment="1">
      <alignment horizontal="center" vertical="center"/>
    </xf>
    <xf numFmtId="165" fontId="8" fillId="0" borderId="0" xfId="17" applyNumberFormat="1" applyFont="1" applyFill="1" applyBorder="1" applyAlignment="1">
      <alignment horizontal="center" vertical="center"/>
    </xf>
    <xf numFmtId="170" fontId="8" fillId="0" borderId="0" xfId="1" applyNumberFormat="1" applyFont="1" applyFill="1" applyBorder="1" applyAlignment="1">
      <alignment horizontal="center" vertical="center"/>
    </xf>
    <xf numFmtId="170" fontId="8" fillId="0" borderId="0" xfId="1" applyNumberFormat="1" applyFont="1" applyFill="1" applyAlignment="1">
      <alignment horizontal="center" vertical="center"/>
    </xf>
    <xf numFmtId="10" fontId="8" fillId="0" borderId="0" xfId="2" applyNumberFormat="1" applyFont="1"/>
    <xf numFmtId="1" fontId="11" fillId="0" borderId="0" xfId="2" quotePrefix="1" applyNumberFormat="1" applyFont="1" applyAlignment="1">
      <alignment horizontal="right"/>
    </xf>
    <xf numFmtId="3" fontId="0" fillId="0" borderId="23" xfId="2" applyNumberFormat="1" applyFont="1" applyBorder="1" applyProtection="1">
      <protection locked="0"/>
    </xf>
    <xf numFmtId="170" fontId="8" fillId="0" borderId="16" xfId="15" applyNumberFormat="1" applyFont="1" applyBorder="1" applyAlignment="1">
      <alignment horizontal="right"/>
    </xf>
    <xf numFmtId="170" fontId="7" fillId="0" borderId="17" xfId="15" applyNumberFormat="1" applyFont="1" applyBorder="1" applyAlignment="1">
      <alignment horizontal="right"/>
    </xf>
    <xf numFmtId="0" fontId="5" fillId="0" borderId="0" xfId="3" applyFont="1" applyAlignment="1">
      <alignment horizontal="right" vertical="top"/>
    </xf>
    <xf numFmtId="0" fontId="5" fillId="0" borderId="0" xfId="3" applyFont="1" applyAlignment="1">
      <alignment horizontal="left" vertical="top"/>
    </xf>
    <xf numFmtId="3" fontId="0" fillId="0" borderId="0" xfId="0" applyNumberFormat="1"/>
    <xf numFmtId="0" fontId="41" fillId="2" borderId="39" xfId="2" applyFont="1" applyFill="1" applyBorder="1" applyAlignment="1">
      <alignment horizontal="right"/>
    </xf>
    <xf numFmtId="3" fontId="8" fillId="0" borderId="4" xfId="2" applyNumberFormat="1" applyFont="1" applyBorder="1" applyProtection="1">
      <protection locked="0"/>
    </xf>
    <xf numFmtId="3" fontId="23" fillId="2" borderId="18" xfId="15" applyNumberFormat="1" applyFont="1" applyFill="1" applyBorder="1"/>
    <xf numFmtId="185" fontId="23" fillId="2" borderId="18" xfId="41" applyNumberFormat="1" applyFont="1" applyFill="1" applyBorder="1" applyAlignment="1" applyProtection="1">
      <alignment horizontal="right"/>
    </xf>
    <xf numFmtId="185" fontId="23" fillId="2" borderId="45" xfId="41" applyNumberFormat="1" applyFont="1" applyFill="1" applyBorder="1" applyAlignment="1" applyProtection="1">
      <alignment horizontal="right"/>
    </xf>
    <xf numFmtId="3" fontId="8" fillId="0" borderId="117" xfId="2" applyNumberFormat="1" applyFont="1" applyBorder="1" applyAlignment="1">
      <alignment horizontal="right"/>
    </xf>
    <xf numFmtId="0" fontId="8" fillId="0" borderId="17" xfId="2" applyFont="1" applyBorder="1" applyAlignment="1">
      <alignment horizontal="right"/>
    </xf>
    <xf numFmtId="2" fontId="178" fillId="0" borderId="17" xfId="45" applyNumberFormat="1" applyFont="1" applyFill="1" applyBorder="1" applyAlignment="1">
      <alignment horizontal="center" wrapText="1"/>
    </xf>
    <xf numFmtId="185" fontId="8" fillId="0" borderId="0" xfId="2" applyNumberFormat="1" applyFont="1" applyAlignment="1">
      <alignment horizontal="right" wrapText="1"/>
    </xf>
    <xf numFmtId="0" fontId="8" fillId="0" borderId="117" xfId="2" applyFont="1" applyBorder="1" applyAlignment="1">
      <alignment wrapText="1"/>
    </xf>
    <xf numFmtId="9" fontId="8" fillId="0" borderId="117" xfId="2" applyNumberFormat="1" applyFont="1" applyBorder="1" applyAlignment="1">
      <alignment horizontal="right"/>
    </xf>
    <xf numFmtId="170" fontId="8" fillId="0" borderId="117" xfId="2" applyNumberFormat="1" applyFont="1" applyBorder="1" applyAlignment="1">
      <alignment horizontal="right"/>
    </xf>
    <xf numFmtId="9" fontId="8" fillId="0" borderId="117" xfId="2" applyNumberFormat="1" applyFont="1" applyBorder="1"/>
    <xf numFmtId="0" fontId="8" fillId="0" borderId="128" xfId="2" applyFont="1" applyBorder="1" applyAlignment="1">
      <alignment vertical="top"/>
    </xf>
    <xf numFmtId="0" fontId="8" fillId="0" borderId="129" xfId="2" applyFont="1" applyBorder="1" applyAlignment="1">
      <alignment vertical="top"/>
    </xf>
    <xf numFmtId="0" fontId="8" fillId="0" borderId="128" xfId="2" applyFont="1" applyBorder="1" applyAlignment="1">
      <alignment vertical="top" wrapText="1"/>
    </xf>
    <xf numFmtId="0" fontId="8" fillId="2" borderId="128" xfId="2" applyFont="1" applyFill="1" applyBorder="1" applyAlignment="1">
      <alignment vertical="top" wrapText="1"/>
    </xf>
    <xf numFmtId="0" fontId="8" fillId="0" borderId="117" xfId="2" applyFont="1" applyBorder="1" applyAlignment="1">
      <alignment vertical="top"/>
    </xf>
    <xf numFmtId="0" fontId="158" fillId="0" borderId="117" xfId="2" applyFont="1" applyBorder="1" applyAlignment="1">
      <alignment vertical="top"/>
    </xf>
    <xf numFmtId="0" fontId="0" fillId="0" borderId="117" xfId="2" applyFont="1" applyBorder="1" applyAlignment="1">
      <alignment vertical="top" wrapText="1"/>
    </xf>
    <xf numFmtId="0" fontId="8" fillId="0" borderId="117" xfId="2" applyFont="1" applyBorder="1" applyAlignment="1">
      <alignment vertical="top" wrapText="1"/>
    </xf>
    <xf numFmtId="0" fontId="158" fillId="0" borderId="117" xfId="2" applyFont="1" applyBorder="1" applyAlignment="1">
      <alignment vertical="top" wrapText="1"/>
    </xf>
    <xf numFmtId="0" fontId="44" fillId="0" borderId="117" xfId="2" applyFont="1" applyBorder="1" applyAlignment="1">
      <alignment vertical="top" wrapText="1"/>
    </xf>
    <xf numFmtId="0" fontId="8" fillId="0" borderId="129" xfId="2" applyFont="1" applyBorder="1" applyAlignment="1">
      <alignment vertical="top" wrapText="1"/>
    </xf>
    <xf numFmtId="0" fontId="44" fillId="0" borderId="128" xfId="2" applyFont="1" applyBorder="1" applyAlignment="1">
      <alignment vertical="top" wrapText="1"/>
    </xf>
    <xf numFmtId="0" fontId="44" fillId="0" borderId="129" xfId="2" applyFont="1" applyBorder="1" applyAlignment="1">
      <alignment vertical="top" wrapText="1"/>
    </xf>
    <xf numFmtId="0" fontId="8" fillId="0" borderId="128" xfId="2" applyFont="1" applyBorder="1" applyAlignment="1">
      <alignment horizontal="left" vertical="top"/>
    </xf>
    <xf numFmtId="0" fontId="44" fillId="0" borderId="129" xfId="2" applyFont="1" applyBorder="1" applyAlignment="1">
      <alignment vertical="top"/>
    </xf>
    <xf numFmtId="0" fontId="44" fillId="0" borderId="117" xfId="2" applyFont="1" applyBorder="1" applyAlignment="1">
      <alignment vertical="top"/>
    </xf>
    <xf numFmtId="0" fontId="28" fillId="0" borderId="105" xfId="2" applyFont="1" applyBorder="1"/>
    <xf numFmtId="0" fontId="7" fillId="3" borderId="105" xfId="2" applyFont="1" applyFill="1" applyBorder="1"/>
    <xf numFmtId="0" fontId="8" fillId="0" borderId="127" xfId="2" applyFont="1" applyBorder="1" applyAlignment="1">
      <alignment horizontal="left"/>
    </xf>
    <xf numFmtId="171" fontId="7" fillId="0" borderId="118" xfId="4" quotePrefix="1" applyNumberFormat="1" applyFont="1" applyBorder="1" applyAlignment="1">
      <alignment horizontal="right"/>
    </xf>
    <xf numFmtId="1" fontId="7" fillId="0" borderId="118" xfId="4" quotePrefix="1" applyNumberFormat="1" applyFont="1" applyBorder="1" applyAlignment="1">
      <alignment horizontal="right"/>
    </xf>
    <xf numFmtId="0" fontId="1" fillId="0" borderId="118" xfId="2" applyFont="1" applyBorder="1" applyAlignment="1">
      <alignment horizontal="center" vertical="top"/>
    </xf>
    <xf numFmtId="17" fontId="4" fillId="2" borderId="118" xfId="2" applyNumberFormat="1" applyFill="1" applyBorder="1" applyAlignment="1">
      <alignment horizontal="right" vertical="top" wrapText="1"/>
    </xf>
    <xf numFmtId="17" fontId="29" fillId="2" borderId="118" xfId="2" applyNumberFormat="1" applyFont="1" applyFill="1" applyBorder="1" applyAlignment="1">
      <alignment horizontal="right" vertical="top" wrapText="1"/>
    </xf>
    <xf numFmtId="17" fontId="7" fillId="2" borderId="105" xfId="2" quotePrefix="1" applyNumberFormat="1" applyFont="1" applyFill="1" applyBorder="1" applyAlignment="1">
      <alignment horizontal="right"/>
    </xf>
    <xf numFmtId="173" fontId="7" fillId="2" borderId="105" xfId="14" quotePrefix="1" applyNumberFormat="1" applyFont="1" applyFill="1" applyBorder="1" applyAlignment="1">
      <alignment horizontal="right"/>
    </xf>
    <xf numFmtId="173" fontId="7" fillId="2" borderId="118" xfId="14" quotePrefix="1" applyNumberFormat="1" applyFont="1" applyFill="1" applyBorder="1" applyAlignment="1">
      <alignment horizontal="right"/>
    </xf>
    <xf numFmtId="0" fontId="7" fillId="2" borderId="118" xfId="2" applyFont="1" applyFill="1" applyBorder="1"/>
    <xf numFmtId="0" fontId="7" fillId="2" borderId="117" xfId="2" applyFont="1" applyFill="1" applyBorder="1"/>
    <xf numFmtId="0" fontId="8" fillId="2" borderId="117" xfId="2" applyFont="1" applyFill="1" applyBorder="1" applyAlignment="1">
      <alignment horizontal="right"/>
    </xf>
    <xf numFmtId="49" fontId="7" fillId="12" borderId="105" xfId="2" applyNumberFormat="1" applyFont="1" applyFill="1" applyBorder="1" applyAlignment="1">
      <alignment horizontal="right"/>
    </xf>
    <xf numFmtId="0" fontId="8" fillId="0" borderId="105" xfId="2" applyFont="1" applyBorder="1" applyAlignment="1">
      <alignment wrapText="1"/>
    </xf>
    <xf numFmtId="49" fontId="7" fillId="2" borderId="105" xfId="2" applyNumberFormat="1" applyFont="1" applyFill="1" applyBorder="1" applyAlignment="1">
      <alignment horizontal="right"/>
    </xf>
    <xf numFmtId="0" fontId="8" fillId="0" borderId="117" xfId="5" applyFont="1" applyBorder="1" applyAlignment="1">
      <alignment vertical="top"/>
    </xf>
    <xf numFmtId="0" fontId="8" fillId="0" borderId="117" xfId="15" applyFont="1" applyBorder="1" applyAlignment="1">
      <alignment vertical="top" wrapText="1"/>
    </xf>
    <xf numFmtId="184" fontId="8" fillId="0" borderId="125" xfId="2" applyNumberFormat="1" applyFont="1" applyBorder="1"/>
    <xf numFmtId="173" fontId="8" fillId="0" borderId="125" xfId="14" applyNumberFormat="1" applyFont="1" applyFill="1" applyBorder="1"/>
    <xf numFmtId="173" fontId="8" fillId="0" borderId="125" xfId="14" applyNumberFormat="1" applyFont="1" applyFill="1" applyBorder="1" applyProtection="1">
      <protection locked="0"/>
    </xf>
    <xf numFmtId="184" fontId="8" fillId="0" borderId="132" xfId="2" applyNumberFormat="1" applyFont="1" applyBorder="1"/>
    <xf numFmtId="185" fontId="8" fillId="0" borderId="125" xfId="2" applyNumberFormat="1" applyFont="1" applyBorder="1" applyAlignment="1" applyProtection="1">
      <alignment horizontal="right"/>
      <protection locked="0"/>
    </xf>
    <xf numFmtId="170" fontId="8" fillId="0" borderId="125" xfId="2" applyNumberFormat="1" applyFont="1" applyBorder="1" applyAlignment="1" applyProtection="1">
      <alignment horizontal="right"/>
      <protection locked="0"/>
    </xf>
    <xf numFmtId="185" fontId="8" fillId="0" borderId="132" xfId="2" applyNumberFormat="1" applyFont="1" applyBorder="1" applyAlignment="1" applyProtection="1">
      <alignment horizontal="right"/>
      <protection locked="0"/>
    </xf>
    <xf numFmtId="185" fontId="7" fillId="0" borderId="132" xfId="2" applyNumberFormat="1" applyFont="1" applyBorder="1" applyAlignment="1" applyProtection="1">
      <alignment horizontal="right"/>
      <protection locked="0"/>
    </xf>
    <xf numFmtId="2" fontId="8" fillId="0" borderId="125" xfId="14" applyNumberFormat="1" applyFont="1" applyFill="1" applyBorder="1" applyProtection="1">
      <protection locked="0"/>
    </xf>
    <xf numFmtId="0" fontId="8" fillId="0" borderId="133" xfId="8" applyFont="1" applyBorder="1" applyAlignment="1">
      <alignment horizontal="right"/>
    </xf>
    <xf numFmtId="176" fontId="8" fillId="0" borderId="133" xfId="8" applyNumberFormat="1" applyFont="1" applyBorder="1" applyAlignment="1">
      <alignment horizontal="right"/>
    </xf>
    <xf numFmtId="176" fontId="8" fillId="7" borderId="133" xfId="8" applyNumberFormat="1" applyFont="1" applyFill="1" applyBorder="1" applyAlignment="1">
      <alignment horizontal="right"/>
    </xf>
    <xf numFmtId="176" fontId="8" fillId="8" borderId="133" xfId="8" applyNumberFormat="1" applyFont="1" applyFill="1" applyBorder="1" applyAlignment="1">
      <alignment horizontal="right"/>
    </xf>
    <xf numFmtId="3" fontId="8" fillId="0" borderId="134" xfId="2" applyNumberFormat="1" applyFont="1" applyBorder="1" applyAlignment="1">
      <alignment horizontal="right"/>
    </xf>
    <xf numFmtId="3" fontId="8" fillId="0" borderId="135" xfId="2" applyNumberFormat="1" applyFont="1" applyBorder="1" applyAlignment="1">
      <alignment horizontal="right"/>
    </xf>
    <xf numFmtId="0" fontId="7" fillId="0" borderId="127" xfId="2" applyFont="1" applyBorder="1"/>
    <xf numFmtId="0" fontId="7" fillId="0" borderId="21" xfId="13" applyFont="1" applyBorder="1" applyAlignment="1">
      <alignment horizontal="right" wrapText="1"/>
    </xf>
    <xf numFmtId="0" fontId="52" fillId="0" borderId="135" xfId="13" applyFont="1" applyBorder="1" applyAlignment="1">
      <alignment horizontal="right" wrapText="1"/>
    </xf>
    <xf numFmtId="184" fontId="8" fillId="0" borderId="134" xfId="2" applyNumberFormat="1" applyFont="1" applyBorder="1" applyAlignment="1">
      <alignment horizontal="right"/>
    </xf>
    <xf numFmtId="0" fontId="8" fillId="0" borderId="137" xfId="2" applyFont="1" applyBorder="1"/>
    <xf numFmtId="0" fontId="7" fillId="0" borderId="132" xfId="2" applyFont="1" applyBorder="1"/>
    <xf numFmtId="0" fontId="6" fillId="0" borderId="105" xfId="2" applyFont="1" applyBorder="1" applyProtection="1">
      <protection locked="0"/>
    </xf>
    <xf numFmtId="166" fontId="7" fillId="0" borderId="105" xfId="4" applyFont="1" applyBorder="1" applyAlignment="1">
      <alignment horizontal="right"/>
    </xf>
    <xf numFmtId="188" fontId="7" fillId="0" borderId="105" xfId="28" applyFont="1" applyBorder="1" applyAlignment="1">
      <alignment horizontal="right" vertical="top"/>
    </xf>
    <xf numFmtId="188" fontId="8" fillId="0" borderId="105" xfId="28" applyFont="1" applyBorder="1" applyProtection="1">
      <protection locked="0"/>
    </xf>
    <xf numFmtId="17" fontId="7" fillId="0" borderId="105" xfId="2" quotePrefix="1" applyNumberFormat="1" applyFont="1" applyBorder="1" applyAlignment="1">
      <alignment horizontal="center" wrapText="1"/>
    </xf>
    <xf numFmtId="17" fontId="7" fillId="0" borderId="105" xfId="2" quotePrefix="1" applyNumberFormat="1" applyFont="1" applyBorder="1" applyAlignment="1">
      <alignment horizontal="right" wrapText="1"/>
    </xf>
    <xf numFmtId="17" fontId="7" fillId="0" borderId="21" xfId="2" quotePrefix="1" applyNumberFormat="1" applyFont="1" applyBorder="1" applyAlignment="1">
      <alignment horizontal="right"/>
    </xf>
    <xf numFmtId="173" fontId="8" fillId="0" borderId="134" xfId="23" applyNumberFormat="1" applyFont="1" applyFill="1" applyBorder="1" applyAlignment="1" applyProtection="1">
      <alignment horizontal="right"/>
    </xf>
    <xf numFmtId="173" fontId="8" fillId="0" borderId="135" xfId="23" applyNumberFormat="1" applyFont="1" applyFill="1" applyBorder="1" applyAlignment="1" applyProtection="1">
      <alignment horizontal="right"/>
    </xf>
    <xf numFmtId="3" fontId="7" fillId="0" borderId="134" xfId="2" applyNumberFormat="1" applyFont="1" applyBorder="1" applyAlignment="1">
      <alignment horizontal="right"/>
    </xf>
    <xf numFmtId="3" fontId="7" fillId="0" borderId="135" xfId="2" applyNumberFormat="1" applyFont="1" applyBorder="1" applyAlignment="1">
      <alignment horizontal="right"/>
    </xf>
    <xf numFmtId="0" fontId="7" fillId="0" borderId="105" xfId="2" applyFont="1" applyBorder="1" applyAlignment="1">
      <alignment horizontal="center" vertical="top" wrapText="1"/>
    </xf>
    <xf numFmtId="185" fontId="52" fillId="0" borderId="105" xfId="2" applyNumberFormat="1" applyFont="1" applyBorder="1" applyAlignment="1">
      <alignment horizontal="right"/>
    </xf>
    <xf numFmtId="173" fontId="52" fillId="0" borderId="105" xfId="14" applyNumberFormat="1" applyFont="1" applyFill="1" applyBorder="1" applyAlignment="1" applyProtection="1">
      <alignment horizontal="right"/>
    </xf>
    <xf numFmtId="185" fontId="8" fillId="0" borderId="105" xfId="2" applyNumberFormat="1" applyFont="1" applyBorder="1" applyAlignment="1">
      <alignment horizontal="right"/>
    </xf>
    <xf numFmtId="0" fontId="4" fillId="0" borderId="105" xfId="15" applyBorder="1"/>
    <xf numFmtId="0" fontId="1" fillId="0" borderId="105" xfId="2" applyFont="1" applyBorder="1"/>
    <xf numFmtId="3" fontId="8" fillId="0" borderId="111" xfId="14" applyNumberFormat="1" applyFont="1" applyFill="1" applyBorder="1" applyAlignment="1" applyProtection="1">
      <alignment horizontal="right"/>
    </xf>
    <xf numFmtId="1" fontId="8" fillId="0" borderId="134" xfId="15" applyNumberFormat="1" applyFont="1" applyBorder="1" applyAlignment="1">
      <alignment horizontal="right"/>
    </xf>
    <xf numFmtId="0" fontId="7" fillId="0" borderId="134" xfId="17" applyNumberFormat="1" applyFont="1" applyFill="1" applyBorder="1" applyAlignment="1">
      <alignment horizontal="right"/>
    </xf>
    <xf numFmtId="0" fontId="7" fillId="0" borderId="135" xfId="17" applyNumberFormat="1" applyFont="1" applyFill="1" applyBorder="1" applyAlignment="1">
      <alignment horizontal="right"/>
    </xf>
    <xf numFmtId="0" fontId="15" fillId="0" borderId="105" xfId="2" applyFont="1" applyBorder="1"/>
    <xf numFmtId="0" fontId="6" fillId="0" borderId="134" xfId="2" applyFont="1" applyBorder="1"/>
    <xf numFmtId="0" fontId="6" fillId="0" borderId="135" xfId="2" applyFont="1" applyBorder="1"/>
    <xf numFmtId="0" fontId="8" fillId="0" borderId="134" xfId="2" applyFont="1" applyBorder="1"/>
    <xf numFmtId="0" fontId="78" fillId="0" borderId="105" xfId="2" applyFont="1" applyBorder="1"/>
    <xf numFmtId="0" fontId="79" fillId="0" borderId="105" xfId="2" applyFont="1" applyBorder="1"/>
    <xf numFmtId="0" fontId="77" fillId="0" borderId="105" xfId="2" applyFont="1" applyBorder="1"/>
    <xf numFmtId="0" fontId="8" fillId="0" borderId="136" xfId="13" applyFont="1" applyBorder="1" applyAlignment="1">
      <alignment horizontal="right"/>
    </xf>
    <xf numFmtId="0" fontId="8" fillId="0" borderId="134" xfId="13" applyFont="1" applyBorder="1" applyAlignment="1">
      <alignment horizontal="right"/>
    </xf>
    <xf numFmtId="184" fontId="8" fillId="0" borderId="135" xfId="2" applyNumberFormat="1" applyFont="1" applyBorder="1" applyAlignment="1">
      <alignment horizontal="right"/>
    </xf>
    <xf numFmtId="0" fontId="7" fillId="0" borderId="105" xfId="2" applyFont="1" applyBorder="1" applyAlignment="1">
      <alignment horizontal="right" vertical="center"/>
    </xf>
    <xf numFmtId="0" fontId="41" fillId="0" borderId="105" xfId="2" applyFont="1" applyBorder="1" applyAlignment="1">
      <alignment horizontal="right" vertical="center"/>
    </xf>
    <xf numFmtId="0" fontId="41" fillId="0" borderId="105" xfId="2" applyFont="1" applyBorder="1" applyAlignment="1">
      <alignment horizontal="center" vertical="center"/>
    </xf>
    <xf numFmtId="0" fontId="90" fillId="0" borderId="105" xfId="2" applyFont="1" applyBorder="1"/>
    <xf numFmtId="1" fontId="8" fillId="0" borderId="105" xfId="2" applyNumberFormat="1" applyFont="1" applyBorder="1" applyAlignment="1">
      <alignment horizontal="right"/>
    </xf>
    <xf numFmtId="184" fontId="8" fillId="0" borderId="116" xfId="2" applyNumberFormat="1" applyFont="1" applyBorder="1" applyAlignment="1">
      <alignment horizontal="right"/>
    </xf>
    <xf numFmtId="3" fontId="11" fillId="0" borderId="57" xfId="2" applyNumberFormat="1" applyFont="1" applyBorder="1" applyProtection="1">
      <protection locked="0"/>
    </xf>
    <xf numFmtId="1" fontId="11" fillId="0" borderId="111" xfId="2" applyNumberFormat="1" applyFont="1" applyBorder="1" applyProtection="1">
      <protection locked="0"/>
    </xf>
    <xf numFmtId="0" fontId="8" fillId="0" borderId="134" xfId="2" applyFont="1" applyBorder="1" applyAlignment="1">
      <alignment horizontal="justify"/>
    </xf>
    <xf numFmtId="170" fontId="8" fillId="0" borderId="136" xfId="17" applyNumberFormat="1" applyFont="1" applyFill="1" applyBorder="1" applyAlignment="1" applyProtection="1">
      <alignment horizontal="right"/>
    </xf>
    <xf numFmtId="170" fontId="11" fillId="0" borderId="136" xfId="17" applyNumberFormat="1" applyFont="1" applyFill="1" applyBorder="1" applyAlignment="1" applyProtection="1">
      <alignment horizontal="right"/>
    </xf>
    <xf numFmtId="0" fontId="8" fillId="0" borderId="134" xfId="2" applyFont="1" applyBorder="1" applyAlignment="1">
      <alignment horizontal="left" wrapText="1"/>
    </xf>
    <xf numFmtId="0" fontId="8" fillId="0" borderId="134" xfId="1" applyNumberFormat="1" applyFont="1" applyFill="1" applyBorder="1" applyAlignment="1" applyProtection="1">
      <alignment horizontal="right"/>
    </xf>
    <xf numFmtId="170" fontId="8" fillId="0" borderId="134" xfId="1" applyNumberFormat="1" applyFont="1" applyFill="1" applyBorder="1" applyAlignment="1" applyProtection="1">
      <alignment horizontal="right" wrapText="1"/>
    </xf>
    <xf numFmtId="9" fontId="8" fillId="0" borderId="134" xfId="1" applyFont="1" applyFill="1" applyBorder="1" applyAlignment="1" applyProtection="1">
      <alignment horizontal="right"/>
    </xf>
    <xf numFmtId="170" fontId="8" fillId="0" borderId="134" xfId="1" applyNumberFormat="1" applyFont="1" applyFill="1" applyBorder="1" applyAlignment="1" applyProtection="1">
      <alignment horizontal="right"/>
    </xf>
    <xf numFmtId="0" fontId="98" fillId="0" borderId="105" xfId="2" applyFont="1" applyBorder="1" applyAlignment="1">
      <alignment horizontal="right"/>
    </xf>
    <xf numFmtId="170" fontId="8" fillId="0" borderId="134" xfId="17" applyNumberFormat="1" applyFont="1" applyFill="1" applyBorder="1" applyAlignment="1" applyProtection="1">
      <alignment horizontal="right"/>
    </xf>
    <xf numFmtId="0" fontId="8" fillId="0" borderId="134" xfId="2" applyFont="1" applyBorder="1" applyAlignment="1">
      <alignment horizontal="right" wrapText="1"/>
    </xf>
    <xf numFmtId="2" fontId="8" fillId="0" borderId="134" xfId="2" applyNumberFormat="1" applyFont="1" applyBorder="1" applyAlignment="1" applyProtection="1">
      <alignment horizontal="right"/>
      <protection locked="0"/>
    </xf>
    <xf numFmtId="2" fontId="8" fillId="0" borderId="134" xfId="2" applyNumberFormat="1" applyFont="1" applyBorder="1" applyAlignment="1">
      <alignment horizontal="right"/>
    </xf>
    <xf numFmtId="2" fontId="8" fillId="0" borderId="136" xfId="2" applyNumberFormat="1" applyFont="1" applyBorder="1" applyAlignment="1">
      <alignment horizontal="right"/>
    </xf>
    <xf numFmtId="3" fontId="8" fillId="0" borderId="134" xfId="2" applyNumberFormat="1" applyFont="1" applyBorder="1"/>
    <xf numFmtId="0" fontId="8" fillId="0" borderId="134" xfId="2" applyFont="1" applyBorder="1" applyProtection="1">
      <protection locked="0"/>
    </xf>
    <xf numFmtId="173" fontId="8" fillId="0" borderId="134" xfId="2" applyNumberFormat="1" applyFont="1" applyBorder="1" applyAlignment="1">
      <alignment horizontal="right"/>
    </xf>
    <xf numFmtId="3" fontId="8" fillId="0" borderId="136" xfId="2" applyNumberFormat="1" applyFont="1" applyBorder="1" applyAlignment="1">
      <alignment horizontal="right"/>
    </xf>
    <xf numFmtId="0" fontId="7" fillId="0" borderId="134" xfId="2" applyFont="1" applyBorder="1"/>
    <xf numFmtId="0" fontId="7" fillId="0" borderId="134" xfId="2" applyFont="1" applyBorder="1" applyAlignment="1">
      <alignment horizontal="right" wrapText="1"/>
    </xf>
    <xf numFmtId="0" fontId="7" fillId="0" borderId="136" xfId="2" applyFont="1" applyBorder="1" applyAlignment="1">
      <alignment horizontal="center" vertical="center" wrapText="1"/>
    </xf>
    <xf numFmtId="0" fontId="8" fillId="2" borderId="136" xfId="17" applyNumberFormat="1" applyFont="1" applyFill="1" applyBorder="1" applyAlignment="1">
      <alignment horizontal="right"/>
    </xf>
    <xf numFmtId="0" fontId="8" fillId="0" borderId="136" xfId="17" applyNumberFormat="1" applyFont="1" applyFill="1" applyBorder="1" applyAlignment="1">
      <alignment horizontal="right"/>
    </xf>
    <xf numFmtId="1" fontId="36" fillId="0" borderId="105" xfId="0" applyNumberFormat="1" applyFont="1" applyBorder="1" applyAlignment="1">
      <alignment horizontal="center"/>
    </xf>
    <xf numFmtId="1" fontId="25" fillId="2" borderId="105" xfId="0" applyNumberFormat="1" applyFont="1" applyFill="1" applyBorder="1" applyAlignment="1">
      <alignment horizontal="center"/>
    </xf>
    <xf numFmtId="170" fontId="8" fillId="0" borderId="136" xfId="17" applyNumberFormat="1" applyFont="1" applyFill="1" applyBorder="1"/>
    <xf numFmtId="173" fontId="8" fillId="0" borderId="134" xfId="14" applyNumberFormat="1" applyFont="1" applyFill="1" applyBorder="1" applyAlignment="1">
      <alignment horizontal="right"/>
    </xf>
    <xf numFmtId="170" fontId="8" fillId="0" borderId="134" xfId="17" applyNumberFormat="1" applyFont="1" applyFill="1" applyBorder="1"/>
    <xf numFmtId="170" fontId="8" fillId="0" borderId="136" xfId="17" applyNumberFormat="1" applyFont="1" applyFill="1" applyBorder="1" applyAlignment="1">
      <alignment horizontal="right"/>
    </xf>
    <xf numFmtId="3" fontId="11" fillId="0" borderId="134" xfId="0" applyNumberFormat="1" applyFont="1" applyBorder="1" applyAlignment="1">
      <alignment horizontal="right" vertical="center"/>
    </xf>
    <xf numFmtId="0" fontId="11" fillId="0" borderId="135" xfId="0" applyFont="1" applyBorder="1" applyAlignment="1">
      <alignment horizontal="right" vertical="center"/>
    </xf>
    <xf numFmtId="0" fontId="7" fillId="0" borderId="134" xfId="2" applyFont="1" applyBorder="1" applyAlignment="1">
      <alignment horizontal="center" vertical="top"/>
    </xf>
    <xf numFmtId="170" fontId="8" fillId="0" borderId="135" xfId="17" applyNumberFormat="1" applyFont="1" applyFill="1" applyBorder="1"/>
    <xf numFmtId="208" fontId="11" fillId="0" borderId="134" xfId="0" applyNumberFormat="1" applyFont="1" applyBorder="1"/>
    <xf numFmtId="9" fontId="11" fillId="0" borderId="135" xfId="1" applyFont="1" applyBorder="1"/>
    <xf numFmtId="0" fontId="7" fillId="0" borderId="134" xfId="2" applyFont="1" applyBorder="1" applyAlignment="1">
      <alignment horizontal="center"/>
    </xf>
    <xf numFmtId="0" fontId="7" fillId="0" borderId="136" xfId="2" applyFont="1" applyBorder="1" applyAlignment="1">
      <alignment horizontal="center"/>
    </xf>
    <xf numFmtId="0" fontId="7" fillId="0" borderId="135" xfId="2" applyFont="1" applyBorder="1" applyAlignment="1">
      <alignment horizontal="center"/>
    </xf>
    <xf numFmtId="0" fontId="11" fillId="0" borderId="134" xfId="0" applyFont="1" applyBorder="1" applyAlignment="1">
      <alignment horizontal="right" vertical="center" wrapText="1"/>
    </xf>
    <xf numFmtId="0" fontId="11" fillId="0" borderId="136" xfId="0" applyFont="1" applyBorder="1" applyAlignment="1">
      <alignment horizontal="right" vertical="center" wrapText="1"/>
    </xf>
    <xf numFmtId="0" fontId="11" fillId="0" borderId="134" xfId="0" applyFont="1" applyBorder="1" applyAlignment="1">
      <alignment horizontal="right" vertical="center"/>
    </xf>
    <xf numFmtId="10" fontId="11" fillId="0" borderId="135" xfId="0" applyNumberFormat="1" applyFont="1" applyBorder="1" applyAlignment="1">
      <alignment horizontal="right" vertical="center" wrapText="1"/>
    </xf>
    <xf numFmtId="0" fontId="11" fillId="0" borderId="135" xfId="0" applyFont="1" applyBorder="1" applyAlignment="1">
      <alignment vertical="center"/>
    </xf>
    <xf numFmtId="0" fontId="7" fillId="0" borderId="116" xfId="2" applyFont="1" applyBorder="1"/>
    <xf numFmtId="165" fontId="8" fillId="0" borderId="136" xfId="2" applyNumberFormat="1" applyFont="1" applyBorder="1" applyAlignment="1">
      <alignment horizontal="right"/>
    </xf>
    <xf numFmtId="165" fontId="8" fillId="0" borderId="135" xfId="2" applyNumberFormat="1" applyFont="1" applyBorder="1" applyAlignment="1">
      <alignment horizontal="right"/>
    </xf>
    <xf numFmtId="0" fontId="11" fillId="0" borderId="134" xfId="0" applyFont="1" applyBorder="1"/>
    <xf numFmtId="179" fontId="11" fillId="0" borderId="105" xfId="0" applyNumberFormat="1" applyFont="1" applyBorder="1"/>
    <xf numFmtId="0" fontId="14" fillId="13" borderId="105" xfId="0" applyFont="1" applyFill="1" applyBorder="1" applyAlignment="1">
      <alignment horizontal="right" vertical="center" wrapText="1"/>
    </xf>
    <xf numFmtId="0" fontId="14" fillId="13" borderId="105" xfId="0" applyFont="1" applyFill="1" applyBorder="1" applyAlignment="1">
      <alignment horizontal="right" vertical="center"/>
    </xf>
    <xf numFmtId="0" fontId="7" fillId="13" borderId="105" xfId="3" applyFont="1" applyFill="1" applyBorder="1" applyProtection="1">
      <protection locked="0"/>
    </xf>
    <xf numFmtId="0" fontId="11" fillId="13" borderId="105" xfId="0" applyFont="1" applyFill="1" applyBorder="1" applyAlignment="1">
      <alignment horizontal="right" vertical="center" wrapText="1"/>
    </xf>
    <xf numFmtId="10" fontId="11" fillId="13" borderId="105" xfId="0" applyNumberFormat="1" applyFont="1" applyFill="1" applyBorder="1" applyAlignment="1">
      <alignment horizontal="right" vertical="center"/>
    </xf>
    <xf numFmtId="10" fontId="8" fillId="13" borderId="105" xfId="11" applyNumberFormat="1" applyFont="1" applyFill="1" applyBorder="1">
      <protection locked="0"/>
    </xf>
    <xf numFmtId="10" fontId="45" fillId="13" borderId="105" xfId="1" applyNumberFormat="1" applyFont="1" applyFill="1" applyBorder="1" applyAlignment="1">
      <alignment horizontal="right" vertical="center"/>
    </xf>
    <xf numFmtId="10" fontId="45" fillId="13" borderId="105" xfId="0" applyNumberFormat="1" applyFont="1" applyFill="1" applyBorder="1" applyAlignment="1">
      <alignment horizontal="right" vertical="center"/>
    </xf>
    <xf numFmtId="10" fontId="11" fillId="13" borderId="105" xfId="1" applyNumberFormat="1" applyFont="1" applyFill="1" applyBorder="1" applyProtection="1">
      <protection locked="0"/>
    </xf>
    <xf numFmtId="10" fontId="8" fillId="13" borderId="105" xfId="1" applyNumberFormat="1" applyFont="1" applyFill="1" applyBorder="1" applyAlignment="1" applyProtection="1">
      <alignment horizontal="right"/>
      <protection locked="0"/>
    </xf>
    <xf numFmtId="10" fontId="45" fillId="13" borderId="105" xfId="0" applyNumberFormat="1" applyFont="1" applyFill="1" applyBorder="1" applyAlignment="1">
      <alignment horizontal="right"/>
    </xf>
    <xf numFmtId="180" fontId="8" fillId="13" borderId="105" xfId="12" applyNumberFormat="1" applyFont="1" applyFill="1" applyBorder="1" applyAlignment="1">
      <alignment horizontal="right"/>
      <protection locked="0"/>
    </xf>
    <xf numFmtId="180" fontId="8" fillId="13" borderId="105" xfId="12" applyNumberFormat="1" applyFont="1" applyFill="1" applyBorder="1">
      <protection locked="0"/>
    </xf>
    <xf numFmtId="10" fontId="8" fillId="13" borderId="105" xfId="1" applyNumberFormat="1" applyFont="1" applyFill="1" applyBorder="1" applyProtection="1">
      <protection locked="0"/>
    </xf>
    <xf numFmtId="174" fontId="8" fillId="0" borderId="134" xfId="2" applyNumberFormat="1" applyFont="1" applyBorder="1" applyAlignment="1">
      <alignment horizontal="right"/>
    </xf>
    <xf numFmtId="0" fontId="8" fillId="2" borderId="134" xfId="2" applyFont="1" applyFill="1" applyBorder="1"/>
    <xf numFmtId="0" fontId="59" fillId="0" borderId="134" xfId="2" applyFont="1" applyBorder="1" applyAlignment="1">
      <alignment horizontal="right"/>
    </xf>
    <xf numFmtId="0" fontId="8" fillId="20" borderId="134" xfId="2" applyFont="1" applyFill="1" applyBorder="1"/>
    <xf numFmtId="0" fontId="8" fillId="20" borderId="134" xfId="2" applyFont="1" applyFill="1" applyBorder="1" applyProtection="1">
      <protection locked="0"/>
    </xf>
    <xf numFmtId="167" fontId="8" fillId="0" borderId="134" xfId="2" applyNumberFormat="1" applyFont="1" applyBorder="1"/>
    <xf numFmtId="0" fontId="11" fillId="0" borderId="134" xfId="2" applyFont="1" applyBorder="1" applyProtection="1">
      <protection locked="0"/>
    </xf>
    <xf numFmtId="2" fontId="0" fillId="0" borderId="134" xfId="17" applyNumberFormat="1" applyFont="1" applyFill="1" applyBorder="1" applyProtection="1">
      <protection locked="0"/>
    </xf>
    <xf numFmtId="165" fontId="8" fillId="0" borderId="136" xfId="15" applyNumberFormat="1" applyFont="1" applyBorder="1" applyAlignment="1">
      <alignment horizontal="right"/>
    </xf>
    <xf numFmtId="165" fontId="8" fillId="0" borderId="134" xfId="15" applyNumberFormat="1" applyFont="1" applyBorder="1" applyAlignment="1">
      <alignment horizontal="right"/>
    </xf>
    <xf numFmtId="0" fontId="8" fillId="0" borderId="134" xfId="15" applyFont="1" applyBorder="1" applyAlignment="1">
      <alignment horizontal="left"/>
    </xf>
    <xf numFmtId="165" fontId="8" fillId="2" borderId="134" xfId="15" applyNumberFormat="1" applyFont="1" applyFill="1" applyBorder="1" applyAlignment="1">
      <alignment horizontal="right"/>
    </xf>
    <xf numFmtId="0" fontId="32" fillId="0" borderId="21" xfId="2" quotePrefix="1" applyFont="1" applyBorder="1" applyAlignment="1">
      <alignment horizontal="right"/>
    </xf>
    <xf numFmtId="167" fontId="12" fillId="0" borderId="134" xfId="2" applyNumberFormat="1" applyFont="1" applyBorder="1"/>
    <xf numFmtId="167" fontId="12" fillId="0" borderId="135" xfId="2" applyNumberFormat="1" applyFont="1" applyBorder="1"/>
    <xf numFmtId="0" fontId="7" fillId="0" borderId="21" xfId="2" quotePrefix="1" applyFont="1" applyBorder="1" applyAlignment="1">
      <alignment horizontal="right"/>
    </xf>
    <xf numFmtId="0" fontId="99" fillId="0" borderId="111" xfId="2" applyFont="1" applyBorder="1" applyProtection="1">
      <protection locked="0"/>
    </xf>
    <xf numFmtId="0" fontId="15" fillId="2" borderId="21" xfId="2" applyFont="1" applyFill="1" applyBorder="1" applyAlignment="1" applyProtection="1">
      <alignment horizontal="right" vertical="top" wrapText="1"/>
      <protection locked="0"/>
    </xf>
    <xf numFmtId="0" fontId="7" fillId="2" borderId="105" xfId="2" quotePrefix="1" applyFont="1" applyFill="1" applyBorder="1" applyAlignment="1">
      <alignment horizontal="right"/>
    </xf>
    <xf numFmtId="17" fontId="8" fillId="0" borderId="105" xfId="2" quotePrefix="1" applyNumberFormat="1" applyFont="1" applyBorder="1"/>
    <xf numFmtId="17" fontId="7" fillId="0" borderId="105" xfId="2" quotePrefix="1" applyNumberFormat="1" applyFont="1" applyBorder="1"/>
    <xf numFmtId="17" fontId="63" fillId="3" borderId="105" xfId="2" quotePrefix="1" applyNumberFormat="1" applyFont="1" applyFill="1" applyBorder="1" applyAlignment="1">
      <alignment horizontal="right"/>
    </xf>
    <xf numFmtId="3" fontId="8" fillId="0" borderId="138" xfId="2" applyNumberFormat="1" applyFont="1" applyBorder="1" applyAlignment="1">
      <alignment horizontal="right"/>
    </xf>
    <xf numFmtId="0" fontId="8" fillId="0" borderId="139" xfId="2" applyFont="1" applyBorder="1" applyAlignment="1">
      <alignment vertical="top"/>
    </xf>
    <xf numFmtId="0" fontId="8" fillId="0" borderId="139" xfId="2" applyFont="1" applyBorder="1" applyAlignment="1">
      <alignment vertical="top" wrapText="1"/>
    </xf>
    <xf numFmtId="0" fontId="44" fillId="0" borderId="139" xfId="2" applyFont="1" applyBorder="1" applyAlignment="1">
      <alignment vertical="top" wrapText="1"/>
    </xf>
    <xf numFmtId="0" fontId="44" fillId="0" borderId="139" xfId="2" applyFont="1" applyBorder="1" applyAlignment="1">
      <alignment vertical="top"/>
    </xf>
    <xf numFmtId="0" fontId="7" fillId="2" borderId="135" xfId="2" applyFont="1" applyFill="1" applyBorder="1"/>
    <xf numFmtId="0" fontId="8" fillId="2" borderId="135" xfId="2" applyFont="1" applyFill="1" applyBorder="1"/>
    <xf numFmtId="173" fontId="8" fillId="2" borderId="136" xfId="18" applyNumberFormat="1" applyFont="1" applyFill="1" applyBorder="1"/>
    <xf numFmtId="182" fontId="8" fillId="0" borderId="136" xfId="15" applyNumberFormat="1" applyFont="1" applyBorder="1" applyAlignment="1">
      <alignment horizontal="right"/>
    </xf>
    <xf numFmtId="184" fontId="8" fillId="0" borderId="138" xfId="2" applyNumberFormat="1" applyFont="1" applyBorder="1" applyAlignment="1">
      <alignment wrapText="1"/>
    </xf>
    <xf numFmtId="184" fontId="8" fillId="0" borderId="138" xfId="2" applyNumberFormat="1" applyFont="1" applyBorder="1" applyAlignment="1">
      <alignment horizontal="right"/>
    </xf>
    <xf numFmtId="0" fontId="8" fillId="0" borderId="141" xfId="15" applyFont="1" applyBorder="1" applyAlignment="1">
      <alignment wrapText="1"/>
    </xf>
    <xf numFmtId="1" fontId="8" fillId="0" borderId="142" xfId="15" applyNumberFormat="1" applyFont="1" applyBorder="1" applyAlignment="1">
      <alignment horizontal="right"/>
    </xf>
    <xf numFmtId="1" fontId="8" fillId="0" borderId="143" xfId="15" applyNumberFormat="1" applyFont="1" applyBorder="1" applyAlignment="1">
      <alignment horizontal="right"/>
    </xf>
    <xf numFmtId="1" fontId="7" fillId="0" borderId="144" xfId="15" applyNumberFormat="1" applyFont="1" applyBorder="1" applyAlignment="1">
      <alignment horizontal="right"/>
    </xf>
    <xf numFmtId="0" fontId="7" fillId="0" borderId="138" xfId="17" applyNumberFormat="1" applyFont="1" applyFill="1" applyBorder="1" applyAlignment="1">
      <alignment horizontal="right"/>
    </xf>
    <xf numFmtId="0" fontId="8" fillId="0" borderId="140" xfId="2" applyFont="1" applyBorder="1" applyAlignment="1" applyProtection="1">
      <alignment wrapText="1"/>
      <protection locked="0"/>
    </xf>
    <xf numFmtId="165" fontId="8" fillId="0" borderId="141" xfId="2" applyNumberFormat="1" applyFont="1" applyBorder="1"/>
    <xf numFmtId="165" fontId="8" fillId="0" borderId="142" xfId="2" applyNumberFormat="1" applyFont="1" applyBorder="1"/>
    <xf numFmtId="165" fontId="8" fillId="0" borderId="142" xfId="2" applyNumberFormat="1" applyFont="1" applyBorder="1" applyAlignment="1">
      <alignment horizontal="right"/>
    </xf>
    <xf numFmtId="165" fontId="8" fillId="0" borderId="143" xfId="2" applyNumberFormat="1" applyFont="1" applyBorder="1" applyAlignment="1">
      <alignment horizontal="right"/>
    </xf>
    <xf numFmtId="165" fontId="8" fillId="0" borderId="145" xfId="2" applyNumberFormat="1" applyFont="1" applyBorder="1" applyAlignment="1">
      <alignment horizontal="right"/>
    </xf>
    <xf numFmtId="0" fontId="4" fillId="0" borderId="141" xfId="2" applyBorder="1" applyAlignment="1">
      <alignment vertical="top" wrapText="1"/>
    </xf>
    <xf numFmtId="0" fontId="8" fillId="0" borderId="141" xfId="2" applyFont="1" applyBorder="1"/>
    <xf numFmtId="0" fontId="6" fillId="0" borderId="141" xfId="2" applyFont="1" applyBorder="1"/>
    <xf numFmtId="0" fontId="6" fillId="0" borderId="147" xfId="2" applyFont="1" applyBorder="1"/>
    <xf numFmtId="0" fontId="8" fillId="0" borderId="146" xfId="13" applyFont="1" applyBorder="1" applyAlignment="1">
      <alignment horizontal="right"/>
    </xf>
    <xf numFmtId="0" fontId="8" fillId="0" borderId="142" xfId="13" applyFont="1" applyBorder="1" applyAlignment="1">
      <alignment horizontal="right"/>
    </xf>
    <xf numFmtId="0" fontId="8" fillId="0" borderId="145" xfId="13" applyFont="1" applyBorder="1" applyAlignment="1">
      <alignment horizontal="right"/>
    </xf>
    <xf numFmtId="184" fontId="8" fillId="0" borderId="147" xfId="2" applyNumberFormat="1" applyFont="1" applyBorder="1" applyAlignment="1">
      <alignment horizontal="right"/>
    </xf>
    <xf numFmtId="0" fontId="8" fillId="0" borderId="138" xfId="13" applyFont="1" applyBorder="1" applyAlignment="1">
      <alignment horizontal="right"/>
    </xf>
    <xf numFmtId="0" fontId="8" fillId="0" borderId="144" xfId="2" applyFont="1" applyBorder="1" applyAlignment="1">
      <alignment wrapText="1"/>
    </xf>
    <xf numFmtId="2" fontId="8" fillId="0" borderId="148" xfId="14" applyNumberFormat="1" applyFont="1" applyFill="1" applyBorder="1" applyAlignment="1">
      <alignment horizontal="right"/>
    </xf>
    <xf numFmtId="2" fontId="8" fillId="0" borderId="144" xfId="14" applyNumberFormat="1" applyFont="1" applyFill="1" applyBorder="1" applyAlignment="1">
      <alignment horizontal="right"/>
    </xf>
    <xf numFmtId="2" fontId="8" fillId="0" borderId="149" xfId="14" applyNumberFormat="1" applyFont="1" applyFill="1" applyBorder="1" applyAlignment="1">
      <alignment horizontal="right"/>
    </xf>
    <xf numFmtId="2" fontId="8" fillId="0" borderId="144" xfId="2" applyNumberFormat="1" applyFont="1" applyBorder="1" applyAlignment="1">
      <alignment horizontal="right"/>
    </xf>
    <xf numFmtId="2" fontId="8" fillId="0" borderId="149" xfId="2" applyNumberFormat="1" applyFont="1" applyBorder="1" applyAlignment="1">
      <alignment horizontal="right"/>
    </xf>
    <xf numFmtId="2" fontId="8" fillId="0" borderId="144" xfId="2" applyNumberFormat="1" applyFont="1" applyBorder="1" applyAlignment="1">
      <alignment horizontal="right" wrapText="1"/>
    </xf>
    <xf numFmtId="2" fontId="8" fillId="0" borderId="149" xfId="2" applyNumberFormat="1" applyFont="1" applyBorder="1" applyAlignment="1">
      <alignment horizontal="right" wrapText="1"/>
    </xf>
    <xf numFmtId="2" fontId="8" fillId="0" borderId="147" xfId="2" applyNumberFormat="1" applyFont="1" applyBorder="1" applyAlignment="1">
      <alignment horizontal="right" wrapText="1"/>
    </xf>
    <xf numFmtId="195" fontId="8" fillId="0" borderId="138" xfId="2" applyNumberFormat="1" applyFont="1" applyBorder="1" applyAlignment="1">
      <alignment horizontal="right"/>
    </xf>
    <xf numFmtId="178" fontId="8" fillId="0" borderId="138" xfId="2" applyNumberFormat="1" applyFont="1" applyBorder="1" applyAlignment="1">
      <alignment horizontal="right"/>
    </xf>
    <xf numFmtId="0" fontId="8" fillId="0" borderId="144" xfId="2" applyFont="1" applyBorder="1" applyAlignment="1">
      <alignment horizontal="justify"/>
    </xf>
    <xf numFmtId="9" fontId="8" fillId="0" borderId="148" xfId="17" applyFont="1" applyFill="1" applyBorder="1" applyAlignment="1" applyProtection="1">
      <alignment horizontal="right"/>
    </xf>
    <xf numFmtId="9" fontId="8" fillId="0" borderId="144" xfId="17" applyFont="1" applyFill="1" applyBorder="1" applyAlignment="1" applyProtection="1">
      <alignment horizontal="right"/>
    </xf>
    <xf numFmtId="170" fontId="8" fillId="0" borderId="149" xfId="17" applyNumberFormat="1" applyFont="1" applyFill="1" applyBorder="1" applyAlignment="1" applyProtection="1">
      <alignment horizontal="right"/>
    </xf>
    <xf numFmtId="1" fontId="11" fillId="0" borderId="143" xfId="2" applyNumberFormat="1" applyFont="1" applyBorder="1" applyProtection="1">
      <protection locked="0"/>
    </xf>
    <xf numFmtId="170" fontId="8" fillId="0" borderId="148" xfId="17" applyNumberFormat="1" applyFont="1" applyFill="1" applyBorder="1" applyAlignment="1" applyProtection="1">
      <alignment horizontal="right"/>
    </xf>
    <xf numFmtId="170" fontId="11" fillId="0" borderId="148" xfId="17" applyNumberFormat="1" applyFont="1" applyFill="1" applyBorder="1" applyAlignment="1" applyProtection="1">
      <alignment horizontal="right"/>
    </xf>
    <xf numFmtId="170" fontId="11" fillId="0" borderId="149" xfId="17" applyNumberFormat="1" applyFont="1" applyFill="1" applyBorder="1" applyAlignment="1" applyProtection="1">
      <alignment horizontal="right"/>
    </xf>
    <xf numFmtId="3" fontId="8" fillId="2" borderId="142" xfId="2" applyNumberFormat="1" applyFont="1" applyFill="1" applyBorder="1"/>
    <xf numFmtId="3" fontId="8" fillId="2" borderId="143" xfId="2" applyNumberFormat="1" applyFont="1" applyFill="1" applyBorder="1"/>
    <xf numFmtId="3" fontId="7" fillId="2" borderId="142" xfId="2" applyNumberFormat="1" applyFont="1" applyFill="1" applyBorder="1"/>
    <xf numFmtId="169" fontId="0" fillId="2" borderId="142" xfId="2" applyNumberFormat="1" applyFont="1" applyFill="1" applyBorder="1" applyProtection="1">
      <protection locked="0"/>
    </xf>
    <xf numFmtId="0" fontId="7" fillId="0" borderId="145" xfId="2" applyFont="1" applyBorder="1" applyAlignment="1" applyProtection="1">
      <alignment vertical="center"/>
      <protection locked="0"/>
    </xf>
    <xf numFmtId="0" fontId="7" fillId="0" borderId="146" xfId="2" applyFont="1" applyBorder="1" applyAlignment="1" applyProtection="1">
      <alignment vertical="center"/>
      <protection locked="0"/>
    </xf>
    <xf numFmtId="3" fontId="8" fillId="0" borderId="138" xfId="2" applyNumberFormat="1" applyFont="1" applyBorder="1"/>
    <xf numFmtId="0" fontId="7" fillId="0" borderId="146" xfId="2" applyFont="1" applyBorder="1" applyAlignment="1">
      <alignment horizontal="center"/>
    </xf>
    <xf numFmtId="0" fontId="8" fillId="0" borderId="147" xfId="2" applyFont="1" applyBorder="1" applyAlignment="1">
      <alignment wrapText="1"/>
    </xf>
    <xf numFmtId="0" fontId="7" fillId="0" borderId="146" xfId="2" applyFont="1" applyBorder="1" applyAlignment="1">
      <alignment horizontal="center" vertical="center" wrapText="1"/>
    </xf>
    <xf numFmtId="0" fontId="11" fillId="0" borderId="146" xfId="2" applyFont="1" applyBorder="1" applyAlignment="1" applyProtection="1">
      <alignment horizontal="center"/>
      <protection locked="0"/>
    </xf>
    <xf numFmtId="17" fontId="8" fillId="2" borderId="138" xfId="17" applyNumberFormat="1" applyFont="1" applyFill="1" applyBorder="1" applyAlignment="1">
      <alignment horizontal="right"/>
    </xf>
    <xf numFmtId="17" fontId="8" fillId="0" borderId="138" xfId="17" applyNumberFormat="1" applyFont="1" applyFill="1" applyBorder="1" applyAlignment="1">
      <alignment horizontal="right"/>
    </xf>
    <xf numFmtId="0" fontId="7" fillId="0" borderId="146" xfId="2" applyFont="1" applyBorder="1" applyAlignment="1">
      <alignment horizontal="right"/>
    </xf>
    <xf numFmtId="0" fontId="8" fillId="0" borderId="140" xfId="2" applyFont="1" applyBorder="1"/>
    <xf numFmtId="170" fontId="7" fillId="0" borderId="148" xfId="17" applyNumberFormat="1" applyFont="1" applyFill="1" applyBorder="1" applyAlignment="1">
      <alignment horizontal="right"/>
    </xf>
    <xf numFmtId="0" fontId="7" fillId="0" borderId="138" xfId="2" applyFont="1" applyBorder="1"/>
    <xf numFmtId="0" fontId="7" fillId="0" borderId="138" xfId="2" applyFont="1" applyBorder="1" applyAlignment="1">
      <alignment horizontal="center"/>
    </xf>
    <xf numFmtId="0" fontId="11" fillId="0" borderId="138" xfId="0" applyFont="1" applyBorder="1" applyAlignment="1">
      <alignment horizontal="right" vertical="center" wrapText="1"/>
    </xf>
    <xf numFmtId="0" fontId="11" fillId="0" borderId="147" xfId="0" applyFont="1" applyBorder="1" applyAlignment="1">
      <alignment vertical="center"/>
    </xf>
    <xf numFmtId="0" fontId="7" fillId="0" borderId="144" xfId="2" applyFont="1" applyBorder="1"/>
    <xf numFmtId="170" fontId="7" fillId="0" borderId="148" xfId="17" applyNumberFormat="1" applyFont="1" applyFill="1" applyBorder="1"/>
    <xf numFmtId="1" fontId="7" fillId="0" borderId="144" xfId="17" applyNumberFormat="1" applyFont="1" applyFill="1" applyBorder="1"/>
    <xf numFmtId="170" fontId="7" fillId="0" borderId="144" xfId="17" applyNumberFormat="1" applyFont="1" applyFill="1" applyBorder="1"/>
    <xf numFmtId="0" fontId="14" fillId="0" borderId="144" xfId="0" applyFont="1" applyBorder="1" applyAlignment="1">
      <alignment horizontal="right" vertical="center"/>
    </xf>
    <xf numFmtId="0" fontId="14" fillId="0" borderId="149" xfId="0" applyFont="1" applyBorder="1" applyAlignment="1">
      <alignment vertical="center"/>
    </xf>
    <xf numFmtId="0" fontId="7" fillId="0" borderId="147" xfId="2" applyFont="1" applyBorder="1" applyAlignment="1">
      <alignment horizontal="center"/>
    </xf>
    <xf numFmtId="173" fontId="8" fillId="0" borderId="138" xfId="2" applyNumberFormat="1" applyFont="1" applyBorder="1" applyAlignment="1">
      <alignment horizontal="right"/>
    </xf>
    <xf numFmtId="0" fontId="11" fillId="0" borderId="138" xfId="0" applyFont="1" applyBorder="1"/>
    <xf numFmtId="165" fontId="7" fillId="0" borderId="149" xfId="2" applyNumberFormat="1" applyFont="1" applyBorder="1" applyAlignment="1">
      <alignment horizontal="right"/>
    </xf>
    <xf numFmtId="2" fontId="41" fillId="0" borderId="143" xfId="2" applyNumberFormat="1" applyFont="1" applyBorder="1" applyAlignment="1">
      <alignment horizontal="right"/>
    </xf>
    <xf numFmtId="167" fontId="7" fillId="2" borderId="144" xfId="2" applyNumberFormat="1" applyFont="1" applyFill="1" applyBorder="1"/>
    <xf numFmtId="0" fontId="32" fillId="0" borderId="144" xfId="2" applyFont="1" applyBorder="1"/>
    <xf numFmtId="167" fontId="32" fillId="2" borderId="144" xfId="2" applyNumberFormat="1" applyFont="1" applyFill="1" applyBorder="1"/>
    <xf numFmtId="167" fontId="32" fillId="0" borderId="144" xfId="2" applyNumberFormat="1" applyFont="1" applyBorder="1"/>
    <xf numFmtId="167" fontId="7" fillId="0" borderId="144" xfId="35" applyNumberFormat="1" applyFont="1" applyBorder="1" applyAlignment="1">
      <alignment horizontal="right"/>
    </xf>
    <xf numFmtId="0" fontId="7" fillId="0" borderId="134" xfId="2" applyFont="1" applyBorder="1" applyAlignment="1">
      <alignment horizontal="right"/>
    </xf>
    <xf numFmtId="0" fontId="26" fillId="0" borderId="134" xfId="2" applyFont="1" applyBorder="1" applyProtection="1">
      <protection locked="0"/>
    </xf>
    <xf numFmtId="0" fontId="0" fillId="0" borderId="134" xfId="2" applyFont="1" applyBorder="1" applyProtection="1">
      <protection locked="0"/>
    </xf>
    <xf numFmtId="170" fontId="8" fillId="0" borderId="147" xfId="15" applyNumberFormat="1" applyFont="1" applyBorder="1" applyAlignment="1">
      <alignment horizontal="right"/>
    </xf>
    <xf numFmtId="0" fontId="8" fillId="0" borderId="134" xfId="2" applyFont="1" applyBorder="1" applyAlignment="1" applyProtection="1">
      <alignment horizontal="right"/>
      <protection locked="0"/>
    </xf>
    <xf numFmtId="0" fontId="14" fillId="23" borderId="134" xfId="15" applyFont="1" applyFill="1" applyBorder="1" applyAlignment="1">
      <alignment horizontal="right" wrapText="1"/>
    </xf>
    <xf numFmtId="0" fontId="99" fillId="0" borderId="134" xfId="2" applyFont="1" applyBorder="1" applyProtection="1">
      <protection locked="0"/>
    </xf>
    <xf numFmtId="0" fontId="48" fillId="0" borderId="134" xfId="2" applyFont="1" applyBorder="1"/>
    <xf numFmtId="49" fontId="7" fillId="0" borderId="134" xfId="2" applyNumberFormat="1" applyFont="1" applyBorder="1" applyAlignment="1">
      <alignment horizontal="right"/>
    </xf>
    <xf numFmtId="0" fontId="60" fillId="2" borderId="134" xfId="2" applyFont="1" applyFill="1" applyBorder="1" applyAlignment="1">
      <alignment horizontal="right" vertical="top"/>
    </xf>
    <xf numFmtId="0" fontId="8" fillId="0" borderId="134" xfId="2" applyFont="1" applyBorder="1" applyAlignment="1">
      <alignment horizontal="left"/>
    </xf>
    <xf numFmtId="184" fontId="8" fillId="2" borderId="134" xfId="2" applyNumberFormat="1" applyFont="1" applyFill="1" applyBorder="1" applyAlignment="1">
      <alignment horizontal="right"/>
    </xf>
    <xf numFmtId="0" fontId="8" fillId="4" borderId="145" xfId="2" applyFont="1" applyFill="1" applyBorder="1" applyAlignment="1">
      <alignment horizontal="left" indent="2"/>
    </xf>
    <xf numFmtId="0" fontId="4" fillId="0" borderId="134" xfId="2" quotePrefix="1" applyBorder="1" applyAlignment="1">
      <alignment horizontal="left" wrapText="1"/>
    </xf>
    <xf numFmtId="176" fontId="12" fillId="0" borderId="134" xfId="2" applyNumberFormat="1" applyFont="1" applyBorder="1" applyAlignment="1">
      <alignment horizontal="right"/>
    </xf>
    <xf numFmtId="176" fontId="12" fillId="0" borderId="134" xfId="2" applyNumberFormat="1" applyFont="1" applyBorder="1" applyProtection="1">
      <protection locked="0"/>
    </xf>
    <xf numFmtId="176" fontId="12" fillId="2" borderId="134" xfId="2" applyNumberFormat="1" applyFont="1" applyFill="1" applyBorder="1" applyProtection="1">
      <protection locked="0"/>
    </xf>
    <xf numFmtId="0" fontId="4" fillId="0" borderId="134" xfId="2" quotePrefix="1" applyBorder="1" applyAlignment="1">
      <alignment horizontal="left"/>
    </xf>
    <xf numFmtId="185" fontId="11" fillId="0" borderId="144" xfId="2" applyNumberFormat="1" applyFont="1" applyBorder="1" applyAlignment="1">
      <alignment horizontal="left" vertical="top" wrapText="1"/>
    </xf>
    <xf numFmtId="185" fontId="11" fillId="0" borderId="144" xfId="2" applyNumberFormat="1" applyFont="1" applyBorder="1" applyAlignment="1">
      <alignment horizontal="right"/>
    </xf>
    <xf numFmtId="9" fontId="14" fillId="0" borderId="144" xfId="1" applyFont="1" applyBorder="1" applyAlignment="1">
      <alignment horizontal="center" vertical="top"/>
    </xf>
    <xf numFmtId="9" fontId="7" fillId="0" borderId="144" xfId="1" applyFont="1" applyFill="1" applyBorder="1" applyAlignment="1">
      <alignment horizontal="center" vertical="top"/>
    </xf>
    <xf numFmtId="9" fontId="7" fillId="2" borderId="144" xfId="1" applyFont="1" applyFill="1" applyBorder="1" applyAlignment="1">
      <alignment horizontal="center" vertical="top"/>
    </xf>
    <xf numFmtId="185" fontId="14" fillId="0" borderId="144" xfId="2" applyNumberFormat="1" applyFont="1" applyBorder="1" applyAlignment="1">
      <alignment horizontal="right"/>
    </xf>
    <xf numFmtId="9" fontId="14" fillId="0" borderId="144" xfId="1" applyFont="1" applyFill="1" applyBorder="1" applyAlignment="1">
      <alignment horizontal="center" vertical="top"/>
    </xf>
    <xf numFmtId="9" fontId="14" fillId="2" borderId="144" xfId="1" applyFont="1" applyFill="1" applyBorder="1" applyAlignment="1">
      <alignment horizontal="center" vertical="top"/>
    </xf>
    <xf numFmtId="0" fontId="7" fillId="0" borderId="144" xfId="2" applyFont="1" applyBorder="1" applyAlignment="1">
      <alignment horizontal="left" wrapText="1"/>
    </xf>
    <xf numFmtId="1" fontId="7" fillId="0" borderId="144" xfId="2" applyNumberFormat="1" applyFont="1" applyBorder="1" applyAlignment="1">
      <alignment horizontal="left" wrapText="1"/>
    </xf>
    <xf numFmtId="1" fontId="7" fillId="0" borderId="144" xfId="2" applyNumberFormat="1" applyFont="1" applyBorder="1" applyAlignment="1">
      <alignment horizontal="right" wrapText="1"/>
    </xf>
    <xf numFmtId="0" fontId="8" fillId="0" borderId="144" xfId="2" applyFont="1" applyBorder="1"/>
    <xf numFmtId="0" fontId="8" fillId="0" borderId="141" xfId="2" applyFont="1" applyBorder="1" applyAlignment="1">
      <alignment vertical="top"/>
    </xf>
    <xf numFmtId="0" fontId="158" fillId="0" borderId="141" xfId="2" applyFont="1" applyBorder="1" applyAlignment="1">
      <alignment vertical="top" wrapText="1"/>
    </xf>
    <xf numFmtId="0" fontId="8" fillId="0" borderId="141" xfId="2" applyFont="1" applyBorder="1" applyAlignment="1">
      <alignment vertical="top" wrapText="1"/>
    </xf>
    <xf numFmtId="0" fontId="158" fillId="2" borderId="141" xfId="2" applyFont="1" applyFill="1" applyBorder="1" applyAlignment="1">
      <alignment vertical="top" wrapText="1"/>
    </xf>
    <xf numFmtId="0" fontId="8" fillId="2" borderId="141" xfId="2" applyFont="1" applyFill="1" applyBorder="1" applyAlignment="1">
      <alignment vertical="top" wrapText="1"/>
    </xf>
    <xf numFmtId="0" fontId="44" fillId="0" borderId="141" xfId="2" applyFont="1" applyBorder="1" applyAlignment="1">
      <alignment vertical="top" wrapText="1"/>
    </xf>
    <xf numFmtId="0" fontId="8" fillId="2" borderId="141" xfId="2" applyFont="1" applyFill="1" applyBorder="1"/>
    <xf numFmtId="0" fontId="8" fillId="2" borderId="147" xfId="2" applyFont="1" applyFill="1" applyBorder="1"/>
    <xf numFmtId="0" fontId="8" fillId="2" borderId="140" xfId="2" applyFont="1" applyFill="1" applyBorder="1"/>
    <xf numFmtId="0" fontId="7" fillId="0" borderId="141" xfId="5" applyFont="1" applyBorder="1" applyAlignment="1">
      <alignment wrapText="1"/>
    </xf>
    <xf numFmtId="0" fontId="8" fillId="0" borderId="141" xfId="5" applyFont="1" applyBorder="1" applyAlignment="1">
      <alignment wrapText="1"/>
    </xf>
    <xf numFmtId="182" fontId="8" fillId="0" borderId="146" xfId="15" applyNumberFormat="1" applyFont="1" applyBorder="1" applyAlignment="1">
      <alignment horizontal="right"/>
    </xf>
    <xf numFmtId="0" fontId="7" fillId="0" borderId="140" xfId="2" applyFont="1" applyBorder="1"/>
    <xf numFmtId="185" fontId="8" fillId="0" borderId="140" xfId="2" applyNumberFormat="1" applyFont="1" applyBorder="1" applyAlignment="1" applyProtection="1">
      <alignment horizontal="left"/>
      <protection locked="0"/>
    </xf>
    <xf numFmtId="185" fontId="8" fillId="0" borderId="141" xfId="2" applyNumberFormat="1" applyFont="1" applyBorder="1" applyAlignment="1" applyProtection="1">
      <alignment horizontal="right"/>
      <protection locked="0"/>
    </xf>
    <xf numFmtId="0" fontId="8" fillId="0" borderId="144" xfId="2" applyFont="1" applyBorder="1" applyAlignment="1">
      <alignment horizontal="right"/>
    </xf>
    <xf numFmtId="0" fontId="8" fillId="0" borderId="140" xfId="2" applyFont="1" applyBorder="1" applyAlignment="1">
      <alignment wrapText="1"/>
    </xf>
    <xf numFmtId="0" fontId="0" fillId="0" borderId="145" xfId="2" applyFont="1" applyBorder="1"/>
    <xf numFmtId="0" fontId="8" fillId="0" borderId="140" xfId="2" applyFont="1" applyBorder="1" applyAlignment="1">
      <alignment horizontal="left" wrapText="1"/>
    </xf>
    <xf numFmtId="184" fontId="7" fillId="0" borderId="148" xfId="2" applyNumberFormat="1" applyFont="1" applyBorder="1"/>
    <xf numFmtId="0" fontId="14" fillId="0" borderId="144" xfId="0" applyFont="1" applyBorder="1" applyAlignment="1">
      <alignment wrapText="1"/>
    </xf>
    <xf numFmtId="3" fontId="45" fillId="0" borderId="147" xfId="0" applyNumberFormat="1" applyFont="1" applyBorder="1" applyAlignment="1">
      <alignment horizontal="right" vertical="center"/>
    </xf>
    <xf numFmtId="10" fontId="45" fillId="0" borderId="144" xfId="0" applyNumberFormat="1" applyFont="1" applyBorder="1" applyAlignment="1">
      <alignment horizontal="right" vertical="center"/>
    </xf>
    <xf numFmtId="10" fontId="45" fillId="0" borderId="149" xfId="0" applyNumberFormat="1" applyFont="1" applyBorder="1" applyAlignment="1">
      <alignment horizontal="right" vertical="center"/>
    </xf>
    <xf numFmtId="0" fontId="7" fillId="0" borderId="127" xfId="15" applyFont="1" applyBorder="1" applyAlignment="1">
      <alignment horizontal="left"/>
    </xf>
    <xf numFmtId="0" fontId="4" fillId="0" borderId="153" xfId="3" applyBorder="1" applyAlignment="1">
      <alignment horizontal="left" vertical="top" wrapText="1"/>
    </xf>
    <xf numFmtId="0" fontId="4" fillId="0" borderId="154" xfId="3" applyBorder="1" applyAlignment="1">
      <alignment horizontal="left" vertical="top" wrapText="1"/>
    </xf>
    <xf numFmtId="0" fontId="8" fillId="0" borderId="141" xfId="13" applyFont="1" applyBorder="1" applyAlignment="1">
      <alignment horizontal="right"/>
    </xf>
    <xf numFmtId="184" fontId="8" fillId="0" borderId="141" xfId="2" applyNumberFormat="1" applyFont="1" applyBorder="1" applyAlignment="1">
      <alignment horizontal="right"/>
    </xf>
    <xf numFmtId="2" fontId="8" fillId="0" borderId="141" xfId="2" applyNumberFormat="1" applyFont="1" applyBorder="1" applyAlignment="1">
      <alignment horizontal="right" wrapText="1"/>
    </xf>
    <xf numFmtId="0" fontId="104" fillId="2" borderId="141" xfId="2" applyFont="1" applyFill="1" applyBorder="1" applyAlignment="1">
      <alignment horizontal="right"/>
    </xf>
    <xf numFmtId="0" fontId="104" fillId="2" borderId="141" xfId="2" applyFont="1" applyFill="1" applyBorder="1" applyAlignment="1">
      <alignment horizontal="center"/>
    </xf>
    <xf numFmtId="0" fontId="7" fillId="0" borderId="141" xfId="2" applyFont="1" applyBorder="1" applyAlignment="1">
      <alignment vertical="center" wrapText="1"/>
    </xf>
    <xf numFmtId="0" fontId="7" fillId="0" borderId="141" xfId="2" applyFont="1" applyBorder="1" applyAlignment="1">
      <alignment horizontal="left" vertical="center"/>
    </xf>
    <xf numFmtId="0" fontId="7" fillId="0" borderId="141" xfId="2" applyFont="1" applyBorder="1" applyAlignment="1" applyProtection="1">
      <alignment vertical="center"/>
      <protection locked="0"/>
    </xf>
    <xf numFmtId="0" fontId="7" fillId="0" borderId="141" xfId="2" applyFont="1" applyBorder="1"/>
    <xf numFmtId="0" fontId="8" fillId="0" borderId="141" xfId="2" applyFont="1" applyBorder="1" applyAlignment="1">
      <alignment wrapText="1"/>
    </xf>
    <xf numFmtId="3" fontId="8" fillId="0" borderId="141" xfId="2" applyNumberFormat="1" applyFont="1" applyBorder="1" applyAlignment="1">
      <alignment horizontal="right"/>
    </xf>
    <xf numFmtId="0" fontId="11" fillId="0" borderId="141" xfId="0" applyFont="1" applyBorder="1" applyAlignment="1">
      <alignment horizontal="right" vertical="center"/>
    </xf>
    <xf numFmtId="0" fontId="7" fillId="0" borderId="151" xfId="2" applyFont="1" applyBorder="1"/>
    <xf numFmtId="0" fontId="6" fillId="0" borderId="153" xfId="3" applyFont="1" applyBorder="1" applyAlignment="1" applyProtection="1">
      <alignment horizontal="left" vertical="top" wrapText="1"/>
      <protection locked="0"/>
    </xf>
    <xf numFmtId="0" fontId="1" fillId="0" borderId="153" xfId="3" applyFont="1" applyBorder="1" applyProtection="1">
      <protection locked="0"/>
    </xf>
    <xf numFmtId="0" fontId="1" fillId="0" borderId="154" xfId="3" applyFont="1" applyBorder="1" applyProtection="1">
      <protection locked="0"/>
    </xf>
    <xf numFmtId="3" fontId="8" fillId="0" borderId="141" xfId="15" applyNumberFormat="1" applyFont="1" applyBorder="1"/>
    <xf numFmtId="0" fontId="131" fillId="0" borderId="141" xfId="2" applyFont="1" applyBorder="1" applyProtection="1">
      <protection locked="0"/>
    </xf>
    <xf numFmtId="0" fontId="99" fillId="0" borderId="141" xfId="2" applyFont="1" applyBorder="1" applyProtection="1">
      <protection locked="0"/>
    </xf>
    <xf numFmtId="49" fontId="7" fillId="0" borderId="141" xfId="2" applyNumberFormat="1" applyFont="1" applyBorder="1" applyAlignment="1">
      <alignment horizontal="right"/>
    </xf>
    <xf numFmtId="49" fontId="14" fillId="0" borderId="141" xfId="2" applyNumberFormat="1" applyFont="1" applyBorder="1" applyAlignment="1">
      <alignment horizontal="right"/>
    </xf>
    <xf numFmtId="0" fontId="8" fillId="0" borderId="156" xfId="2" applyFont="1" applyBorder="1"/>
    <xf numFmtId="0" fontId="8" fillId="2" borderId="156" xfId="2" applyFont="1" applyFill="1" applyBorder="1"/>
    <xf numFmtId="0" fontId="44" fillId="2" borderId="156" xfId="2" applyFont="1" applyFill="1" applyBorder="1"/>
    <xf numFmtId="0" fontId="7" fillId="2" borderId="157" xfId="2" applyFont="1" applyFill="1" applyBorder="1"/>
    <xf numFmtId="0" fontId="1" fillId="0" borderId="153" xfId="2" applyFont="1" applyBorder="1" applyProtection="1">
      <protection locked="0"/>
    </xf>
    <xf numFmtId="0" fontId="1" fillId="0" borderId="154" xfId="2" applyFont="1" applyBorder="1" applyProtection="1">
      <protection locked="0"/>
    </xf>
    <xf numFmtId="165" fontId="8" fillId="2" borderId="153" xfId="2" applyNumberFormat="1" applyFont="1" applyFill="1" applyBorder="1"/>
    <xf numFmtId="165" fontId="28" fillId="2" borderId="153" xfId="2" applyNumberFormat="1" applyFont="1" applyFill="1" applyBorder="1"/>
    <xf numFmtId="184" fontId="8" fillId="0" borderId="158" xfId="2" applyNumberFormat="1" applyFont="1" applyBorder="1"/>
    <xf numFmtId="184" fontId="7" fillId="0" borderId="158" xfId="2" applyNumberFormat="1" applyFont="1" applyBorder="1"/>
    <xf numFmtId="184" fontId="8" fillId="0" borderId="156" xfId="2" applyNumberFormat="1" applyFont="1" applyBorder="1"/>
    <xf numFmtId="173" fontId="8" fillId="0" borderId="156" xfId="14" applyNumberFormat="1" applyFont="1" applyFill="1" applyBorder="1" applyProtection="1"/>
    <xf numFmtId="173" fontId="8" fillId="0" borderId="156" xfId="14" applyNumberFormat="1" applyFont="1" applyFill="1" applyBorder="1" applyProtection="1">
      <protection locked="0"/>
    </xf>
    <xf numFmtId="185" fontId="8" fillId="0" borderId="158" xfId="2" applyNumberFormat="1" applyFont="1" applyBorder="1" applyAlignment="1" applyProtection="1">
      <alignment horizontal="right"/>
      <protection locked="0"/>
    </xf>
    <xf numFmtId="185" fontId="8" fillId="0" borderId="156" xfId="2" applyNumberFormat="1" applyFont="1" applyBorder="1" applyAlignment="1" applyProtection="1">
      <alignment horizontal="right"/>
      <protection locked="0"/>
    </xf>
    <xf numFmtId="184" fontId="7" fillId="0" borderId="156" xfId="2" applyNumberFormat="1" applyFont="1" applyBorder="1"/>
    <xf numFmtId="3" fontId="7" fillId="0" borderId="153" xfId="2" applyNumberFormat="1" applyFont="1" applyBorder="1" applyAlignment="1">
      <alignment horizontal="right"/>
    </xf>
    <xf numFmtId="187" fontId="8" fillId="0" borderId="159" xfId="18" applyNumberFormat="1" applyFont="1" applyFill="1" applyBorder="1"/>
    <xf numFmtId="0" fontId="8" fillId="0" borderId="160" xfId="15" applyFont="1" applyBorder="1" applyAlignment="1">
      <alignment wrapText="1"/>
    </xf>
    <xf numFmtId="1" fontId="7" fillId="0" borderId="156" xfId="15" applyNumberFormat="1" applyFont="1" applyBorder="1" applyAlignment="1">
      <alignment horizontal="right"/>
    </xf>
    <xf numFmtId="1" fontId="7" fillId="0" borderId="157" xfId="15" applyNumberFormat="1" applyFont="1" applyBorder="1" applyAlignment="1">
      <alignment horizontal="right"/>
    </xf>
    <xf numFmtId="3" fontId="7" fillId="0" borderId="157" xfId="15" applyNumberFormat="1" applyFont="1" applyBorder="1" applyAlignment="1">
      <alignment horizontal="right"/>
    </xf>
    <xf numFmtId="0" fontId="4" fillId="2" borderId="161" xfId="2" applyFill="1" applyBorder="1" applyAlignment="1">
      <alignment horizontal="left" vertical="top" wrapText="1"/>
    </xf>
    <xf numFmtId="0" fontId="4" fillId="2" borderId="162" xfId="2" applyFill="1" applyBorder="1" applyAlignment="1">
      <alignment horizontal="left" vertical="top" wrapText="1"/>
    </xf>
    <xf numFmtId="0" fontId="4" fillId="2" borderId="163" xfId="2" applyFill="1" applyBorder="1" applyAlignment="1">
      <alignment horizontal="left" vertical="top" wrapText="1"/>
    </xf>
    <xf numFmtId="2" fontId="8" fillId="0" borderId="164" xfId="14" applyNumberFormat="1" applyFont="1" applyFill="1" applyBorder="1" applyAlignment="1">
      <alignment horizontal="right"/>
    </xf>
    <xf numFmtId="2" fontId="8" fillId="0" borderId="165" xfId="14" applyNumberFormat="1" applyFont="1" applyFill="1" applyBorder="1" applyAlignment="1">
      <alignment horizontal="right"/>
    </xf>
    <xf numFmtId="0" fontId="8" fillId="0" borderId="166" xfId="2" applyFont="1" applyBorder="1"/>
    <xf numFmtId="0" fontId="8" fillId="0" borderId="167" xfId="2" applyFont="1" applyBorder="1"/>
    <xf numFmtId="0" fontId="7" fillId="0" borderId="168" xfId="2" applyFont="1" applyBorder="1" applyAlignment="1">
      <alignment horizontal="right"/>
    </xf>
    <xf numFmtId="184" fontId="8" fillId="0" borderId="165" xfId="2" applyNumberFormat="1" applyFont="1" applyBorder="1" applyAlignment="1">
      <alignment horizontal="right"/>
    </xf>
    <xf numFmtId="1" fontId="8" fillId="0" borderId="169" xfId="2" applyNumberFormat="1" applyFont="1" applyBorder="1" applyAlignment="1">
      <alignment horizontal="right"/>
    </xf>
    <xf numFmtId="1" fontId="8" fillId="0" borderId="169" xfId="2" applyNumberFormat="1" applyFont="1" applyBorder="1"/>
    <xf numFmtId="9" fontId="8" fillId="0" borderId="162" xfId="17" applyFont="1" applyFill="1" applyBorder="1" applyAlignment="1" applyProtection="1">
      <alignment horizontal="right"/>
    </xf>
    <xf numFmtId="1" fontId="8" fillId="0" borderId="159" xfId="2" applyNumberFormat="1" applyFont="1" applyBorder="1"/>
    <xf numFmtId="0" fontId="8" fillId="0" borderId="164" xfId="2" applyFont="1" applyBorder="1" applyAlignment="1">
      <alignment horizontal="center" vertical="top" wrapText="1"/>
    </xf>
    <xf numFmtId="0" fontId="8" fillId="0" borderId="163" xfId="2" applyFont="1" applyBorder="1" applyAlignment="1">
      <alignment horizontal="justify"/>
    </xf>
    <xf numFmtId="184" fontId="8" fillId="0" borderId="162" xfId="2" applyNumberFormat="1" applyFont="1" applyBorder="1" applyAlignment="1">
      <alignment horizontal="right"/>
    </xf>
    <xf numFmtId="3" fontId="11" fillId="0" borderId="163" xfId="2" applyNumberFormat="1" applyFont="1" applyBorder="1" applyProtection="1">
      <protection locked="0"/>
    </xf>
    <xf numFmtId="3" fontId="11" fillId="0" borderId="161" xfId="2" applyNumberFormat="1" applyFont="1" applyBorder="1" applyProtection="1">
      <protection locked="0"/>
    </xf>
    <xf numFmtId="3" fontId="11" fillId="0" borderId="162" xfId="2" applyNumberFormat="1" applyFont="1" applyBorder="1" applyProtection="1">
      <protection locked="0"/>
    </xf>
    <xf numFmtId="184" fontId="8" fillId="0" borderId="160" xfId="2" applyNumberFormat="1" applyFont="1" applyBorder="1" applyAlignment="1">
      <alignment horizontal="right"/>
    </xf>
    <xf numFmtId="2" fontId="11" fillId="0" borderId="163" xfId="2" applyNumberFormat="1" applyFont="1" applyBorder="1" applyProtection="1">
      <protection locked="0"/>
    </xf>
    <xf numFmtId="2" fontId="11" fillId="0" borderId="162" xfId="2" applyNumberFormat="1" applyFont="1" applyBorder="1" applyProtection="1">
      <protection locked="0"/>
    </xf>
    <xf numFmtId="0" fontId="4" fillId="0" borderId="162" xfId="2" applyBorder="1" applyAlignment="1">
      <alignment horizontal="left" vertical="top" wrapText="1"/>
    </xf>
    <xf numFmtId="0" fontId="4" fillId="0" borderId="163" xfId="2" applyBorder="1" applyAlignment="1">
      <alignment horizontal="left" vertical="top" wrapText="1"/>
    </xf>
    <xf numFmtId="0" fontId="7" fillId="0" borderId="164" xfId="2" applyFont="1" applyBorder="1" applyAlignment="1">
      <alignment horizontal="right" wrapText="1"/>
    </xf>
    <xf numFmtId="0" fontId="7" fillId="0" borderId="165" xfId="2" applyFont="1" applyBorder="1" applyAlignment="1">
      <alignment horizontal="right" wrapText="1"/>
    </xf>
    <xf numFmtId="0" fontId="7" fillId="0" borderId="170" xfId="2" applyFont="1" applyBorder="1" applyAlignment="1">
      <alignment horizontal="right" wrapText="1"/>
    </xf>
    <xf numFmtId="0" fontId="7" fillId="0" borderId="162" xfId="2" applyFont="1" applyBorder="1"/>
    <xf numFmtId="0" fontId="0" fillId="0" borderId="163" xfId="2" applyFont="1" applyBorder="1" applyProtection="1">
      <protection locked="0"/>
    </xf>
    <xf numFmtId="0" fontId="8" fillId="0" borderId="163" xfId="2" applyFont="1" applyBorder="1" applyAlignment="1">
      <alignment horizontal="center" wrapText="1"/>
    </xf>
    <xf numFmtId="0" fontId="7" fillId="0" borderId="161" xfId="2" applyFont="1" applyBorder="1" applyAlignment="1">
      <alignment horizontal="right" wrapText="1"/>
    </xf>
    <xf numFmtId="0" fontId="7" fillId="0" borderId="162" xfId="2" applyFont="1" applyBorder="1" applyAlignment="1">
      <alignment horizontal="right" wrapText="1"/>
    </xf>
    <xf numFmtId="0" fontId="4" fillId="0" borderId="161" xfId="2" applyBorder="1" applyAlignment="1">
      <alignment vertical="top"/>
    </xf>
    <xf numFmtId="0" fontId="4" fillId="0" borderId="162" xfId="2" applyBorder="1" applyAlignment="1">
      <alignment vertical="top" wrapText="1"/>
    </xf>
    <xf numFmtId="0" fontId="7" fillId="0" borderId="160" xfId="2" applyFont="1" applyBorder="1" applyAlignment="1">
      <alignment wrapText="1"/>
    </xf>
    <xf numFmtId="0" fontId="8" fillId="0" borderId="161" xfId="2" applyFont="1" applyBorder="1"/>
    <xf numFmtId="0" fontId="8" fillId="0" borderId="162" xfId="2" applyFont="1" applyBorder="1"/>
    <xf numFmtId="170" fontId="8" fillId="0" borderId="163" xfId="17" applyNumberFormat="1" applyFont="1" applyFill="1" applyBorder="1"/>
    <xf numFmtId="170" fontId="8" fillId="0" borderId="162" xfId="17" applyNumberFormat="1" applyFont="1" applyFill="1" applyBorder="1"/>
    <xf numFmtId="0" fontId="11" fillId="0" borderId="162" xfId="0" applyFont="1" applyBorder="1" applyAlignment="1">
      <alignment horizontal="right" vertical="center"/>
    </xf>
    <xf numFmtId="10" fontId="11" fillId="0" borderId="171" xfId="0" applyNumberFormat="1" applyFont="1" applyBorder="1" applyAlignment="1">
      <alignment horizontal="right" vertical="center"/>
    </xf>
    <xf numFmtId="0" fontId="7" fillId="0" borderId="172" xfId="2" applyFont="1" applyBorder="1" applyAlignment="1">
      <alignment wrapText="1"/>
    </xf>
    <xf numFmtId="0" fontId="7" fillId="0" borderId="165" xfId="2" applyFont="1" applyBorder="1"/>
    <xf numFmtId="0" fontId="7" fillId="0" borderId="160" xfId="2" applyFont="1" applyBorder="1"/>
    <xf numFmtId="0" fontId="6" fillId="0" borderId="162" xfId="3" applyFont="1" applyBorder="1" applyAlignment="1" applyProtection="1">
      <alignment horizontal="left" vertical="top" wrapText="1"/>
      <protection locked="0"/>
    </xf>
    <xf numFmtId="0" fontId="1" fillId="0" borderId="162" xfId="3" applyFont="1" applyBorder="1" applyProtection="1">
      <protection locked="0"/>
    </xf>
    <xf numFmtId="0" fontId="1" fillId="0" borderId="163" xfId="3" applyFont="1" applyBorder="1" applyProtection="1">
      <protection locked="0"/>
    </xf>
    <xf numFmtId="0" fontId="8" fillId="0" borderId="163" xfId="15" applyFont="1" applyBorder="1" applyAlignment="1">
      <alignment horizontal="right" wrapText="1"/>
    </xf>
    <xf numFmtId="0" fontId="8" fillId="0" borderId="162" xfId="15" applyFont="1" applyBorder="1" applyAlignment="1">
      <alignment horizontal="right" wrapText="1"/>
    </xf>
    <xf numFmtId="0" fontId="4" fillId="0" borderId="161" xfId="3" applyBorder="1" applyAlignment="1">
      <alignment vertical="top" wrapText="1"/>
    </xf>
    <xf numFmtId="0" fontId="4" fillId="0" borderId="162" xfId="3" applyBorder="1" applyAlignment="1">
      <alignment vertical="top" wrapText="1"/>
    </xf>
    <xf numFmtId="0" fontId="26" fillId="0" borderId="162" xfId="3" applyFont="1" applyBorder="1"/>
    <xf numFmtId="0" fontId="26" fillId="0" borderId="163" xfId="3" applyFont="1" applyBorder="1"/>
    <xf numFmtId="0" fontId="4" fillId="0" borderId="162" xfId="2" applyBorder="1"/>
    <xf numFmtId="0" fontId="4" fillId="0" borderId="163" xfId="2" applyBorder="1"/>
    <xf numFmtId="0" fontId="5" fillId="0" borderId="161" xfId="2" applyFont="1" applyBorder="1" applyAlignment="1">
      <alignment vertical="top"/>
    </xf>
    <xf numFmtId="0" fontId="7" fillId="0" borderId="162" xfId="2" applyFont="1" applyBorder="1" applyAlignment="1">
      <alignment horizontal="left"/>
    </xf>
    <xf numFmtId="49" fontId="7" fillId="0" borderId="162" xfId="2" applyNumberFormat="1" applyFont="1" applyBorder="1" applyAlignment="1">
      <alignment horizontal="right"/>
    </xf>
    <xf numFmtId="49" fontId="7" fillId="2" borderId="162" xfId="2" applyNumberFormat="1" applyFont="1" applyFill="1" applyBorder="1" applyAlignment="1">
      <alignment horizontal="right"/>
    </xf>
    <xf numFmtId="0" fontId="8" fillId="4" borderId="161" xfId="2" applyFont="1" applyFill="1" applyBorder="1" applyAlignment="1">
      <alignment horizontal="left" indent="2"/>
    </xf>
    <xf numFmtId="184" fontId="8" fillId="4" borderId="162" xfId="2" applyNumberFormat="1" applyFont="1" applyFill="1" applyBorder="1" applyAlignment="1">
      <alignment horizontal="right"/>
    </xf>
    <xf numFmtId="0" fontId="4" fillId="0" borderId="161" xfId="2" applyBorder="1" applyAlignment="1">
      <alignment vertical="top" wrapText="1"/>
    </xf>
    <xf numFmtId="0" fontId="4" fillId="0" borderId="163" xfId="2" applyBorder="1" applyAlignment="1">
      <alignment vertical="top" wrapText="1"/>
    </xf>
    <xf numFmtId="0" fontId="4" fillId="0" borderId="161" xfId="2" applyBorder="1" applyAlignment="1">
      <alignment horizontal="left" vertical="top" wrapText="1"/>
    </xf>
    <xf numFmtId="165" fontId="8" fillId="0" borderId="0" xfId="2" applyNumberFormat="1" applyFont="1" applyBorder="1"/>
    <xf numFmtId="0" fontId="6" fillId="0" borderId="0" xfId="2" applyFont="1" applyBorder="1"/>
    <xf numFmtId="0" fontId="4" fillId="0" borderId="0" xfId="2" applyBorder="1" applyAlignment="1">
      <alignment horizontal="left" wrapText="1"/>
    </xf>
    <xf numFmtId="0" fontId="8" fillId="0" borderId="0" xfId="2" applyFont="1" applyBorder="1"/>
    <xf numFmtId="0" fontId="7" fillId="0" borderId="18" xfId="2" applyFont="1" applyFill="1" applyBorder="1" applyAlignment="1">
      <alignment horizontal="right"/>
    </xf>
    <xf numFmtId="0" fontId="7" fillId="0" borderId="93" xfId="2" applyFont="1" applyFill="1" applyBorder="1" applyAlignment="1">
      <alignment horizontal="right"/>
    </xf>
    <xf numFmtId="0" fontId="11" fillId="0" borderId="99" xfId="2" applyFont="1" applyFill="1" applyBorder="1" applyProtection="1">
      <protection locked="0"/>
    </xf>
    <xf numFmtId="0" fontId="11" fillId="0" borderId="100" xfId="2" applyFont="1" applyFill="1" applyBorder="1" applyProtection="1">
      <protection locked="0"/>
    </xf>
    <xf numFmtId="0" fontId="0" fillId="0" borderId="0" xfId="2" applyFont="1" applyFill="1" applyProtection="1">
      <protection locked="0"/>
    </xf>
    <xf numFmtId="0" fontId="15" fillId="0" borderId="23" xfId="2" applyFont="1" applyFill="1" applyBorder="1"/>
    <xf numFmtId="0" fontId="4" fillId="0" borderId="15" xfId="2" applyFill="1" applyBorder="1"/>
    <xf numFmtId="0" fontId="4" fillId="0" borderId="16" xfId="2" applyFill="1" applyBorder="1"/>
    <xf numFmtId="0" fontId="4" fillId="0" borderId="5" xfId="2" applyFill="1" applyBorder="1"/>
    <xf numFmtId="0" fontId="4" fillId="0" borderId="17" xfId="2" applyFill="1" applyBorder="1"/>
    <xf numFmtId="0" fontId="32" fillId="0" borderId="23" xfId="2" applyFont="1" applyFill="1" applyBorder="1"/>
    <xf numFmtId="0" fontId="32" fillId="0" borderId="23" xfId="2" applyFont="1" applyFill="1" applyBorder="1" applyProtection="1">
      <protection locked="0"/>
    </xf>
    <xf numFmtId="1" fontId="12" fillId="0" borderId="4" xfId="2" applyNumberFormat="1" applyFont="1" applyFill="1" applyBorder="1" applyAlignment="1">
      <alignment horizontal="center"/>
    </xf>
    <xf numFmtId="1" fontId="12" fillId="0" borderId="21" xfId="2" applyNumberFormat="1" applyFont="1" applyFill="1" applyBorder="1" applyAlignment="1">
      <alignment horizontal="center"/>
    </xf>
    <xf numFmtId="1" fontId="12" fillId="0" borderId="15" xfId="2" applyNumberFormat="1" applyFont="1" applyFill="1" applyBorder="1" applyAlignment="1">
      <alignment horizontal="center"/>
    </xf>
    <xf numFmtId="1" fontId="12" fillId="0" borderId="16" xfId="2" applyNumberFormat="1" applyFont="1" applyFill="1" applyBorder="1" applyAlignment="1">
      <alignment horizontal="center"/>
    </xf>
    <xf numFmtId="1" fontId="12" fillId="0" borderId="5" xfId="2" applyNumberFormat="1" applyFont="1" applyFill="1" applyBorder="1" applyAlignment="1">
      <alignment horizontal="center"/>
    </xf>
    <xf numFmtId="1" fontId="12" fillId="0" borderId="17" xfId="2" applyNumberFormat="1" applyFont="1" applyFill="1" applyBorder="1" applyAlignment="1">
      <alignment horizontal="center"/>
    </xf>
    <xf numFmtId="0" fontId="7" fillId="0" borderId="42" xfId="2" applyFont="1" applyFill="1" applyBorder="1" applyAlignment="1">
      <alignment horizontal="right"/>
    </xf>
    <xf numFmtId="0" fontId="7" fillId="0" borderId="48" xfId="2" applyFont="1" applyFill="1" applyBorder="1" applyAlignment="1">
      <alignment horizontal="right"/>
    </xf>
    <xf numFmtId="184" fontId="8" fillId="0" borderId="42" xfId="2" applyNumberFormat="1" applyFont="1" applyFill="1" applyBorder="1"/>
    <xf numFmtId="0" fontId="8" fillId="0" borderId="48" xfId="2" applyFont="1" applyFill="1" applyBorder="1"/>
    <xf numFmtId="184" fontId="8" fillId="0" borderId="41" xfId="2" applyNumberFormat="1" applyFont="1" applyFill="1" applyBorder="1"/>
    <xf numFmtId="0" fontId="52" fillId="0" borderId="41" xfId="2" applyFont="1" applyFill="1" applyBorder="1"/>
    <xf numFmtId="0" fontId="7" fillId="0" borderId="38" xfId="2" applyFont="1" applyFill="1" applyBorder="1" applyAlignment="1">
      <alignment horizontal="center"/>
    </xf>
    <xf numFmtId="0" fontId="7" fillId="0" borderId="40" xfId="2" applyFont="1" applyFill="1" applyBorder="1" applyAlignment="1">
      <alignment horizontal="center"/>
    </xf>
    <xf numFmtId="0" fontId="8" fillId="0" borderId="43" xfId="2" applyFont="1" applyFill="1" applyBorder="1"/>
    <xf numFmtId="0" fontId="52" fillId="0" borderId="44" xfId="2" applyFont="1" applyFill="1" applyBorder="1"/>
    <xf numFmtId="0" fontId="7" fillId="0" borderId="21" xfId="15" applyFont="1" applyBorder="1" applyAlignment="1">
      <alignment horizontal="center" wrapText="1"/>
    </xf>
    <xf numFmtId="181" fontId="8" fillId="0" borderId="16" xfId="2" applyNumberFormat="1" applyFont="1" applyBorder="1" applyAlignment="1">
      <alignment horizontal="right" vertical="top" wrapText="1"/>
    </xf>
    <xf numFmtId="181" fontId="8" fillId="0" borderId="17" xfId="2" applyNumberFormat="1" applyFont="1" applyBorder="1" applyAlignment="1">
      <alignment horizontal="right" vertical="top" wrapText="1"/>
    </xf>
    <xf numFmtId="0" fontId="124" fillId="2" borderId="21" xfId="44" applyFont="1" applyFill="1" applyBorder="1" applyAlignment="1">
      <alignment horizontal="center" wrapText="1"/>
    </xf>
    <xf numFmtId="0" fontId="0" fillId="0" borderId="0" xfId="2" applyFont="1" applyAlignment="1" applyProtection="1">
      <alignment vertical="top"/>
    </xf>
    <xf numFmtId="199" fontId="8" fillId="0" borderId="0" xfId="2" applyNumberFormat="1" applyFont="1" applyFill="1" applyBorder="1" applyProtection="1">
      <protection locked="0"/>
    </xf>
    <xf numFmtId="199" fontId="7" fillId="0" borderId="0" xfId="2" applyNumberFormat="1" applyFont="1" applyFill="1" applyBorder="1" applyProtection="1">
      <protection locked="0"/>
    </xf>
    <xf numFmtId="0" fontId="7" fillId="0" borderId="0" xfId="2" applyFont="1" applyBorder="1"/>
    <xf numFmtId="49" fontId="7" fillId="0" borderId="0" xfId="2" applyNumberFormat="1" applyFont="1" applyFill="1" applyBorder="1" applyAlignment="1" applyProtection="1">
      <alignment vertical="top"/>
    </xf>
    <xf numFmtId="0" fontId="0" fillId="0" borderId="0" xfId="2" applyFont="1" applyFill="1" applyAlignment="1" applyProtection="1">
      <alignment vertical="top"/>
    </xf>
    <xf numFmtId="0" fontId="15" fillId="0" borderId="0" xfId="2" applyFont="1" applyFill="1" applyProtection="1">
      <protection locked="0"/>
    </xf>
    <xf numFmtId="0" fontId="8" fillId="11" borderId="0" xfId="2" applyFont="1" applyFill="1" applyBorder="1"/>
    <xf numFmtId="0" fontId="15" fillId="0" borderId="0" xfId="2" applyFont="1" applyFill="1" applyAlignment="1" applyProtection="1">
      <alignment vertical="top"/>
    </xf>
    <xf numFmtId="0" fontId="0" fillId="0" borderId="0" xfId="2" applyFont="1" applyBorder="1"/>
    <xf numFmtId="167" fontId="7" fillId="0" borderId="0" xfId="2" applyNumberFormat="1" applyFont="1" applyBorder="1"/>
    <xf numFmtId="167" fontId="8" fillId="0" borderId="0" xfId="2" applyNumberFormat="1" applyFont="1" applyBorder="1"/>
    <xf numFmtId="178" fontId="8" fillId="0" borderId="0" xfId="2" applyNumberFormat="1" applyFont="1" applyBorder="1" applyProtection="1">
      <protection locked="0"/>
    </xf>
    <xf numFmtId="0" fontId="8" fillId="0" borderId="0" xfId="2" applyNumberFormat="1" applyFont="1" applyBorder="1"/>
    <xf numFmtId="178" fontId="8" fillId="0" borderId="0" xfId="2" applyNumberFormat="1" applyFont="1" applyFill="1" applyProtection="1">
      <protection locked="0"/>
    </xf>
    <xf numFmtId="0" fontId="0" fillId="0" borderId="0" xfId="2" applyFont="1" applyBorder="1" applyProtection="1">
      <protection locked="0"/>
    </xf>
    <xf numFmtId="0" fontId="0" fillId="0" borderId="0" xfId="2" applyFont="1" applyBorder="1" applyProtection="1"/>
    <xf numFmtId="0" fontId="0" fillId="0" borderId="0" xfId="2" applyFont="1" applyProtection="1"/>
    <xf numFmtId="0" fontId="0" fillId="0" borderId="0" xfId="2" applyFont="1" applyFill="1" applyProtection="1"/>
    <xf numFmtId="2" fontId="0" fillId="0" borderId="117" xfId="17" applyNumberFormat="1" applyFont="1" applyFill="1" applyBorder="1" applyProtection="1">
      <protection locked="0"/>
    </xf>
    <xf numFmtId="0" fontId="11" fillId="0" borderId="117" xfId="2" applyFont="1" applyBorder="1" applyProtection="1">
      <protection locked="0"/>
    </xf>
    <xf numFmtId="0" fontId="11" fillId="0" borderId="0" xfId="2" applyFont="1" applyBorder="1" applyProtection="1">
      <protection locked="0"/>
    </xf>
    <xf numFmtId="0" fontId="0" fillId="0" borderId="105" xfId="2" applyFont="1" applyFill="1" applyBorder="1" applyProtection="1">
      <protection locked="0"/>
    </xf>
    <xf numFmtId="167" fontId="14" fillId="0" borderId="0" xfId="2" applyNumberFormat="1" applyFont="1" applyBorder="1" applyProtection="1"/>
    <xf numFmtId="167" fontId="14" fillId="0" borderId="0" xfId="2" applyNumberFormat="1" applyFont="1" applyBorder="1" applyAlignment="1" applyProtection="1">
      <alignment horizontal="left" indent="1"/>
    </xf>
    <xf numFmtId="0" fontId="14" fillId="0" borderId="0" xfId="2" applyFont="1" applyBorder="1" applyProtection="1"/>
    <xf numFmtId="167" fontId="8" fillId="0" borderId="117" xfId="2" applyNumberFormat="1" applyFont="1" applyBorder="1"/>
    <xf numFmtId="0" fontId="8" fillId="20" borderId="117" xfId="2" applyFont="1" applyFill="1" applyBorder="1" applyProtection="1">
      <protection locked="0"/>
    </xf>
    <xf numFmtId="0" fontId="8" fillId="20" borderId="117" xfId="2" applyFont="1" applyFill="1" applyBorder="1"/>
    <xf numFmtId="0" fontId="8" fillId="0" borderId="117" xfId="2" applyNumberFormat="1" applyFont="1" applyBorder="1"/>
    <xf numFmtId="167" fontId="8" fillId="20" borderId="0" xfId="2" applyNumberFormat="1" applyFont="1" applyFill="1" applyBorder="1"/>
    <xf numFmtId="0" fontId="8" fillId="20" borderId="0" xfId="2" applyFont="1" applyFill="1" applyBorder="1"/>
    <xf numFmtId="0" fontId="8" fillId="0" borderId="0" xfId="2" applyFont="1" applyFill="1" applyBorder="1" applyProtection="1"/>
    <xf numFmtId="0" fontId="7" fillId="0" borderId="0" xfId="2" applyFont="1" applyFill="1" applyBorder="1" applyAlignment="1" applyProtection="1"/>
    <xf numFmtId="0" fontId="5" fillId="0" borderId="0" xfId="2" applyFont="1" applyFill="1" applyAlignment="1" applyProtection="1">
      <alignment vertical="top"/>
    </xf>
    <xf numFmtId="0" fontId="20" fillId="0" borderId="0" xfId="2" applyFont="1" applyFill="1" applyAlignment="1" applyProtection="1">
      <alignment vertical="top"/>
    </xf>
    <xf numFmtId="0" fontId="5" fillId="0" borderId="0" xfId="2" applyFont="1" applyFill="1" applyAlignment="1" applyProtection="1">
      <alignment vertical="top" wrapText="1"/>
    </xf>
    <xf numFmtId="0" fontId="26" fillId="0" borderId="0" xfId="2" applyFont="1" applyProtection="1"/>
    <xf numFmtId="0" fontId="26" fillId="0" borderId="0" xfId="2" applyFont="1" applyFill="1" applyProtection="1"/>
    <xf numFmtId="49" fontId="8" fillId="0" borderId="0" xfId="2" applyNumberFormat="1" applyFont="1" applyFill="1" applyBorder="1" applyAlignment="1" applyProtection="1">
      <alignment vertical="top"/>
    </xf>
    <xf numFmtId="0" fontId="8" fillId="0" borderId="0" xfId="2" applyFont="1" applyProtection="1"/>
    <xf numFmtId="0" fontId="8" fillId="0" borderId="0" xfId="2" applyFont="1" applyFill="1" applyProtection="1"/>
    <xf numFmtId="0" fontId="70" fillId="0" borderId="0" xfId="2" applyFont="1" applyProtection="1">
      <protection locked="0"/>
    </xf>
    <xf numFmtId="0" fontId="70" fillId="0" borderId="0" xfId="2" applyFont="1" applyFill="1" applyProtection="1"/>
    <xf numFmtId="49" fontId="8" fillId="0" borderId="0" xfId="2" applyNumberFormat="1" applyFont="1" applyFill="1" applyBorder="1" applyProtection="1"/>
    <xf numFmtId="0" fontId="70" fillId="0" borderId="0" xfId="2" applyFont="1" applyBorder="1" applyProtection="1">
      <protection locked="0"/>
    </xf>
    <xf numFmtId="199" fontId="70" fillId="0" borderId="0" xfId="2" applyNumberFormat="1" applyFont="1" applyProtection="1">
      <protection locked="0"/>
    </xf>
    <xf numFmtId="199" fontId="70" fillId="0" borderId="0" xfId="2" applyNumberFormat="1" applyFont="1" applyFill="1" applyProtection="1">
      <protection locked="0"/>
    </xf>
    <xf numFmtId="0" fontId="70" fillId="0" borderId="141" xfId="2" applyFont="1" applyBorder="1" applyProtection="1">
      <protection locked="0"/>
    </xf>
    <xf numFmtId="199" fontId="70" fillId="0" borderId="141" xfId="2" applyNumberFormat="1" applyFont="1" applyBorder="1" applyProtection="1">
      <protection locked="0"/>
    </xf>
    <xf numFmtId="0" fontId="8" fillId="0" borderId="141" xfId="2" applyFont="1" applyBorder="1" applyProtection="1"/>
    <xf numFmtId="0" fontId="8" fillId="0" borderId="141" xfId="2" applyFont="1" applyFill="1" applyBorder="1" applyProtection="1"/>
    <xf numFmtId="0" fontId="5" fillId="0" borderId="0" xfId="2" applyFont="1" applyFill="1" applyBorder="1" applyAlignment="1" applyProtection="1">
      <alignment vertical="top"/>
    </xf>
    <xf numFmtId="0" fontId="70" fillId="0" borderId="0" xfId="2" applyFont="1" applyFill="1" applyBorder="1" applyProtection="1"/>
    <xf numFmtId="184" fontId="15" fillId="0" borderId="0" xfId="2" applyNumberFormat="1" applyFont="1" applyBorder="1" applyProtection="1">
      <protection locked="0"/>
    </xf>
    <xf numFmtId="184" fontId="7" fillId="0" borderId="0" xfId="2" applyNumberFormat="1" applyFont="1" applyBorder="1" applyProtection="1">
      <protection locked="0"/>
    </xf>
    <xf numFmtId="184" fontId="7" fillId="0" borderId="0" xfId="2" applyNumberFormat="1" applyFont="1" applyFill="1" applyBorder="1" applyProtection="1"/>
    <xf numFmtId="184" fontId="7" fillId="0" borderId="0" xfId="2" applyNumberFormat="1" applyFont="1" applyBorder="1" applyProtection="1"/>
    <xf numFmtId="184" fontId="15" fillId="0" borderId="0" xfId="2" applyNumberFormat="1" applyFont="1" applyAlignment="1" applyProtection="1">
      <alignment vertical="top"/>
    </xf>
    <xf numFmtId="0" fontId="70" fillId="0" borderId="23" xfId="2" applyFont="1" applyBorder="1" applyProtection="1">
      <protection locked="0"/>
    </xf>
    <xf numFmtId="167" fontId="8" fillId="0" borderId="23" xfId="2" applyNumberFormat="1" applyFont="1" applyFill="1" applyBorder="1"/>
    <xf numFmtId="165" fontId="8" fillId="0" borderId="23" xfId="2" applyNumberFormat="1" applyFont="1" applyFill="1" applyBorder="1"/>
    <xf numFmtId="0" fontId="8" fillId="0" borderId="23" xfId="2" applyFont="1" applyFill="1" applyBorder="1"/>
    <xf numFmtId="0" fontId="8" fillId="0" borderId="23" xfId="2" applyNumberFormat="1" applyFont="1" applyFill="1" applyBorder="1"/>
    <xf numFmtId="0" fontId="8" fillId="0" borderId="23" xfId="2" applyNumberFormat="1" applyFont="1" applyBorder="1"/>
    <xf numFmtId="3" fontId="8" fillId="0" borderId="23" xfId="2" applyNumberFormat="1" applyFont="1" applyFill="1" applyBorder="1"/>
    <xf numFmtId="3" fontId="8" fillId="0" borderId="23" xfId="0" applyNumberFormat="1" applyFont="1" applyBorder="1"/>
    <xf numFmtId="0" fontId="8" fillId="0" borderId="23" xfId="0" applyFont="1" applyBorder="1"/>
    <xf numFmtId="3" fontId="8" fillId="0" borderId="23" xfId="0" applyNumberFormat="1" applyFont="1" applyBorder="1" applyAlignment="1">
      <alignment vertical="center"/>
    </xf>
    <xf numFmtId="3" fontId="8" fillId="0" borderId="23" xfId="2" applyNumberFormat="1" applyFont="1" applyFill="1" applyBorder="1" applyAlignment="1">
      <alignment horizontal="left"/>
    </xf>
    <xf numFmtId="0" fontId="13" fillId="0" borderId="0" xfId="2" applyFont="1" applyFill="1" applyAlignment="1" applyProtection="1">
      <alignment vertical="top"/>
    </xf>
    <xf numFmtId="167" fontId="7" fillId="0" borderId="23" xfId="2" quotePrefix="1" applyNumberFormat="1" applyFont="1" applyFill="1" applyBorder="1"/>
    <xf numFmtId="0" fontId="7" fillId="0" borderId="23" xfId="2" quotePrefix="1" applyFont="1" applyFill="1" applyBorder="1" applyAlignment="1">
      <alignment horizontal="right"/>
    </xf>
    <xf numFmtId="0" fontId="12" fillId="0" borderId="0" xfId="2" applyFont="1" applyFill="1" applyBorder="1" applyProtection="1"/>
    <xf numFmtId="0" fontId="32" fillId="0" borderId="0" xfId="2" applyFont="1" applyFill="1" applyBorder="1" applyAlignment="1" applyProtection="1"/>
    <xf numFmtId="0" fontId="4" fillId="0" borderId="0" xfId="2" applyFont="1" applyFill="1" applyBorder="1" applyAlignment="1" applyProtection="1">
      <alignment vertical="top" wrapText="1"/>
      <protection locked="0"/>
    </xf>
    <xf numFmtId="0" fontId="6" fillId="0" borderId="0" xfId="2" applyFont="1" applyFill="1" applyBorder="1" applyAlignment="1" applyProtection="1">
      <alignment horizontal="left" vertical="top" wrapText="1"/>
      <protection locked="0"/>
    </xf>
    <xf numFmtId="0" fontId="4" fillId="0" borderId="0" xfId="3" applyFont="1" applyFill="1" applyBorder="1" applyAlignment="1" applyProtection="1">
      <alignment horizontal="left" vertical="top"/>
    </xf>
    <xf numFmtId="0" fontId="5" fillId="0" borderId="0" xfId="2" applyFont="1" applyAlignment="1" applyProtection="1">
      <alignment vertical="top" wrapText="1"/>
    </xf>
    <xf numFmtId="0" fontId="5" fillId="0" borderId="0" xfId="2" applyFont="1" applyAlignment="1" applyProtection="1">
      <alignment vertical="top"/>
    </xf>
    <xf numFmtId="165" fontId="7" fillId="0" borderId="20" xfId="15" applyNumberFormat="1" applyFont="1" applyBorder="1"/>
    <xf numFmtId="0" fontId="7" fillId="0" borderId="20" xfId="5" applyFont="1" applyBorder="1" applyAlignment="1">
      <alignment wrapText="1"/>
    </xf>
    <xf numFmtId="0" fontId="8" fillId="0" borderId="20" xfId="5" applyFont="1" applyBorder="1"/>
    <xf numFmtId="165" fontId="8" fillId="0" borderId="20" xfId="5" applyNumberFormat="1" applyFont="1" applyBorder="1" applyAlignment="1">
      <alignment horizontal="right" shrinkToFit="1"/>
    </xf>
    <xf numFmtId="0" fontId="40" fillId="0" borderId="0" xfId="5" applyFont="1" applyProtection="1">
      <protection locked="0"/>
    </xf>
    <xf numFmtId="0" fontId="7" fillId="0" borderId="20" xfId="5" quotePrefix="1" applyFont="1" applyBorder="1" applyAlignment="1" applyProtection="1">
      <alignment horizontal="center"/>
      <protection locked="0"/>
    </xf>
    <xf numFmtId="0" fontId="8" fillId="0" borderId="20" xfId="5" applyFont="1" applyBorder="1" applyAlignment="1">
      <alignment wrapText="1"/>
    </xf>
    <xf numFmtId="0" fontId="40" fillId="0" borderId="0" xfId="15" applyFont="1" applyProtection="1">
      <protection locked="0"/>
    </xf>
    <xf numFmtId="0" fontId="8" fillId="0" borderId="20" xfId="15" applyFont="1" applyBorder="1" applyAlignment="1">
      <alignment wrapText="1"/>
    </xf>
    <xf numFmtId="173" fontId="4" fillId="0" borderId="0" xfId="5" applyNumberFormat="1" applyProtection="1">
      <protection locked="0"/>
    </xf>
    <xf numFmtId="179" fontId="4" fillId="0" borderId="0" xfId="5" applyNumberFormat="1" applyProtection="1">
      <protection locked="0"/>
    </xf>
    <xf numFmtId="0" fontId="4" fillId="0" borderId="0" xfId="5" applyFont="1" applyProtection="1">
      <protection locked="0"/>
    </xf>
    <xf numFmtId="0" fontId="4" fillId="0" borderId="20" xfId="5" applyBorder="1" applyProtection="1">
      <protection locked="0"/>
    </xf>
    <xf numFmtId="0" fontId="4" fillId="0" borderId="20" xfId="15" applyBorder="1" applyProtection="1">
      <protection locked="0"/>
    </xf>
    <xf numFmtId="179" fontId="7" fillId="2" borderId="20" xfId="15" applyNumberFormat="1" applyFont="1" applyFill="1" applyBorder="1" applyAlignment="1">
      <alignment horizontal="right"/>
    </xf>
    <xf numFmtId="179" fontId="7" fillId="0" borderId="20" xfId="15" applyNumberFormat="1" applyFont="1" applyBorder="1" applyAlignment="1">
      <alignment horizontal="right"/>
    </xf>
    <xf numFmtId="0" fontId="40" fillId="0" borderId="0" xfId="5" applyFont="1" applyAlignment="1">
      <alignment horizontal="left" vertical="top" wrapText="1"/>
    </xf>
    <xf numFmtId="9" fontId="7" fillId="2" borderId="47" xfId="17" quotePrefix="1" applyFont="1" applyFill="1" applyBorder="1" applyAlignment="1">
      <alignment horizontal="center"/>
    </xf>
    <xf numFmtId="9" fontId="7" fillId="2" borderId="49" xfId="17" quotePrefix="1" applyFont="1" applyFill="1" applyBorder="1" applyAlignment="1">
      <alignment horizontal="center"/>
    </xf>
    <xf numFmtId="0" fontId="99" fillId="0" borderId="0" xfId="2" applyFont="1" applyFill="1" applyAlignment="1" applyProtection="1">
      <alignment vertical="top"/>
    </xf>
    <xf numFmtId="0" fontId="99" fillId="0" borderId="0" xfId="2" applyFont="1" applyFill="1" applyProtection="1"/>
    <xf numFmtId="0" fontId="7" fillId="0" borderId="0" xfId="2" applyFont="1" applyFill="1" applyBorder="1" applyAlignment="1" applyProtection="1">
      <alignment vertical="center" wrapText="1"/>
      <protection locked="0"/>
    </xf>
    <xf numFmtId="0" fontId="99" fillId="0" borderId="0" xfId="2" applyFont="1" applyFill="1" applyProtection="1">
      <protection locked="0"/>
    </xf>
    <xf numFmtId="0" fontId="4" fillId="0" borderId="0" xfId="15" applyFont="1" applyFill="1"/>
    <xf numFmtId="0" fontId="99" fillId="0" borderId="0" xfId="2" applyFont="1" applyFill="1" applyAlignment="1" applyProtection="1">
      <protection locked="0"/>
    </xf>
    <xf numFmtId="0" fontId="4" fillId="0" borderId="0" xfId="2" applyFont="1" applyFill="1" applyBorder="1" applyAlignment="1" applyProtection="1">
      <alignment vertical="top" wrapText="1"/>
    </xf>
    <xf numFmtId="0" fontId="7" fillId="0" borderId="0" xfId="2" applyFont="1" applyFill="1" applyBorder="1" applyAlignment="1" applyProtection="1">
      <alignment horizontal="right" wrapText="1"/>
    </xf>
    <xf numFmtId="0" fontId="99" fillId="0" borderId="0" xfId="2" applyFont="1" applyFill="1" applyBorder="1" applyProtection="1">
      <protection locked="0"/>
    </xf>
    <xf numFmtId="169" fontId="99" fillId="0" borderId="0" xfId="2" applyNumberFormat="1" applyFont="1" applyFill="1" applyBorder="1" applyProtection="1">
      <protection locked="0"/>
    </xf>
    <xf numFmtId="0" fontId="99" fillId="0" borderId="0" xfId="2" applyFont="1" applyFill="1" applyBorder="1" applyAlignment="1" applyProtection="1">
      <alignment vertical="top" wrapText="1"/>
    </xf>
    <xf numFmtId="0" fontId="7" fillId="0" borderId="0" xfId="2" applyFont="1" applyFill="1" applyBorder="1" applyAlignment="1"/>
    <xf numFmtId="0" fontId="4" fillId="0" borderId="0" xfId="15" applyFont="1" applyFill="1" applyBorder="1" applyAlignment="1">
      <alignment wrapText="1"/>
    </xf>
    <xf numFmtId="0" fontId="5" fillId="0" borderId="0" xfId="2" applyFont="1" applyFill="1" applyBorder="1" applyAlignment="1" applyProtection="1">
      <alignment vertical="top" wrapText="1"/>
    </xf>
    <xf numFmtId="0" fontId="8" fillId="0" borderId="2" xfId="2" applyFont="1" applyFill="1" applyBorder="1" applyAlignment="1"/>
    <xf numFmtId="0" fontId="8" fillId="0" borderId="6" xfId="2" applyFont="1" applyBorder="1" applyAlignment="1"/>
    <xf numFmtId="3" fontId="8" fillId="0" borderId="38" xfId="17" applyNumberFormat="1" applyFont="1" applyFill="1" applyBorder="1" applyAlignment="1">
      <alignment horizontal="right"/>
    </xf>
    <xf numFmtId="0" fontId="99" fillId="0" borderId="0" xfId="2" applyFont="1" applyFill="1" applyBorder="1" applyAlignment="1" applyProtection="1">
      <alignment vertical="top"/>
    </xf>
    <xf numFmtId="0" fontId="15" fillId="0" borderId="0" xfId="15" applyFont="1" applyFill="1" applyBorder="1"/>
    <xf numFmtId="0" fontId="8" fillId="0" borderId="20" xfId="2" applyFont="1" applyFill="1" applyBorder="1" applyAlignment="1"/>
    <xf numFmtId="0" fontId="8" fillId="0" borderId="0" xfId="2" applyFont="1" applyFill="1" applyBorder="1" applyAlignment="1"/>
    <xf numFmtId="17" fontId="8" fillId="2" borderId="117" xfId="17" applyNumberFormat="1" applyFont="1" applyFill="1" applyBorder="1" applyAlignment="1">
      <alignment horizontal="right"/>
    </xf>
    <xf numFmtId="17" fontId="8" fillId="0" borderId="117" xfId="17" applyNumberFormat="1" applyFont="1" applyFill="1" applyBorder="1" applyAlignment="1">
      <alignment horizontal="right"/>
    </xf>
    <xf numFmtId="0" fontId="8" fillId="0" borderId="117" xfId="17" applyNumberFormat="1" applyFont="1" applyFill="1" applyBorder="1" applyAlignment="1">
      <alignment horizontal="right"/>
    </xf>
    <xf numFmtId="0" fontId="8" fillId="0" borderId="0" xfId="2" applyFont="1" applyFill="1" applyBorder="1" applyAlignment="1">
      <alignment horizontal="right"/>
    </xf>
    <xf numFmtId="0" fontId="8" fillId="0" borderId="0" xfId="2" applyFont="1" applyBorder="1" applyAlignment="1">
      <alignment horizontal="right"/>
    </xf>
    <xf numFmtId="0" fontId="8" fillId="0" borderId="6" xfId="2" applyNumberFormat="1" applyFont="1" applyFill="1" applyBorder="1" applyAlignment="1">
      <alignment horizontal="right"/>
    </xf>
    <xf numFmtId="0" fontId="100" fillId="0" borderId="0" xfId="2" applyFont="1" applyFill="1" applyBorder="1" applyAlignment="1" applyProtection="1">
      <alignment vertical="top"/>
    </xf>
    <xf numFmtId="0" fontId="8" fillId="0" borderId="0" xfId="2" applyNumberFormat="1" applyFont="1" applyFill="1" applyBorder="1" applyAlignment="1">
      <alignment horizontal="right"/>
    </xf>
    <xf numFmtId="9" fontId="8" fillId="2" borderId="0" xfId="17" applyNumberFormat="1" applyFont="1" applyFill="1" applyBorder="1" applyAlignment="1">
      <alignment horizontal="right"/>
    </xf>
    <xf numFmtId="0" fontId="4" fillId="0" borderId="0" xfId="15" applyFont="1" applyFill="1" applyBorder="1"/>
    <xf numFmtId="0" fontId="22" fillId="0" borderId="0" xfId="2" applyNumberFormat="1" applyFont="1" applyFill="1" applyAlignment="1" applyProtection="1">
      <alignment vertical="top"/>
    </xf>
    <xf numFmtId="0" fontId="99" fillId="0" borderId="0" xfId="2" applyNumberFormat="1" applyFont="1" applyFill="1" applyAlignment="1" applyProtection="1">
      <alignment vertical="top"/>
    </xf>
    <xf numFmtId="0" fontId="99" fillId="0" borderId="22" xfId="2" applyFont="1" applyFill="1" applyBorder="1" applyProtection="1">
      <protection locked="0"/>
    </xf>
    <xf numFmtId="0" fontId="5" fillId="0" borderId="0" xfId="2" applyFont="1" applyFill="1" applyAlignment="1" applyProtection="1">
      <alignment vertical="top"/>
      <protection locked="0"/>
    </xf>
    <xf numFmtId="0" fontId="99" fillId="0" borderId="0" xfId="2" applyFont="1" applyFill="1" applyAlignment="1" applyProtection="1">
      <alignment vertical="top"/>
      <protection locked="0"/>
    </xf>
    <xf numFmtId="0" fontId="99" fillId="0" borderId="0" xfId="2" applyNumberFormat="1" applyFont="1" applyFill="1" applyProtection="1"/>
    <xf numFmtId="0" fontId="4" fillId="0" borderId="0" xfId="2" applyNumberFormat="1" applyFont="1" applyFill="1" applyBorder="1" applyAlignment="1" applyProtection="1">
      <alignment horizontal="left" vertical="top" wrapText="1"/>
    </xf>
    <xf numFmtId="0" fontId="99" fillId="0" borderId="0" xfId="2" applyNumberFormat="1" applyFont="1" applyFill="1" applyProtection="1">
      <protection locked="0"/>
    </xf>
    <xf numFmtId="0" fontId="4" fillId="0" borderId="0" xfId="15" applyNumberFormat="1" applyFont="1" applyFill="1"/>
    <xf numFmtId="0" fontId="4" fillId="0" borderId="0" xfId="2" applyFont="1" applyFill="1" applyBorder="1" applyAlignment="1" applyProtection="1">
      <alignment horizontal="left" vertical="top" wrapText="1"/>
    </xf>
    <xf numFmtId="0" fontId="5" fillId="2" borderId="0" xfId="2" applyFont="1" applyFill="1" applyAlignment="1" applyProtection="1">
      <alignment vertical="top"/>
    </xf>
    <xf numFmtId="0" fontId="0" fillId="2" borderId="0" xfId="2" applyFont="1" applyFill="1" applyAlignment="1" applyProtection="1">
      <alignment vertical="top"/>
    </xf>
    <xf numFmtId="0" fontId="0" fillId="2" borderId="0" xfId="2" applyFont="1" applyFill="1" applyProtection="1"/>
    <xf numFmtId="0" fontId="0" fillId="2" borderId="0" xfId="2" applyFont="1" applyFill="1" applyBorder="1" applyProtection="1"/>
    <xf numFmtId="0" fontId="0" fillId="2" borderId="0" xfId="2" applyFont="1" applyFill="1" applyBorder="1" applyProtection="1">
      <protection locked="0"/>
    </xf>
    <xf numFmtId="0" fontId="8" fillId="2" borderId="0" xfId="2" applyFont="1" applyFill="1" applyBorder="1" applyProtection="1">
      <protection locked="0"/>
    </xf>
    <xf numFmtId="0" fontId="7" fillId="2" borderId="6" xfId="2" applyFont="1" applyFill="1" applyBorder="1" applyAlignment="1" applyProtection="1"/>
    <xf numFmtId="0" fontId="0" fillId="2" borderId="6" xfId="2" applyFont="1" applyFill="1" applyBorder="1" applyProtection="1"/>
    <xf numFmtId="0" fontId="8" fillId="2" borderId="2" xfId="2" applyFont="1" applyFill="1" applyBorder="1" applyProtection="1"/>
    <xf numFmtId="0" fontId="7" fillId="2" borderId="38" xfId="2" applyFont="1" applyFill="1" applyBorder="1" applyAlignment="1" applyProtection="1">
      <alignment horizontal="right"/>
    </xf>
    <xf numFmtId="0" fontId="7" fillId="2" borderId="40" xfId="2" applyFont="1" applyFill="1" applyBorder="1" applyAlignment="1" applyProtection="1">
      <alignment horizontal="right"/>
    </xf>
    <xf numFmtId="0" fontId="7" fillId="0" borderId="40" xfId="2" applyFont="1" applyFill="1" applyBorder="1" applyAlignment="1" applyProtection="1">
      <alignment horizontal="right"/>
    </xf>
    <xf numFmtId="0" fontId="7" fillId="0" borderId="23" xfId="2" applyFont="1" applyFill="1" applyBorder="1" applyAlignment="1" applyProtection="1">
      <alignment horizontal="right"/>
    </xf>
    <xf numFmtId="0" fontId="90" fillId="2" borderId="0" xfId="2" applyFont="1" applyFill="1" applyAlignment="1" applyProtection="1">
      <alignment horizontal="right" vertical="top"/>
    </xf>
    <xf numFmtId="0" fontId="103" fillId="2" borderId="0" xfId="2" applyFont="1" applyFill="1" applyBorder="1" applyAlignment="1">
      <alignment horizontal="left"/>
    </xf>
    <xf numFmtId="0" fontId="103" fillId="2" borderId="0" xfId="2" applyFont="1" applyFill="1" applyBorder="1" applyAlignment="1">
      <alignment horizontal="center"/>
    </xf>
    <xf numFmtId="3" fontId="7" fillId="0" borderId="66" xfId="2" applyNumberFormat="1" applyFont="1" applyFill="1" applyBorder="1"/>
    <xf numFmtId="3" fontId="8" fillId="0" borderId="143" xfId="2" applyNumberFormat="1" applyFont="1" applyFill="1" applyBorder="1"/>
    <xf numFmtId="3" fontId="8" fillId="0" borderId="67" xfId="2" applyNumberFormat="1" applyFont="1" applyFill="1" applyBorder="1"/>
    <xf numFmtId="0" fontId="104" fillId="2" borderId="0" xfId="2" applyFont="1" applyFill="1" applyBorder="1" applyAlignment="1">
      <alignment horizontal="right"/>
    </xf>
    <xf numFmtId="0" fontId="104" fillId="2" borderId="0" xfId="2" applyFont="1" applyFill="1" applyBorder="1" applyAlignment="1">
      <alignment horizontal="center"/>
    </xf>
    <xf numFmtId="3" fontId="8" fillId="0" borderId="43" xfId="2" applyNumberFormat="1" applyFont="1" applyFill="1" applyBorder="1"/>
    <xf numFmtId="0" fontId="104" fillId="2" borderId="117" xfId="2" applyFont="1" applyFill="1" applyBorder="1" applyAlignment="1">
      <alignment horizontal="right"/>
    </xf>
    <xf numFmtId="0" fontId="104" fillId="2" borderId="117" xfId="2" applyFont="1" applyFill="1" applyBorder="1" applyAlignment="1">
      <alignment horizontal="center"/>
    </xf>
    <xf numFmtId="3" fontId="8" fillId="0" borderId="66" xfId="2" applyNumberFormat="1" applyFont="1" applyFill="1" applyBorder="1" applyAlignment="1">
      <alignment horizontal="center"/>
    </xf>
    <xf numFmtId="3" fontId="8" fillId="0" borderId="67" xfId="2" applyNumberFormat="1" applyFont="1" applyFill="1" applyBorder="1" applyAlignment="1">
      <alignment horizontal="center"/>
    </xf>
    <xf numFmtId="3" fontId="8" fillId="0" borderId="67" xfId="2" applyNumberFormat="1" applyFont="1" applyBorder="1" applyAlignment="1">
      <alignment horizontal="right"/>
    </xf>
    <xf numFmtId="0" fontId="7" fillId="2" borderId="0" xfId="2" applyFont="1" applyFill="1" applyBorder="1"/>
    <xf numFmtId="0" fontId="7" fillId="2" borderId="0" xfId="2" applyFont="1" applyFill="1" applyBorder="1" applyAlignment="1">
      <alignment horizontal="center"/>
    </xf>
    <xf numFmtId="3" fontId="7" fillId="2" borderId="125" xfId="2" applyNumberFormat="1" applyFont="1" applyFill="1" applyBorder="1"/>
    <xf numFmtId="3" fontId="7" fillId="2" borderId="173" xfId="2" applyNumberFormat="1" applyFont="1" applyFill="1" applyBorder="1"/>
    <xf numFmtId="3" fontId="7" fillId="0" borderId="173" xfId="2" applyNumberFormat="1" applyFont="1" applyFill="1" applyBorder="1"/>
    <xf numFmtId="3" fontId="7" fillId="0" borderId="173" xfId="2" applyNumberFormat="1" applyFont="1" applyBorder="1"/>
    <xf numFmtId="3" fontId="8" fillId="0" borderId="66" xfId="2" applyNumberFormat="1" applyFont="1" applyFill="1" applyBorder="1"/>
    <xf numFmtId="3" fontId="0" fillId="2" borderId="0" xfId="2" applyNumberFormat="1" applyFont="1" applyFill="1" applyAlignment="1" applyProtection="1">
      <alignment vertical="top"/>
    </xf>
    <xf numFmtId="0" fontId="11" fillId="2" borderId="141" xfId="2" applyFont="1" applyFill="1" applyBorder="1" applyProtection="1"/>
    <xf numFmtId="0" fontId="0" fillId="2" borderId="141" xfId="2" applyFont="1" applyFill="1" applyBorder="1" applyProtection="1"/>
    <xf numFmtId="0" fontId="8" fillId="2" borderId="142" xfId="2" applyFont="1" applyFill="1" applyBorder="1" applyProtection="1"/>
    <xf numFmtId="3" fontId="8" fillId="2" borderId="142" xfId="2" applyNumberFormat="1" applyFont="1" applyFill="1" applyBorder="1" applyProtection="1"/>
    <xf numFmtId="3" fontId="8" fillId="2" borderId="143" xfId="2" applyNumberFormat="1" applyFont="1" applyFill="1" applyBorder="1" applyProtection="1"/>
    <xf numFmtId="3" fontId="8" fillId="0" borderId="143" xfId="2" applyNumberFormat="1" applyFont="1" applyFill="1" applyBorder="1" applyProtection="1"/>
    <xf numFmtId="3" fontId="8" fillId="0" borderId="67" xfId="2" applyNumberFormat="1" applyFont="1" applyFill="1" applyBorder="1" applyProtection="1"/>
    <xf numFmtId="3" fontId="8" fillId="0" borderId="66" xfId="2" applyNumberFormat="1" applyFont="1" applyFill="1" applyBorder="1" applyProtection="1"/>
    <xf numFmtId="169" fontId="105" fillId="0" borderId="46" xfId="2" applyNumberFormat="1" applyFont="1" applyFill="1" applyBorder="1" applyProtection="1">
      <protection locked="0"/>
    </xf>
    <xf numFmtId="0" fontId="11" fillId="2" borderId="0" xfId="2" applyFont="1" applyFill="1" applyProtection="1"/>
    <xf numFmtId="0" fontId="8" fillId="2" borderId="0" xfId="2" applyFont="1" applyFill="1" applyBorder="1" applyProtection="1"/>
    <xf numFmtId="3" fontId="8" fillId="2" borderId="0" xfId="2" applyNumberFormat="1" applyFont="1" applyFill="1" applyBorder="1" applyProtection="1"/>
    <xf numFmtId="0" fontId="99" fillId="0" borderId="0" xfId="2" applyNumberFormat="1" applyFont="1" applyFill="1" applyBorder="1" applyProtection="1"/>
    <xf numFmtId="0" fontId="8" fillId="2" borderId="0" xfId="2" applyFont="1" applyFill="1" applyProtection="1"/>
    <xf numFmtId="0" fontId="22" fillId="2" borderId="0" xfId="2" applyFont="1" applyFill="1" applyProtection="1"/>
    <xf numFmtId="0" fontId="31" fillId="2" borderId="0" xfId="2" applyFont="1" applyFill="1" applyProtection="1"/>
    <xf numFmtId="0" fontId="5" fillId="2" borderId="0" xfId="2" applyFont="1" applyFill="1" applyAlignment="1" applyProtection="1">
      <alignment vertical="top" wrapText="1"/>
    </xf>
    <xf numFmtId="0" fontId="6" fillId="0" borderId="0" xfId="2" applyFont="1" applyFill="1" applyAlignment="1" applyProtection="1">
      <alignment vertical="top"/>
    </xf>
    <xf numFmtId="0" fontId="6" fillId="0" borderId="0" xfId="2" applyFont="1" applyFill="1" applyProtection="1"/>
    <xf numFmtId="0" fontId="6" fillId="0" borderId="0" xfId="2" applyFont="1" applyFill="1" applyProtection="1">
      <protection locked="0"/>
    </xf>
    <xf numFmtId="0" fontId="6" fillId="0" borderId="0" xfId="2" applyFont="1" applyFill="1" applyAlignment="1" applyProtection="1">
      <alignment vertical="top"/>
      <protection locked="0"/>
    </xf>
    <xf numFmtId="0" fontId="101" fillId="0" borderId="0" xfId="2" applyFont="1" applyFill="1" applyProtection="1">
      <protection locked="0"/>
    </xf>
    <xf numFmtId="0" fontId="4" fillId="0" borderId="0" xfId="2" applyFont="1" applyFill="1" applyProtection="1">
      <protection locked="0"/>
    </xf>
    <xf numFmtId="0" fontId="8" fillId="0" borderId="0" xfId="2" applyFont="1" applyFill="1" applyAlignment="1" applyProtection="1">
      <alignment vertical="top"/>
    </xf>
    <xf numFmtId="0" fontId="8" fillId="0" borderId="0" xfId="2" applyFont="1" applyFill="1" applyProtection="1">
      <protection locked="0"/>
    </xf>
    <xf numFmtId="0" fontId="8" fillId="0" borderId="2" xfId="2" applyFont="1" applyFill="1" applyBorder="1" applyAlignment="1" applyProtection="1">
      <alignment horizontal="left"/>
    </xf>
    <xf numFmtId="0" fontId="7" fillId="0" borderId="38" xfId="2" applyFont="1" applyFill="1" applyBorder="1" applyAlignment="1" applyProtection="1">
      <alignment horizontal="right"/>
    </xf>
    <xf numFmtId="0" fontId="14" fillId="0" borderId="38" xfId="2" applyFont="1" applyFill="1" applyBorder="1" applyAlignment="1" applyProtection="1">
      <alignment horizontal="right"/>
    </xf>
    <xf numFmtId="0" fontId="14" fillId="0" borderId="48" xfId="2" applyFont="1" applyFill="1" applyBorder="1" applyAlignment="1" applyProtection="1">
      <alignment horizontal="right"/>
    </xf>
    <xf numFmtId="0" fontId="7" fillId="0" borderId="64" xfId="2" applyFont="1" applyFill="1" applyBorder="1" applyAlignment="1" applyProtection="1">
      <alignment horizontal="right"/>
    </xf>
    <xf numFmtId="0" fontId="14" fillId="0" borderId="21" xfId="2" applyFont="1" applyFill="1" applyBorder="1" applyAlignment="1" applyProtection="1">
      <alignment horizontal="right"/>
    </xf>
    <xf numFmtId="165" fontId="8" fillId="0" borderId="0" xfId="2" applyNumberFormat="1" applyFont="1" applyFill="1" applyBorder="1" applyAlignment="1" applyProtection="1">
      <alignment horizontal="left"/>
    </xf>
    <xf numFmtId="165" fontId="6" fillId="0" borderId="41" xfId="2" applyNumberFormat="1" applyFont="1" applyFill="1" applyBorder="1" applyAlignment="1" applyProtection="1">
      <alignment horizontal="right"/>
    </xf>
    <xf numFmtId="176" fontId="8" fillId="0" borderId="41" xfId="2" applyNumberFormat="1" applyFont="1" applyFill="1" applyBorder="1" applyAlignment="1" applyProtection="1">
      <alignment horizontal="right"/>
    </xf>
    <xf numFmtId="3" fontId="59" fillId="0" borderId="41" xfId="2" applyNumberFormat="1" applyFont="1" applyFill="1" applyBorder="1" applyAlignment="1"/>
    <xf numFmtId="3" fontId="11" fillId="0" borderId="41" xfId="2" applyNumberFormat="1" applyFont="1" applyFill="1" applyBorder="1" applyAlignment="1"/>
    <xf numFmtId="3" fontId="11" fillId="0" borderId="48" xfId="2" applyNumberFormat="1" applyFont="1" applyFill="1" applyBorder="1" applyAlignment="1"/>
    <xf numFmtId="176" fontId="8" fillId="0" borderId="58" xfId="2" applyNumberFormat="1" applyFont="1" applyFill="1" applyBorder="1" applyAlignment="1" applyProtection="1">
      <alignment horizontal="right"/>
    </xf>
    <xf numFmtId="176" fontId="11" fillId="0" borderId="147" xfId="2" applyNumberFormat="1" applyFont="1" applyFill="1" applyBorder="1" applyAlignment="1" applyProtection="1">
      <alignment horizontal="right"/>
    </xf>
    <xf numFmtId="3" fontId="11" fillId="0" borderId="43" xfId="2" applyNumberFormat="1" applyFont="1" applyFill="1" applyBorder="1" applyAlignment="1"/>
    <xf numFmtId="3" fontId="11" fillId="0" borderId="16" xfId="2" applyNumberFormat="1" applyFont="1" applyFill="1" applyBorder="1" applyAlignment="1"/>
    <xf numFmtId="165" fontId="8" fillId="0" borderId="6" xfId="2" applyNumberFormat="1" applyFont="1" applyFill="1" applyBorder="1" applyAlignment="1" applyProtection="1">
      <alignment horizontal="left"/>
    </xf>
    <xf numFmtId="0" fontId="7" fillId="0" borderId="0" xfId="2" applyFont="1" applyFill="1" applyBorder="1" applyAlignment="1">
      <alignment horizontal="justify"/>
    </xf>
    <xf numFmtId="167" fontId="63" fillId="0" borderId="0" xfId="2" applyNumberFormat="1" applyFont="1" applyFill="1" applyBorder="1" applyAlignment="1"/>
    <xf numFmtId="167" fontId="59" fillId="0" borderId="0" xfId="2" applyNumberFormat="1" applyFont="1" applyFill="1" applyBorder="1" applyAlignment="1"/>
    <xf numFmtId="0" fontId="8" fillId="0" borderId="20" xfId="2" applyFont="1" applyFill="1" applyBorder="1" applyAlignment="1">
      <alignment horizontal="justify"/>
    </xf>
    <xf numFmtId="0" fontId="7" fillId="0" borderId="6" xfId="2" applyFont="1" applyFill="1" applyBorder="1" applyAlignment="1">
      <alignment horizontal="justify"/>
    </xf>
    <xf numFmtId="0" fontId="8" fillId="0" borderId="0" xfId="2" applyFont="1" applyFill="1" applyBorder="1" applyAlignment="1">
      <alignment horizontal="justify"/>
    </xf>
    <xf numFmtId="176" fontId="59" fillId="0" borderId="0" xfId="2" applyNumberFormat="1" applyFont="1" applyFill="1" applyBorder="1" applyAlignment="1"/>
    <xf numFmtId="176" fontId="11" fillId="0" borderId="0" xfId="2" applyNumberFormat="1" applyFont="1" applyFill="1" applyBorder="1" applyAlignment="1"/>
    <xf numFmtId="0" fontId="8" fillId="0" borderId="117" xfId="2" applyFont="1" applyFill="1" applyBorder="1" applyAlignment="1">
      <alignment horizontal="justify"/>
    </xf>
    <xf numFmtId="176" fontId="59" fillId="0" borderId="117" xfId="2" applyNumberFormat="1" applyFont="1" applyFill="1" applyBorder="1" applyAlignment="1"/>
    <xf numFmtId="176" fontId="8" fillId="0" borderId="117" xfId="17" applyNumberFormat="1" applyFont="1" applyFill="1" applyBorder="1" applyAlignment="1" applyProtection="1">
      <alignment horizontal="right"/>
    </xf>
    <xf numFmtId="176" fontId="11" fillId="0" borderId="117" xfId="17" applyNumberFormat="1" applyFont="1" applyFill="1" applyBorder="1" applyAlignment="1" applyProtection="1">
      <alignment horizontal="right"/>
    </xf>
    <xf numFmtId="176" fontId="11" fillId="0" borderId="117" xfId="2" applyNumberFormat="1" applyFont="1" applyFill="1" applyBorder="1" applyAlignment="1"/>
    <xf numFmtId="176" fontId="11" fillId="0" borderId="16" xfId="2" applyNumberFormat="1" applyFont="1" applyFill="1" applyBorder="1" applyAlignment="1"/>
    <xf numFmtId="0" fontId="8" fillId="0" borderId="6" xfId="2" applyFont="1" applyFill="1" applyBorder="1" applyAlignment="1">
      <alignment horizontal="justify"/>
    </xf>
    <xf numFmtId="176" fontId="8" fillId="0" borderId="5" xfId="2" applyNumberFormat="1" applyFont="1" applyFill="1" applyBorder="1" applyAlignment="1" applyProtection="1">
      <alignment horizontal="right"/>
    </xf>
    <xf numFmtId="176" fontId="8" fillId="0" borderId="6" xfId="2" applyNumberFormat="1" applyFont="1" applyFill="1" applyBorder="1" applyAlignment="1" applyProtection="1">
      <alignment horizontal="right"/>
    </xf>
    <xf numFmtId="176" fontId="8" fillId="0" borderId="6" xfId="2" applyNumberFormat="1" applyFont="1" applyFill="1" applyBorder="1" applyAlignment="1">
      <alignment horizontal="right"/>
    </xf>
    <xf numFmtId="176" fontId="11" fillId="0" borderId="6" xfId="2" applyNumberFormat="1" applyFont="1" applyFill="1" applyBorder="1" applyAlignment="1" applyProtection="1">
      <alignment horizontal="right"/>
    </xf>
    <xf numFmtId="176" fontId="11" fillId="0" borderId="165" xfId="2" applyNumberFormat="1" applyFont="1" applyFill="1" applyBorder="1" applyAlignment="1" applyProtection="1">
      <alignment horizontal="right"/>
    </xf>
    <xf numFmtId="176" fontId="11" fillId="0" borderId="144" xfId="2" applyNumberFormat="1" applyFont="1" applyFill="1" applyBorder="1" applyAlignment="1" applyProtection="1">
      <alignment horizontal="right"/>
    </xf>
    <xf numFmtId="0" fontId="6" fillId="0" borderId="16" xfId="2" applyFont="1" applyFill="1" applyBorder="1" applyProtection="1">
      <protection locked="0"/>
    </xf>
    <xf numFmtId="176" fontId="8" fillId="0" borderId="0" xfId="2" applyNumberFormat="1" applyFont="1" applyFill="1" applyBorder="1" applyAlignment="1" applyProtection="1">
      <alignment horizontal="right"/>
    </xf>
    <xf numFmtId="0" fontId="7" fillId="0" borderId="3" xfId="2" applyFont="1" applyFill="1" applyBorder="1" applyProtection="1">
      <protection locked="0"/>
    </xf>
    <xf numFmtId="184" fontId="8" fillId="0" borderId="0" xfId="2" applyNumberFormat="1" applyFont="1" applyFill="1" applyBorder="1" applyAlignment="1" applyProtection="1">
      <alignment horizontal="right"/>
    </xf>
    <xf numFmtId="0" fontId="20" fillId="0" borderId="0" xfId="2" applyFont="1" applyFill="1" applyBorder="1" applyAlignment="1" applyProtection="1">
      <alignment vertical="top"/>
      <protection locked="0"/>
    </xf>
    <xf numFmtId="0" fontId="6" fillId="0" borderId="0" xfId="2" applyFont="1" applyFill="1" applyBorder="1" applyAlignment="1" applyProtection="1">
      <alignment vertical="top"/>
      <protection locked="0"/>
    </xf>
    <xf numFmtId="0" fontId="6" fillId="0" borderId="0" xfId="2" applyFont="1" applyFill="1" applyBorder="1" applyProtection="1">
      <protection locked="0"/>
    </xf>
    <xf numFmtId="0" fontId="20" fillId="0" borderId="0" xfId="2" applyFont="1" applyFill="1" applyAlignment="1" applyProtection="1">
      <alignment vertical="top"/>
      <protection locked="0"/>
    </xf>
    <xf numFmtId="0" fontId="94" fillId="0" borderId="0" xfId="2" applyFont="1" applyFill="1" applyProtection="1">
      <protection locked="0"/>
    </xf>
    <xf numFmtId="0" fontId="7" fillId="0" borderId="6" xfId="2" applyFont="1" applyFill="1" applyBorder="1" applyAlignment="1" applyProtection="1"/>
    <xf numFmtId="0" fontId="5" fillId="0" borderId="0" xfId="2" applyNumberFormat="1" applyFont="1" applyFill="1" applyAlignment="1" applyProtection="1">
      <alignment vertical="top"/>
    </xf>
    <xf numFmtId="0" fontId="0" fillId="0" borderId="0" xfId="2" applyNumberFormat="1" applyFont="1" applyFill="1" applyAlignment="1" applyProtection="1">
      <alignment vertical="top"/>
    </xf>
    <xf numFmtId="0" fontId="7" fillId="0" borderId="2" xfId="2" applyNumberFormat="1" applyFont="1" applyFill="1" applyBorder="1" applyProtection="1"/>
    <xf numFmtId="0" fontId="7" fillId="0" borderId="38" xfId="2" applyNumberFormat="1" applyFont="1" applyFill="1" applyBorder="1" applyProtection="1"/>
    <xf numFmtId="0" fontId="7" fillId="0" borderId="38" xfId="2" applyNumberFormat="1" applyFont="1" applyFill="1" applyBorder="1" applyAlignment="1" applyProtection="1">
      <alignment horizontal="right"/>
    </xf>
    <xf numFmtId="0" fontId="7" fillId="0" borderId="39" xfId="2" applyNumberFormat="1" applyFont="1" applyFill="1" applyBorder="1" applyAlignment="1" applyProtection="1">
      <alignment horizontal="right"/>
    </xf>
    <xf numFmtId="0" fontId="7" fillId="0" borderId="40" xfId="2" applyNumberFormat="1" applyFont="1" applyFill="1" applyBorder="1" applyAlignment="1" applyProtection="1">
      <alignment horizontal="right"/>
    </xf>
    <xf numFmtId="0" fontId="7" fillId="0" borderId="64" xfId="2" applyNumberFormat="1" applyFont="1" applyFill="1" applyBorder="1" applyAlignment="1" applyProtection="1">
      <alignment horizontal="right"/>
    </xf>
    <xf numFmtId="0" fontId="7" fillId="0" borderId="3" xfId="2" applyNumberFormat="1" applyFont="1" applyFill="1" applyBorder="1" applyAlignment="1" applyProtection="1">
      <alignment horizontal="right"/>
    </xf>
    <xf numFmtId="0" fontId="0" fillId="0" borderId="0" xfId="2" applyNumberFormat="1" applyFont="1" applyFill="1" applyProtection="1">
      <protection locked="0"/>
    </xf>
    <xf numFmtId="0" fontId="4" fillId="0" borderId="0" xfId="2" applyFont="1" applyFill="1" applyAlignment="1" applyProtection="1">
      <alignment vertical="top"/>
    </xf>
    <xf numFmtId="0" fontId="7" fillId="0" borderId="0" xfId="2" applyFont="1" applyFill="1" applyBorder="1" applyProtection="1"/>
    <xf numFmtId="2" fontId="8" fillId="0" borderId="41" xfId="2" applyNumberFormat="1" applyFont="1" applyFill="1" applyBorder="1" applyProtection="1"/>
    <xf numFmtId="2" fontId="8" fillId="0" borderId="41" xfId="2" applyNumberFormat="1" applyFont="1" applyFill="1" applyBorder="1" applyAlignment="1" applyProtection="1">
      <alignment horizontal="right"/>
    </xf>
    <xf numFmtId="2" fontId="8" fillId="0" borderId="18" xfId="2" applyNumberFormat="1" applyFont="1" applyFill="1" applyBorder="1" applyAlignment="1" applyProtection="1">
      <alignment horizontal="right"/>
    </xf>
    <xf numFmtId="2" fontId="8" fillId="0" borderId="43" xfId="2" applyNumberFormat="1" applyFont="1" applyFill="1" applyBorder="1" applyAlignment="1" applyProtection="1">
      <alignment horizontal="right"/>
    </xf>
    <xf numFmtId="2" fontId="8" fillId="0" borderId="58" xfId="2" applyNumberFormat="1" applyFont="1" applyFill="1" applyBorder="1" applyAlignment="1" applyProtection="1">
      <alignment horizontal="right"/>
    </xf>
    <xf numFmtId="2" fontId="8" fillId="0" borderId="16" xfId="2" applyNumberFormat="1" applyFont="1" applyFill="1" applyBorder="1" applyAlignment="1" applyProtection="1">
      <alignment horizontal="right"/>
    </xf>
    <xf numFmtId="165" fontId="8" fillId="0" borderId="41" xfId="2" applyNumberFormat="1" applyFont="1" applyFill="1" applyBorder="1" applyProtection="1"/>
    <xf numFmtId="165" fontId="8" fillId="0" borderId="41" xfId="2" applyNumberFormat="1" applyFont="1" applyFill="1" applyBorder="1" applyAlignment="1" applyProtection="1">
      <alignment horizontal="right"/>
    </xf>
    <xf numFmtId="1" fontId="8" fillId="0" borderId="18" xfId="2" applyNumberFormat="1" applyFont="1" applyFill="1" applyBorder="1" applyAlignment="1" applyProtection="1">
      <alignment horizontal="right"/>
    </xf>
    <xf numFmtId="1" fontId="8" fillId="0" borderId="43" xfId="2" applyNumberFormat="1" applyFont="1" applyFill="1" applyBorder="1" applyAlignment="1" applyProtection="1">
      <alignment horizontal="right"/>
    </xf>
    <xf numFmtId="1" fontId="8" fillId="0" borderId="58" xfId="2" applyNumberFormat="1" applyFont="1" applyFill="1" applyBorder="1" applyAlignment="1" applyProtection="1">
      <alignment horizontal="right"/>
    </xf>
    <xf numFmtId="165" fontId="8" fillId="0" borderId="16" xfId="2" applyNumberFormat="1" applyFont="1" applyFill="1" applyBorder="1" applyAlignment="1" applyProtection="1">
      <alignment horizontal="right"/>
    </xf>
    <xf numFmtId="0" fontId="8" fillId="0" borderId="136" xfId="2" applyFont="1" applyFill="1" applyBorder="1" applyProtection="1"/>
    <xf numFmtId="174" fontId="8" fillId="0" borderId="60" xfId="2" applyNumberFormat="1" applyFont="1" applyFill="1" applyBorder="1" applyProtection="1"/>
    <xf numFmtId="174" fontId="8" fillId="0" borderId="60" xfId="2" applyNumberFormat="1" applyFont="1" applyFill="1" applyBorder="1" applyAlignment="1" applyProtection="1">
      <alignment horizontal="right"/>
    </xf>
    <xf numFmtId="174" fontId="8" fillId="0" borderId="138" xfId="2" applyNumberFormat="1" applyFont="1" applyFill="1" applyBorder="1" applyAlignment="1" applyProtection="1">
      <alignment horizontal="right"/>
    </xf>
    <xf numFmtId="174" fontId="8" fillId="0" borderId="66" xfId="2" applyNumberFormat="1" applyFont="1" applyFill="1" applyBorder="1" applyAlignment="1" applyProtection="1">
      <alignment horizontal="right"/>
    </xf>
    <xf numFmtId="174" fontId="8" fillId="0" borderId="59" xfId="2" applyNumberFormat="1" applyFont="1" applyFill="1" applyBorder="1" applyAlignment="1" applyProtection="1">
      <alignment horizontal="right"/>
    </xf>
    <xf numFmtId="2" fontId="8" fillId="0" borderId="66" xfId="2" applyNumberFormat="1" applyFont="1" applyFill="1" applyBorder="1" applyAlignment="1" applyProtection="1">
      <alignment horizontal="right"/>
    </xf>
    <xf numFmtId="174" fontId="8" fillId="0" borderId="41" xfId="2" applyNumberFormat="1" applyFont="1" applyFill="1" applyBorder="1" applyAlignment="1" applyProtection="1">
      <alignment horizontal="right"/>
    </xf>
    <xf numFmtId="174" fontId="8" fillId="0" borderId="18" xfId="2" applyNumberFormat="1" applyFont="1" applyFill="1" applyBorder="1" applyAlignment="1" applyProtection="1">
      <alignment horizontal="right"/>
    </xf>
    <xf numFmtId="174" fontId="8" fillId="0" borderId="43" xfId="2" applyNumberFormat="1" applyFont="1" applyFill="1" applyBorder="1" applyAlignment="1" applyProtection="1">
      <alignment horizontal="right"/>
    </xf>
    <xf numFmtId="174" fontId="8" fillId="0" borderId="16" xfId="2" applyNumberFormat="1" applyFont="1" applyFill="1" applyBorder="1" applyAlignment="1" applyProtection="1">
      <alignment horizontal="right"/>
    </xf>
    <xf numFmtId="1" fontId="8" fillId="0" borderId="16" xfId="2" applyNumberFormat="1" applyFont="1" applyFill="1" applyBorder="1" applyAlignment="1" applyProtection="1">
      <alignment horizontal="right"/>
    </xf>
    <xf numFmtId="2" fontId="8" fillId="0" borderId="59" xfId="2" applyNumberFormat="1" applyFont="1" applyFill="1" applyBorder="1" applyAlignment="1" applyProtection="1">
      <alignment horizontal="right"/>
    </xf>
    <xf numFmtId="2" fontId="8" fillId="0" borderId="135" xfId="2" applyNumberFormat="1" applyFont="1" applyFill="1" applyBorder="1" applyAlignment="1" applyProtection="1">
      <alignment horizontal="right"/>
    </xf>
    <xf numFmtId="174" fontId="8" fillId="0" borderId="41" xfId="2" applyNumberFormat="1" applyFont="1" applyFill="1" applyBorder="1" applyProtection="1"/>
    <xf numFmtId="0" fontId="8" fillId="0" borderId="41" xfId="2" applyFont="1" applyFill="1" applyBorder="1" applyProtection="1"/>
    <xf numFmtId="0" fontId="8" fillId="0" borderId="41" xfId="2" applyFont="1" applyFill="1" applyBorder="1" applyAlignment="1" applyProtection="1">
      <alignment horizontal="right"/>
    </xf>
    <xf numFmtId="0" fontId="8" fillId="0" borderId="6" xfId="2" applyFont="1" applyFill="1" applyBorder="1" applyProtection="1"/>
    <xf numFmtId="174" fontId="8" fillId="0" borderId="44" xfId="2" applyNumberFormat="1" applyFont="1" applyFill="1" applyBorder="1" applyProtection="1"/>
    <xf numFmtId="174" fontId="8" fillId="0" borderId="44" xfId="2" applyNumberFormat="1" applyFont="1" applyFill="1" applyBorder="1" applyAlignment="1" applyProtection="1">
      <alignment horizontal="right"/>
    </xf>
    <xf numFmtId="174" fontId="8" fillId="0" borderId="45" xfId="2" applyNumberFormat="1" applyFont="1" applyFill="1" applyBorder="1" applyAlignment="1" applyProtection="1">
      <alignment horizontal="right"/>
    </xf>
    <xf numFmtId="174" fontId="8" fillId="0" borderId="46" xfId="2" applyNumberFormat="1" applyFont="1" applyFill="1" applyBorder="1" applyAlignment="1" applyProtection="1">
      <alignment horizontal="right"/>
    </xf>
    <xf numFmtId="174" fontId="8" fillId="0" borderId="0" xfId="2" applyNumberFormat="1" applyFont="1" applyFill="1" applyBorder="1" applyProtection="1"/>
    <xf numFmtId="174" fontId="8" fillId="0" borderId="0" xfId="2" applyNumberFormat="1" applyFont="1" applyFill="1" applyBorder="1" applyAlignment="1" applyProtection="1">
      <alignment horizontal="right"/>
    </xf>
    <xf numFmtId="0" fontId="7" fillId="0" borderId="6" xfId="2" applyFont="1" applyFill="1" applyBorder="1" applyProtection="1"/>
    <xf numFmtId="174" fontId="8" fillId="0" borderId="6" xfId="2" applyNumberFormat="1" applyFont="1" applyFill="1" applyBorder="1" applyProtection="1"/>
    <xf numFmtId="174" fontId="8" fillId="0" borderId="6" xfId="2" applyNumberFormat="1" applyFont="1" applyFill="1" applyBorder="1" applyAlignment="1" applyProtection="1">
      <alignment horizontal="right"/>
    </xf>
    <xf numFmtId="0" fontId="4" fillId="0" borderId="6" xfId="2" applyFont="1" applyFill="1" applyBorder="1" applyProtection="1">
      <protection locked="0"/>
    </xf>
    <xf numFmtId="0" fontId="4" fillId="0" borderId="0" xfId="2" applyFont="1" applyFill="1" applyBorder="1" applyProtection="1">
      <protection locked="0"/>
    </xf>
    <xf numFmtId="0" fontId="15" fillId="0" borderId="0" xfId="2" applyFont="1" applyFill="1" applyBorder="1" applyAlignment="1" applyProtection="1">
      <alignment vertical="top"/>
    </xf>
    <xf numFmtId="0" fontId="4" fillId="0" borderId="0" xfId="2" applyFont="1" applyFill="1" applyBorder="1" applyAlignment="1" applyProtection="1">
      <alignment vertical="top"/>
    </xf>
    <xf numFmtId="0" fontId="7" fillId="0" borderId="2" xfId="2" applyFont="1" applyFill="1" applyBorder="1" applyProtection="1"/>
    <xf numFmtId="0" fontId="4" fillId="0" borderId="41" xfId="2" applyFont="1" applyFill="1" applyBorder="1" applyProtection="1">
      <protection locked="0"/>
    </xf>
    <xf numFmtId="0" fontId="4" fillId="0" borderId="18" xfId="2" applyFont="1" applyFill="1" applyBorder="1" applyProtection="1">
      <protection locked="0"/>
    </xf>
    <xf numFmtId="0" fontId="4" fillId="0" borderId="43" xfId="2" applyFont="1" applyFill="1" applyBorder="1" applyProtection="1">
      <protection locked="0"/>
    </xf>
    <xf numFmtId="2" fontId="8" fillId="0" borderId="41" xfId="40" applyNumberFormat="1" applyFont="1" applyFill="1" applyBorder="1"/>
    <xf numFmtId="2" fontId="8" fillId="0" borderId="41" xfId="40" applyNumberFormat="1" applyFont="1" applyFill="1" applyBorder="1" applyAlignment="1">
      <alignment horizontal="right"/>
    </xf>
    <xf numFmtId="2" fontId="8" fillId="0" borderId="18" xfId="40" applyNumberFormat="1" applyFont="1" applyFill="1" applyBorder="1" applyAlignment="1">
      <alignment horizontal="right"/>
    </xf>
    <xf numFmtId="2" fontId="8" fillId="0" borderId="43" xfId="40" applyNumberFormat="1" applyFont="1" applyFill="1" applyBorder="1" applyAlignment="1">
      <alignment horizontal="right"/>
    </xf>
    <xf numFmtId="2" fontId="8" fillId="0" borderId="16" xfId="2" applyNumberFormat="1" applyFont="1" applyBorder="1" applyProtection="1">
      <protection locked="0"/>
    </xf>
    <xf numFmtId="2" fontId="8" fillId="0" borderId="44" xfId="2" applyNumberFormat="1" applyFont="1" applyFill="1" applyBorder="1" applyProtection="1"/>
    <xf numFmtId="2" fontId="8" fillId="0" borderId="44" xfId="0" applyNumberFormat="1" applyFont="1" applyFill="1" applyBorder="1"/>
    <xf numFmtId="2" fontId="8" fillId="0" borderId="44" xfId="40" applyNumberFormat="1" applyFont="1" applyFill="1" applyBorder="1"/>
    <xf numFmtId="2" fontId="8" fillId="0" borderId="44" xfId="0" applyNumberFormat="1" applyFont="1" applyFill="1" applyBorder="1" applyAlignment="1">
      <alignment horizontal="right"/>
    </xf>
    <xf numFmtId="2" fontId="8" fillId="0" borderId="45" xfId="0" applyNumberFormat="1" applyFont="1" applyFill="1" applyBorder="1" applyAlignment="1">
      <alignment horizontal="right"/>
    </xf>
    <xf numFmtId="2" fontId="8" fillId="0" borderId="46" xfId="0" applyNumberFormat="1" applyFont="1" applyFill="1" applyBorder="1" applyAlignment="1">
      <alignment horizontal="right"/>
    </xf>
    <xf numFmtId="0" fontId="95" fillId="0" borderId="0" xfId="2" applyFont="1" applyFill="1" applyBorder="1" applyAlignment="1" applyProtection="1">
      <alignment vertical="top"/>
    </xf>
    <xf numFmtId="0" fontId="4" fillId="0" borderId="0" xfId="2" applyFont="1" applyFill="1" applyProtection="1"/>
    <xf numFmtId="0" fontId="4" fillId="0" borderId="16" xfId="2" applyFont="1" applyFill="1" applyBorder="1" applyProtection="1">
      <protection locked="0"/>
    </xf>
    <xf numFmtId="0" fontId="8" fillId="0" borderId="0" xfId="2" applyFont="1" applyFill="1" applyBorder="1" applyAlignment="1" applyProtection="1">
      <alignment vertical="top" wrapText="1"/>
    </xf>
    <xf numFmtId="2" fontId="8" fillId="0" borderId="0" xfId="2" applyNumberFormat="1" applyFont="1" applyFill="1" applyBorder="1" applyProtection="1"/>
    <xf numFmtId="0" fontId="52" fillId="0" borderId="0" xfId="40" applyFont="1" applyFill="1"/>
    <xf numFmtId="0" fontId="0" fillId="0" borderId="20" xfId="2" applyFont="1" applyFill="1" applyBorder="1" applyProtection="1">
      <protection locked="0"/>
    </xf>
    <xf numFmtId="0" fontId="15" fillId="0" borderId="0" xfId="40" applyFont="1" applyFill="1" applyBorder="1"/>
    <xf numFmtId="0" fontId="15" fillId="0" borderId="0" xfId="40" applyFont="1" applyFill="1" applyBorder="1" applyAlignment="1">
      <alignment horizontal="right"/>
    </xf>
    <xf numFmtId="0" fontId="96" fillId="0" borderId="0" xfId="40" applyFont="1" applyFill="1" applyBorder="1"/>
    <xf numFmtId="0" fontId="8" fillId="0" borderId="0" xfId="40" applyFont="1" applyFill="1" applyBorder="1" applyAlignment="1" applyProtection="1">
      <alignment horizontal="left"/>
      <protection locked="0"/>
    </xf>
    <xf numFmtId="0" fontId="8" fillId="0" borderId="0" xfId="40" applyFont="1" applyFill="1" applyBorder="1" applyAlignment="1" applyProtection="1">
      <alignment horizontal="right"/>
      <protection locked="0"/>
    </xf>
    <xf numFmtId="165" fontId="8" fillId="0" borderId="0" xfId="40" applyNumberFormat="1" applyFont="1" applyFill="1" applyBorder="1"/>
    <xf numFmtId="0" fontId="8" fillId="0" borderId="0" xfId="40" applyFont="1" applyFill="1" applyBorder="1"/>
    <xf numFmtId="165" fontId="97" fillId="0" borderId="0" xfId="40" applyNumberFormat="1" applyFont="1" applyFill="1" applyBorder="1"/>
    <xf numFmtId="0" fontId="7" fillId="0" borderId="6" xfId="40" applyFont="1" applyFill="1" applyBorder="1"/>
    <xf numFmtId="0" fontId="7" fillId="0" borderId="6" xfId="40" applyFont="1" applyFill="1" applyBorder="1" applyAlignment="1" applyProtection="1">
      <alignment horizontal="right"/>
      <protection locked="0"/>
    </xf>
    <xf numFmtId="165" fontId="7" fillId="0" borderId="6" xfId="40" applyNumberFormat="1" applyFont="1" applyFill="1" applyBorder="1"/>
    <xf numFmtId="165" fontId="98" fillId="0" borderId="6" xfId="40" applyNumberFormat="1" applyFont="1" applyFill="1" applyBorder="1"/>
    <xf numFmtId="3" fontId="8" fillId="2" borderId="38" xfId="2" applyNumberFormat="1" applyFont="1" applyFill="1" applyBorder="1" applyAlignment="1">
      <alignment horizontal="right"/>
    </xf>
    <xf numFmtId="1" fontId="11" fillId="0" borderId="40" xfId="2" applyNumberFormat="1" applyFont="1" applyBorder="1"/>
    <xf numFmtId="3" fontId="11" fillId="2" borderId="16" xfId="0" applyNumberFormat="1" applyFont="1" applyFill="1" applyBorder="1"/>
    <xf numFmtId="184" fontId="8" fillId="0" borderId="117" xfId="2" applyNumberFormat="1" applyFont="1" applyBorder="1" applyAlignment="1">
      <alignment wrapText="1"/>
    </xf>
    <xf numFmtId="170" fontId="52" fillId="0" borderId="117" xfId="17" applyNumberFormat="1" applyFont="1" applyFill="1" applyBorder="1" applyAlignment="1">
      <alignment wrapText="1"/>
    </xf>
    <xf numFmtId="170" fontId="149" fillId="0" borderId="117" xfId="17" applyNumberFormat="1" applyFont="1" applyFill="1" applyBorder="1" applyAlignment="1">
      <alignment wrapText="1"/>
    </xf>
    <xf numFmtId="165" fontId="11" fillId="0" borderId="41" xfId="0" applyNumberFormat="1" applyFont="1" applyFill="1" applyBorder="1"/>
    <xf numFmtId="165" fontId="11" fillId="0" borderId="16" xfId="0" applyNumberFormat="1" applyFont="1" applyFill="1" applyBorder="1"/>
    <xf numFmtId="184" fontId="8" fillId="0" borderId="117" xfId="2" applyNumberFormat="1" applyFont="1" applyBorder="1" applyAlignment="1">
      <alignment horizontal="right"/>
    </xf>
    <xf numFmtId="184" fontId="7" fillId="0" borderId="164" xfId="2" applyNumberFormat="1" applyFont="1" applyBorder="1"/>
    <xf numFmtId="184" fontId="7" fillId="0" borderId="148" xfId="2" applyNumberFormat="1" applyFont="1" applyFill="1" applyBorder="1"/>
    <xf numFmtId="0" fontId="7" fillId="0" borderId="38" xfId="2" applyFont="1" applyBorder="1" applyAlignment="1">
      <alignment horizontal="right"/>
    </xf>
    <xf numFmtId="0" fontId="4" fillId="0" borderId="117" xfId="2" applyBorder="1" applyAlignment="1">
      <alignment horizontal="left" vertical="top" wrapText="1"/>
    </xf>
    <xf numFmtId="0" fontId="4" fillId="0" borderId="161" xfId="2" applyBorder="1" applyAlignment="1">
      <alignment vertical="top" wrapText="1"/>
    </xf>
    <xf numFmtId="0" fontId="4" fillId="0" borderId="162" xfId="2" applyBorder="1" applyAlignment="1">
      <alignment vertical="top" wrapText="1"/>
    </xf>
    <xf numFmtId="0" fontId="4" fillId="0" borderId="163" xfId="2" applyBorder="1" applyAlignment="1">
      <alignment vertical="top" wrapText="1"/>
    </xf>
    <xf numFmtId="0" fontId="6" fillId="0" borderId="0" xfId="2" applyFont="1" applyAlignment="1" applyProtection="1">
      <alignment horizontal="left" vertical="top" wrapText="1"/>
      <protection locked="0"/>
    </xf>
    <xf numFmtId="0" fontId="4" fillId="0" borderId="141" xfId="2" applyBorder="1" applyAlignment="1">
      <alignment vertical="top" wrapText="1"/>
    </xf>
    <xf numFmtId="0" fontId="6" fillId="0" borderId="0" xfId="2" applyFont="1" applyAlignment="1">
      <alignment vertical="top" wrapText="1"/>
    </xf>
    <xf numFmtId="0" fontId="4" fillId="0" borderId="0" xfId="2" applyAlignment="1">
      <alignment horizontal="left" vertical="top" wrapText="1"/>
    </xf>
    <xf numFmtId="0" fontId="0" fillId="0" borderId="0" xfId="2" applyFont="1" applyAlignment="1" applyProtection="1">
      <alignment horizontal="center"/>
      <protection locked="0"/>
    </xf>
    <xf numFmtId="3" fontId="126" fillId="0" borderId="0" xfId="0" applyNumberFormat="1" applyFont="1" applyFill="1" applyAlignment="1">
      <alignment horizontal="center" vertical="center"/>
    </xf>
    <xf numFmtId="0" fontId="8" fillId="2" borderId="0" xfId="15" applyFont="1" applyFill="1" applyAlignment="1">
      <alignment horizontal="center" vertical="center" wrapText="1"/>
    </xf>
    <xf numFmtId="184" fontId="8" fillId="0" borderId="117" xfId="2" applyNumberFormat="1" applyFont="1" applyBorder="1" applyAlignment="1">
      <alignment horizontal="center" vertical="center"/>
    </xf>
    <xf numFmtId="0" fontId="8" fillId="0" borderId="117" xfId="2" applyFont="1" applyBorder="1" applyAlignment="1">
      <alignment horizontal="right" wrapText="1"/>
    </xf>
    <xf numFmtId="3" fontId="126" fillId="0" borderId="117" xfId="0" applyNumberFormat="1" applyFont="1" applyBorder="1"/>
    <xf numFmtId="0" fontId="7" fillId="0" borderId="0" xfId="2" applyFont="1" applyAlignment="1"/>
    <xf numFmtId="0" fontId="6" fillId="0" borderId="23" xfId="2" applyFont="1" applyFill="1" applyBorder="1"/>
    <xf numFmtId="0" fontId="4" fillId="0" borderId="20" xfId="2" applyFill="1" applyBorder="1"/>
    <xf numFmtId="0" fontId="4" fillId="0" borderId="21" xfId="2" applyFill="1" applyBorder="1"/>
    <xf numFmtId="0" fontId="4" fillId="0" borderId="0" xfId="2" applyFill="1" applyBorder="1"/>
    <xf numFmtId="0" fontId="4" fillId="0" borderId="6" xfId="2" applyFill="1" applyBorder="1"/>
    <xf numFmtId="0" fontId="15" fillId="0" borderId="1" xfId="2" applyFont="1" applyBorder="1"/>
    <xf numFmtId="0" fontId="4" fillId="0" borderId="0" xfId="2" applyBorder="1" applyAlignment="1">
      <alignment horizontal="center"/>
    </xf>
    <xf numFmtId="0" fontId="4" fillId="0" borderId="6" xfId="2" applyBorder="1" applyAlignment="1">
      <alignment horizontal="center"/>
    </xf>
    <xf numFmtId="0" fontId="6" fillId="0" borderId="3" xfId="2" applyFont="1" applyFill="1" applyBorder="1"/>
    <xf numFmtId="1" fontId="25" fillId="0" borderId="20" xfId="0" applyNumberFormat="1" applyFont="1" applyBorder="1" applyAlignment="1">
      <alignment horizontal="center"/>
    </xf>
    <xf numFmtId="1" fontId="25" fillId="0" borderId="0" xfId="0" applyNumberFormat="1" applyFont="1" applyBorder="1" applyAlignment="1">
      <alignment horizontal="center"/>
    </xf>
    <xf numFmtId="1" fontId="25" fillId="0" borderId="6" xfId="0" applyNumberFormat="1" applyFont="1" applyBorder="1" applyAlignment="1">
      <alignment horizontal="center"/>
    </xf>
    <xf numFmtId="0" fontId="145" fillId="0" borderId="1" xfId="0" applyFont="1" applyBorder="1"/>
    <xf numFmtId="0" fontId="8" fillId="0" borderId="3" xfId="2" applyFont="1" applyBorder="1" applyAlignment="1">
      <alignment wrapText="1"/>
    </xf>
    <xf numFmtId="0" fontId="8" fillId="0" borderId="17" xfId="2" applyFont="1" applyBorder="1" applyAlignment="1">
      <alignment wrapText="1"/>
    </xf>
    <xf numFmtId="0" fontId="7" fillId="0" borderId="38" xfId="2" applyFont="1" applyFill="1" applyBorder="1" applyAlignment="1">
      <alignment horizontal="right" wrapText="1"/>
    </xf>
    <xf numFmtId="0" fontId="7" fillId="0" borderId="38" xfId="2" quotePrefix="1" applyFont="1" applyFill="1" applyBorder="1" applyAlignment="1">
      <alignment horizontal="right" wrapText="1"/>
    </xf>
    <xf numFmtId="0" fontId="14" fillId="0" borderId="38" xfId="0" quotePrefix="1" applyFont="1" applyFill="1" applyBorder="1"/>
    <xf numFmtId="0" fontId="14" fillId="0" borderId="3" xfId="0" quotePrefix="1" applyFont="1" applyFill="1" applyBorder="1"/>
    <xf numFmtId="3" fontId="11" fillId="0" borderId="41" xfId="0" applyNumberFormat="1" applyFont="1" applyFill="1" applyBorder="1"/>
    <xf numFmtId="3" fontId="11" fillId="0" borderId="42" xfId="0" applyNumberFormat="1" applyFont="1" applyFill="1" applyBorder="1"/>
    <xf numFmtId="3" fontId="11" fillId="0" borderId="21" xfId="0" applyNumberFormat="1" applyFont="1" applyFill="1" applyBorder="1"/>
    <xf numFmtId="3" fontId="11" fillId="0" borderId="16" xfId="0" applyNumberFormat="1" applyFont="1" applyFill="1" applyBorder="1"/>
    <xf numFmtId="165" fontId="11" fillId="0" borderId="60" xfId="0" applyNumberFormat="1" applyFont="1" applyFill="1" applyBorder="1"/>
    <xf numFmtId="165" fontId="11" fillId="0" borderId="135" xfId="0" applyNumberFormat="1" applyFont="1" applyFill="1" applyBorder="1"/>
    <xf numFmtId="0" fontId="11" fillId="0" borderId="41" xfId="0" applyFont="1" applyFill="1" applyBorder="1"/>
    <xf numFmtId="0" fontId="11" fillId="0" borderId="16" xfId="0" applyFont="1" applyFill="1" applyBorder="1"/>
    <xf numFmtId="3" fontId="45" fillId="0" borderId="41" xfId="0" applyNumberFormat="1" applyFont="1" applyFill="1" applyBorder="1" applyAlignment="1">
      <alignment horizontal="right"/>
    </xf>
    <xf numFmtId="3" fontId="45" fillId="0" borderId="16" xfId="0" applyNumberFormat="1" applyFont="1" applyFill="1" applyBorder="1" applyAlignment="1">
      <alignment horizontal="right"/>
    </xf>
    <xf numFmtId="165" fontId="45" fillId="0" borderId="44" xfId="0" applyNumberFormat="1" applyFont="1" applyFill="1" applyBorder="1" applyAlignment="1">
      <alignment horizontal="right"/>
    </xf>
    <xf numFmtId="165" fontId="45" fillId="0" borderId="17" xfId="0" applyNumberFormat="1" applyFont="1" applyFill="1" applyBorder="1" applyAlignment="1">
      <alignment horizontal="right"/>
    </xf>
    <xf numFmtId="0" fontId="7" fillId="0" borderId="41" xfId="2" applyFont="1" applyFill="1" applyBorder="1" applyAlignment="1">
      <alignment horizontal="right" wrapText="1"/>
    </xf>
    <xf numFmtId="184" fontId="8" fillId="0" borderId="142" xfId="2" applyNumberFormat="1" applyFont="1" applyFill="1" applyBorder="1"/>
    <xf numFmtId="184" fontId="8" fillId="0" borderId="60" xfId="2" applyNumberFormat="1" applyFont="1" applyFill="1" applyBorder="1"/>
    <xf numFmtId="184" fontId="8" fillId="0" borderId="60" xfId="2" applyNumberFormat="1" applyFont="1" applyFill="1" applyBorder="1" applyAlignment="1">
      <alignment horizontal="right"/>
    </xf>
    <xf numFmtId="184" fontId="8" fillId="0" borderId="60" xfId="2" applyNumberFormat="1" applyFont="1" applyFill="1" applyBorder="1" applyAlignment="1">
      <alignment horizontal="center"/>
    </xf>
    <xf numFmtId="184" fontId="8" fillId="0" borderId="44" xfId="2" applyNumberFormat="1" applyFont="1" applyFill="1" applyBorder="1"/>
    <xf numFmtId="184" fontId="8" fillId="0" borderId="22" xfId="2" applyNumberFormat="1" applyFont="1" applyFill="1" applyBorder="1"/>
    <xf numFmtId="184" fontId="7" fillId="0" borderId="0" xfId="2" applyNumberFormat="1" applyFont="1" applyFill="1"/>
    <xf numFmtId="0" fontId="6" fillId="0" borderId="0" xfId="2" applyFont="1" applyFill="1"/>
    <xf numFmtId="17" fontId="7" fillId="0" borderId="38" xfId="2" quotePrefix="1" applyNumberFormat="1" applyFont="1" applyFill="1" applyBorder="1" applyAlignment="1">
      <alignment horizontal="right" wrapText="1"/>
    </xf>
    <xf numFmtId="17" fontId="7" fillId="0" borderId="40" xfId="2" quotePrefix="1" applyNumberFormat="1" applyFont="1" applyFill="1" applyBorder="1" applyAlignment="1">
      <alignment horizontal="right" wrapText="1"/>
    </xf>
    <xf numFmtId="0" fontId="32" fillId="0" borderId="38" xfId="2" applyFont="1" applyBorder="1" applyAlignment="1">
      <alignment horizontal="right"/>
    </xf>
    <xf numFmtId="0" fontId="143" fillId="0" borderId="38" xfId="2" applyFont="1" applyBorder="1" applyAlignment="1">
      <alignment horizontal="right"/>
    </xf>
    <xf numFmtId="0" fontId="143" fillId="0" borderId="40" xfId="2" applyFont="1" applyBorder="1" applyAlignment="1">
      <alignment horizontal="right"/>
    </xf>
    <xf numFmtId="0" fontId="143" fillId="2" borderId="1" xfId="2" applyFont="1" applyFill="1" applyBorder="1" applyAlignment="1">
      <alignment horizontal="right"/>
    </xf>
    <xf numFmtId="0" fontId="143" fillId="2" borderId="40" xfId="2" applyFont="1" applyFill="1" applyBorder="1" applyAlignment="1">
      <alignment horizontal="right"/>
    </xf>
    <xf numFmtId="0" fontId="12" fillId="0" borderId="5" xfId="2" applyFont="1" applyBorder="1" applyAlignment="1">
      <alignment wrapText="1"/>
    </xf>
    <xf numFmtId="170" fontId="12" fillId="0" borderId="0" xfId="1" applyNumberFormat="1" applyFont="1"/>
    <xf numFmtId="170" fontId="12" fillId="0" borderId="0" xfId="2" applyNumberFormat="1" applyFont="1"/>
    <xf numFmtId="9" fontId="12" fillId="0" borderId="0" xfId="1" applyFont="1"/>
    <xf numFmtId="0" fontId="8" fillId="2" borderId="0" xfId="2" applyFont="1" applyFill="1" applyAlignment="1">
      <alignment vertical="top"/>
    </xf>
    <xf numFmtId="184" fontId="8" fillId="2" borderId="41" xfId="2" applyNumberFormat="1" applyFont="1" applyFill="1" applyBorder="1" applyAlignment="1">
      <alignment horizontal="right"/>
    </xf>
    <xf numFmtId="3" fontId="8" fillId="2" borderId="18" xfId="2" applyNumberFormat="1" applyFont="1" applyFill="1" applyBorder="1" applyAlignment="1">
      <alignment horizontal="right"/>
    </xf>
    <xf numFmtId="3" fontId="8" fillId="2" borderId="67" xfId="2" applyNumberFormat="1" applyFont="1" applyFill="1" applyBorder="1" applyAlignment="1">
      <alignment horizontal="right"/>
    </xf>
    <xf numFmtId="187" fontId="8" fillId="2" borderId="0" xfId="2" applyNumberFormat="1" applyFont="1" applyFill="1" applyAlignment="1">
      <alignment vertical="top"/>
    </xf>
    <xf numFmtId="0" fontId="8" fillId="2" borderId="117" xfId="2" applyFont="1" applyFill="1" applyBorder="1" applyAlignment="1">
      <alignment wrapText="1"/>
    </xf>
    <xf numFmtId="3" fontId="8" fillId="2" borderId="117" xfId="2" applyNumberFormat="1" applyFont="1" applyFill="1" applyBorder="1" applyAlignment="1">
      <alignment horizontal="right"/>
    </xf>
    <xf numFmtId="187" fontId="8" fillId="2" borderId="0" xfId="2" applyNumberFormat="1" applyFont="1" applyFill="1" applyAlignment="1">
      <alignment horizontal="right"/>
    </xf>
    <xf numFmtId="187" fontId="8" fillId="2" borderId="41" xfId="2" applyNumberFormat="1" applyFont="1" applyFill="1" applyBorder="1" applyAlignment="1">
      <alignment horizontal="right"/>
    </xf>
    <xf numFmtId="173" fontId="8" fillId="2" borderId="41" xfId="2" applyNumberFormat="1" applyFont="1" applyFill="1" applyBorder="1" applyAlignment="1">
      <alignment horizontal="right"/>
    </xf>
    <xf numFmtId="187" fontId="8" fillId="2" borderId="41" xfId="7" applyNumberFormat="1" applyFont="1" applyFill="1" applyBorder="1"/>
    <xf numFmtId="0" fontId="8" fillId="2" borderId="41" xfId="2" applyFont="1" applyFill="1" applyBorder="1" applyAlignment="1">
      <alignment horizontal="right"/>
    </xf>
    <xf numFmtId="187" fontId="8" fillId="2" borderId="0" xfId="2" applyNumberFormat="1" applyFont="1" applyFill="1" applyBorder="1" applyAlignment="1">
      <alignment horizontal="right"/>
    </xf>
    <xf numFmtId="184" fontId="8" fillId="2" borderId="60" xfId="2" applyNumberFormat="1" applyFont="1" applyFill="1" applyBorder="1" applyAlignment="1">
      <alignment horizontal="right"/>
    </xf>
    <xf numFmtId="0" fontId="7" fillId="2" borderId="0" xfId="2" applyFont="1" applyFill="1" applyAlignment="1">
      <alignment wrapText="1"/>
    </xf>
    <xf numFmtId="0" fontId="8" fillId="2" borderId="18" xfId="2" applyFont="1" applyFill="1" applyBorder="1"/>
    <xf numFmtId="0" fontId="7" fillId="2" borderId="23" xfId="2" applyFont="1" applyFill="1" applyBorder="1" applyAlignment="1">
      <alignment wrapText="1"/>
    </xf>
    <xf numFmtId="0" fontId="7" fillId="2" borderId="23" xfId="2" applyFont="1" applyFill="1" applyBorder="1" applyAlignment="1">
      <alignment horizontal="right"/>
    </xf>
    <xf numFmtId="173" fontId="7" fillId="2" borderId="6" xfId="2" applyNumberFormat="1" applyFont="1" applyFill="1" applyBorder="1"/>
    <xf numFmtId="190" fontId="7" fillId="2" borderId="38" xfId="2" quotePrefix="1" applyNumberFormat="1" applyFont="1" applyFill="1" applyBorder="1" applyAlignment="1">
      <alignment horizontal="right"/>
    </xf>
    <xf numFmtId="190" fontId="7" fillId="2" borderId="39" xfId="2" quotePrefix="1" applyNumberFormat="1" applyFont="1" applyFill="1" applyBorder="1" applyAlignment="1">
      <alignment horizontal="right"/>
    </xf>
    <xf numFmtId="212" fontId="12" fillId="2" borderId="0" xfId="2" applyNumberFormat="1" applyFont="1" applyFill="1"/>
    <xf numFmtId="9" fontId="12" fillId="2" borderId="0" xfId="1" applyFont="1" applyFill="1"/>
    <xf numFmtId="170" fontId="12" fillId="2" borderId="0" xfId="1" applyNumberFormat="1" applyFont="1" applyFill="1"/>
    <xf numFmtId="0" fontId="7" fillId="0" borderId="20" xfId="2" applyFont="1" applyBorder="1" applyAlignment="1">
      <alignment horizontal="right"/>
    </xf>
    <xf numFmtId="1" fontId="8" fillId="2" borderId="41" xfId="17" applyNumberFormat="1" applyFont="1" applyFill="1" applyBorder="1" applyAlignment="1">
      <alignment horizontal="right"/>
    </xf>
    <xf numFmtId="170" fontId="8" fillId="2" borderId="60" xfId="2" applyNumberFormat="1" applyFont="1" applyFill="1" applyBorder="1" applyAlignment="1">
      <alignment horizontal="right"/>
    </xf>
    <xf numFmtId="170" fontId="8" fillId="2" borderId="66" xfId="2" applyNumberFormat="1" applyFont="1" applyFill="1" applyBorder="1" applyAlignment="1">
      <alignment horizontal="right"/>
    </xf>
    <xf numFmtId="3" fontId="8" fillId="2" borderId="41" xfId="2" applyNumberFormat="1" applyFont="1" applyFill="1" applyBorder="1" applyAlignment="1">
      <alignment horizontal="right"/>
    </xf>
    <xf numFmtId="0" fontId="44" fillId="2" borderId="43" xfId="2" applyFont="1" applyFill="1" applyBorder="1"/>
    <xf numFmtId="3" fontId="8" fillId="2" borderId="41" xfId="17" applyNumberFormat="1" applyFont="1" applyFill="1" applyBorder="1" applyAlignment="1">
      <alignment horizontal="right"/>
    </xf>
    <xf numFmtId="0" fontId="8" fillId="2" borderId="41" xfId="2" applyFont="1" applyFill="1" applyBorder="1"/>
    <xf numFmtId="0" fontId="11" fillId="2" borderId="43" xfId="2" applyFont="1" applyFill="1" applyBorder="1"/>
    <xf numFmtId="1" fontId="8" fillId="2" borderId="41" xfId="17" applyNumberFormat="1" applyFont="1" applyFill="1" applyBorder="1" applyAlignment="1"/>
    <xf numFmtId="170" fontId="8" fillId="2" borderId="44" xfId="2" applyNumberFormat="1" applyFont="1" applyFill="1" applyBorder="1" applyAlignment="1">
      <alignment horizontal="right"/>
    </xf>
    <xf numFmtId="170" fontId="8" fillId="2" borderId="46" xfId="2" applyNumberFormat="1" applyFont="1" applyFill="1" applyBorder="1" applyAlignment="1">
      <alignment horizontal="right"/>
    </xf>
    <xf numFmtId="165" fontId="23" fillId="0" borderId="2" xfId="2" applyNumberFormat="1" applyFont="1" applyBorder="1" applyProtection="1">
      <protection locked="0"/>
    </xf>
    <xf numFmtId="49" fontId="41" fillId="2" borderId="21" xfId="6" applyNumberFormat="1" applyFont="1" applyFill="1" applyBorder="1" applyAlignment="1">
      <alignment horizontal="right"/>
    </xf>
    <xf numFmtId="165" fontId="28" fillId="2" borderId="17" xfId="0" applyNumberFormat="1" applyFont="1" applyFill="1" applyBorder="1"/>
    <xf numFmtId="165" fontId="28" fillId="2" borderId="0" xfId="0" applyNumberFormat="1" applyFont="1" applyFill="1" applyBorder="1"/>
    <xf numFmtId="165" fontId="28" fillId="2" borderId="0" xfId="2" applyNumberFormat="1" applyFont="1" applyFill="1" applyBorder="1"/>
    <xf numFmtId="49" fontId="41" fillId="2" borderId="20" xfId="6" applyNumberFormat="1" applyFont="1" applyFill="1" applyBorder="1" applyAlignment="1">
      <alignment horizontal="right"/>
    </xf>
    <xf numFmtId="0" fontId="8" fillId="2" borderId="65" xfId="2" applyFont="1" applyFill="1" applyBorder="1"/>
    <xf numFmtId="0" fontId="8" fillId="2" borderId="23" xfId="2" applyFont="1" applyFill="1" applyBorder="1"/>
    <xf numFmtId="0" fontId="32" fillId="0" borderId="174" xfId="2" applyFont="1" applyBorder="1" applyAlignment="1">
      <alignment horizontal="left"/>
    </xf>
    <xf numFmtId="0" fontId="12" fillId="0" borderId="67" xfId="2" applyFont="1" applyBorder="1"/>
    <xf numFmtId="0" fontId="60" fillId="2" borderId="67" xfId="2" applyFont="1" applyFill="1" applyBorder="1"/>
    <xf numFmtId="0" fontId="0" fillId="0" borderId="67" xfId="0" applyBorder="1"/>
    <xf numFmtId="0" fontId="0" fillId="0" borderId="24" xfId="0" applyBorder="1"/>
    <xf numFmtId="187" fontId="12" fillId="0" borderId="47" xfId="18" applyNumberFormat="1" applyFont="1" applyFill="1" applyBorder="1" applyProtection="1">
      <protection locked="0"/>
    </xf>
    <xf numFmtId="187" fontId="12" fillId="0" borderId="18" xfId="18" applyNumberFormat="1" applyFont="1" applyFill="1" applyBorder="1" applyProtection="1">
      <protection locked="0"/>
    </xf>
    <xf numFmtId="187" fontId="12" fillId="0" borderId="45" xfId="18" applyNumberFormat="1" applyFont="1" applyFill="1" applyBorder="1"/>
    <xf numFmtId="187" fontId="12" fillId="0" borderId="16" xfId="18" applyNumberFormat="1" applyFont="1" applyFill="1" applyBorder="1" applyProtection="1">
      <protection locked="0"/>
    </xf>
    <xf numFmtId="187" fontId="12" fillId="0" borderId="24" xfId="18" applyNumberFormat="1" applyFont="1" applyFill="1" applyBorder="1" applyProtection="1">
      <protection locked="0"/>
    </xf>
    <xf numFmtId="187" fontId="12" fillId="0" borderId="65" xfId="18" applyNumberFormat="1" applyFont="1" applyFill="1" applyBorder="1" applyProtection="1">
      <protection locked="0"/>
    </xf>
    <xf numFmtId="0" fontId="8" fillId="0" borderId="160" xfId="2" applyFont="1" applyBorder="1"/>
    <xf numFmtId="0" fontId="8" fillId="0" borderId="175" xfId="8" applyFont="1" applyBorder="1" applyAlignment="1">
      <alignment horizontal="right"/>
    </xf>
    <xf numFmtId="176" fontId="8" fillId="0" borderId="175" xfId="8" applyNumberFormat="1" applyFont="1" applyBorder="1" applyAlignment="1">
      <alignment horizontal="right"/>
    </xf>
    <xf numFmtId="176" fontId="8" fillId="7" borderId="175" xfId="8" applyNumberFormat="1" applyFont="1" applyFill="1" applyBorder="1" applyAlignment="1">
      <alignment horizontal="right"/>
    </xf>
    <xf numFmtId="176" fontId="8" fillId="8" borderId="175" xfId="8" applyNumberFormat="1" applyFont="1" applyFill="1" applyBorder="1" applyAlignment="1">
      <alignment horizontal="right"/>
    </xf>
    <xf numFmtId="202" fontId="8" fillId="0" borderId="175" xfId="8" applyNumberFormat="1" applyFont="1" applyBorder="1" applyAlignment="1">
      <alignment horizontal="right"/>
    </xf>
    <xf numFmtId="0" fontId="8" fillId="0" borderId="176" xfId="2" applyFont="1" applyBorder="1"/>
    <xf numFmtId="0" fontId="8" fillId="0" borderId="177" xfId="8" applyFont="1" applyBorder="1" applyAlignment="1">
      <alignment horizontal="right"/>
    </xf>
    <xf numFmtId="0" fontId="8" fillId="7" borderId="177" xfId="8" applyFont="1" applyFill="1" applyBorder="1" applyAlignment="1">
      <alignment horizontal="right"/>
    </xf>
    <xf numFmtId="0" fontId="8" fillId="8" borderId="177" xfId="8" applyFont="1" applyFill="1" applyBorder="1" applyAlignment="1">
      <alignment horizontal="right"/>
    </xf>
    <xf numFmtId="9" fontId="1" fillId="0" borderId="0" xfId="1" applyFont="1" applyProtection="1">
      <protection locked="0"/>
    </xf>
    <xf numFmtId="0" fontId="8" fillId="0" borderId="117" xfId="2" applyFont="1" applyBorder="1" applyAlignment="1">
      <alignment horizontal="right"/>
    </xf>
    <xf numFmtId="3" fontId="8" fillId="0" borderId="117" xfId="2" quotePrefix="1" applyNumberFormat="1" applyFont="1" applyBorder="1" applyAlignment="1">
      <alignment horizontal="right"/>
    </xf>
    <xf numFmtId="0" fontId="5" fillId="2" borderId="0" xfId="2" applyFont="1" applyFill="1" applyAlignment="1">
      <alignment horizontal="right" vertical="top"/>
    </xf>
    <xf numFmtId="0" fontId="5" fillId="2" borderId="0" xfId="2" applyFont="1" applyFill="1" applyAlignment="1">
      <alignment horizontal="left" vertical="top"/>
    </xf>
    <xf numFmtId="0" fontId="7" fillId="2" borderId="4" xfId="2" applyFont="1" applyFill="1" applyBorder="1"/>
    <xf numFmtId="0" fontId="7" fillId="2" borderId="21" xfId="2" applyFont="1" applyFill="1" applyBorder="1"/>
    <xf numFmtId="0" fontId="13" fillId="2" borderId="0" xfId="2" applyFont="1" applyFill="1" applyAlignment="1">
      <alignment horizontal="right" vertical="top"/>
    </xf>
    <xf numFmtId="0" fontId="49" fillId="2" borderId="15" xfId="13" applyFont="1" applyFill="1" applyBorder="1" applyAlignment="1">
      <alignment horizontal="left" wrapText="1"/>
    </xf>
    <xf numFmtId="0" fontId="49" fillId="2" borderId="0" xfId="13" applyFont="1" applyFill="1" applyAlignment="1">
      <alignment horizontal="right" wrapText="1"/>
    </xf>
    <xf numFmtId="0" fontId="7" fillId="2" borderId="16" xfId="2" applyFont="1" applyFill="1" applyBorder="1" applyAlignment="1">
      <alignment horizontal="right"/>
    </xf>
    <xf numFmtId="0" fontId="45" fillId="2" borderId="15" xfId="13" applyFont="1" applyFill="1" applyBorder="1" applyAlignment="1">
      <alignment horizontal="left" wrapText="1"/>
    </xf>
    <xf numFmtId="0" fontId="45" fillId="2" borderId="0" xfId="13" applyFont="1" applyFill="1" applyAlignment="1">
      <alignment horizontal="right" wrapText="1"/>
    </xf>
    <xf numFmtId="0" fontId="45" fillId="2" borderId="5" xfId="13" applyFont="1" applyFill="1" applyBorder="1" applyAlignment="1">
      <alignment horizontal="left" wrapText="1"/>
    </xf>
    <xf numFmtId="0" fontId="45" fillId="2" borderId="6" xfId="13" applyFont="1" applyFill="1" applyBorder="1" applyAlignment="1">
      <alignment horizontal="right" wrapText="1"/>
    </xf>
    <xf numFmtId="0" fontId="8" fillId="2" borderId="17" xfId="2" applyFont="1" applyFill="1" applyBorder="1" applyAlignment="1">
      <alignment horizontal="right"/>
    </xf>
    <xf numFmtId="0" fontId="49" fillId="0" borderId="105" xfId="13" applyFont="1" applyBorder="1" applyAlignment="1">
      <alignment horizontal="right" wrapText="1"/>
    </xf>
    <xf numFmtId="0" fontId="7" fillId="0" borderId="105" xfId="13" applyFont="1" applyBorder="1" applyAlignment="1">
      <alignment horizontal="right" wrapText="1"/>
    </xf>
    <xf numFmtId="0" fontId="53" fillId="0" borderId="117" xfId="13" applyFont="1" applyBorder="1" applyAlignment="1">
      <alignment horizontal="right" wrapText="1"/>
    </xf>
    <xf numFmtId="0" fontId="52" fillId="0" borderId="117" xfId="13" applyFont="1" applyBorder="1" applyAlignment="1">
      <alignment horizontal="right" wrapText="1"/>
    </xf>
    <xf numFmtId="0" fontId="52" fillId="2" borderId="117" xfId="13" applyFont="1" applyFill="1" applyBorder="1" applyAlignment="1">
      <alignment horizontal="right" wrapText="1"/>
    </xf>
    <xf numFmtId="0" fontId="14" fillId="2" borderId="21" xfId="2" applyFont="1" applyFill="1" applyBorder="1" applyAlignment="1">
      <alignment horizontal="right"/>
    </xf>
    <xf numFmtId="3" fontId="11" fillId="2" borderId="0" xfId="0" applyNumberFormat="1" applyFont="1" applyFill="1"/>
    <xf numFmtId="170" fontId="11" fillId="2" borderId="5" xfId="2" applyNumberFormat="1" applyFont="1" applyFill="1" applyBorder="1"/>
    <xf numFmtId="170" fontId="11" fillId="2" borderId="24" xfId="2" applyNumberFormat="1" applyFont="1" applyFill="1" applyBorder="1"/>
    <xf numFmtId="0" fontId="7" fillId="2" borderId="4" xfId="2" applyFont="1" applyFill="1" applyBorder="1" applyAlignment="1">
      <alignment horizontal="center" vertical="top" wrapText="1"/>
    </xf>
    <xf numFmtId="0" fontId="7" fillId="2" borderId="105" xfId="2" applyFont="1" applyFill="1" applyBorder="1" applyAlignment="1">
      <alignment horizontal="center" vertical="top" wrapText="1"/>
    </xf>
    <xf numFmtId="0" fontId="7" fillId="2" borderId="49" xfId="2" applyFont="1" applyFill="1" applyBorder="1" applyAlignment="1">
      <alignment horizontal="center" vertical="top" wrapText="1"/>
    </xf>
    <xf numFmtId="0" fontId="7" fillId="2" borderId="48" xfId="2" applyFont="1" applyFill="1" applyBorder="1" applyAlignment="1">
      <alignment horizontal="center" vertical="top" wrapText="1"/>
    </xf>
    <xf numFmtId="185" fontId="8" fillId="2" borderId="22" xfId="2" applyNumberFormat="1" applyFont="1" applyFill="1" applyBorder="1" applyAlignment="1">
      <alignment horizontal="right"/>
    </xf>
    <xf numFmtId="173" fontId="8" fillId="2" borderId="43" xfId="14" applyNumberFormat="1" applyFont="1" applyFill="1" applyBorder="1" applyAlignment="1" applyProtection="1">
      <alignment horizontal="right"/>
    </xf>
    <xf numFmtId="173" fontId="8" fillId="2" borderId="6" xfId="14" applyNumberFormat="1" applyFont="1" applyFill="1" applyBorder="1" applyAlignment="1" applyProtection="1">
      <alignment horizontal="right"/>
    </xf>
    <xf numFmtId="185" fontId="8" fillId="2" borderId="6" xfId="2" applyNumberFormat="1" applyFont="1" applyFill="1" applyBorder="1" applyAlignment="1">
      <alignment horizontal="right"/>
    </xf>
    <xf numFmtId="173" fontId="8" fillId="2" borderId="46" xfId="14" applyNumberFormat="1" applyFont="1" applyFill="1" applyBorder="1" applyAlignment="1" applyProtection="1">
      <alignment horizontal="right"/>
    </xf>
    <xf numFmtId="173" fontId="52" fillId="2" borderId="105" xfId="14" applyNumberFormat="1" applyFont="1" applyFill="1" applyBorder="1" applyAlignment="1" applyProtection="1">
      <alignment horizontal="right"/>
    </xf>
    <xf numFmtId="173" fontId="52" fillId="2" borderId="0" xfId="14" applyNumberFormat="1" applyFont="1" applyFill="1" applyBorder="1" applyAlignment="1" applyProtection="1">
      <alignment horizontal="right"/>
    </xf>
    <xf numFmtId="185" fontId="8" fillId="2" borderId="21" xfId="2" applyNumberFormat="1" applyFont="1" applyFill="1" applyBorder="1" applyAlignment="1">
      <alignment horizontal="right"/>
    </xf>
    <xf numFmtId="173" fontId="52" fillId="2" borderId="6" xfId="14" applyNumberFormat="1" applyFont="1" applyFill="1" applyBorder="1" applyAlignment="1" applyProtection="1">
      <alignment horizontal="right"/>
    </xf>
    <xf numFmtId="185" fontId="8" fillId="2" borderId="50" xfId="2" applyNumberFormat="1" applyFont="1" applyFill="1" applyBorder="1" applyAlignment="1">
      <alignment horizontal="right"/>
    </xf>
    <xf numFmtId="185" fontId="8" fillId="2" borderId="17" xfId="2" applyNumberFormat="1" applyFont="1" applyFill="1" applyBorder="1" applyAlignment="1">
      <alignment horizontal="right"/>
    </xf>
    <xf numFmtId="185" fontId="8" fillId="2" borderId="41" xfId="2" applyNumberFormat="1" applyFont="1" applyFill="1" applyBorder="1" applyAlignment="1">
      <alignment horizontal="right"/>
    </xf>
    <xf numFmtId="185" fontId="8" fillId="2" borderId="43" xfId="2" applyNumberFormat="1" applyFont="1" applyFill="1" applyBorder="1" applyAlignment="1">
      <alignment horizontal="right"/>
    </xf>
    <xf numFmtId="185" fontId="8" fillId="2" borderId="44" xfId="2" applyNumberFormat="1" applyFont="1" applyFill="1" applyBorder="1" applyAlignment="1">
      <alignment horizontal="right"/>
    </xf>
    <xf numFmtId="185" fontId="8" fillId="2" borderId="46" xfId="2" applyNumberFormat="1" applyFont="1" applyFill="1" applyBorder="1" applyAlignment="1">
      <alignment horizontal="right"/>
    </xf>
    <xf numFmtId="184" fontId="28" fillId="2" borderId="65" xfId="2" applyNumberFormat="1" applyFont="1" applyFill="1" applyBorder="1" applyAlignment="1">
      <alignment horizontal="right"/>
    </xf>
    <xf numFmtId="184" fontId="28" fillId="2" borderId="67" xfId="2" applyNumberFormat="1" applyFont="1" applyFill="1" applyBorder="1" applyAlignment="1">
      <alignment horizontal="right"/>
    </xf>
    <xf numFmtId="1" fontId="28" fillId="2" borderId="24" xfId="2" applyNumberFormat="1" applyFont="1" applyFill="1" applyBorder="1" applyAlignment="1">
      <alignment horizontal="right"/>
    </xf>
    <xf numFmtId="0" fontId="8" fillId="0" borderId="24" xfId="2" applyFont="1" applyBorder="1" applyProtection="1">
      <protection locked="0"/>
    </xf>
    <xf numFmtId="0" fontId="8" fillId="0" borderId="60" xfId="2" applyFont="1" applyFill="1" applyBorder="1" applyProtection="1"/>
    <xf numFmtId="3" fontId="8" fillId="0" borderId="60" xfId="2" applyNumberFormat="1" applyFont="1" applyFill="1" applyBorder="1" applyProtection="1"/>
    <xf numFmtId="0" fontId="105" fillId="0" borderId="6" xfId="2" applyFont="1" applyFill="1" applyBorder="1" applyAlignment="1" applyProtection="1">
      <alignment horizontal="left" wrapText="1"/>
    </xf>
    <xf numFmtId="0" fontId="105" fillId="0" borderId="6" xfId="2" applyFont="1" applyFill="1" applyBorder="1" applyAlignment="1" applyProtection="1">
      <alignment horizontal="center" wrapText="1"/>
    </xf>
    <xf numFmtId="169" fontId="105" fillId="0" borderId="44" xfId="2" applyNumberFormat="1" applyFont="1" applyFill="1" applyBorder="1" applyProtection="1">
      <protection locked="0"/>
    </xf>
    <xf numFmtId="0" fontId="2" fillId="0" borderId="0" xfId="2" applyFont="1" applyFill="1" applyProtection="1">
      <protection locked="0"/>
    </xf>
    <xf numFmtId="0" fontId="44" fillId="0" borderId="0" xfId="2" applyFont="1" applyFill="1" applyProtection="1"/>
    <xf numFmtId="169" fontId="2" fillId="0" borderId="0" xfId="2" applyNumberFormat="1" applyFont="1" applyFill="1" applyProtection="1">
      <protection locked="0"/>
    </xf>
    <xf numFmtId="0" fontId="44" fillId="0" borderId="0" xfId="2" applyFont="1" applyFill="1" applyBorder="1" applyProtection="1"/>
    <xf numFmtId="3" fontId="44" fillId="0" borderId="0" xfId="2" applyNumberFormat="1" applyFont="1" applyFill="1" applyBorder="1" applyProtection="1"/>
    <xf numFmtId="167" fontId="11" fillId="0" borderId="15" xfId="0" applyNumberFormat="1" applyFont="1" applyBorder="1"/>
    <xf numFmtId="0" fontId="8" fillId="0" borderId="67" xfId="2" applyFont="1" applyBorder="1" applyProtection="1">
      <protection locked="0"/>
    </xf>
    <xf numFmtId="0" fontId="8" fillId="0" borderId="117" xfId="2" applyFont="1" applyFill="1" applyBorder="1" applyProtection="1"/>
    <xf numFmtId="169" fontId="26" fillId="0" borderId="60" xfId="2" applyNumberFormat="1" applyFont="1" applyFill="1" applyBorder="1" applyProtection="1">
      <protection locked="0"/>
    </xf>
    <xf numFmtId="0" fontId="0" fillId="0" borderId="23" xfId="2" applyFont="1" applyFill="1" applyBorder="1" applyProtection="1">
      <protection locked="0"/>
    </xf>
    <xf numFmtId="0" fontId="0" fillId="0" borderId="65" xfId="2" applyFont="1" applyFill="1" applyBorder="1" applyProtection="1">
      <protection locked="0"/>
    </xf>
    <xf numFmtId="0" fontId="12" fillId="0" borderId="4" xfId="2" applyFont="1" applyFill="1" applyBorder="1"/>
    <xf numFmtId="0" fontId="12" fillId="0" borderId="21" xfId="2" applyFont="1" applyFill="1" applyBorder="1"/>
    <xf numFmtId="0" fontId="12" fillId="0" borderId="15" xfId="2" applyFont="1" applyFill="1" applyBorder="1"/>
    <xf numFmtId="0" fontId="12" fillId="0" borderId="16" xfId="2" applyFont="1" applyFill="1" applyBorder="1"/>
    <xf numFmtId="0" fontId="12" fillId="0" borderId="5" xfId="2" applyFont="1" applyFill="1" applyBorder="1"/>
    <xf numFmtId="0" fontId="12" fillId="0" borderId="17" xfId="2" applyFont="1" applyFill="1" applyBorder="1"/>
    <xf numFmtId="1" fontId="36" fillId="0" borderId="0" xfId="0" applyNumberFormat="1" applyFont="1" applyBorder="1" applyAlignment="1">
      <alignment horizontal="center"/>
    </xf>
    <xf numFmtId="1" fontId="36" fillId="0" borderId="6" xfId="0" applyNumberFormat="1" applyFont="1" applyBorder="1" applyAlignment="1">
      <alignment horizontal="center"/>
    </xf>
    <xf numFmtId="170" fontId="11" fillId="0" borderId="41" xfId="0" applyNumberFormat="1" applyFont="1" applyBorder="1" applyAlignment="1">
      <alignment horizontal="right"/>
    </xf>
    <xf numFmtId="0" fontId="8" fillId="0" borderId="60" xfId="0" applyFont="1" applyBorder="1" applyAlignment="1">
      <alignment horizontal="right"/>
    </xf>
    <xf numFmtId="0" fontId="7" fillId="0" borderId="15" xfId="2" applyFont="1" applyFill="1" applyBorder="1" applyAlignment="1">
      <alignment horizontal="center"/>
    </xf>
    <xf numFmtId="0" fontId="7" fillId="0" borderId="0" xfId="2" applyFont="1" applyFill="1" applyAlignment="1">
      <alignment horizontal="center"/>
    </xf>
    <xf numFmtId="0" fontId="7" fillId="0" borderId="146" xfId="2" applyFont="1" applyFill="1" applyBorder="1" applyAlignment="1">
      <alignment horizontal="center"/>
    </xf>
    <xf numFmtId="173" fontId="8" fillId="0" borderId="15" xfId="2" applyNumberFormat="1" applyFont="1" applyFill="1" applyBorder="1" applyAlignment="1">
      <alignment horizontal="right"/>
    </xf>
    <xf numFmtId="173" fontId="8" fillId="0" borderId="0" xfId="2" applyNumberFormat="1" applyFont="1" applyFill="1" applyAlignment="1">
      <alignment horizontal="right"/>
    </xf>
    <xf numFmtId="165" fontId="8" fillId="0" borderId="22" xfId="2" applyNumberFormat="1" applyFont="1" applyFill="1" applyBorder="1" applyAlignment="1">
      <alignment horizontal="right"/>
    </xf>
    <xf numFmtId="173" fontId="8" fillId="0" borderId="27" xfId="2" applyNumberFormat="1" applyFont="1" applyFill="1" applyBorder="1" applyAlignment="1">
      <alignment horizontal="right"/>
    </xf>
    <xf numFmtId="173" fontId="8" fillId="0" borderId="134" xfId="2" applyNumberFormat="1" applyFont="1" applyFill="1" applyBorder="1" applyAlignment="1">
      <alignment horizontal="right"/>
    </xf>
    <xf numFmtId="165" fontId="8" fillId="0" borderId="136" xfId="2" applyNumberFormat="1" applyFont="1" applyFill="1" applyBorder="1" applyAlignment="1">
      <alignment horizontal="right"/>
    </xf>
    <xf numFmtId="0" fontId="8" fillId="0" borderId="111" xfId="15" applyFont="1" applyFill="1" applyBorder="1" applyAlignment="1">
      <alignment horizontal="right" wrapText="1"/>
    </xf>
    <xf numFmtId="0" fontId="8" fillId="0" borderId="111" xfId="15" applyFont="1" applyFill="1" applyBorder="1" applyAlignment="1">
      <alignment horizontal="right"/>
    </xf>
    <xf numFmtId="0" fontId="8" fillId="0" borderId="57" xfId="15" applyFont="1" applyFill="1" applyBorder="1" applyAlignment="1">
      <alignment horizontal="right"/>
    </xf>
    <xf numFmtId="165" fontId="8" fillId="0" borderId="60" xfId="15" applyNumberFormat="1" applyFont="1" applyFill="1" applyBorder="1" applyAlignment="1">
      <alignment horizontal="right"/>
    </xf>
    <xf numFmtId="165" fontId="8" fillId="0" borderId="66" xfId="15" applyNumberFormat="1" applyFont="1" applyFill="1" applyBorder="1" applyAlignment="1">
      <alignment horizontal="right"/>
    </xf>
    <xf numFmtId="165" fontId="7" fillId="0" borderId="44" xfId="15" applyNumberFormat="1" applyFont="1" applyFill="1" applyBorder="1" applyAlignment="1">
      <alignment horizontal="right"/>
    </xf>
    <xf numFmtId="165" fontId="7" fillId="0" borderId="50" xfId="15" applyNumberFormat="1" applyFont="1" applyFill="1" applyBorder="1" applyAlignment="1">
      <alignment horizontal="right"/>
    </xf>
    <xf numFmtId="165" fontId="7" fillId="0" borderId="17" xfId="15" applyNumberFormat="1" applyFont="1" applyFill="1" applyBorder="1" applyAlignment="1">
      <alignment horizontal="right"/>
    </xf>
    <xf numFmtId="0" fontId="7" fillId="0" borderId="21" xfId="2" applyFont="1" applyFill="1" applyBorder="1" applyAlignment="1">
      <alignment horizontal="right" wrapText="1"/>
    </xf>
    <xf numFmtId="0" fontId="4" fillId="0" borderId="0" xfId="3" applyFont="1" applyFill="1" applyBorder="1" applyAlignment="1" applyProtection="1">
      <alignment horizontal="left" vertical="top" wrapText="1"/>
    </xf>
    <xf numFmtId="167" fontId="8" fillId="2" borderId="0" xfId="35" applyNumberFormat="1" applyFont="1" applyFill="1" applyBorder="1" applyAlignment="1">
      <alignment horizontal="right"/>
    </xf>
    <xf numFmtId="0" fontId="8" fillId="0" borderId="181" xfId="2" applyFont="1" applyBorder="1"/>
    <xf numFmtId="0" fontId="7" fillId="0" borderId="181" xfId="2" applyFont="1" applyBorder="1" applyAlignment="1">
      <alignment horizontal="right"/>
    </xf>
    <xf numFmtId="0" fontId="7" fillId="0" borderId="181" xfId="2" quotePrefix="1" applyFont="1" applyBorder="1" applyAlignment="1">
      <alignment horizontal="right"/>
    </xf>
    <xf numFmtId="17" fontId="7" fillId="0" borderId="181" xfId="2" quotePrefix="1" applyNumberFormat="1" applyFont="1" applyBorder="1" applyAlignment="1">
      <alignment horizontal="right"/>
    </xf>
    <xf numFmtId="0" fontId="8" fillId="0" borderId="0" xfId="2" applyFont="1" applyFill="1" applyBorder="1"/>
    <xf numFmtId="167" fontId="8" fillId="0" borderId="0" xfId="35" applyNumberFormat="1" applyFont="1" applyBorder="1" applyAlignment="1">
      <alignment horizontal="right"/>
    </xf>
    <xf numFmtId="3" fontId="44" fillId="3" borderId="0" xfId="35" applyNumberFormat="1" applyFont="1" applyFill="1" applyBorder="1" applyAlignment="1">
      <alignment horizontal="right"/>
    </xf>
    <xf numFmtId="0" fontId="15" fillId="0" borderId="0" xfId="2" applyFont="1" applyAlignment="1" applyProtection="1">
      <alignment vertical="top"/>
    </xf>
    <xf numFmtId="167" fontId="8" fillId="0" borderId="182" xfId="35" applyNumberFormat="1" applyFont="1" applyBorder="1" applyAlignment="1">
      <alignment horizontal="right"/>
    </xf>
    <xf numFmtId="0" fontId="7" fillId="0" borderId="185" xfId="2" applyFont="1" applyFill="1" applyBorder="1"/>
    <xf numFmtId="167" fontId="7" fillId="0" borderId="185" xfId="35" applyNumberFormat="1" applyFont="1" applyBorder="1" applyAlignment="1">
      <alignment horizontal="right"/>
    </xf>
    <xf numFmtId="0" fontId="8" fillId="0" borderId="0" xfId="2" applyFont="1" applyAlignment="1" applyProtection="1">
      <alignment vertical="top"/>
    </xf>
    <xf numFmtId="0" fontId="8" fillId="0" borderId="0" xfId="2" applyFont="1" applyFill="1" applyBorder="1" applyAlignment="1" applyProtection="1"/>
    <xf numFmtId="0" fontId="116" fillId="0" borderId="0" xfId="2" applyFont="1" applyFill="1" applyProtection="1">
      <protection locked="0"/>
    </xf>
    <xf numFmtId="0" fontId="0" fillId="0" borderId="0" xfId="2" applyFont="1" applyFill="1" applyBorder="1" applyProtection="1">
      <protection locked="0"/>
    </xf>
    <xf numFmtId="0" fontId="8" fillId="0" borderId="0" xfId="2" applyFont="1" applyBorder="1" applyAlignment="1" applyProtection="1">
      <alignment vertical="top"/>
    </xf>
    <xf numFmtId="0" fontId="8" fillId="0" borderId="0" xfId="2" applyFont="1" applyBorder="1" applyProtection="1"/>
    <xf numFmtId="167" fontId="11" fillId="0" borderId="0" xfId="35" applyNumberFormat="1" applyFont="1" applyBorder="1" applyAlignment="1">
      <alignment horizontal="right"/>
    </xf>
    <xf numFmtId="167" fontId="11" fillId="3" borderId="0" xfId="35" applyNumberFormat="1" applyFont="1" applyFill="1" applyBorder="1" applyAlignment="1">
      <alignment horizontal="right"/>
    </xf>
    <xf numFmtId="167" fontId="11" fillId="0" borderId="0" xfId="2" applyNumberFormat="1" applyFont="1" applyBorder="1"/>
    <xf numFmtId="167" fontId="8" fillId="3" borderId="0" xfId="2" applyNumberFormat="1" applyFont="1" applyFill="1" applyBorder="1"/>
    <xf numFmtId="0" fontId="8" fillId="0" borderId="6" xfId="2" applyFont="1" applyFill="1" applyBorder="1"/>
    <xf numFmtId="0" fontId="4" fillId="0" borderId="0" xfId="2" applyFont="1" applyAlignment="1">
      <alignment vertical="top"/>
    </xf>
    <xf numFmtId="0" fontId="4" fillId="0" borderId="0" xfId="2" applyFont="1"/>
    <xf numFmtId="17" fontId="4" fillId="0" borderId="0" xfId="2" applyNumberFormat="1" applyFont="1"/>
    <xf numFmtId="0" fontId="25" fillId="0" borderId="0" xfId="2" applyFont="1" applyBorder="1"/>
    <xf numFmtId="3" fontId="4" fillId="0" borderId="0" xfId="35" applyFont="1" applyAlignment="1">
      <alignment vertical="top"/>
    </xf>
    <xf numFmtId="167" fontId="63" fillId="3" borderId="0" xfId="35" applyNumberFormat="1" applyFont="1" applyFill="1" applyBorder="1" applyAlignment="1">
      <alignment horizontal="right"/>
    </xf>
    <xf numFmtId="165" fontId="4" fillId="0" borderId="0" xfId="2" applyNumberFormat="1" applyFont="1" applyAlignment="1">
      <alignment vertical="top"/>
    </xf>
    <xf numFmtId="165" fontId="4" fillId="0" borderId="0" xfId="2" applyNumberFormat="1" applyFont="1"/>
    <xf numFmtId="0" fontId="4" fillId="0" borderId="0" xfId="2" applyFont="1" applyBorder="1"/>
    <xf numFmtId="0" fontId="0" fillId="0" borderId="0" xfId="2" applyFont="1" applyBorder="1" applyAlignment="1">
      <alignment vertical="top"/>
    </xf>
    <xf numFmtId="0" fontId="0" fillId="0" borderId="0" xfId="2" applyFont="1" applyBorder="1" applyAlignment="1">
      <alignment horizontal="right"/>
    </xf>
    <xf numFmtId="0" fontId="15" fillId="0" borderId="0" xfId="2" applyFont="1" applyBorder="1" applyAlignment="1">
      <alignment vertical="top"/>
    </xf>
    <xf numFmtId="0" fontId="15" fillId="0" borderId="0" xfId="2" applyFont="1" applyBorder="1"/>
    <xf numFmtId="17" fontId="15" fillId="0" borderId="0" xfId="2" applyNumberFormat="1" applyFont="1" applyBorder="1"/>
    <xf numFmtId="0" fontId="117" fillId="0" borderId="0" xfId="2" applyFont="1" applyBorder="1" applyAlignment="1">
      <alignment horizontal="right"/>
    </xf>
    <xf numFmtId="0" fontId="7" fillId="0" borderId="0" xfId="2" applyFont="1" applyBorder="1" applyAlignment="1">
      <alignment horizontal="right"/>
    </xf>
    <xf numFmtId="3" fontId="4" fillId="0" borderId="0" xfId="35" applyBorder="1" applyAlignment="1">
      <alignment vertical="top"/>
    </xf>
    <xf numFmtId="3" fontId="4" fillId="0" borderId="0" xfId="35" applyBorder="1"/>
    <xf numFmtId="3" fontId="118" fillId="0" borderId="0" xfId="35" applyFont="1" applyBorder="1" applyAlignment="1">
      <alignment horizontal="right"/>
    </xf>
    <xf numFmtId="0" fontId="0" fillId="22" borderId="0" xfId="2" applyFont="1" applyFill="1" applyBorder="1" applyProtection="1">
      <protection locked="0"/>
    </xf>
    <xf numFmtId="3" fontId="4" fillId="0" borderId="0" xfId="35" applyFill="1" applyBorder="1"/>
    <xf numFmtId="3" fontId="118" fillId="0" borderId="0" xfId="35" applyFont="1" applyFill="1" applyBorder="1" applyAlignment="1">
      <alignment horizontal="right"/>
    </xf>
    <xf numFmtId="167" fontId="8" fillId="0" borderId="0" xfId="35" applyNumberFormat="1" applyFont="1" applyFill="1" applyBorder="1" applyAlignment="1">
      <alignment horizontal="right"/>
    </xf>
    <xf numFmtId="0" fontId="119" fillId="0" borderId="0" xfId="2" applyFont="1" applyBorder="1" applyAlignment="1">
      <alignment horizontal="right"/>
    </xf>
    <xf numFmtId="165" fontId="0" fillId="0" borderId="0" xfId="2" applyNumberFormat="1" applyFont="1" applyBorder="1" applyAlignment="1">
      <alignment vertical="top"/>
    </xf>
    <xf numFmtId="165" fontId="0" fillId="0" borderId="0" xfId="2" applyNumberFormat="1" applyFont="1" applyBorder="1"/>
    <xf numFmtId="0" fontId="7" fillId="0" borderId="181" xfId="2" quotePrefix="1" applyFont="1" applyFill="1" applyBorder="1" applyAlignment="1">
      <alignment horizontal="right"/>
    </xf>
    <xf numFmtId="17" fontId="7" fillId="0" borderId="181" xfId="2" quotePrefix="1" applyNumberFormat="1" applyFont="1" applyFill="1" applyBorder="1" applyAlignment="1">
      <alignment horizontal="right"/>
    </xf>
    <xf numFmtId="17" fontId="7" fillId="0" borderId="118" xfId="2" quotePrefix="1" applyNumberFormat="1" applyFont="1" applyFill="1" applyBorder="1" applyAlignment="1">
      <alignment horizontal="right"/>
    </xf>
    <xf numFmtId="3" fontId="8" fillId="0" borderId="0" xfId="35" applyNumberFormat="1" applyFont="1" applyFill="1" applyBorder="1" applyAlignment="1">
      <alignment horizontal="right"/>
    </xf>
    <xf numFmtId="3" fontId="8" fillId="0" borderId="0" xfId="2" applyNumberFormat="1" applyFont="1" applyFill="1" applyBorder="1"/>
    <xf numFmtId="3" fontId="8" fillId="0" borderId="118" xfId="2" applyNumberFormat="1" applyFont="1" applyFill="1" applyBorder="1" applyAlignment="1" applyProtection="1">
      <alignment horizontal="right"/>
      <protection locked="0"/>
    </xf>
    <xf numFmtId="3" fontId="8" fillId="0" borderId="16" xfId="2" applyNumberFormat="1" applyFont="1" applyFill="1" applyBorder="1" applyAlignment="1" applyProtection="1">
      <alignment horizontal="right"/>
      <protection locked="0"/>
    </xf>
    <xf numFmtId="3" fontId="8" fillId="0" borderId="183" xfId="35" applyNumberFormat="1" applyFont="1" applyFill="1" applyBorder="1" applyAlignment="1">
      <alignment horizontal="right"/>
    </xf>
    <xf numFmtId="3" fontId="8" fillId="0" borderId="184" xfId="35" applyNumberFormat="1" applyFont="1" applyFill="1" applyBorder="1" applyAlignment="1">
      <alignment horizontal="right"/>
    </xf>
    <xf numFmtId="3" fontId="8" fillId="0" borderId="182" xfId="35" applyNumberFormat="1" applyFont="1" applyFill="1" applyBorder="1" applyAlignment="1">
      <alignment horizontal="right"/>
    </xf>
    <xf numFmtId="3" fontId="8" fillId="0" borderId="101" xfId="35" applyNumberFormat="1" applyFont="1" applyFill="1" applyBorder="1" applyAlignment="1">
      <alignment horizontal="right"/>
    </xf>
    <xf numFmtId="3" fontId="8" fillId="0" borderId="101" xfId="2" applyNumberFormat="1" applyFont="1" applyFill="1" applyBorder="1"/>
    <xf numFmtId="3" fontId="8" fillId="0" borderId="124" xfId="2" applyNumberFormat="1" applyFont="1" applyFill="1" applyBorder="1" applyAlignment="1" applyProtection="1">
      <alignment horizontal="right"/>
      <protection locked="0"/>
    </xf>
    <xf numFmtId="3" fontId="7" fillId="0" borderId="6" xfId="35" applyNumberFormat="1" applyFont="1" applyFill="1" applyBorder="1" applyAlignment="1">
      <alignment horizontal="right"/>
    </xf>
    <xf numFmtId="3" fontId="7" fillId="0" borderId="6" xfId="2" applyNumberFormat="1" applyFont="1" applyFill="1" applyBorder="1"/>
    <xf numFmtId="3" fontId="7" fillId="0" borderId="17" xfId="2" applyNumberFormat="1" applyFont="1" applyFill="1" applyBorder="1" applyAlignment="1" applyProtection="1">
      <alignment horizontal="right"/>
      <protection locked="0"/>
    </xf>
    <xf numFmtId="201" fontId="126" fillId="0" borderId="16" xfId="44" applyNumberFormat="1" applyFont="1" applyFill="1" applyBorder="1" applyAlignment="1">
      <alignment horizontal="center" wrapText="1"/>
    </xf>
    <xf numFmtId="10" fontId="132" fillId="2" borderId="16" xfId="45" applyNumberFormat="1" applyFont="1" applyFill="1" applyBorder="1" applyAlignment="1">
      <alignment horizontal="center" wrapText="1"/>
    </xf>
    <xf numFmtId="0" fontId="20" fillId="0" borderId="0" xfId="2" applyFont="1" applyAlignment="1" applyProtection="1">
      <alignment vertical="top"/>
    </xf>
    <xf numFmtId="0" fontId="20" fillId="0" borderId="0" xfId="2" applyFont="1" applyFill="1" applyBorder="1" applyAlignment="1" applyProtection="1">
      <alignment vertical="top"/>
    </xf>
    <xf numFmtId="0" fontId="0" fillId="0" borderId="0" xfId="2" applyFont="1" applyAlignment="1" applyProtection="1">
      <alignment horizontal="center" vertical="top"/>
    </xf>
    <xf numFmtId="0" fontId="41" fillId="0" borderId="6" xfId="2" applyFont="1" applyBorder="1" applyAlignment="1" applyProtection="1"/>
    <xf numFmtId="0" fontId="41" fillId="0" borderId="0" xfId="2" applyFont="1" applyFill="1" applyBorder="1" applyAlignment="1" applyProtection="1">
      <alignment horizontal="left"/>
    </xf>
    <xf numFmtId="0" fontId="41" fillId="0" borderId="0" xfId="2" applyFont="1" applyBorder="1" applyAlignment="1" applyProtection="1">
      <alignment horizontal="left"/>
    </xf>
    <xf numFmtId="0" fontId="28" fillId="0" borderId="0" xfId="2" applyFont="1" applyBorder="1" applyAlignment="1" applyProtection="1">
      <alignment horizontal="center"/>
    </xf>
    <xf numFmtId="0" fontId="41" fillId="0" borderId="0" xfId="2" applyFont="1" applyBorder="1" applyAlignment="1" applyProtection="1">
      <alignment horizontal="center"/>
    </xf>
    <xf numFmtId="0" fontId="138" fillId="0" borderId="0" xfId="2" applyFont="1" applyBorder="1" applyAlignment="1" applyProtection="1">
      <alignment horizontal="center"/>
    </xf>
    <xf numFmtId="0" fontId="28" fillId="0" borderId="0" xfId="2" applyFont="1" applyAlignment="1" applyProtection="1">
      <alignment horizontal="center"/>
    </xf>
    <xf numFmtId="0" fontId="28" fillId="0" borderId="0" xfId="2" applyFont="1" applyProtection="1"/>
    <xf numFmtId="0" fontId="57" fillId="0" borderId="105" xfId="2" quotePrefix="1" applyFont="1" applyFill="1" applyBorder="1" applyAlignment="1">
      <alignment horizontal="right"/>
    </xf>
    <xf numFmtId="0" fontId="41" fillId="0" borderId="105" xfId="2" quotePrefix="1" applyFont="1" applyFill="1" applyBorder="1" applyAlignment="1">
      <alignment horizontal="right"/>
    </xf>
    <xf numFmtId="0" fontId="41" fillId="0" borderId="118" xfId="2" quotePrefix="1" applyFont="1" applyFill="1" applyBorder="1" applyAlignment="1">
      <alignment horizontal="right"/>
    </xf>
    <xf numFmtId="0" fontId="28" fillId="0" borderId="117" xfId="2" applyFont="1" applyBorder="1" applyProtection="1"/>
    <xf numFmtId="199" fontId="28" fillId="0" borderId="117" xfId="2" applyNumberFormat="1" applyFont="1" applyBorder="1" applyAlignment="1" applyProtection="1">
      <alignment horizontal="right"/>
    </xf>
    <xf numFmtId="0" fontId="28" fillId="0" borderId="117" xfId="2" applyFont="1" applyBorder="1" applyProtection="1">
      <protection locked="0"/>
    </xf>
    <xf numFmtId="199" fontId="28" fillId="2" borderId="117" xfId="2" applyNumberFormat="1" applyFont="1" applyFill="1" applyBorder="1" applyAlignment="1" applyProtection="1">
      <alignment horizontal="right"/>
    </xf>
    <xf numFmtId="199" fontId="28" fillId="0" borderId="117" xfId="2" applyNumberFormat="1" applyFont="1" applyFill="1" applyBorder="1" applyAlignment="1" applyProtection="1">
      <alignment horizontal="right"/>
    </xf>
    <xf numFmtId="199" fontId="28" fillId="25" borderId="117" xfId="2" applyNumberFormat="1" applyFont="1" applyFill="1" applyBorder="1" applyAlignment="1" applyProtection="1">
      <alignment horizontal="right"/>
    </xf>
    <xf numFmtId="199" fontId="28" fillId="0" borderId="135" xfId="2" applyNumberFormat="1" applyFont="1" applyFill="1" applyBorder="1" applyAlignment="1" applyProtection="1">
      <alignment horizontal="right"/>
    </xf>
    <xf numFmtId="0" fontId="28" fillId="0" borderId="0" xfId="2" applyFont="1" applyBorder="1" applyAlignment="1" applyProtection="1">
      <alignment horizontal="left"/>
    </xf>
    <xf numFmtId="199" fontId="41" fillId="0" borderId="0" xfId="2" applyNumberFormat="1" applyFont="1" applyBorder="1" applyAlignment="1" applyProtection="1">
      <alignment horizontal="right"/>
    </xf>
    <xf numFmtId="199" fontId="41" fillId="2" borderId="0" xfId="2" applyNumberFormat="1" applyFont="1" applyFill="1" applyBorder="1" applyAlignment="1" applyProtection="1">
      <alignment horizontal="right"/>
    </xf>
    <xf numFmtId="199" fontId="41" fillId="0" borderId="186" xfId="2" applyNumberFormat="1" applyFont="1" applyBorder="1" applyAlignment="1" applyProtection="1">
      <alignment horizontal="right"/>
    </xf>
    <xf numFmtId="199" fontId="41" fillId="0" borderId="0" xfId="2" applyNumberFormat="1" applyFont="1" applyFill="1" applyBorder="1" applyAlignment="1" applyProtection="1">
      <alignment horizontal="right"/>
    </xf>
    <xf numFmtId="199" fontId="41" fillId="0" borderId="187" xfId="2" applyNumberFormat="1" applyFont="1" applyFill="1" applyBorder="1" applyAlignment="1" applyProtection="1">
      <alignment horizontal="right"/>
    </xf>
    <xf numFmtId="0" fontId="28" fillId="0" borderId="0" xfId="2" applyFont="1" applyFill="1" applyBorder="1" applyAlignment="1" applyProtection="1">
      <alignment horizontal="left"/>
    </xf>
    <xf numFmtId="199" fontId="28" fillId="0" borderId="0" xfId="2" applyNumberFormat="1" applyFont="1" applyFill="1" applyBorder="1" applyAlignment="1" applyProtection="1">
      <alignment horizontal="right"/>
    </xf>
    <xf numFmtId="0" fontId="28" fillId="0" borderId="0" xfId="2" applyFont="1" applyFill="1" applyProtection="1">
      <protection locked="0"/>
    </xf>
    <xf numFmtId="185" fontId="28" fillId="0" borderId="16" xfId="2" applyNumberFormat="1" applyFont="1" applyFill="1" applyBorder="1" applyAlignment="1">
      <alignment horizontal="right"/>
    </xf>
    <xf numFmtId="0" fontId="5" fillId="0" borderId="0" xfId="2" applyFont="1" applyBorder="1" applyAlignment="1" applyProtection="1">
      <alignment vertical="top"/>
    </xf>
    <xf numFmtId="0" fontId="0" fillId="0" borderId="0" xfId="2" applyFont="1" applyBorder="1" applyAlignment="1" applyProtection="1">
      <alignment vertical="top"/>
    </xf>
    <xf numFmtId="0" fontId="28" fillId="0" borderId="0" xfId="2" quotePrefix="1" applyFont="1" applyFill="1" applyBorder="1" applyAlignment="1">
      <alignment horizontal="left"/>
    </xf>
    <xf numFmtId="0" fontId="41" fillId="0" borderId="0" xfId="2" applyFont="1" applyFill="1" applyBorder="1" applyAlignment="1">
      <alignment horizontal="right"/>
    </xf>
    <xf numFmtId="185" fontId="28" fillId="0" borderId="0" xfId="2" applyNumberFormat="1" applyFont="1" applyFill="1" applyBorder="1" applyAlignment="1">
      <alignment horizontal="right"/>
    </xf>
    <xf numFmtId="185" fontId="41" fillId="0" borderId="16" xfId="2" applyNumberFormat="1" applyFont="1" applyFill="1" applyBorder="1" applyAlignment="1">
      <alignment horizontal="right"/>
    </xf>
    <xf numFmtId="199" fontId="28" fillId="0" borderId="16" xfId="2" applyNumberFormat="1" applyFont="1" applyFill="1" applyBorder="1" applyAlignment="1" applyProtection="1">
      <alignment horizontal="right"/>
    </xf>
    <xf numFmtId="0" fontId="28" fillId="0" borderId="117" xfId="2" applyFont="1" applyFill="1" applyBorder="1" applyAlignment="1">
      <alignment horizontal="left"/>
    </xf>
    <xf numFmtId="185" fontId="28" fillId="0" borderId="117" xfId="2" applyNumberFormat="1" applyFont="1" applyFill="1" applyBorder="1" applyAlignment="1">
      <alignment horizontal="right"/>
    </xf>
    <xf numFmtId="185" fontId="28" fillId="0" borderId="135" xfId="2" applyNumberFormat="1" applyFont="1" applyFill="1" applyBorder="1" applyAlignment="1">
      <alignment horizontal="right"/>
    </xf>
    <xf numFmtId="0" fontId="28" fillId="0" borderId="0" xfId="2" applyFont="1" applyBorder="1" applyAlignment="1">
      <alignment horizontal="left"/>
    </xf>
    <xf numFmtId="185" fontId="28" fillId="0" borderId="0" xfId="2" applyNumberFormat="1" applyFont="1" applyBorder="1" applyAlignment="1">
      <alignment horizontal="right"/>
    </xf>
    <xf numFmtId="185" fontId="28" fillId="2" borderId="0" xfId="2" applyNumberFormat="1" applyFont="1" applyFill="1" applyBorder="1" applyAlignment="1">
      <alignment horizontal="right"/>
    </xf>
    <xf numFmtId="185" fontId="41" fillId="26" borderId="0" xfId="2" applyNumberFormat="1" applyFont="1" applyFill="1" applyBorder="1" applyAlignment="1">
      <alignment horizontal="right"/>
    </xf>
    <xf numFmtId="185" fontId="41" fillId="0" borderId="0" xfId="2" applyNumberFormat="1" applyFont="1" applyFill="1" applyBorder="1" applyAlignment="1">
      <alignment horizontal="right"/>
    </xf>
    <xf numFmtId="185" fontId="41" fillId="0" borderId="187" xfId="2" applyNumberFormat="1" applyFont="1" applyFill="1" applyBorder="1" applyAlignment="1">
      <alignment horizontal="right"/>
    </xf>
    <xf numFmtId="199" fontId="28" fillId="0" borderId="0" xfId="2" applyNumberFormat="1" applyFont="1" applyBorder="1" applyAlignment="1" applyProtection="1">
      <alignment horizontal="right"/>
    </xf>
    <xf numFmtId="199" fontId="28" fillId="2" borderId="0" xfId="2" applyNumberFormat="1" applyFont="1" applyFill="1" applyBorder="1" applyAlignment="1" applyProtection="1">
      <alignment horizontal="right"/>
    </xf>
    <xf numFmtId="199" fontId="41" fillId="26" borderId="0" xfId="2" applyNumberFormat="1" applyFont="1" applyFill="1" applyBorder="1" applyAlignment="1" applyProtection="1">
      <alignment horizontal="right"/>
    </xf>
    <xf numFmtId="199" fontId="41" fillId="0" borderId="16" xfId="2" applyNumberFormat="1" applyFont="1" applyFill="1" applyBorder="1" applyAlignment="1" applyProtection="1">
      <alignment horizontal="right"/>
    </xf>
    <xf numFmtId="0" fontId="3" fillId="0" borderId="0" xfId="2" applyFont="1" applyAlignment="1" applyProtection="1">
      <alignment vertical="top"/>
    </xf>
    <xf numFmtId="185" fontId="41" fillId="0" borderId="6" xfId="2" applyNumberFormat="1" applyFont="1" applyFill="1" applyBorder="1" applyAlignment="1">
      <alignment horizontal="right"/>
    </xf>
    <xf numFmtId="185" fontId="41" fillId="0" borderId="181" xfId="2" applyNumberFormat="1" applyFont="1" applyFill="1" applyBorder="1" applyAlignment="1">
      <alignment horizontal="right"/>
    </xf>
    <xf numFmtId="185" fontId="41" fillId="0" borderId="188" xfId="2" applyNumberFormat="1" applyFont="1" applyFill="1" applyBorder="1" applyAlignment="1">
      <alignment horizontal="right"/>
    </xf>
    <xf numFmtId="0" fontId="26" fillId="0" borderId="0" xfId="2" applyFont="1" applyFill="1" applyProtection="1">
      <protection locked="0"/>
    </xf>
    <xf numFmtId="0" fontId="28" fillId="2" borderId="0" xfId="2" applyFont="1" applyFill="1" applyAlignment="1" applyProtection="1">
      <alignment horizontal="center"/>
    </xf>
    <xf numFmtId="0" fontId="26" fillId="0" borderId="6" xfId="2" applyFont="1" applyFill="1" applyBorder="1" applyAlignment="1" applyProtection="1">
      <alignment horizontal="center"/>
      <protection locked="0"/>
    </xf>
    <xf numFmtId="0" fontId="26" fillId="0" borderId="0" xfId="2" applyFont="1" applyFill="1" applyAlignment="1" applyProtection="1">
      <alignment horizontal="center"/>
      <protection locked="0"/>
    </xf>
    <xf numFmtId="0" fontId="41" fillId="0" borderId="0" xfId="2" applyFont="1" applyFill="1" applyAlignment="1" applyProtection="1">
      <alignment horizontal="right"/>
      <protection locked="0"/>
    </xf>
    <xf numFmtId="0" fontId="41" fillId="0" borderId="118" xfId="2" applyFont="1" applyFill="1" applyBorder="1" applyAlignment="1" applyProtection="1">
      <alignment horizontal="right"/>
      <protection locked="0"/>
    </xf>
    <xf numFmtId="0" fontId="41" fillId="0" borderId="0" xfId="2" applyFont="1" applyBorder="1" applyAlignment="1">
      <alignment horizontal="right"/>
    </xf>
    <xf numFmtId="185" fontId="41" fillId="0" borderId="181" xfId="2" applyNumberFormat="1" applyFont="1" applyBorder="1" applyAlignment="1">
      <alignment horizontal="right"/>
    </xf>
    <xf numFmtId="185" fontId="57" fillId="2" borderId="181" xfId="2" applyNumberFormat="1" applyFont="1" applyFill="1" applyBorder="1" applyAlignment="1">
      <alignment horizontal="right"/>
    </xf>
    <xf numFmtId="185" fontId="41" fillId="2" borderId="181" xfId="2" applyNumberFormat="1" applyFont="1" applyFill="1" applyBorder="1" applyAlignment="1">
      <alignment horizontal="right"/>
    </xf>
    <xf numFmtId="0" fontId="111" fillId="0" borderId="0" xfId="2" applyFont="1" applyFill="1" applyProtection="1">
      <protection locked="0"/>
    </xf>
    <xf numFmtId="0" fontId="41" fillId="0" borderId="0" xfId="2" applyFont="1" applyBorder="1" applyAlignment="1">
      <alignment horizontal="left"/>
    </xf>
    <xf numFmtId="185" fontId="41" fillId="0" borderId="0" xfId="2" applyNumberFormat="1" applyFont="1" applyBorder="1" applyAlignment="1">
      <alignment horizontal="center"/>
    </xf>
    <xf numFmtId="0" fontId="8" fillId="0" borderId="0" xfId="2" applyFont="1" applyFill="1" applyAlignment="1" applyProtection="1">
      <alignment horizontal="left"/>
    </xf>
    <xf numFmtId="199" fontId="0" fillId="0" borderId="0" xfId="2" applyNumberFormat="1" applyFont="1" applyBorder="1" applyProtection="1"/>
    <xf numFmtId="199" fontId="0" fillId="0" borderId="0" xfId="2" applyNumberFormat="1" applyFont="1" applyBorder="1" applyProtection="1">
      <protection locked="0"/>
    </xf>
    <xf numFmtId="170" fontId="63" fillId="0" borderId="163" xfId="45" applyNumberFormat="1" applyFont="1" applyFill="1" applyBorder="1" applyAlignment="1">
      <alignment horizontal="right"/>
    </xf>
    <xf numFmtId="0" fontId="7" fillId="0" borderId="163" xfId="2" applyFont="1" applyFill="1" applyBorder="1" applyAlignment="1">
      <alignment horizontal="right" wrapText="1"/>
    </xf>
    <xf numFmtId="170" fontId="81" fillId="0" borderId="163" xfId="45" applyNumberFormat="1" applyFont="1" applyFill="1" applyBorder="1" applyAlignment="1">
      <alignment horizontal="right"/>
    </xf>
    <xf numFmtId="170" fontId="63" fillId="0" borderId="16" xfId="45" applyNumberFormat="1" applyFont="1" applyFill="1" applyBorder="1" applyAlignment="1">
      <alignment horizontal="right"/>
    </xf>
    <xf numFmtId="170" fontId="63" fillId="0" borderId="17" xfId="45" applyNumberFormat="1" applyFont="1" applyFill="1" applyBorder="1" applyAlignment="1">
      <alignment horizontal="right"/>
    </xf>
    <xf numFmtId="10" fontId="7" fillId="2" borderId="0" xfId="2" applyNumberFormat="1" applyFont="1" applyFill="1" applyBorder="1" applyAlignment="1">
      <alignment horizontal="right"/>
    </xf>
    <xf numFmtId="0" fontId="8" fillId="0" borderId="105" xfId="5" applyFont="1" applyBorder="1"/>
    <xf numFmtId="0" fontId="7" fillId="0" borderId="189" xfId="15" quotePrefix="1" applyFont="1" applyBorder="1" applyAlignment="1">
      <alignment horizontal="center"/>
    </xf>
    <xf numFmtId="211" fontId="8" fillId="0" borderId="22" xfId="46" quotePrefix="1" applyNumberFormat="1" applyFont="1" applyFill="1" applyBorder="1" applyAlignment="1" applyProtection="1">
      <alignment horizontal="center"/>
    </xf>
    <xf numFmtId="211" fontId="8" fillId="0" borderId="22" xfId="46" applyNumberFormat="1" applyFont="1" applyBorder="1" applyProtection="1"/>
    <xf numFmtId="0" fontId="7" fillId="0" borderId="181" xfId="5" applyFont="1" applyBorder="1" applyAlignment="1">
      <alignment wrapText="1"/>
    </xf>
    <xf numFmtId="211" fontId="7" fillId="0" borderId="51" xfId="46" applyNumberFormat="1" applyFont="1" applyFill="1" applyBorder="1" applyAlignment="1" applyProtection="1">
      <alignment horizontal="right"/>
    </xf>
    <xf numFmtId="211" fontId="4" fillId="0" borderId="0" xfId="5" applyNumberFormat="1"/>
    <xf numFmtId="0" fontId="7" fillId="0" borderId="105" xfId="5" applyFont="1" applyBorder="1" applyAlignment="1">
      <alignment wrapText="1"/>
    </xf>
    <xf numFmtId="211" fontId="7" fillId="0" borderId="105" xfId="46" applyNumberFormat="1" applyFont="1" applyBorder="1"/>
    <xf numFmtId="211" fontId="7" fillId="0" borderId="0" xfId="46" applyNumberFormat="1" applyFont="1"/>
    <xf numFmtId="211" fontId="7" fillId="0" borderId="22" xfId="46" applyNumberFormat="1" applyFont="1" applyBorder="1" applyProtection="1"/>
    <xf numFmtId="0" fontId="7" fillId="0" borderId="23" xfId="5" applyFont="1" applyBorder="1"/>
    <xf numFmtId="213" fontId="7" fillId="0" borderId="23" xfId="46" quotePrefix="1" applyNumberFormat="1" applyFont="1" applyFill="1" applyBorder="1" applyAlignment="1" applyProtection="1">
      <alignment horizontal="center"/>
    </xf>
    <xf numFmtId="213" fontId="7" fillId="0" borderId="3" xfId="46" applyNumberFormat="1" applyFont="1" applyFill="1" applyBorder="1" applyAlignment="1" applyProtection="1">
      <alignment horizontal="center"/>
    </xf>
    <xf numFmtId="213" fontId="7" fillId="0" borderId="23" xfId="46" applyNumberFormat="1" applyFont="1" applyFill="1" applyBorder="1" applyAlignment="1" applyProtection="1">
      <alignment horizontal="center"/>
    </xf>
    <xf numFmtId="213" fontId="8" fillId="0" borderId="23" xfId="46" quotePrefix="1" applyNumberFormat="1" applyFont="1" applyFill="1" applyBorder="1" applyAlignment="1" applyProtection="1">
      <alignment horizontal="center"/>
    </xf>
    <xf numFmtId="213" fontId="8" fillId="0" borderId="3" xfId="46" applyNumberFormat="1" applyFont="1" applyFill="1" applyBorder="1" applyAlignment="1" applyProtection="1">
      <alignment horizontal="center"/>
    </xf>
    <xf numFmtId="213" fontId="8" fillId="0" borderId="23" xfId="46" applyNumberFormat="1" applyFont="1" applyFill="1" applyBorder="1" applyAlignment="1" applyProtection="1">
      <alignment horizontal="center"/>
    </xf>
    <xf numFmtId="211" fontId="7" fillId="0" borderId="0" xfId="46" applyNumberFormat="1" applyFont="1" applyFill="1" applyBorder="1" applyAlignment="1" applyProtection="1">
      <alignment horizontal="right"/>
    </xf>
    <xf numFmtId="0" fontId="7" fillId="0" borderId="3" xfId="2" applyFont="1" applyFill="1" applyBorder="1"/>
    <xf numFmtId="10" fontId="8" fillId="0" borderId="65" xfId="2" applyNumberFormat="1" applyFont="1" applyFill="1" applyBorder="1"/>
    <xf numFmtId="10" fontId="8" fillId="0" borderId="67" xfId="2" applyNumberFormat="1" applyFont="1" applyFill="1" applyBorder="1"/>
    <xf numFmtId="0" fontId="8" fillId="0" borderId="24" xfId="2" applyFont="1" applyBorder="1"/>
    <xf numFmtId="10" fontId="8" fillId="0" borderId="0" xfId="1" applyNumberFormat="1" applyFont="1" applyFill="1" applyBorder="1"/>
    <xf numFmtId="10" fontId="12" fillId="0" borderId="0" xfId="2" applyNumberFormat="1" applyFont="1"/>
    <xf numFmtId="167" fontId="8" fillId="0" borderId="0" xfId="2" applyNumberFormat="1" applyFont="1" applyProtection="1">
      <protection locked="0"/>
    </xf>
    <xf numFmtId="169" fontId="26" fillId="2" borderId="0" xfId="2" applyNumberFormat="1" applyFont="1" applyFill="1" applyProtection="1">
      <protection locked="0"/>
    </xf>
    <xf numFmtId="0" fontId="8" fillId="2" borderId="49" xfId="2" applyFont="1" applyFill="1" applyBorder="1" applyAlignment="1"/>
    <xf numFmtId="0" fontId="8" fillId="2" borderId="38" xfId="2" applyFont="1" applyFill="1" applyBorder="1" applyAlignment="1"/>
    <xf numFmtId="0" fontId="8" fillId="2" borderId="50" xfId="2" applyNumberFormat="1" applyFont="1" applyFill="1" applyBorder="1" applyAlignment="1">
      <alignment horizontal="right"/>
    </xf>
    <xf numFmtId="187" fontId="8" fillId="2" borderId="44" xfId="18" applyNumberFormat="1" applyFont="1" applyFill="1" applyBorder="1" applyAlignment="1">
      <alignment horizontal="right"/>
    </xf>
    <xf numFmtId="187" fontId="8" fillId="2" borderId="6" xfId="18" applyNumberFormat="1" applyFont="1" applyFill="1" applyBorder="1" applyAlignment="1">
      <alignment horizontal="right"/>
    </xf>
    <xf numFmtId="0" fontId="4" fillId="0" borderId="0" xfId="3" applyAlignment="1">
      <alignment horizontal="left" vertical="top" wrapText="1"/>
    </xf>
    <xf numFmtId="0" fontId="7" fillId="0" borderId="105" xfId="2" applyFont="1" applyBorder="1" applyAlignment="1">
      <alignment horizontal="center" wrapText="1"/>
    </xf>
    <xf numFmtId="0" fontId="4" fillId="0" borderId="179" xfId="3" applyBorder="1" applyAlignment="1">
      <alignment horizontal="left" vertical="top" wrapText="1"/>
    </xf>
    <xf numFmtId="0" fontId="4" fillId="0" borderId="180" xfId="3" applyBorder="1" applyAlignment="1">
      <alignment horizontal="left" vertical="top" wrapText="1"/>
    </xf>
    <xf numFmtId="0" fontId="7" fillId="0" borderId="186" xfId="2" applyFont="1" applyBorder="1" applyAlignment="1">
      <alignment horizontal="left" wrapText="1"/>
    </xf>
    <xf numFmtId="173" fontId="8" fillId="0" borderId="186" xfId="14" applyNumberFormat="1" applyFont="1" applyFill="1" applyBorder="1" applyAlignment="1">
      <alignment horizontal="center" wrapText="1"/>
    </xf>
    <xf numFmtId="173" fontId="8" fillId="0" borderId="186" xfId="14" applyNumberFormat="1" applyFont="1" applyFill="1" applyBorder="1" applyAlignment="1">
      <alignment horizontal="right" wrapText="1"/>
    </xf>
    <xf numFmtId="3" fontId="8" fillId="0" borderId="186" xfId="38" applyNumberFormat="1" applyFont="1" applyBorder="1" applyAlignment="1">
      <alignment horizontal="right" vertical="center"/>
    </xf>
    <xf numFmtId="3" fontId="8" fillId="0" borderId="117" xfId="38" applyNumberFormat="1" applyFont="1" applyBorder="1" applyAlignment="1">
      <alignment horizontal="right" vertical="center"/>
    </xf>
    <xf numFmtId="0" fontId="7" fillId="0" borderId="185" xfId="2" applyFont="1" applyBorder="1" applyAlignment="1">
      <alignment wrapText="1"/>
    </xf>
    <xf numFmtId="173" fontId="7" fillId="0" borderId="185" xfId="14" applyNumberFormat="1" applyFont="1" applyFill="1" applyBorder="1" applyAlignment="1">
      <alignment horizontal="right" wrapText="1"/>
    </xf>
    <xf numFmtId="3" fontId="7" fillId="0" borderId="185" xfId="38" applyNumberFormat="1" applyFont="1" applyBorder="1" applyAlignment="1">
      <alignment horizontal="right" vertical="center"/>
    </xf>
    <xf numFmtId="0" fontId="7" fillId="0" borderId="40" xfId="2" applyFont="1" applyFill="1" applyBorder="1" applyAlignment="1">
      <alignment horizontal="right" vertical="center"/>
    </xf>
    <xf numFmtId="10" fontId="8" fillId="0" borderId="24" xfId="2" applyNumberFormat="1" applyFont="1" applyFill="1" applyBorder="1"/>
    <xf numFmtId="0" fontId="180" fillId="0" borderId="0" xfId="2" applyFont="1" applyAlignment="1">
      <alignment vertical="top"/>
    </xf>
    <xf numFmtId="0" fontId="69" fillId="0" borderId="0" xfId="2" applyFont="1" applyAlignment="1">
      <alignment wrapText="1"/>
    </xf>
    <xf numFmtId="176" fontId="115" fillId="0" borderId="0" xfId="2" applyNumberFormat="1" applyFont="1" applyAlignment="1">
      <alignment horizontal="right"/>
    </xf>
    <xf numFmtId="176" fontId="115" fillId="2" borderId="0" xfId="2" applyNumberFormat="1" applyFont="1" applyFill="1" applyAlignment="1">
      <alignment horizontal="right"/>
    </xf>
    <xf numFmtId="0" fontId="181" fillId="0" borderId="0" xfId="2" applyFont="1" applyProtection="1">
      <protection locked="0"/>
    </xf>
    <xf numFmtId="0" fontId="63" fillId="0" borderId="21" xfId="2" applyFont="1" applyBorder="1" applyAlignment="1" applyProtection="1">
      <alignment horizontal="center" vertical="top" wrapText="1"/>
      <protection locked="0"/>
    </xf>
    <xf numFmtId="185" fontId="44" fillId="0" borderId="16" xfId="2" applyNumberFormat="1" applyFont="1" applyBorder="1" applyAlignment="1">
      <alignment horizontal="center" vertical="top"/>
    </xf>
    <xf numFmtId="185" fontId="8" fillId="0" borderId="0" xfId="2" applyNumberFormat="1" applyFont="1" applyBorder="1" applyAlignment="1">
      <alignment horizontal="center" vertical="top"/>
    </xf>
    <xf numFmtId="9" fontId="7" fillId="0" borderId="185" xfId="1" applyFont="1" applyFill="1" applyBorder="1" applyAlignment="1">
      <alignment horizontal="center" vertical="top"/>
    </xf>
    <xf numFmtId="0" fontId="63" fillId="0" borderId="118" xfId="2" applyFont="1" applyBorder="1" applyAlignment="1" applyProtection="1">
      <alignment horizontal="center" vertical="top" wrapText="1"/>
      <protection locked="0"/>
    </xf>
    <xf numFmtId="9" fontId="7" fillId="2" borderId="192" xfId="1" applyFont="1" applyFill="1" applyBorder="1" applyAlignment="1">
      <alignment horizontal="center" vertical="top"/>
    </xf>
    <xf numFmtId="9" fontId="7" fillId="0" borderId="192" xfId="1" applyFont="1" applyFill="1" applyBorder="1" applyAlignment="1">
      <alignment horizontal="center" vertical="top"/>
    </xf>
    <xf numFmtId="185" fontId="8" fillId="0" borderId="135" xfId="2" applyNumberFormat="1" applyFont="1" applyBorder="1" applyAlignment="1">
      <alignment horizontal="center" vertical="top"/>
    </xf>
    <xf numFmtId="170" fontId="126" fillId="0" borderId="0" xfId="1" applyNumberFormat="1" applyFont="1" applyFill="1" applyBorder="1" applyAlignment="1">
      <alignment horizontal="center" wrapText="1"/>
    </xf>
    <xf numFmtId="0" fontId="4" fillId="0" borderId="1" xfId="2" applyBorder="1" applyAlignment="1" applyProtection="1">
      <protection locked="0"/>
    </xf>
    <xf numFmtId="0" fontId="4" fillId="0" borderId="2" xfId="2" applyBorder="1" applyAlignment="1" applyProtection="1">
      <protection locked="0"/>
    </xf>
    <xf numFmtId="0" fontId="15" fillId="0" borderId="23" xfId="44" applyFont="1" applyBorder="1" applyAlignment="1">
      <alignment horizontal="left" vertical="top" wrapText="1"/>
    </xf>
    <xf numFmtId="170" fontId="126" fillId="0" borderId="118" xfId="1" applyNumberFormat="1" applyFont="1" applyFill="1" applyBorder="1" applyAlignment="1">
      <alignment horizontal="center" wrapText="1"/>
    </xf>
    <xf numFmtId="2" fontId="37" fillId="0" borderId="23" xfId="45" applyNumberFormat="1" applyFont="1" applyFill="1" applyBorder="1" applyAlignment="1">
      <alignment horizontal="center" wrapText="1"/>
    </xf>
    <xf numFmtId="0" fontId="126" fillId="0" borderId="0" xfId="44" applyFont="1" applyBorder="1" applyAlignment="1">
      <alignment horizontal="center" wrapText="1"/>
    </xf>
    <xf numFmtId="0" fontId="4" fillId="0" borderId="161" xfId="2" applyBorder="1" applyAlignment="1">
      <alignment horizontal="left" vertical="top" wrapText="1"/>
    </xf>
    <xf numFmtId="0" fontId="4" fillId="0" borderId="162" xfId="2" applyBorder="1" applyAlignment="1">
      <alignment horizontal="left" vertical="top" wrapText="1"/>
    </xf>
    <xf numFmtId="0" fontId="4" fillId="0" borderId="163" xfId="2" applyBorder="1" applyAlignment="1">
      <alignment horizontal="left" vertical="top" wrapText="1"/>
    </xf>
    <xf numFmtId="0" fontId="4" fillId="0" borderId="4" xfId="2" applyBorder="1" applyAlignment="1">
      <alignment horizontal="left" vertical="top" wrapText="1"/>
    </xf>
    <xf numFmtId="0" fontId="4" fillId="0" borderId="20" xfId="2" applyBorder="1" applyAlignment="1">
      <alignment horizontal="left" vertical="top" wrapText="1"/>
    </xf>
    <xf numFmtId="0" fontId="4" fillId="0" borderId="21" xfId="2" applyBorder="1" applyAlignment="1">
      <alignment horizontal="left" vertical="top" wrapText="1"/>
    </xf>
    <xf numFmtId="0" fontId="4" fillId="0" borderId="15" xfId="2" applyBorder="1" applyAlignment="1">
      <alignment horizontal="left" vertical="top" wrapText="1"/>
    </xf>
    <xf numFmtId="0" fontId="4" fillId="0" borderId="0" xfId="2" applyAlignment="1">
      <alignment horizontal="left" vertical="top" wrapText="1"/>
    </xf>
    <xf numFmtId="0" fontId="4" fillId="0" borderId="16" xfId="2" applyBorder="1" applyAlignment="1">
      <alignment horizontal="left" vertical="top" wrapText="1"/>
    </xf>
    <xf numFmtId="0" fontId="4" fillId="0" borderId="5" xfId="2" applyBorder="1" applyAlignment="1">
      <alignment horizontal="left" vertical="top" wrapText="1"/>
    </xf>
    <xf numFmtId="0" fontId="4" fillId="0" borderId="6" xfId="2" applyBorder="1" applyAlignment="1">
      <alignment horizontal="left" vertical="top" wrapText="1"/>
    </xf>
    <xf numFmtId="0" fontId="4" fillId="0" borderId="17" xfId="2" applyBorder="1" applyAlignment="1">
      <alignment horizontal="left" vertical="top" wrapText="1"/>
    </xf>
    <xf numFmtId="0" fontId="40" fillId="0" borderId="161" xfId="2" applyFont="1" applyBorder="1" applyAlignment="1">
      <alignment horizontal="left" vertical="top" wrapText="1"/>
    </xf>
    <xf numFmtId="0" fontId="40" fillId="0" borderId="162" xfId="2" applyFont="1" applyBorder="1" applyAlignment="1">
      <alignment horizontal="left" vertical="top" wrapText="1"/>
    </xf>
    <xf numFmtId="0" fontId="40" fillId="0" borderId="163" xfId="2" applyFont="1" applyBorder="1" applyAlignment="1">
      <alignment horizontal="left" vertical="top" wrapText="1"/>
    </xf>
    <xf numFmtId="0" fontId="4" fillId="2" borderId="161" xfId="2" applyFill="1" applyBorder="1" applyAlignment="1">
      <alignment horizontal="left" vertical="top" wrapText="1"/>
    </xf>
    <xf numFmtId="0" fontId="4" fillId="2" borderId="162" xfId="2" applyFill="1" applyBorder="1" applyAlignment="1">
      <alignment horizontal="left" vertical="top" wrapText="1"/>
    </xf>
    <xf numFmtId="0" fontId="4" fillId="2" borderId="163" xfId="2" applyFill="1" applyBorder="1" applyAlignment="1">
      <alignment horizontal="left" vertical="top" wrapText="1"/>
    </xf>
    <xf numFmtId="0" fontId="4" fillId="3" borderId="161" xfId="2" applyFill="1" applyBorder="1" applyAlignment="1">
      <alignment horizontal="left" vertical="top" wrapText="1"/>
    </xf>
    <xf numFmtId="0" fontId="4" fillId="3" borderId="162" xfId="2" applyFill="1" applyBorder="1" applyAlignment="1">
      <alignment horizontal="left" vertical="top" wrapText="1"/>
    </xf>
    <xf numFmtId="0" fontId="4" fillId="3" borderId="163" xfId="2" applyFill="1" applyBorder="1" applyAlignment="1">
      <alignment horizontal="left" vertical="top" wrapText="1"/>
    </xf>
    <xf numFmtId="0" fontId="4" fillId="0" borderId="152" xfId="2" applyBorder="1" applyAlignment="1">
      <alignment horizontal="left" vertical="top" wrapText="1"/>
    </xf>
    <xf numFmtId="0" fontId="4" fillId="0" borderId="153" xfId="2" applyBorder="1" applyAlignment="1">
      <alignment horizontal="left" vertical="top" wrapText="1"/>
    </xf>
    <xf numFmtId="0" fontId="4" fillId="0" borderId="154" xfId="2" applyBorder="1" applyAlignment="1">
      <alignment horizontal="left" vertical="top" wrapText="1"/>
    </xf>
    <xf numFmtId="0" fontId="87" fillId="0" borderId="0" xfId="39" applyFill="1" applyBorder="1" applyAlignment="1" applyProtection="1">
      <alignment vertical="top" wrapText="1"/>
    </xf>
    <xf numFmtId="0" fontId="25" fillId="0" borderId="152" xfId="2" applyFont="1" applyBorder="1" applyAlignment="1">
      <alignment vertical="top" wrapText="1"/>
    </xf>
    <xf numFmtId="0" fontId="25" fillId="0" borderId="153" xfId="2" applyFont="1" applyBorder="1" applyAlignment="1">
      <alignment vertical="top" wrapText="1"/>
    </xf>
    <xf numFmtId="0" fontId="25" fillId="0" borderId="154" xfId="2" applyFont="1" applyBorder="1" applyAlignment="1">
      <alignment vertical="top" wrapText="1"/>
    </xf>
    <xf numFmtId="0" fontId="87" fillId="0" borderId="152" xfId="39" applyFill="1" applyBorder="1" applyAlignment="1" applyProtection="1">
      <alignment horizontal="left" vertical="top" wrapText="1"/>
    </xf>
    <xf numFmtId="0" fontId="4" fillId="0" borderId="153" xfId="39" applyFont="1" applyFill="1" applyBorder="1" applyAlignment="1" applyProtection="1">
      <alignment horizontal="left" vertical="top" wrapText="1"/>
    </xf>
    <xf numFmtId="0" fontId="4" fillId="0" borderId="154" xfId="39" applyFont="1" applyFill="1" applyBorder="1" applyAlignment="1" applyProtection="1">
      <alignment horizontal="left" vertical="top" wrapText="1"/>
    </xf>
    <xf numFmtId="0" fontId="7" fillId="0" borderId="130" xfId="2" applyFont="1" applyBorder="1" applyAlignment="1">
      <alignment horizontal="left" vertical="top" wrapText="1"/>
    </xf>
    <xf numFmtId="0" fontId="7" fillId="0" borderId="153" xfId="2" applyFont="1" applyBorder="1" applyAlignment="1">
      <alignment horizontal="left" vertical="top" wrapText="1"/>
    </xf>
    <xf numFmtId="0" fontId="7" fillId="0" borderId="131" xfId="2" applyFont="1" applyBorder="1" applyAlignment="1">
      <alignment horizontal="left" vertical="top" wrapText="1"/>
    </xf>
    <xf numFmtId="0" fontId="41" fillId="0" borderId="105" xfId="2" applyFont="1" applyBorder="1" applyAlignment="1">
      <alignment horizontal="center"/>
    </xf>
    <xf numFmtId="0" fontId="41" fillId="0" borderId="49" xfId="2" applyFont="1" applyBorder="1" applyAlignment="1">
      <alignment horizontal="center"/>
    </xf>
    <xf numFmtId="0" fontId="7" fillId="0" borderId="38" xfId="2" applyFont="1" applyBorder="1" applyAlignment="1">
      <alignment horizontal="right"/>
    </xf>
    <xf numFmtId="173" fontId="8" fillId="0" borderId="44" xfId="14" applyNumberFormat="1" applyFont="1" applyBorder="1" applyAlignment="1">
      <alignment horizontal="center"/>
    </xf>
    <xf numFmtId="0" fontId="7" fillId="0" borderId="105" xfId="2" applyFont="1" applyBorder="1" applyAlignment="1">
      <alignment horizontal="center"/>
    </xf>
    <xf numFmtId="0" fontId="7" fillId="0" borderId="49" xfId="2" applyFont="1" applyBorder="1" applyAlignment="1">
      <alignment horizontal="center"/>
    </xf>
    <xf numFmtId="173" fontId="8" fillId="0" borderId="44" xfId="14" applyNumberFormat="1" applyFont="1" applyBorder="1" applyAlignment="1">
      <alignment horizontal="right"/>
    </xf>
    <xf numFmtId="0" fontId="32" fillId="0" borderId="4" xfId="2" applyFont="1" applyBorder="1" applyAlignment="1">
      <alignment horizontal="left" vertical="center"/>
    </xf>
    <xf numFmtId="0" fontId="32" fillId="0" borderId="118" xfId="2" applyFont="1" applyBorder="1" applyAlignment="1">
      <alignment horizontal="left" vertical="center"/>
    </xf>
    <xf numFmtId="0" fontId="32" fillId="0" borderId="5" xfId="2" applyFont="1" applyBorder="1" applyAlignment="1">
      <alignment horizontal="left" vertical="center"/>
    </xf>
    <xf numFmtId="0" fontId="32" fillId="0" borderId="17" xfId="2" applyFont="1" applyBorder="1" applyAlignment="1">
      <alignment horizontal="left" vertical="center"/>
    </xf>
    <xf numFmtId="0" fontId="32" fillId="0" borderId="1" xfId="2" applyFont="1" applyBorder="1" applyAlignment="1">
      <alignment horizontal="center"/>
    </xf>
    <xf numFmtId="0" fontId="32" fillId="0" borderId="3" xfId="2" applyFont="1" applyBorder="1" applyAlignment="1">
      <alignment horizontal="center"/>
    </xf>
    <xf numFmtId="0" fontId="7" fillId="0" borderId="47" xfId="2" applyFont="1" applyBorder="1" applyAlignment="1">
      <alignment horizontal="center"/>
    </xf>
    <xf numFmtId="0" fontId="40" fillId="0" borderId="152" xfId="2" applyFont="1" applyBorder="1" applyAlignment="1">
      <alignment horizontal="left" vertical="top" wrapText="1"/>
    </xf>
    <xf numFmtId="0" fontId="40" fillId="0" borderId="153" xfId="2" applyFont="1" applyBorder="1" applyAlignment="1">
      <alignment horizontal="left" vertical="top" wrapText="1"/>
    </xf>
    <xf numFmtId="0" fontId="40" fillId="0" borderId="154" xfId="2" applyFont="1" applyBorder="1" applyAlignment="1">
      <alignment horizontal="left" vertical="top" wrapText="1"/>
    </xf>
    <xf numFmtId="0" fontId="4" fillId="0" borderId="152" xfId="2" applyBorder="1" applyAlignment="1" applyProtection="1">
      <alignment horizontal="left" vertical="top" wrapText="1"/>
      <protection locked="0"/>
    </xf>
    <xf numFmtId="0" fontId="4" fillId="0" borderId="153" xfId="2" applyBorder="1" applyAlignment="1" applyProtection="1">
      <alignment horizontal="left" vertical="top" wrapText="1"/>
      <protection locked="0"/>
    </xf>
    <xf numFmtId="0" fontId="4" fillId="0" borderId="154" xfId="2" applyBorder="1" applyAlignment="1" applyProtection="1">
      <alignment horizontal="left" vertical="top" wrapText="1"/>
      <protection locked="0"/>
    </xf>
    <xf numFmtId="0" fontId="4" fillId="0" borderId="1" xfId="3" applyBorder="1" applyAlignment="1" applyProtection="1">
      <alignment horizontal="left" vertical="top"/>
      <protection locked="0"/>
    </xf>
    <xf numFmtId="0" fontId="4" fillId="0" borderId="2" xfId="3" applyBorder="1" applyAlignment="1" applyProtection="1">
      <alignment horizontal="left" vertical="top"/>
      <protection locked="0"/>
    </xf>
    <xf numFmtId="0" fontId="4" fillId="0" borderId="3" xfId="3" applyBorder="1" applyAlignment="1" applyProtection="1">
      <alignment horizontal="left" vertical="top"/>
      <protection locked="0"/>
    </xf>
    <xf numFmtId="0" fontId="64" fillId="0" borderId="105" xfId="0" applyFont="1" applyBorder="1" applyAlignment="1">
      <alignment horizontal="left" vertical="top" wrapText="1"/>
    </xf>
    <xf numFmtId="0" fontId="17" fillId="0" borderId="1" xfId="2" quotePrefix="1" applyFont="1" applyBorder="1" applyAlignment="1" applyProtection="1">
      <alignment horizontal="center" vertical="top" wrapText="1"/>
      <protection locked="0"/>
    </xf>
    <xf numFmtId="0" fontId="17" fillId="0" borderId="2" xfId="2" quotePrefix="1" applyFont="1" applyBorder="1" applyAlignment="1" applyProtection="1">
      <alignment horizontal="center" vertical="top" wrapText="1"/>
      <protection locked="0"/>
    </xf>
    <xf numFmtId="0" fontId="17" fillId="0" borderId="3" xfId="2" quotePrefix="1" applyFont="1" applyBorder="1" applyAlignment="1" applyProtection="1">
      <alignment horizontal="center" vertical="top" wrapText="1"/>
      <protection locked="0"/>
    </xf>
    <xf numFmtId="0" fontId="17" fillId="3" borderId="1" xfId="2" quotePrefix="1" applyFont="1" applyFill="1" applyBorder="1" applyAlignment="1" applyProtection="1">
      <alignment horizontal="center" vertical="top" wrapText="1"/>
      <protection locked="0"/>
    </xf>
    <xf numFmtId="0" fontId="17" fillId="3" borderId="2" xfId="2" quotePrefix="1" applyFont="1" applyFill="1" applyBorder="1" applyAlignment="1" applyProtection="1">
      <alignment horizontal="center" vertical="top" wrapText="1"/>
      <protection locked="0"/>
    </xf>
    <xf numFmtId="0" fontId="17" fillId="3" borderId="3" xfId="2" quotePrefix="1" applyFont="1" applyFill="1" applyBorder="1" applyAlignment="1" applyProtection="1">
      <alignment horizontal="center" vertical="top" wrapText="1"/>
      <protection locked="0"/>
    </xf>
    <xf numFmtId="0" fontId="18" fillId="0" borderId="0" xfId="2" applyFont="1" applyAlignment="1">
      <alignment horizontal="center" vertical="top" wrapText="1"/>
    </xf>
    <xf numFmtId="0" fontId="6" fillId="0" borderId="152" xfId="2" applyFont="1" applyBorder="1" applyAlignment="1" applyProtection="1">
      <alignment horizontal="left" vertical="top" wrapText="1"/>
      <protection locked="0"/>
    </xf>
    <xf numFmtId="0" fontId="6" fillId="0" borderId="153" xfId="2" applyFont="1" applyBorder="1" applyAlignment="1" applyProtection="1">
      <alignment horizontal="left" vertical="top" wrapText="1"/>
      <protection locked="0"/>
    </xf>
    <xf numFmtId="0" fontId="6" fillId="0" borderId="154" xfId="2" applyFont="1" applyBorder="1" applyAlignment="1" applyProtection="1">
      <alignment horizontal="left" vertical="top" wrapText="1"/>
      <protection locked="0"/>
    </xf>
    <xf numFmtId="0" fontId="4" fillId="0" borderId="138" xfId="2" applyBorder="1" applyAlignment="1">
      <alignment horizontal="left" vertical="top" wrapText="1"/>
    </xf>
    <xf numFmtId="0" fontId="4" fillId="0" borderId="117" xfId="2" applyBorder="1" applyAlignment="1">
      <alignment horizontal="left" vertical="top" wrapText="1"/>
    </xf>
    <xf numFmtId="0" fontId="4" fillId="0" borderId="136" xfId="2" applyBorder="1" applyAlignment="1">
      <alignment horizontal="left" vertical="top" wrapText="1"/>
    </xf>
    <xf numFmtId="0" fontId="4" fillId="0" borderId="152" xfId="3" applyBorder="1" applyAlignment="1">
      <alignment horizontal="left" vertical="top"/>
    </xf>
    <xf numFmtId="0" fontId="4" fillId="0" borderId="153" xfId="3" applyBorder="1" applyAlignment="1">
      <alignment horizontal="left" vertical="top"/>
    </xf>
    <xf numFmtId="0" fontId="4" fillId="0" borderId="154" xfId="3" applyBorder="1" applyAlignment="1">
      <alignment horizontal="left" vertical="top"/>
    </xf>
    <xf numFmtId="0" fontId="4" fillId="0" borderId="152" xfId="3" applyBorder="1" applyAlignment="1">
      <alignment horizontal="left" vertical="top" wrapText="1"/>
    </xf>
    <xf numFmtId="0" fontId="4" fillId="0" borderId="153" xfId="3" applyBorder="1" applyAlignment="1">
      <alignment horizontal="left" vertical="top" wrapText="1"/>
    </xf>
    <xf numFmtId="0" fontId="4" fillId="0" borderId="154" xfId="3" applyBorder="1" applyAlignment="1">
      <alignment horizontal="left" vertical="top" wrapText="1"/>
    </xf>
    <xf numFmtId="0" fontId="4" fillId="0" borderId="18" xfId="3" applyBorder="1" applyAlignment="1">
      <alignment horizontal="left" vertical="top" wrapText="1"/>
    </xf>
    <xf numFmtId="0" fontId="4" fillId="0" borderId="0" xfId="3" applyAlignment="1">
      <alignment horizontal="left" vertical="top" wrapText="1"/>
    </xf>
    <xf numFmtId="0" fontId="4" fillId="0" borderId="141" xfId="3" applyBorder="1" applyAlignment="1">
      <alignment horizontal="left" vertical="top" wrapText="1"/>
    </xf>
    <xf numFmtId="0" fontId="4" fillId="0" borderId="23" xfId="2" quotePrefix="1" applyBorder="1" applyAlignment="1">
      <alignment horizontal="center" vertical="top" wrapText="1"/>
    </xf>
    <xf numFmtId="0" fontId="4" fillId="2" borderId="23" xfId="2" quotePrefix="1" applyFill="1" applyBorder="1" applyAlignment="1">
      <alignment horizontal="center" vertical="top" wrapText="1"/>
    </xf>
    <xf numFmtId="0" fontId="29" fillId="0" borderId="23" xfId="2" quotePrefix="1" applyFont="1" applyBorder="1" applyAlignment="1">
      <alignment horizontal="center" vertical="top" wrapText="1"/>
    </xf>
    <xf numFmtId="0" fontId="4" fillId="6" borderId="0" xfId="2" applyFill="1" applyAlignment="1">
      <alignment vertical="top" wrapText="1"/>
    </xf>
    <xf numFmtId="0" fontId="1" fillId="6" borderId="0" xfId="2" applyFont="1" applyFill="1" applyAlignment="1"/>
    <xf numFmtId="0" fontId="4" fillId="0" borderId="141" xfId="3" applyBorder="1" applyAlignment="1">
      <alignment vertical="top" wrapText="1"/>
    </xf>
    <xf numFmtId="0" fontId="33" fillId="0" borderId="4" xfId="2" quotePrefix="1" applyFont="1" applyBorder="1" applyAlignment="1">
      <alignment vertical="top" wrapText="1"/>
    </xf>
    <xf numFmtId="0" fontId="33" fillId="0" borderId="105" xfId="2" quotePrefix="1" applyFont="1" applyBorder="1" applyAlignment="1">
      <alignment vertical="top" wrapText="1"/>
    </xf>
    <xf numFmtId="0" fontId="33" fillId="0" borderId="118" xfId="2" quotePrefix="1" applyFont="1" applyBorder="1" applyAlignment="1">
      <alignment vertical="top" wrapText="1"/>
    </xf>
    <xf numFmtId="0" fontId="33" fillId="3" borderId="4" xfId="2" quotePrefix="1" applyFont="1" applyFill="1" applyBorder="1" applyAlignment="1">
      <alignment vertical="top" wrapText="1"/>
    </xf>
    <xf numFmtId="0" fontId="33" fillId="3" borderId="105" xfId="2" quotePrefix="1" applyFont="1" applyFill="1" applyBorder="1" applyAlignment="1">
      <alignment vertical="top" wrapText="1"/>
    </xf>
    <xf numFmtId="0" fontId="33" fillId="3" borderId="118" xfId="2" quotePrefix="1" applyFont="1" applyFill="1" applyBorder="1" applyAlignment="1">
      <alignment vertical="top" wrapText="1"/>
    </xf>
    <xf numFmtId="0" fontId="1" fillId="0" borderId="4" xfId="2" applyFont="1" applyBorder="1" applyAlignment="1">
      <alignment horizontal="center" vertical="top"/>
    </xf>
    <xf numFmtId="0" fontId="1" fillId="0" borderId="105" xfId="2" applyFont="1" applyBorder="1" applyAlignment="1">
      <alignment horizontal="center" vertical="top"/>
    </xf>
    <xf numFmtId="0" fontId="1" fillId="0" borderId="118" xfId="2" applyFont="1" applyBorder="1" applyAlignment="1">
      <alignment horizontal="center" vertical="top"/>
    </xf>
    <xf numFmtId="0" fontId="4" fillId="0" borderId="141" xfId="3" applyBorder="1" applyAlignment="1">
      <alignment horizontal="left" vertical="top"/>
    </xf>
    <xf numFmtId="0" fontId="17" fillId="0" borderId="23" xfId="2" quotePrefix="1" applyFont="1" applyBorder="1" applyAlignment="1">
      <alignment horizontal="center" vertical="top" wrapText="1"/>
    </xf>
    <xf numFmtId="0" fontId="17" fillId="3" borderId="23" xfId="2" quotePrefix="1" applyFont="1" applyFill="1" applyBorder="1" applyAlignment="1">
      <alignment horizontal="center" vertical="top" wrapText="1"/>
    </xf>
    <xf numFmtId="0" fontId="4" fillId="0" borderId="0" xfId="3" applyAlignment="1">
      <alignment horizontal="left" vertical="top"/>
    </xf>
    <xf numFmtId="0" fontId="4" fillId="2" borderId="0" xfId="3" applyFill="1" applyAlignment="1">
      <alignment horizontal="left" vertical="top" wrapText="1"/>
    </xf>
    <xf numFmtId="0" fontId="17" fillId="0" borderId="0" xfId="2" quotePrefix="1" applyFont="1" applyAlignment="1" applyProtection="1">
      <alignment horizontal="center"/>
      <protection locked="0"/>
    </xf>
    <xf numFmtId="0" fontId="17" fillId="2" borderId="0" xfId="2" quotePrefix="1" applyFont="1" applyFill="1" applyAlignment="1" applyProtection="1">
      <alignment horizontal="center"/>
      <protection locked="0"/>
    </xf>
    <xf numFmtId="17" fontId="17" fillId="0" borderId="0" xfId="2" quotePrefix="1" applyNumberFormat="1" applyFont="1" applyAlignment="1" applyProtection="1">
      <alignment horizontal="center"/>
      <protection locked="0"/>
    </xf>
    <xf numFmtId="0" fontId="19" fillId="0" borderId="0" xfId="2" applyFont="1" applyAlignment="1" applyProtection="1">
      <protection locked="0"/>
    </xf>
    <xf numFmtId="0" fontId="17" fillId="0" borderId="4" xfId="2" quotePrefix="1" applyFont="1" applyBorder="1" applyAlignment="1" applyProtection="1">
      <alignment horizontal="center"/>
      <protection locked="0"/>
    </xf>
    <xf numFmtId="0" fontId="17" fillId="0" borderId="105" xfId="2" quotePrefix="1" applyFont="1" applyBorder="1" applyAlignment="1" applyProtection="1">
      <alignment horizontal="center"/>
      <protection locked="0"/>
    </xf>
    <xf numFmtId="0" fontId="17" fillId="0" borderId="118" xfId="2" quotePrefix="1" applyFont="1" applyBorder="1" applyAlignment="1" applyProtection="1">
      <alignment horizontal="center"/>
      <protection locked="0"/>
    </xf>
    <xf numFmtId="0" fontId="4" fillId="2" borderId="152" xfId="3" applyFill="1" applyBorder="1" applyAlignment="1">
      <alignment horizontal="left" vertical="top" wrapText="1"/>
    </xf>
    <xf numFmtId="0" fontId="4" fillId="2" borderId="153" xfId="3" applyFill="1" applyBorder="1" applyAlignment="1">
      <alignment horizontal="left" vertical="top" wrapText="1"/>
    </xf>
    <xf numFmtId="0" fontId="4" fillId="2" borderId="154" xfId="3" applyFill="1" applyBorder="1" applyAlignment="1">
      <alignment horizontal="left" vertical="top" wrapText="1"/>
    </xf>
    <xf numFmtId="0" fontId="4" fillId="2" borderId="1" xfId="2" quotePrefix="1" applyFill="1" applyBorder="1" applyAlignment="1">
      <alignment horizontal="center" vertical="top" wrapText="1"/>
    </xf>
    <xf numFmtId="0" fontId="4" fillId="2" borderId="2" xfId="2" quotePrefix="1" applyFill="1" applyBorder="1" applyAlignment="1">
      <alignment horizontal="center" vertical="top" wrapText="1"/>
    </xf>
    <xf numFmtId="0" fontId="29" fillId="2" borderId="1" xfId="2" quotePrefix="1" applyFont="1" applyFill="1" applyBorder="1" applyAlignment="1">
      <alignment horizontal="center" vertical="top" wrapText="1"/>
    </xf>
    <xf numFmtId="0" fontId="29" fillId="2" borderId="2" xfId="2" quotePrefix="1" applyFont="1" applyFill="1" applyBorder="1" applyAlignment="1">
      <alignment horizontal="center" vertical="top" wrapText="1"/>
    </xf>
    <xf numFmtId="0" fontId="4" fillId="0" borderId="0" xfId="3" applyAlignment="1">
      <alignment vertical="top" wrapText="1"/>
    </xf>
    <xf numFmtId="0" fontId="61" fillId="10" borderId="30" xfId="2" applyFont="1" applyFill="1" applyBorder="1" applyAlignment="1">
      <alignment horizontal="center" wrapText="1"/>
    </xf>
    <xf numFmtId="0" fontId="61" fillId="10" borderId="31" xfId="2" applyFont="1" applyFill="1" applyBorder="1" applyAlignment="1">
      <alignment horizontal="center" wrapText="1"/>
    </xf>
    <xf numFmtId="0" fontId="61" fillId="10" borderId="32" xfId="2" applyFont="1" applyFill="1" applyBorder="1" applyAlignment="1">
      <alignment horizontal="center" wrapText="1"/>
    </xf>
    <xf numFmtId="0" fontId="15" fillId="9" borderId="33" xfId="2" applyFont="1" applyFill="1" applyBorder="1" applyAlignment="1">
      <alignment horizontal="center" vertical="center"/>
    </xf>
    <xf numFmtId="0" fontId="15" fillId="9" borderId="35" xfId="2" applyFont="1" applyFill="1" applyBorder="1" applyAlignment="1">
      <alignment horizontal="center" vertical="center"/>
    </xf>
    <xf numFmtId="0" fontId="173" fillId="2" borderId="23" xfId="0" applyFont="1" applyFill="1" applyBorder="1" applyAlignment="1">
      <alignment horizontal="center" vertical="center" wrapText="1"/>
    </xf>
    <xf numFmtId="0" fontId="173" fillId="2" borderId="23" xfId="0" applyFont="1" applyFill="1" applyBorder="1" applyAlignment="1">
      <alignment horizontal="center" vertical="center"/>
    </xf>
    <xf numFmtId="0" fontId="4" fillId="0" borderId="161" xfId="5" applyBorder="1" applyAlignment="1">
      <alignment horizontal="left" vertical="top"/>
    </xf>
    <xf numFmtId="0" fontId="4" fillId="0" borderId="162" xfId="5" applyBorder="1" applyAlignment="1">
      <alignment horizontal="left" vertical="top"/>
    </xf>
    <xf numFmtId="0" fontId="4" fillId="0" borderId="163" xfId="5" applyBorder="1" applyAlignment="1">
      <alignment horizontal="left" vertical="top"/>
    </xf>
    <xf numFmtId="0" fontId="4" fillId="0" borderId="161" xfId="5" applyBorder="1" applyAlignment="1">
      <alignment horizontal="left" vertical="top" wrapText="1"/>
    </xf>
    <xf numFmtId="0" fontId="4" fillId="0" borderId="162" xfId="5" applyBorder="1" applyAlignment="1">
      <alignment horizontal="left" vertical="top" wrapText="1"/>
    </xf>
    <xf numFmtId="0" fontId="4" fillId="0" borderId="163" xfId="5" applyBorder="1" applyAlignment="1">
      <alignment horizontal="left" vertical="top" wrapText="1"/>
    </xf>
    <xf numFmtId="0" fontId="0" fillId="0" borderId="152" xfId="0" applyBorder="1" applyAlignment="1">
      <alignment horizontal="left"/>
    </xf>
    <xf numFmtId="0" fontId="0" fillId="0" borderId="153" xfId="0" applyBorder="1" applyAlignment="1">
      <alignment horizontal="left"/>
    </xf>
    <xf numFmtId="0" fontId="0" fillId="0" borderId="154" xfId="0" applyBorder="1" applyAlignment="1">
      <alignment horizontal="left"/>
    </xf>
    <xf numFmtId="0" fontId="4" fillId="0" borderId="161" xfId="3" applyBorder="1" applyAlignment="1">
      <alignment horizontal="left" vertical="top" wrapText="1"/>
    </xf>
    <xf numFmtId="0" fontId="4" fillId="0" borderId="162" xfId="3" applyBorder="1" applyAlignment="1">
      <alignment horizontal="left" vertical="top" wrapText="1"/>
    </xf>
    <xf numFmtId="0" fontId="4" fillId="0" borderId="163" xfId="3" applyBorder="1" applyAlignment="1">
      <alignment horizontal="left" vertical="top" wrapText="1"/>
    </xf>
    <xf numFmtId="0" fontId="4" fillId="0" borderId="161" xfId="2" applyBorder="1" applyAlignment="1">
      <alignment vertical="top" wrapText="1"/>
    </xf>
    <xf numFmtId="0" fontId="4" fillId="0" borderId="162" xfId="2" applyBorder="1" applyAlignment="1">
      <alignment vertical="top" wrapText="1"/>
    </xf>
    <xf numFmtId="0" fontId="4" fillId="0" borderId="163" xfId="2" applyBorder="1" applyAlignment="1">
      <alignment vertical="top" wrapText="1"/>
    </xf>
    <xf numFmtId="0" fontId="4" fillId="0" borderId="161" xfId="2" applyBorder="1" applyAlignment="1">
      <alignment horizontal="left" vertical="top"/>
    </xf>
    <xf numFmtId="0" fontId="4" fillId="0" borderId="162" xfId="2" applyBorder="1" applyAlignment="1">
      <alignment horizontal="left" vertical="top"/>
    </xf>
    <xf numFmtId="0" fontId="4" fillId="0" borderId="161" xfId="2" applyFont="1" applyBorder="1" applyAlignment="1">
      <alignment horizontal="left" vertical="top" wrapText="1"/>
    </xf>
    <xf numFmtId="0" fontId="4" fillId="0" borderId="162" xfId="2" applyFont="1" applyBorder="1" applyAlignment="1">
      <alignment horizontal="left" vertical="top" wrapText="1"/>
    </xf>
    <xf numFmtId="0" fontId="4" fillId="0" borderId="152" xfId="3" applyBorder="1" applyAlignment="1" applyProtection="1">
      <alignment horizontal="left" vertical="top" wrapText="1"/>
      <protection locked="0"/>
    </xf>
    <xf numFmtId="0" fontId="4" fillId="0" borderId="153" xfId="3" applyBorder="1" applyAlignment="1" applyProtection="1">
      <alignment horizontal="left" vertical="top" wrapText="1"/>
      <protection locked="0"/>
    </xf>
    <xf numFmtId="0" fontId="4" fillId="0" borderId="154" xfId="3" applyBorder="1" applyAlignment="1" applyProtection="1">
      <alignment horizontal="left" vertical="top" wrapText="1"/>
      <protection locked="0"/>
    </xf>
    <xf numFmtId="0" fontId="6" fillId="0" borderId="152" xfId="3" applyFont="1" applyBorder="1" applyAlignment="1" applyProtection="1">
      <alignment horizontal="left" vertical="top" wrapText="1"/>
      <protection locked="0"/>
    </xf>
    <xf numFmtId="0" fontId="6" fillId="0" borderId="153" xfId="3" applyFont="1" applyBorder="1" applyAlignment="1" applyProtection="1">
      <alignment horizontal="left" vertical="top" wrapText="1"/>
      <protection locked="0"/>
    </xf>
    <xf numFmtId="0" fontId="6" fillId="0" borderId="154" xfId="3" applyFont="1" applyBorder="1" applyAlignment="1" applyProtection="1">
      <alignment horizontal="left" vertical="top" wrapText="1"/>
      <protection locked="0"/>
    </xf>
    <xf numFmtId="0" fontId="4" fillId="0" borderId="152" xfId="3" applyBorder="1" applyAlignment="1" applyProtection="1">
      <alignment horizontal="left" vertical="top"/>
      <protection locked="0"/>
    </xf>
    <xf numFmtId="0" fontId="4" fillId="0" borderId="153" xfId="3" applyBorder="1" applyAlignment="1" applyProtection="1">
      <alignment horizontal="left" vertical="top"/>
      <protection locked="0"/>
    </xf>
    <xf numFmtId="0" fontId="4" fillId="0" borderId="154" xfId="3" applyBorder="1" applyAlignment="1" applyProtection="1">
      <alignment horizontal="left" vertical="top"/>
      <protection locked="0"/>
    </xf>
    <xf numFmtId="0" fontId="4" fillId="0" borderId="161" xfId="3" applyBorder="1" applyAlignment="1" applyProtection="1">
      <alignment horizontal="left" vertical="top" wrapText="1"/>
      <protection locked="0"/>
    </xf>
    <xf numFmtId="0" fontId="4" fillId="0" borderId="162" xfId="3" applyBorder="1" applyAlignment="1" applyProtection="1">
      <alignment horizontal="left" vertical="top" wrapText="1"/>
      <protection locked="0"/>
    </xf>
    <xf numFmtId="0" fontId="4" fillId="0" borderId="163" xfId="3" applyBorder="1" applyAlignment="1" applyProtection="1">
      <alignment horizontal="left" vertical="top" wrapText="1"/>
      <protection locked="0"/>
    </xf>
    <xf numFmtId="0" fontId="4" fillId="0" borderId="163" xfId="2" applyBorder="1" applyAlignment="1">
      <alignment horizontal="left" vertical="top"/>
    </xf>
    <xf numFmtId="0" fontId="4" fillId="0" borderId="161" xfId="2" applyBorder="1" applyAlignment="1"/>
    <xf numFmtId="0" fontId="4" fillId="0" borderId="162" xfId="2" applyBorder="1" applyAlignment="1"/>
    <xf numFmtId="0" fontId="4" fillId="0" borderId="163" xfId="2" applyBorder="1" applyAlignment="1"/>
    <xf numFmtId="0" fontId="4" fillId="3" borderId="138" xfId="2" applyFill="1" applyBorder="1" applyAlignment="1">
      <alignment horizontal="left" vertical="top" wrapText="1"/>
    </xf>
    <xf numFmtId="0" fontId="4" fillId="3" borderId="117" xfId="2" applyFill="1" applyBorder="1" applyAlignment="1">
      <alignment horizontal="left" vertical="top" wrapText="1"/>
    </xf>
    <xf numFmtId="0" fontId="4" fillId="3" borderId="136" xfId="2" applyFill="1" applyBorder="1" applyAlignment="1">
      <alignment horizontal="left" vertical="top" wrapText="1"/>
    </xf>
    <xf numFmtId="0" fontId="20" fillId="0" borderId="0" xfId="2" applyFont="1" applyAlignment="1"/>
    <xf numFmtId="0" fontId="4" fillId="0" borderId="145" xfId="2" applyBorder="1" applyAlignment="1">
      <alignment horizontal="left" vertical="top" wrapText="1"/>
    </xf>
    <xf numFmtId="0" fontId="4" fillId="0" borderId="141" xfId="2" applyBorder="1" applyAlignment="1">
      <alignment horizontal="left" vertical="top" wrapText="1"/>
    </xf>
    <xf numFmtId="0" fontId="4" fillId="0" borderId="146" xfId="2" applyBorder="1" applyAlignment="1">
      <alignment horizontal="left" vertical="top" wrapText="1"/>
    </xf>
    <xf numFmtId="0" fontId="4" fillId="0" borderId="112" xfId="2" applyBorder="1" applyAlignment="1">
      <alignment vertical="top" wrapText="1"/>
    </xf>
    <xf numFmtId="0" fontId="4" fillId="0" borderId="150" xfId="2" applyBorder="1" applyAlignment="1">
      <alignment vertical="top" wrapText="1"/>
    </xf>
    <xf numFmtId="0" fontId="4" fillId="2" borderId="155" xfId="2" applyFont="1" applyFill="1" applyBorder="1" applyAlignment="1">
      <alignment vertical="top" wrapText="1"/>
    </xf>
    <xf numFmtId="0" fontId="43" fillId="0" borderId="0" xfId="2" applyFont="1" applyAlignment="1" applyProtection="1">
      <alignment horizontal="justify" vertical="top" wrapText="1"/>
      <protection locked="0"/>
    </xf>
    <xf numFmtId="0" fontId="4" fillId="0" borderId="0" xfId="2" applyAlignment="1" applyProtection="1">
      <alignment horizontal="justify" vertical="top" wrapText="1"/>
      <protection locked="0"/>
    </xf>
    <xf numFmtId="0" fontId="6" fillId="0" borderId="0" xfId="2" applyFont="1" applyAlignment="1" applyProtection="1">
      <alignment horizontal="left" vertical="top" wrapText="1"/>
      <protection locked="0"/>
    </xf>
    <xf numFmtId="0" fontId="4" fillId="0" borderId="152" xfId="2" applyBorder="1" applyAlignment="1">
      <alignment vertical="top" wrapText="1"/>
    </xf>
    <xf numFmtId="0" fontId="4" fillId="0" borderId="153" xfId="2" applyBorder="1" applyAlignment="1">
      <alignment vertical="top" wrapText="1"/>
    </xf>
    <xf numFmtId="0" fontId="4" fillId="0" borderId="154" xfId="2" applyBorder="1" applyAlignment="1">
      <alignment vertical="top" wrapText="1"/>
    </xf>
    <xf numFmtId="0" fontId="25" fillId="0" borderId="152" xfId="2" applyFont="1" applyBorder="1" applyAlignment="1">
      <alignment horizontal="left" vertical="top" wrapText="1"/>
    </xf>
    <xf numFmtId="0" fontId="7" fillId="0" borderId="0" xfId="2" applyFont="1" applyAlignment="1">
      <alignment horizontal="right" vertical="top"/>
    </xf>
    <xf numFmtId="0" fontId="7" fillId="0" borderId="16" xfId="2" applyFont="1" applyBorder="1" applyAlignment="1">
      <alignment horizontal="right" vertical="top"/>
    </xf>
    <xf numFmtId="0" fontId="4" fillId="0" borderId="152" xfId="2" quotePrefix="1" applyBorder="1" applyAlignment="1">
      <alignment horizontal="left" vertical="top" wrapText="1"/>
    </xf>
    <xf numFmtId="0" fontId="40" fillId="0" borderId="161" xfId="3" applyFont="1" applyBorder="1" applyAlignment="1">
      <alignment horizontal="left" vertical="top" wrapText="1"/>
    </xf>
    <xf numFmtId="0" fontId="40" fillId="0" borderId="162" xfId="3" applyFont="1" applyBorder="1" applyAlignment="1">
      <alignment horizontal="left" vertical="top" wrapText="1"/>
    </xf>
    <xf numFmtId="0" fontId="40" fillId="0" borderId="163" xfId="3" applyFont="1" applyBorder="1" applyAlignment="1">
      <alignment horizontal="left" vertical="top" wrapText="1"/>
    </xf>
    <xf numFmtId="188" fontId="7" fillId="0" borderId="1" xfId="28" applyFont="1" applyBorder="1" applyAlignment="1">
      <alignment horizontal="center" vertical="top"/>
    </xf>
    <xf numFmtId="188" fontId="7" fillId="0" borderId="2" xfId="28" applyFont="1" applyBorder="1" applyAlignment="1">
      <alignment horizontal="center" vertical="top"/>
    </xf>
    <xf numFmtId="188" fontId="7" fillId="0" borderId="3" xfId="28" applyFont="1" applyBorder="1" applyAlignment="1">
      <alignment horizontal="center" vertical="top"/>
    </xf>
    <xf numFmtId="0" fontId="4" fillId="0" borderId="138" xfId="2" applyBorder="1" applyAlignment="1">
      <alignment vertical="top" wrapText="1"/>
    </xf>
    <xf numFmtId="0" fontId="4" fillId="0" borderId="117" xfId="2" applyBorder="1" applyAlignment="1">
      <alignment vertical="top" wrapText="1"/>
    </xf>
    <xf numFmtId="0" fontId="4" fillId="0" borderId="136" xfId="2" applyBorder="1" applyAlignment="1">
      <alignment vertical="top" wrapText="1"/>
    </xf>
    <xf numFmtId="0" fontId="4" fillId="0" borderId="178" xfId="2" applyBorder="1" applyAlignment="1">
      <alignment vertical="top" wrapText="1"/>
    </xf>
    <xf numFmtId="0" fontId="4" fillId="0" borderId="179" xfId="2" applyBorder="1" applyAlignment="1">
      <alignment vertical="top" wrapText="1"/>
    </xf>
    <xf numFmtId="0" fontId="4" fillId="0" borderId="180" xfId="2" applyBorder="1" applyAlignment="1">
      <alignment vertical="top" wrapText="1"/>
    </xf>
    <xf numFmtId="0" fontId="179" fillId="0" borderId="186" xfId="0" applyFont="1" applyBorder="1" applyAlignment="1">
      <alignment horizontal="left" wrapText="1"/>
    </xf>
    <xf numFmtId="0" fontId="179" fillId="0" borderId="186" xfId="0" applyFont="1" applyBorder="1" applyAlignment="1">
      <alignment horizontal="left"/>
    </xf>
    <xf numFmtId="0" fontId="4" fillId="0" borderId="178" xfId="3" applyBorder="1" applyAlignment="1">
      <alignment horizontal="left" vertical="top" wrapText="1"/>
    </xf>
    <xf numFmtId="0" fontId="4" fillId="0" borderId="179" xfId="3" applyBorder="1" applyAlignment="1">
      <alignment horizontal="left" vertical="top" wrapText="1"/>
    </xf>
    <xf numFmtId="0" fontId="4" fillId="0" borderId="180" xfId="3" applyBorder="1" applyAlignment="1">
      <alignment horizontal="left" vertical="top" wrapText="1"/>
    </xf>
    <xf numFmtId="0" fontId="4" fillId="0" borderId="190" xfId="2" applyBorder="1" applyAlignment="1">
      <alignment vertical="top" wrapText="1"/>
    </xf>
    <xf numFmtId="0" fontId="4" fillId="0" borderId="186" xfId="2" applyBorder="1" applyAlignment="1">
      <alignment vertical="top" wrapText="1"/>
    </xf>
    <xf numFmtId="0" fontId="4" fillId="0" borderId="191" xfId="2" applyBorder="1" applyAlignment="1">
      <alignment vertical="top" wrapText="1"/>
    </xf>
    <xf numFmtId="0" fontId="4" fillId="0" borderId="1" xfId="2" applyBorder="1" applyAlignment="1">
      <alignment horizontal="left" vertical="top" wrapText="1"/>
    </xf>
    <xf numFmtId="0" fontId="4" fillId="0" borderId="2" xfId="2" applyBorder="1" applyAlignment="1">
      <alignment horizontal="left" vertical="top" wrapText="1"/>
    </xf>
    <xf numFmtId="0" fontId="4" fillId="0" borderId="3" xfId="2" applyBorder="1" applyAlignment="1">
      <alignment horizontal="left" vertical="top" wrapText="1"/>
    </xf>
    <xf numFmtId="0" fontId="7" fillId="0" borderId="2" xfId="15" applyFont="1" applyBorder="1" applyAlignment="1">
      <alignment horizontal="center"/>
    </xf>
    <xf numFmtId="0" fontId="7" fillId="0" borderId="3" xfId="15" applyFont="1" applyBorder="1" applyAlignment="1">
      <alignment horizontal="center"/>
    </xf>
    <xf numFmtId="0" fontId="7" fillId="0" borderId="1" xfId="15" applyFont="1" applyBorder="1" applyAlignment="1">
      <alignment horizontal="center"/>
    </xf>
    <xf numFmtId="0" fontId="4" fillId="0" borderId="152" xfId="2" applyFont="1" applyBorder="1" applyAlignment="1">
      <alignment horizontal="left" vertical="top" wrapText="1"/>
    </xf>
    <xf numFmtId="0" fontId="4" fillId="0" borderId="153" xfId="2" applyFont="1" applyBorder="1" applyAlignment="1">
      <alignment horizontal="left" vertical="top" wrapText="1"/>
    </xf>
    <xf numFmtId="0" fontId="4" fillId="0" borderId="154" xfId="2" applyFont="1" applyBorder="1" applyAlignment="1">
      <alignment horizontal="left" vertical="top" wrapText="1"/>
    </xf>
    <xf numFmtId="0" fontId="4" fillId="0" borderId="152" xfId="2" applyBorder="1" applyAlignment="1">
      <alignment horizontal="left" vertical="top"/>
    </xf>
    <xf numFmtId="0" fontId="4" fillId="0" borderId="153" xfId="2" applyBorder="1" applyAlignment="1">
      <alignment horizontal="left" vertical="top"/>
    </xf>
    <xf numFmtId="0" fontId="4" fillId="0" borderId="154" xfId="2" applyBorder="1" applyAlignment="1">
      <alignment horizontal="left" vertical="top"/>
    </xf>
    <xf numFmtId="0" fontId="7" fillId="0" borderId="0" xfId="2" applyFont="1" applyAlignment="1">
      <alignment horizontal="center" vertical="top" wrapText="1"/>
    </xf>
    <xf numFmtId="0" fontId="1" fillId="0" borderId="152" xfId="2" applyFont="1" applyBorder="1" applyAlignment="1"/>
    <xf numFmtId="0" fontId="1" fillId="0" borderId="153" xfId="2" applyFont="1" applyBorder="1" applyAlignment="1"/>
    <xf numFmtId="0" fontId="1" fillId="0" borderId="154" xfId="2" applyFont="1" applyBorder="1" applyAlignment="1"/>
    <xf numFmtId="0" fontId="8" fillId="0" borderId="15" xfId="15" applyFont="1" applyBorder="1" applyAlignment="1"/>
    <xf numFmtId="0" fontId="8" fillId="0" borderId="0" xfId="15" applyFont="1" applyAlignment="1"/>
    <xf numFmtId="0" fontId="4" fillId="0" borderId="152" xfId="15" applyBorder="1" applyAlignment="1">
      <alignment horizontal="left" vertical="top" wrapText="1"/>
    </xf>
    <xf numFmtId="0" fontId="4" fillId="0" borderId="153" xfId="15" applyBorder="1" applyAlignment="1">
      <alignment horizontal="left" vertical="top" wrapText="1"/>
    </xf>
    <xf numFmtId="0" fontId="4" fillId="0" borderId="154" xfId="15" applyBorder="1" applyAlignment="1">
      <alignment horizontal="left" vertical="top" wrapText="1"/>
    </xf>
    <xf numFmtId="0" fontId="4" fillId="0" borderId="141" xfId="15" applyBorder="1" applyAlignment="1">
      <alignment horizontal="left" vertical="top" wrapText="1"/>
    </xf>
    <xf numFmtId="0" fontId="8" fillId="0" borderId="140" xfId="15" applyFont="1" applyBorder="1" applyAlignment="1">
      <alignment wrapText="1"/>
    </xf>
    <xf numFmtId="0" fontId="8" fillId="0" borderId="141" xfId="15" applyFont="1" applyBorder="1" applyAlignment="1">
      <alignment wrapText="1"/>
    </xf>
    <xf numFmtId="0" fontId="8" fillId="0" borderId="27" xfId="15" applyFont="1" applyBorder="1" applyAlignment="1"/>
    <xf numFmtId="0" fontId="8" fillId="0" borderId="134" xfId="15" applyFont="1" applyBorder="1" applyAlignment="1"/>
    <xf numFmtId="0" fontId="7" fillId="0" borderId="105" xfId="17" applyNumberFormat="1" applyFont="1" applyFill="1" applyBorder="1" applyAlignment="1">
      <alignment horizontal="center"/>
    </xf>
    <xf numFmtId="0" fontId="7" fillId="0" borderId="21" xfId="17" applyNumberFormat="1" applyFont="1" applyFill="1" applyBorder="1" applyAlignment="1">
      <alignment horizontal="center"/>
    </xf>
    <xf numFmtId="0" fontId="7" fillId="0" borderId="47" xfId="17" applyNumberFormat="1" applyFont="1" applyFill="1" applyBorder="1" applyAlignment="1">
      <alignment horizontal="center"/>
    </xf>
    <xf numFmtId="0" fontId="4" fillId="0" borderId="161" xfId="15" applyBorder="1" applyAlignment="1">
      <alignment vertical="top" wrapText="1"/>
    </xf>
    <xf numFmtId="0" fontId="4" fillId="0" borderId="162" xfId="15" applyBorder="1" applyAlignment="1">
      <alignment vertical="top" wrapText="1"/>
    </xf>
    <xf numFmtId="0" fontId="4" fillId="0" borderId="163" xfId="15" applyBorder="1" applyAlignment="1">
      <alignment vertical="top" wrapText="1"/>
    </xf>
    <xf numFmtId="0" fontId="22" fillId="0" borderId="0" xfId="2" applyFont="1" applyAlignment="1">
      <alignment vertical="top" wrapText="1"/>
    </xf>
    <xf numFmtId="0" fontId="7" fillId="0" borderId="23" xfId="2" applyFont="1" applyBorder="1" applyAlignment="1">
      <alignment horizontal="center"/>
    </xf>
    <xf numFmtId="0" fontId="7" fillId="0" borderId="23" xfId="2" applyFont="1" applyBorder="1" applyAlignment="1">
      <alignment horizontal="center" wrapText="1"/>
    </xf>
    <xf numFmtId="0" fontId="7" fillId="0" borderId="0" xfId="2" applyFont="1" applyAlignment="1">
      <alignment horizontal="center"/>
    </xf>
    <xf numFmtId="0" fontId="7" fillId="0" borderId="0" xfId="2" applyFont="1" applyAlignment="1">
      <alignment horizontal="center" wrapText="1"/>
    </xf>
    <xf numFmtId="0" fontId="4" fillId="0" borderId="161" xfId="2" applyBorder="1" applyAlignment="1">
      <alignment wrapText="1"/>
    </xf>
    <xf numFmtId="0" fontId="4" fillId="0" borderId="162" xfId="2" applyBorder="1" applyAlignment="1">
      <alignment wrapText="1"/>
    </xf>
    <xf numFmtId="0" fontId="4" fillId="0" borderId="163" xfId="2" applyBorder="1" applyAlignment="1">
      <alignment wrapText="1"/>
    </xf>
    <xf numFmtId="0" fontId="4" fillId="0" borderId="145" xfId="2" applyBorder="1" applyAlignment="1">
      <alignment vertical="top" wrapText="1"/>
    </xf>
    <xf numFmtId="0" fontId="4" fillId="0" borderId="141" xfId="2" applyBorder="1" applyAlignment="1">
      <alignment vertical="top" wrapText="1"/>
    </xf>
    <xf numFmtId="0" fontId="4" fillId="0" borderId="146" xfId="2" applyBorder="1" applyAlignment="1">
      <alignment vertical="top" wrapText="1"/>
    </xf>
    <xf numFmtId="0" fontId="4" fillId="0" borderId="134" xfId="2" applyBorder="1" applyAlignment="1">
      <alignment vertical="top" wrapText="1"/>
    </xf>
    <xf numFmtId="0" fontId="4" fillId="0" borderId="161" xfId="2" applyBorder="1" applyAlignment="1">
      <alignment horizontal="left" wrapText="1"/>
    </xf>
    <xf numFmtId="0" fontId="4" fillId="0" borderId="162" xfId="2" applyBorder="1" applyAlignment="1">
      <alignment horizontal="left" wrapText="1"/>
    </xf>
    <xf numFmtId="0" fontId="4" fillId="0" borderId="163" xfId="2" applyBorder="1" applyAlignment="1">
      <alignment horizontal="left" wrapText="1"/>
    </xf>
    <xf numFmtId="0" fontId="4" fillId="0" borderId="163" xfId="2" applyFont="1" applyBorder="1" applyAlignment="1">
      <alignment horizontal="left" vertical="top" wrapText="1"/>
    </xf>
    <xf numFmtId="0" fontId="84" fillId="0" borderId="0" xfId="2" applyFont="1" applyAlignment="1">
      <alignment horizontal="left" vertical="top" wrapText="1"/>
    </xf>
    <xf numFmtId="0" fontId="7" fillId="0" borderId="2" xfId="2" applyFont="1" applyBorder="1" applyAlignment="1">
      <alignment horizontal="center" wrapText="1"/>
    </xf>
    <xf numFmtId="0" fontId="7" fillId="0" borderId="51" xfId="2" applyFont="1" applyBorder="1" applyAlignment="1">
      <alignment horizontal="center" wrapText="1"/>
    </xf>
    <xf numFmtId="0" fontId="7" fillId="0" borderId="39" xfId="2" applyFont="1" applyBorder="1" applyAlignment="1">
      <alignment horizontal="center" wrapText="1"/>
    </xf>
    <xf numFmtId="0" fontId="7" fillId="0" borderId="3" xfId="2" applyFont="1" applyBorder="1" applyAlignment="1">
      <alignment horizontal="center" wrapText="1"/>
    </xf>
    <xf numFmtId="2" fontId="14" fillId="0" borderId="0" xfId="2" applyNumberFormat="1" applyFont="1" applyAlignment="1">
      <alignment horizontal="left" vertical="top"/>
    </xf>
    <xf numFmtId="0" fontId="4" fillId="0" borderId="145" xfId="2" applyFont="1" applyBorder="1" applyAlignment="1">
      <alignment horizontal="left" vertical="top" wrapText="1"/>
    </xf>
    <xf numFmtId="0" fontId="4" fillId="0" borderId="141" xfId="2" applyFont="1" applyBorder="1" applyAlignment="1">
      <alignment horizontal="left" vertical="top" wrapText="1"/>
    </xf>
    <xf numFmtId="0" fontId="4" fillId="0" borderId="146" xfId="2" applyFont="1" applyBorder="1" applyAlignment="1">
      <alignment horizontal="left" vertical="top" wrapText="1"/>
    </xf>
    <xf numFmtId="0" fontId="4" fillId="0" borderId="161" xfId="3" applyBorder="1" applyAlignment="1">
      <alignment vertical="top" wrapText="1"/>
    </xf>
    <xf numFmtId="0" fontId="4" fillId="0" borderId="162" xfId="3" applyBorder="1" applyAlignment="1">
      <alignment vertical="top" wrapText="1"/>
    </xf>
    <xf numFmtId="0" fontId="4" fillId="0" borderId="163" xfId="3" applyBorder="1" applyAlignment="1">
      <alignment vertical="top" wrapText="1"/>
    </xf>
    <xf numFmtId="0" fontId="15" fillId="0" borderId="0" xfId="15" applyFont="1" applyAlignment="1">
      <alignment horizontal="center"/>
    </xf>
    <xf numFmtId="0" fontId="6" fillId="0" borderId="0" xfId="2" applyFont="1" applyAlignment="1">
      <alignment vertical="top" wrapText="1"/>
    </xf>
    <xf numFmtId="0" fontId="16" fillId="0" borderId="1" xfId="15" applyFont="1" applyBorder="1" applyAlignment="1">
      <alignment horizontal="center"/>
    </xf>
    <xf numFmtId="0" fontId="16" fillId="0" borderId="3" xfId="15" applyFont="1" applyBorder="1" applyAlignment="1">
      <alignment horizontal="center"/>
    </xf>
    <xf numFmtId="0" fontId="16" fillId="0" borderId="23" xfId="15" applyFont="1" applyBorder="1" applyAlignment="1">
      <alignment horizontal="center"/>
    </xf>
    <xf numFmtId="0" fontId="16" fillId="0" borderId="1" xfId="15" applyFont="1" applyBorder="1" applyAlignment="1">
      <alignment horizontal="center" vertical="center"/>
    </xf>
    <xf numFmtId="0" fontId="16" fillId="0" borderId="3" xfId="15" applyFont="1" applyBorder="1" applyAlignment="1">
      <alignment horizontal="center" vertical="center"/>
    </xf>
    <xf numFmtId="0" fontId="7" fillId="0" borderId="79" xfId="2" applyFont="1" applyBorder="1" applyAlignment="1">
      <alignment horizontal="center"/>
    </xf>
    <xf numFmtId="0" fontId="1" fillId="0" borderId="21" xfId="33" applyBorder="1" applyAlignment="1"/>
    <xf numFmtId="0" fontId="25" fillId="0" borderId="161" xfId="2" applyFont="1" applyBorder="1" applyAlignment="1">
      <alignment horizontal="left" vertical="top" wrapText="1"/>
    </xf>
    <xf numFmtId="0" fontId="25" fillId="0" borderId="162" xfId="2" applyFont="1" applyBorder="1" applyAlignment="1">
      <alignment horizontal="left" vertical="top" wrapText="1"/>
    </xf>
    <xf numFmtId="0" fontId="25" fillId="0" borderId="163" xfId="2" applyFont="1" applyBorder="1" applyAlignment="1">
      <alignment horizontal="left" vertical="top" wrapText="1"/>
    </xf>
    <xf numFmtId="0" fontId="4" fillId="0" borderId="161" xfId="2" applyFont="1" applyFill="1" applyBorder="1" applyAlignment="1" applyProtection="1">
      <alignment horizontal="left" vertical="top" wrapText="1"/>
    </xf>
    <xf numFmtId="0" fontId="4" fillId="0" borderId="162" xfId="2" applyFont="1" applyFill="1" applyBorder="1" applyAlignment="1" applyProtection="1">
      <alignment horizontal="left" vertical="top" wrapText="1"/>
    </xf>
    <xf numFmtId="0" fontId="4" fillId="0" borderId="163" xfId="2" applyFont="1" applyFill="1" applyBorder="1" applyAlignment="1" applyProtection="1">
      <alignment horizontal="left" vertical="top" wrapText="1"/>
    </xf>
    <xf numFmtId="0" fontId="6" fillId="0" borderId="0" xfId="2" applyFont="1" applyFill="1" applyBorder="1" applyAlignment="1" applyProtection="1">
      <alignment vertical="top" wrapText="1"/>
      <protection locked="0"/>
    </xf>
    <xf numFmtId="0" fontId="15" fillId="0" borderId="20" xfId="40" applyFont="1" applyFill="1" applyBorder="1" applyAlignment="1">
      <alignment horizontal="center" vertical="top"/>
    </xf>
    <xf numFmtId="0" fontId="4" fillId="0" borderId="161" xfId="2" applyFont="1" applyFill="1" applyBorder="1" applyAlignment="1" applyProtection="1">
      <alignment horizontal="left" vertical="top"/>
    </xf>
    <xf numFmtId="0" fontId="4" fillId="0" borderId="162" xfId="2" applyFont="1" applyFill="1" applyBorder="1" applyAlignment="1" applyProtection="1">
      <alignment horizontal="left" vertical="top"/>
    </xf>
    <xf numFmtId="0" fontId="4" fillId="0" borderId="163" xfId="2" applyFont="1" applyFill="1" applyBorder="1" applyAlignment="1" applyProtection="1">
      <alignment horizontal="left" vertical="top"/>
    </xf>
    <xf numFmtId="0" fontId="7" fillId="0" borderId="0" xfId="2" applyFont="1" applyFill="1" applyBorder="1" applyAlignment="1">
      <alignment horizontal="center" vertical="top"/>
    </xf>
    <xf numFmtId="0" fontId="14" fillId="0" borderId="47" xfId="2" applyFont="1" applyFill="1" applyBorder="1" applyAlignment="1" applyProtection="1">
      <alignment horizontal="center"/>
    </xf>
    <xf numFmtId="0" fontId="14" fillId="0" borderId="20" xfId="2" applyFont="1" applyFill="1" applyBorder="1" applyAlignment="1" applyProtection="1">
      <alignment horizontal="center"/>
    </xf>
    <xf numFmtId="0" fontId="14" fillId="0" borderId="21" xfId="2" applyFont="1" applyFill="1" applyBorder="1" applyAlignment="1" applyProtection="1">
      <alignment horizontal="center"/>
    </xf>
    <xf numFmtId="0" fontId="14" fillId="0" borderId="49" xfId="2" applyFont="1" applyFill="1" applyBorder="1" applyAlignment="1" applyProtection="1">
      <alignment horizontal="center"/>
    </xf>
    <xf numFmtId="0" fontId="7" fillId="0" borderId="6" xfId="2" applyFont="1" applyFill="1" applyBorder="1" applyAlignment="1" applyProtection="1">
      <alignment horizontal="center" wrapText="1"/>
    </xf>
    <xf numFmtId="0" fontId="7" fillId="0" borderId="6" xfId="2" applyFont="1" applyFill="1" applyBorder="1" applyAlignment="1" applyProtection="1">
      <alignment horizontal="center"/>
    </xf>
    <xf numFmtId="0" fontId="7" fillId="0" borderId="4" xfId="2" applyFont="1" applyFill="1" applyBorder="1" applyAlignment="1" applyProtection="1">
      <alignment horizontal="center"/>
    </xf>
    <xf numFmtId="0" fontId="7" fillId="0" borderId="20" xfId="2" applyFont="1" applyFill="1" applyBorder="1" applyAlignment="1" applyProtection="1">
      <alignment horizontal="center"/>
    </xf>
    <xf numFmtId="0" fontId="7" fillId="0" borderId="49" xfId="2" applyFont="1" applyFill="1" applyBorder="1" applyAlignment="1" applyProtection="1">
      <alignment horizontal="center"/>
    </xf>
    <xf numFmtId="0" fontId="4" fillId="2" borderId="161" xfId="2" applyFont="1" applyFill="1" applyBorder="1" applyAlignment="1" applyProtection="1">
      <alignment horizontal="left" vertical="top" wrapText="1"/>
    </xf>
    <xf numFmtId="0" fontId="4" fillId="2" borderId="162" xfId="2" applyFont="1" applyFill="1" applyBorder="1" applyAlignment="1" applyProtection="1">
      <alignment horizontal="left" vertical="top" wrapText="1"/>
    </xf>
    <xf numFmtId="0" fontId="4" fillId="2" borderId="163" xfId="2" applyFont="1" applyFill="1" applyBorder="1" applyAlignment="1" applyProtection="1">
      <alignment horizontal="left" vertical="top" wrapText="1"/>
    </xf>
    <xf numFmtId="0" fontId="8" fillId="2" borderId="6" xfId="2" applyNumberFormat="1" applyFont="1" applyFill="1" applyBorder="1" applyAlignment="1">
      <alignment horizontal="left"/>
    </xf>
    <xf numFmtId="0" fontId="8" fillId="2" borderId="50" xfId="2" applyNumberFormat="1" applyFont="1" applyFill="1" applyBorder="1" applyAlignment="1">
      <alignment horizontal="left"/>
    </xf>
    <xf numFmtId="0" fontId="0" fillId="0" borderId="0" xfId="2" applyFont="1" applyAlignment="1" applyProtection="1">
      <alignment horizontal="center"/>
      <protection locked="0"/>
    </xf>
    <xf numFmtId="0" fontId="7" fillId="0" borderId="61" xfId="2" applyFont="1" applyBorder="1" applyAlignment="1" applyProtection="1">
      <alignment horizontal="center" vertical="top"/>
      <protection locked="0"/>
    </xf>
    <xf numFmtId="0" fontId="7" fillId="0" borderId="68" xfId="2" applyFont="1" applyBorder="1" applyAlignment="1" applyProtection="1">
      <alignment horizontal="center" vertical="top"/>
      <protection locked="0"/>
    </xf>
    <xf numFmtId="0" fontId="7" fillId="0" borderId="162" xfId="2" applyFont="1" applyBorder="1" applyAlignment="1">
      <alignment horizontal="center"/>
    </xf>
    <xf numFmtId="0" fontId="7" fillId="0" borderId="161" xfId="2" applyFont="1" applyBorder="1" applyAlignment="1">
      <alignment horizontal="center"/>
    </xf>
    <xf numFmtId="0" fontId="7" fillId="0" borderId="163" xfId="2" applyFont="1" applyBorder="1" applyAlignment="1">
      <alignment horizontal="center"/>
    </xf>
    <xf numFmtId="0" fontId="7" fillId="0" borderId="145" xfId="2" applyFont="1" applyBorder="1" applyAlignment="1">
      <alignment horizontal="center" vertical="center" wrapText="1"/>
    </xf>
    <xf numFmtId="0" fontId="7" fillId="0" borderId="138" xfId="2" applyFont="1" applyBorder="1" applyAlignment="1">
      <alignment horizontal="center" vertical="center" wrapText="1"/>
    </xf>
    <xf numFmtId="0" fontId="7" fillId="0" borderId="134" xfId="2" applyFont="1" applyBorder="1" applyAlignment="1">
      <alignment horizontal="center" wrapText="1"/>
    </xf>
    <xf numFmtId="0" fontId="7" fillId="0" borderId="136" xfId="2" applyFont="1" applyBorder="1" applyAlignment="1">
      <alignment horizontal="center" wrapText="1"/>
    </xf>
    <xf numFmtId="0" fontId="7" fillId="0" borderId="138" xfId="2" applyFont="1" applyBorder="1" applyAlignment="1">
      <alignment horizontal="center" wrapText="1"/>
    </xf>
    <xf numFmtId="0" fontId="7" fillId="0" borderId="141" xfId="2" applyFont="1" applyBorder="1" applyAlignment="1">
      <alignment horizontal="center"/>
    </xf>
    <xf numFmtId="0" fontId="7" fillId="0" borderId="146" xfId="2" applyFont="1" applyBorder="1" applyAlignment="1">
      <alignment horizontal="center"/>
    </xf>
    <xf numFmtId="0" fontId="8" fillId="0" borderId="141" xfId="2" applyFont="1" applyBorder="1" applyAlignment="1">
      <alignment horizontal="center" wrapText="1"/>
    </xf>
    <xf numFmtId="0" fontId="8" fillId="0" borderId="146" xfId="2" applyFont="1" applyBorder="1" applyAlignment="1">
      <alignment horizontal="center" wrapText="1"/>
    </xf>
    <xf numFmtId="0" fontId="8" fillId="0" borderId="145" xfId="2" applyFont="1" applyBorder="1" applyAlignment="1">
      <alignment horizontal="center" wrapText="1"/>
    </xf>
    <xf numFmtId="176" fontId="7" fillId="0" borderId="141" xfId="2" applyNumberFormat="1" applyFont="1" applyBorder="1" applyAlignment="1">
      <alignment horizontal="center"/>
    </xf>
    <xf numFmtId="176" fontId="7" fillId="0" borderId="146" xfId="2" applyNumberFormat="1" applyFont="1" applyBorder="1" applyAlignment="1">
      <alignment horizontal="center"/>
    </xf>
    <xf numFmtId="176" fontId="7" fillId="0" borderId="145" xfId="2" applyNumberFormat="1" applyFont="1" applyBorder="1" applyAlignment="1">
      <alignment horizontal="center"/>
    </xf>
    <xf numFmtId="0" fontId="25" fillId="0" borderId="161" xfId="2" applyFont="1" applyBorder="1" applyAlignment="1">
      <alignment horizontal="left" vertical="top"/>
    </xf>
    <xf numFmtId="0" fontId="25" fillId="0" borderId="162" xfId="2" applyFont="1" applyBorder="1" applyAlignment="1">
      <alignment horizontal="left" vertical="top"/>
    </xf>
    <xf numFmtId="0" fontId="25" fillId="0" borderId="163" xfId="2" applyFont="1" applyBorder="1" applyAlignment="1">
      <alignment horizontal="left" vertical="top"/>
    </xf>
    <xf numFmtId="176" fontId="7" fillId="0" borderId="55" xfId="2" applyNumberFormat="1" applyFont="1" applyBorder="1" applyAlignment="1">
      <alignment horizontal="center"/>
    </xf>
    <xf numFmtId="176" fontId="7" fillId="0" borderId="61" xfId="2" applyNumberFormat="1" applyFont="1" applyBorder="1" applyAlignment="1">
      <alignment horizontal="center"/>
    </xf>
    <xf numFmtId="176" fontId="7" fillId="0" borderId="68" xfId="2" applyNumberFormat="1" applyFont="1" applyBorder="1" applyAlignment="1">
      <alignment horizontal="center"/>
    </xf>
    <xf numFmtId="176" fontId="7" fillId="0" borderId="47" xfId="2" applyNumberFormat="1" applyFont="1" applyBorder="1" applyAlignment="1">
      <alignment horizontal="center"/>
    </xf>
    <xf numFmtId="176" fontId="7" fillId="0" borderId="105" xfId="2" applyNumberFormat="1" applyFont="1" applyBorder="1" applyAlignment="1">
      <alignment horizontal="center"/>
    </xf>
    <xf numFmtId="176" fontId="7" fillId="0" borderId="21" xfId="2" applyNumberFormat="1" applyFont="1" applyBorder="1" applyAlignment="1">
      <alignment horizontal="center"/>
    </xf>
    <xf numFmtId="9" fontId="7" fillId="0" borderId="47" xfId="17" quotePrefix="1" applyFont="1" applyFill="1" applyBorder="1" applyAlignment="1">
      <alignment horizontal="center"/>
    </xf>
    <xf numFmtId="9" fontId="7" fillId="0" borderId="49" xfId="17" quotePrefix="1" applyFont="1" applyFill="1" applyBorder="1" applyAlignment="1">
      <alignment horizontal="center"/>
    </xf>
    <xf numFmtId="0" fontId="25" fillId="0" borderId="161" xfId="2" applyFont="1" applyFill="1" applyBorder="1" applyAlignment="1" applyProtection="1">
      <alignment horizontal="left" vertical="top" wrapText="1"/>
    </xf>
    <xf numFmtId="0" fontId="25" fillId="0" borderId="162" xfId="2" applyFont="1" applyFill="1" applyBorder="1" applyAlignment="1" applyProtection="1">
      <alignment horizontal="left" vertical="top" wrapText="1"/>
    </xf>
    <xf numFmtId="0" fontId="25" fillId="0" borderId="163" xfId="2" applyFont="1" applyFill="1" applyBorder="1" applyAlignment="1" applyProtection="1">
      <alignment horizontal="left" vertical="top" wrapText="1"/>
    </xf>
    <xf numFmtId="9" fontId="7" fillId="2" borderId="47" xfId="17" quotePrefix="1" applyFont="1" applyFill="1" applyBorder="1" applyAlignment="1">
      <alignment horizontal="center"/>
    </xf>
    <xf numFmtId="9" fontId="7" fillId="2" borderId="49" xfId="17" quotePrefix="1" applyFont="1" applyFill="1" applyBorder="1" applyAlignment="1">
      <alignment horizontal="center"/>
    </xf>
    <xf numFmtId="9" fontId="7" fillId="2" borderId="20" xfId="17" quotePrefix="1" applyFont="1" applyFill="1" applyBorder="1" applyAlignment="1">
      <alignment horizontal="center"/>
    </xf>
    <xf numFmtId="9" fontId="7" fillId="0" borderId="20" xfId="17" quotePrefix="1" applyFont="1" applyFill="1" applyBorder="1" applyAlignment="1">
      <alignment horizontal="center"/>
    </xf>
    <xf numFmtId="0" fontId="4" fillId="2" borderId="161" xfId="2" applyFont="1" applyFill="1" applyBorder="1" applyAlignment="1">
      <alignment horizontal="left" vertical="top" wrapText="1"/>
    </xf>
    <xf numFmtId="0" fontId="4" fillId="2" borderId="162" xfId="2" applyFont="1" applyFill="1" applyBorder="1" applyAlignment="1">
      <alignment horizontal="left" vertical="top" wrapText="1"/>
    </xf>
    <xf numFmtId="0" fontId="4" fillId="2" borderId="163" xfId="2" applyFont="1" applyFill="1" applyBorder="1" applyAlignment="1">
      <alignment horizontal="left" vertical="top" wrapText="1"/>
    </xf>
    <xf numFmtId="17" fontId="7" fillId="0" borderId="55" xfId="2" quotePrefix="1" applyNumberFormat="1" applyFont="1" applyBorder="1" applyAlignment="1">
      <alignment horizontal="center"/>
    </xf>
    <xf numFmtId="17" fontId="7" fillId="0" borderId="61" xfId="2" quotePrefix="1" applyNumberFormat="1" applyFont="1" applyBorder="1" applyAlignment="1">
      <alignment horizontal="center"/>
    </xf>
    <xf numFmtId="17" fontId="7" fillId="0" borderId="68" xfId="2" quotePrefix="1" applyNumberFormat="1" applyFont="1" applyBorder="1" applyAlignment="1">
      <alignment horizontal="center"/>
    </xf>
    <xf numFmtId="17" fontId="7" fillId="0" borderId="96" xfId="2" quotePrefix="1" applyNumberFormat="1" applyFont="1" applyBorder="1" applyAlignment="1">
      <alignment horizontal="center"/>
    </xf>
    <xf numFmtId="17" fontId="7" fillId="0" borderId="61" xfId="2" quotePrefix="1" applyNumberFormat="1" applyFont="1" applyFill="1" applyBorder="1" applyAlignment="1">
      <alignment horizontal="center"/>
    </xf>
    <xf numFmtId="17" fontId="7" fillId="0" borderId="68" xfId="2" quotePrefix="1" applyNumberFormat="1" applyFont="1" applyFill="1" applyBorder="1" applyAlignment="1">
      <alignment horizontal="center"/>
    </xf>
    <xf numFmtId="0" fontId="0" fillId="0" borderId="1" xfId="2" applyFont="1" applyFill="1" applyBorder="1" applyAlignment="1" applyProtection="1">
      <alignment horizontal="center"/>
      <protection locked="0"/>
    </xf>
    <xf numFmtId="0" fontId="0" fillId="0" borderId="3" xfId="2" applyFont="1" applyFill="1" applyBorder="1" applyAlignment="1" applyProtection="1">
      <alignment horizontal="center"/>
      <protection locked="0"/>
    </xf>
    <xf numFmtId="0" fontId="32" fillId="0" borderId="23" xfId="2" applyFont="1" applyBorder="1" applyAlignment="1"/>
    <xf numFmtId="0" fontId="32" fillId="0" borderId="1" xfId="2" applyFont="1" applyBorder="1" applyAlignment="1"/>
    <xf numFmtId="0" fontId="0" fillId="0" borderId="105" xfId="2" applyFont="1" applyFill="1" applyBorder="1" applyAlignment="1" applyProtection="1">
      <alignment horizontal="center"/>
      <protection locked="0"/>
    </xf>
    <xf numFmtId="0" fontId="32" fillId="0" borderId="4" xfId="2" applyFont="1" applyBorder="1" applyAlignment="1"/>
    <xf numFmtId="0" fontId="32" fillId="0" borderId="21" xfId="2" applyFont="1" applyBorder="1" applyAlignment="1"/>
    <xf numFmtId="0" fontId="32" fillId="0" borderId="5" xfId="2" applyFont="1" applyBorder="1" applyAlignment="1"/>
    <xf numFmtId="0" fontId="32" fillId="0" borderId="17" xfId="2" applyFont="1" applyBorder="1" applyAlignment="1"/>
    <xf numFmtId="0" fontId="111" fillId="0" borderId="0" xfId="2" applyFont="1" applyAlignment="1" applyProtection="1">
      <protection locked="0"/>
    </xf>
    <xf numFmtId="0" fontId="32" fillId="0" borderId="24" xfId="2" applyFont="1" applyBorder="1" applyAlignment="1"/>
    <xf numFmtId="0" fontId="32" fillId="0" borderId="23" xfId="2" applyFont="1" applyBorder="1" applyAlignment="1">
      <alignment horizontal="left"/>
    </xf>
    <xf numFmtId="0" fontId="32" fillId="0" borderId="1" xfId="2" applyFont="1" applyBorder="1" applyAlignment="1">
      <alignment horizontal="left"/>
    </xf>
    <xf numFmtId="0" fontId="41" fillId="0" borderId="4" xfId="2" applyFont="1" applyBorder="1" applyAlignment="1">
      <alignment horizontal="center"/>
    </xf>
    <xf numFmtId="0" fontId="41" fillId="0" borderId="47" xfId="2" applyFont="1" applyBorder="1" applyAlignment="1">
      <alignment horizontal="center"/>
    </xf>
    <xf numFmtId="0" fontId="41" fillId="0" borderId="47" xfId="2" applyFont="1" applyBorder="1" applyAlignment="1">
      <alignment horizontal="center" wrapText="1"/>
    </xf>
    <xf numFmtId="0" fontId="41" fillId="0" borderId="49" xfId="2" applyFont="1" applyBorder="1" applyAlignment="1">
      <alignment horizontal="center" wrapText="1"/>
    </xf>
    <xf numFmtId="0" fontId="41" fillId="0" borderId="21" xfId="2" applyFont="1" applyBorder="1" applyAlignment="1">
      <alignment horizontal="center"/>
    </xf>
    <xf numFmtId="0" fontId="15" fillId="0" borderId="6" xfId="2" applyFont="1" applyBorder="1" applyAlignment="1">
      <alignment horizontal="left" wrapText="1"/>
    </xf>
    <xf numFmtId="0" fontId="15" fillId="0" borderId="0" xfId="2" applyFont="1" applyAlignment="1">
      <alignment horizontal="center" wrapText="1"/>
    </xf>
    <xf numFmtId="0" fontId="32" fillId="0" borderId="15" xfId="2" applyFont="1" applyBorder="1" applyAlignment="1"/>
    <xf numFmtId="0" fontId="32" fillId="0" borderId="16" xfId="2" applyFont="1" applyBorder="1" applyAlignment="1"/>
    <xf numFmtId="0" fontId="32" fillId="0" borderId="4" xfId="2" applyFont="1" applyBorder="1" applyAlignment="1">
      <alignment horizontal="center"/>
    </xf>
    <xf numFmtId="0" fontId="32" fillId="0" borderId="21" xfId="2" applyFont="1" applyBorder="1" applyAlignment="1">
      <alignment horizontal="center"/>
    </xf>
    <xf numFmtId="0" fontId="32" fillId="0" borderId="1" xfId="2" applyFont="1" applyFill="1" applyBorder="1" applyAlignment="1">
      <alignment horizontal="center"/>
    </xf>
    <xf numFmtId="0" fontId="32" fillId="0" borderId="3" xfId="2" applyFont="1" applyFill="1" applyBorder="1" applyAlignment="1">
      <alignment horizontal="center"/>
    </xf>
    <xf numFmtId="0" fontId="32" fillId="0" borderId="15" xfId="2" applyFont="1" applyBorder="1" applyAlignment="1">
      <alignment horizontal="left"/>
    </xf>
    <xf numFmtId="0" fontId="32" fillId="0" borderId="16" xfId="2" applyFont="1" applyBorder="1" applyAlignment="1">
      <alignment horizontal="left"/>
    </xf>
    <xf numFmtId="0" fontId="15" fillId="0" borderId="4" xfId="2" applyFont="1" applyBorder="1" applyAlignment="1"/>
    <xf numFmtId="0" fontId="15" fillId="0" borderId="21" xfId="2" applyFont="1" applyBorder="1" applyAlignment="1"/>
    <xf numFmtId="0" fontId="15" fillId="0" borderId="5" xfId="2" applyFont="1" applyBorder="1" applyAlignment="1"/>
    <xf numFmtId="0" fontId="15" fillId="0" borderId="17" xfId="2" applyFont="1" applyBorder="1" applyAlignment="1"/>
    <xf numFmtId="0" fontId="15" fillId="0" borderId="4" xfId="2" applyFont="1" applyBorder="1" applyAlignment="1">
      <alignment horizontal="center"/>
    </xf>
    <xf numFmtId="0" fontId="15" fillId="0" borderId="21" xfId="2" applyFont="1" applyBorder="1" applyAlignment="1">
      <alignment horizontal="center"/>
    </xf>
    <xf numFmtId="0" fontId="15" fillId="0" borderId="1" xfId="2" applyFont="1" applyBorder="1" applyAlignment="1">
      <alignment horizontal="center"/>
    </xf>
    <xf numFmtId="0" fontId="15" fillId="0" borderId="3" xfId="2" applyFont="1" applyBorder="1" applyAlignment="1">
      <alignment horizontal="center"/>
    </xf>
    <xf numFmtId="0" fontId="15" fillId="0" borderId="1" xfId="2" applyFont="1" applyFill="1" applyBorder="1" applyAlignment="1">
      <alignment horizontal="center"/>
    </xf>
    <xf numFmtId="0" fontId="15" fillId="0" borderId="3" xfId="2" applyFont="1" applyFill="1" applyBorder="1" applyAlignment="1">
      <alignment horizontal="center"/>
    </xf>
    <xf numFmtId="0" fontId="15" fillId="0" borderId="23" xfId="2" applyFont="1" applyBorder="1" applyAlignment="1"/>
    <xf numFmtId="0" fontId="15" fillId="0" borderId="23" xfId="2" applyFont="1" applyBorder="1" applyAlignment="1">
      <alignment horizontal="left"/>
    </xf>
    <xf numFmtId="0" fontId="7" fillId="0" borderId="55" xfId="2" applyFont="1" applyBorder="1" applyAlignment="1" applyProtection="1">
      <alignment horizontal="center"/>
      <protection locked="0"/>
    </xf>
    <xf numFmtId="0" fontId="7" fillId="0" borderId="68" xfId="2" applyFont="1" applyBorder="1" applyAlignment="1" applyProtection="1">
      <alignment horizontal="center"/>
      <protection locked="0"/>
    </xf>
    <xf numFmtId="0" fontId="7" fillId="0" borderId="61" xfId="2" applyFont="1" applyBorder="1" applyAlignment="1" applyProtection="1">
      <alignment horizontal="center"/>
      <protection locked="0"/>
    </xf>
    <xf numFmtId="0" fontId="7" fillId="0" borderId="62" xfId="2" applyFont="1" applyBorder="1" applyAlignment="1" applyProtection="1">
      <alignment horizontal="center"/>
      <protection locked="0"/>
    </xf>
    <xf numFmtId="0" fontId="0" fillId="3" borderId="4" xfId="2" applyFont="1" applyFill="1" applyBorder="1" applyAlignment="1" applyProtection="1">
      <alignment horizontal="center"/>
      <protection locked="0"/>
    </xf>
    <xf numFmtId="0" fontId="0" fillId="3" borderId="21" xfId="2" applyFont="1" applyFill="1" applyBorder="1" applyAlignment="1" applyProtection="1">
      <alignment horizontal="center"/>
      <protection locked="0"/>
    </xf>
    <xf numFmtId="0" fontId="7" fillId="0" borderId="47" xfId="2" applyFont="1" applyBorder="1" applyAlignment="1" applyProtection="1">
      <alignment horizontal="center"/>
      <protection locked="0"/>
    </xf>
    <xf numFmtId="0" fontId="7" fillId="0" borderId="49" xfId="2" applyFont="1" applyBorder="1" applyAlignment="1" applyProtection="1">
      <alignment horizontal="center"/>
      <protection locked="0"/>
    </xf>
    <xf numFmtId="0" fontId="7" fillId="0" borderId="4" xfId="2" applyFont="1" applyBorder="1" applyAlignment="1" applyProtection="1">
      <alignment horizontal="center"/>
      <protection locked="0"/>
    </xf>
    <xf numFmtId="0" fontId="15" fillId="0" borderId="15" xfId="2" applyFont="1" applyBorder="1" applyAlignment="1"/>
    <xf numFmtId="0" fontId="15" fillId="0" borderId="16" xfId="2" applyFont="1" applyBorder="1" applyAlignment="1"/>
    <xf numFmtId="0" fontId="0" fillId="0" borderId="21" xfId="0" applyBorder="1" applyAlignment="1">
      <alignment horizontal="center"/>
    </xf>
    <xf numFmtId="0" fontId="15" fillId="0" borderId="105" xfId="2" applyFont="1" applyBorder="1" applyAlignment="1">
      <alignment horizontal="center"/>
    </xf>
    <xf numFmtId="0" fontId="15" fillId="0" borderId="2" xfId="2" applyFont="1" applyBorder="1" applyAlignment="1">
      <alignment horizontal="center"/>
    </xf>
    <xf numFmtId="0" fontId="7" fillId="0" borderId="80" xfId="2" applyFont="1" applyBorder="1" applyAlignment="1" applyProtection="1">
      <alignment horizontal="center"/>
      <protection locked="0"/>
    </xf>
    <xf numFmtId="0" fontId="15" fillId="0" borderId="15" xfId="2" applyFont="1" applyBorder="1" applyAlignment="1">
      <alignment horizontal="left"/>
    </xf>
    <xf numFmtId="0" fontId="15" fillId="0" borderId="16" xfId="2" applyFont="1" applyBorder="1" applyAlignment="1">
      <alignment horizontal="left"/>
    </xf>
    <xf numFmtId="0" fontId="7" fillId="0" borderId="47" xfId="2" applyFont="1" applyBorder="1" applyAlignment="1">
      <alignment horizontal="center" wrapText="1"/>
    </xf>
    <xf numFmtId="0" fontId="0" fillId="0" borderId="105" xfId="2" applyFont="1" applyBorder="1" applyAlignment="1">
      <alignment horizontal="center" wrapText="1"/>
    </xf>
    <xf numFmtId="0" fontId="0" fillId="0" borderId="49" xfId="2" applyFont="1" applyBorder="1" applyAlignment="1">
      <alignment horizontal="center" wrapText="1"/>
    </xf>
    <xf numFmtId="0" fontId="0" fillId="0" borderId="21" xfId="2" applyFont="1" applyBorder="1" applyAlignment="1">
      <alignment horizontal="center" wrapText="1"/>
    </xf>
    <xf numFmtId="0" fontId="4" fillId="0" borderId="55" xfId="2" applyBorder="1" applyAlignment="1">
      <alignment horizontal="left" vertical="top" wrapText="1"/>
    </xf>
    <xf numFmtId="0" fontId="4" fillId="0" borderId="61" xfId="2" applyBorder="1" applyAlignment="1">
      <alignment horizontal="left" vertical="top" wrapText="1"/>
    </xf>
    <xf numFmtId="0" fontId="4" fillId="0" borderId="68" xfId="2" applyBorder="1" applyAlignment="1">
      <alignment horizontal="left" vertical="top" wrapText="1"/>
    </xf>
    <xf numFmtId="0" fontId="7" fillId="0" borderId="105" xfId="2" applyFont="1" applyBorder="1" applyAlignment="1">
      <alignment horizontal="center" wrapText="1"/>
    </xf>
    <xf numFmtId="0" fontId="7" fillId="0" borderId="49" xfId="2" applyFont="1" applyBorder="1" applyAlignment="1">
      <alignment horizontal="center" wrapText="1"/>
    </xf>
    <xf numFmtId="0" fontId="7" fillId="0" borderId="21" xfId="2" applyFont="1" applyBorder="1" applyAlignment="1">
      <alignment horizontal="center" wrapText="1"/>
    </xf>
    <xf numFmtId="0" fontId="7" fillId="0" borderId="160" xfId="2" applyFont="1" applyFill="1" applyBorder="1" applyAlignment="1">
      <alignment horizontal="left" wrapText="1"/>
    </xf>
    <xf numFmtId="0" fontId="7" fillId="0" borderId="162" xfId="2" applyFont="1" applyFill="1" applyBorder="1" applyAlignment="1">
      <alignment horizontal="left" wrapText="1"/>
    </xf>
    <xf numFmtId="0" fontId="7" fillId="0" borderId="163" xfId="2" applyFont="1" applyFill="1" applyBorder="1" applyAlignment="1">
      <alignment horizontal="left" wrapText="1"/>
    </xf>
    <xf numFmtId="0" fontId="7" fillId="0" borderId="161" xfId="2" applyFont="1" applyFill="1" applyBorder="1" applyAlignment="1">
      <alignment horizontal="center"/>
    </xf>
    <xf numFmtId="0" fontId="7" fillId="0" borderId="162" xfId="2" applyFont="1" applyFill="1" applyBorder="1" applyAlignment="1">
      <alignment horizontal="center"/>
    </xf>
    <xf numFmtId="0" fontId="7" fillId="0" borderId="171" xfId="2" applyFont="1" applyBorder="1" applyAlignment="1">
      <alignment horizontal="center"/>
    </xf>
    <xf numFmtId="0" fontId="7" fillId="0" borderId="55" xfId="2" applyFont="1" applyBorder="1" applyAlignment="1">
      <alignment horizontal="center"/>
    </xf>
    <xf numFmtId="0" fontId="7" fillId="0" borderId="61" xfId="2" applyFont="1" applyBorder="1" applyAlignment="1">
      <alignment horizontal="center"/>
    </xf>
    <xf numFmtId="0" fontId="7" fillId="0" borderId="62" xfId="2" applyFont="1" applyBorder="1" applyAlignment="1">
      <alignment horizontal="center"/>
    </xf>
    <xf numFmtId="0" fontId="7" fillId="0" borderId="28" xfId="2" applyFont="1" applyBorder="1" applyAlignment="1">
      <alignment horizontal="center"/>
    </xf>
    <xf numFmtId="0" fontId="7" fillId="0" borderId="68" xfId="2" applyFont="1" applyBorder="1" applyAlignment="1">
      <alignment horizontal="center"/>
    </xf>
    <xf numFmtId="0" fontId="7" fillId="0" borderId="161" xfId="2" applyFont="1" applyBorder="1" applyAlignment="1">
      <alignment horizontal="left" wrapText="1"/>
    </xf>
    <xf numFmtId="0" fontId="7" fillId="0" borderId="162" xfId="2" applyFont="1" applyBorder="1" applyAlignment="1">
      <alignment horizontal="left" wrapText="1"/>
    </xf>
    <xf numFmtId="0" fontId="7" fillId="0" borderId="163" xfId="2" applyFont="1" applyBorder="1" applyAlignment="1">
      <alignment horizontal="left" wrapText="1"/>
    </xf>
    <xf numFmtId="0" fontId="7" fillId="0" borderId="160" xfId="2" applyFont="1" applyBorder="1" applyAlignment="1">
      <alignment horizontal="left" wrapText="1"/>
    </xf>
    <xf numFmtId="0" fontId="8" fillId="0" borderId="27" xfId="2" applyFont="1" applyBorder="1" applyAlignment="1">
      <alignment vertical="center" wrapText="1"/>
    </xf>
    <xf numFmtId="0" fontId="8" fillId="0" borderId="135" xfId="2" applyFont="1" applyBorder="1" applyAlignment="1">
      <alignment vertical="center" wrapText="1"/>
    </xf>
    <xf numFmtId="0" fontId="8" fillId="0" borderId="160" xfId="2" applyFont="1" applyBorder="1" applyAlignment="1">
      <alignment vertical="center" wrapText="1"/>
    </xf>
    <xf numFmtId="0" fontId="8" fillId="0" borderId="171" xfId="2" applyFont="1" applyBorder="1" applyAlignment="1">
      <alignment vertical="center" wrapText="1"/>
    </xf>
    <xf numFmtId="0" fontId="4" fillId="0" borderId="161" xfId="3" applyBorder="1" applyAlignment="1">
      <alignment horizontal="left" vertical="center" wrapText="1"/>
    </xf>
    <xf numFmtId="0" fontId="4" fillId="0" borderId="162" xfId="3" applyBorder="1" applyAlignment="1">
      <alignment horizontal="left" vertical="center" wrapText="1"/>
    </xf>
    <xf numFmtId="0" fontId="4" fillId="0" borderId="163" xfId="3" applyBorder="1" applyAlignment="1">
      <alignment horizontal="left" vertical="center" wrapText="1"/>
    </xf>
    <xf numFmtId="0" fontId="4" fillId="0" borderId="162" xfId="3" applyBorder="1" applyAlignment="1">
      <alignment horizontal="left" vertical="top"/>
    </xf>
    <xf numFmtId="0" fontId="4" fillId="0" borderId="163" xfId="3" applyBorder="1" applyAlignment="1">
      <alignment horizontal="left" vertical="top"/>
    </xf>
    <xf numFmtId="0" fontId="4" fillId="0" borderId="161" xfId="3" applyBorder="1" applyAlignment="1">
      <alignment horizontal="left" vertical="top"/>
    </xf>
    <xf numFmtId="0" fontId="12" fillId="0" borderId="161" xfId="3" applyFont="1" applyBorder="1" applyAlignment="1">
      <alignment horizontal="left" vertical="top"/>
    </xf>
    <xf numFmtId="0" fontId="4" fillId="0" borderId="31" xfId="3" applyBorder="1" applyAlignment="1">
      <alignment horizontal="center" vertical="top" wrapText="1"/>
    </xf>
    <xf numFmtId="0" fontId="4" fillId="0" borderId="31" xfId="3" applyBorder="1" applyAlignment="1">
      <alignment horizontal="center" vertical="top"/>
    </xf>
    <xf numFmtId="0" fontId="4" fillId="0" borderId="32" xfId="3" applyBorder="1" applyAlignment="1">
      <alignment horizontal="center" vertical="top"/>
    </xf>
    <xf numFmtId="0" fontId="4" fillId="0" borderId="30" xfId="3" applyBorder="1" applyAlignment="1">
      <alignment horizontal="center" vertical="top" wrapText="1"/>
    </xf>
    <xf numFmtId="0" fontId="4" fillId="0" borderId="35" xfId="3" applyBorder="1" applyAlignment="1">
      <alignment horizontal="center" vertical="top" wrapText="1"/>
    </xf>
    <xf numFmtId="0" fontId="4" fillId="0" borderId="23" xfId="3" applyBorder="1" applyAlignment="1">
      <alignment horizontal="center" vertical="top" wrapText="1"/>
    </xf>
    <xf numFmtId="0" fontId="4" fillId="0" borderId="23" xfId="3" applyBorder="1" applyAlignment="1">
      <alignment horizontal="center" vertical="top"/>
    </xf>
    <xf numFmtId="0" fontId="6" fillId="0" borderId="161" xfId="3" applyFont="1" applyBorder="1" applyAlignment="1" applyProtection="1">
      <alignment horizontal="left" vertical="top" wrapText="1"/>
      <protection locked="0"/>
    </xf>
    <xf numFmtId="0" fontId="6" fillId="0" borderId="162" xfId="3" applyFont="1" applyBorder="1" applyAlignment="1" applyProtection="1">
      <alignment horizontal="left" vertical="top" wrapText="1"/>
      <protection locked="0"/>
    </xf>
    <xf numFmtId="0" fontId="6" fillId="0" borderId="163" xfId="3" applyFont="1" applyBorder="1" applyAlignment="1" applyProtection="1">
      <alignment horizontal="left" vertical="top" wrapText="1"/>
      <protection locked="0"/>
    </xf>
    <xf numFmtId="0" fontId="4" fillId="0" borderId="161" xfId="3" applyBorder="1" applyAlignment="1" applyProtection="1">
      <alignment horizontal="left" vertical="top"/>
      <protection locked="0"/>
    </xf>
    <xf numFmtId="0" fontId="4" fillId="0" borderId="162" xfId="3" applyBorder="1" applyAlignment="1" applyProtection="1">
      <alignment horizontal="left" vertical="top"/>
      <protection locked="0"/>
    </xf>
    <xf numFmtId="0" fontId="4" fillId="0" borderId="163" xfId="3" applyBorder="1" applyAlignment="1" applyProtection="1">
      <alignment horizontal="left" vertical="top"/>
      <protection locked="0"/>
    </xf>
    <xf numFmtId="0" fontId="140" fillId="0" borderId="160" xfId="2" applyFont="1" applyBorder="1" applyAlignment="1">
      <alignment horizontal="left" vertical="top" wrapText="1"/>
    </xf>
    <xf numFmtId="0" fontId="140" fillId="0" borderId="162" xfId="2" applyFont="1" applyBorder="1" applyAlignment="1">
      <alignment horizontal="left" vertical="top" wrapText="1"/>
    </xf>
    <xf numFmtId="0" fontId="140" fillId="0" borderId="161" xfId="2" applyFont="1" applyBorder="1" applyAlignment="1">
      <alignment horizontal="left" vertical="top" wrapText="1"/>
    </xf>
    <xf numFmtId="0" fontId="138" fillId="0" borderId="162" xfId="2" applyFont="1" applyBorder="1" applyAlignment="1">
      <alignment wrapText="1"/>
    </xf>
    <xf numFmtId="0" fontId="140" fillId="0" borderId="162" xfId="2" applyFont="1" applyBorder="1" applyAlignment="1">
      <alignment wrapText="1"/>
    </xf>
    <xf numFmtId="0" fontId="142" fillId="0" borderId="0" xfId="2" applyFont="1" applyAlignment="1">
      <alignment vertical="top"/>
    </xf>
    <xf numFmtId="0" fontId="139" fillId="0" borderId="0" xfId="2" applyFont="1" applyAlignment="1">
      <alignment vertical="top"/>
    </xf>
    <xf numFmtId="0" fontId="14" fillId="0" borderId="23" xfId="0" applyFont="1" applyBorder="1" applyAlignment="1">
      <alignment horizontal="left"/>
    </xf>
    <xf numFmtId="0" fontId="14" fillId="0" borderId="23" xfId="0" applyFont="1" applyBorder="1" applyAlignment="1">
      <alignment horizontal="center"/>
    </xf>
    <xf numFmtId="0" fontId="4" fillId="0" borderId="160" xfId="2" applyBorder="1" applyAlignment="1">
      <alignment horizontal="left" vertical="top" wrapText="1"/>
    </xf>
    <xf numFmtId="0" fontId="7" fillId="0" borderId="2" xfId="2" applyFont="1" applyBorder="1" applyAlignment="1">
      <alignment horizontal="center"/>
    </xf>
    <xf numFmtId="0" fontId="7" fillId="0" borderId="3" xfId="2" applyFont="1" applyBorder="1" applyAlignment="1">
      <alignment horizontal="center"/>
    </xf>
    <xf numFmtId="0" fontId="7" fillId="0" borderId="1" xfId="2" applyFont="1" applyBorder="1" applyAlignment="1">
      <alignment horizontal="center"/>
    </xf>
    <xf numFmtId="0" fontId="7" fillId="2" borderId="0" xfId="2" applyFont="1" applyFill="1" applyAlignment="1">
      <alignment horizontal="center" wrapText="1"/>
    </xf>
    <xf numFmtId="0" fontId="1" fillId="0" borderId="162" xfId="2" applyFont="1" applyBorder="1" applyAlignment="1">
      <alignment wrapText="1"/>
    </xf>
    <xf numFmtId="0" fontId="1" fillId="0" borderId="163" xfId="2" applyFont="1" applyBorder="1" applyAlignment="1">
      <alignment wrapText="1"/>
    </xf>
    <xf numFmtId="0" fontId="7" fillId="2" borderId="2" xfId="2" applyFont="1" applyFill="1" applyBorder="1" applyAlignment="1">
      <alignment horizontal="center" wrapText="1"/>
    </xf>
    <xf numFmtId="0" fontId="7" fillId="2" borderId="51" xfId="2" applyFont="1" applyFill="1" applyBorder="1" applyAlignment="1">
      <alignment horizontal="center" wrapText="1"/>
    </xf>
    <xf numFmtId="0" fontId="7" fillId="2" borderId="39" xfId="2" applyFont="1" applyFill="1" applyBorder="1" applyAlignment="1">
      <alignment horizontal="center" wrapText="1"/>
    </xf>
    <xf numFmtId="0" fontId="4" fillId="0" borderId="134" xfId="2" applyBorder="1" applyAlignment="1">
      <alignment horizontal="left" vertical="top" wrapText="1"/>
    </xf>
    <xf numFmtId="0" fontId="4" fillId="0" borderId="161" xfId="3" applyFont="1" applyFill="1" applyBorder="1" applyAlignment="1" applyProtection="1">
      <alignment horizontal="left" vertical="top" wrapText="1"/>
    </xf>
    <xf numFmtId="0" fontId="4" fillId="0" borderId="162" xfId="3" applyFont="1" applyFill="1" applyBorder="1" applyAlignment="1" applyProtection="1">
      <alignment horizontal="left" vertical="top" wrapText="1"/>
    </xf>
    <xf numFmtId="0" fontId="4" fillId="0" borderId="163" xfId="3" applyFont="1" applyFill="1" applyBorder="1" applyAlignment="1" applyProtection="1">
      <alignment horizontal="left" vertical="top" wrapText="1"/>
    </xf>
    <xf numFmtId="0" fontId="4" fillId="0" borderId="161" xfId="3" applyFont="1" applyFill="1" applyBorder="1" applyAlignment="1" applyProtection="1">
      <alignment horizontal="left" vertical="top"/>
    </xf>
    <xf numFmtId="0" fontId="4" fillId="0" borderId="162" xfId="3" applyFont="1" applyFill="1" applyBorder="1" applyAlignment="1" applyProtection="1">
      <alignment horizontal="left" vertical="top"/>
    </xf>
    <xf numFmtId="0" fontId="4" fillId="0" borderId="163" xfId="3" applyFont="1" applyFill="1" applyBorder="1" applyAlignment="1" applyProtection="1">
      <alignment horizontal="left" vertical="top"/>
    </xf>
    <xf numFmtId="0" fontId="7" fillId="0" borderId="55" xfId="15" quotePrefix="1" applyFont="1" applyBorder="1" applyAlignment="1">
      <alignment horizontal="center"/>
    </xf>
    <xf numFmtId="0" fontId="7" fillId="0" borderId="61" xfId="15" applyFont="1" applyBorder="1" applyAlignment="1">
      <alignment horizontal="center"/>
    </xf>
    <xf numFmtId="0" fontId="7" fillId="2" borderId="55" xfId="15" quotePrefix="1" applyFont="1" applyFill="1" applyBorder="1" applyAlignment="1">
      <alignment horizontal="center"/>
    </xf>
    <xf numFmtId="0" fontId="7" fillId="2" borderId="61" xfId="15" applyFont="1" applyFill="1" applyBorder="1" applyAlignment="1">
      <alignment horizontal="center"/>
    </xf>
    <xf numFmtId="0" fontId="7" fillId="2" borderId="68" xfId="15" applyFont="1" applyFill="1" applyBorder="1" applyAlignment="1">
      <alignment horizontal="center"/>
    </xf>
    <xf numFmtId="0" fontId="7" fillId="0" borderId="55" xfId="15" quotePrefix="1" applyFont="1" applyFill="1" applyBorder="1" applyAlignment="1">
      <alignment horizontal="center"/>
    </xf>
    <xf numFmtId="0" fontId="7" fillId="0" borderId="61" xfId="15" applyFont="1" applyFill="1" applyBorder="1" applyAlignment="1">
      <alignment horizontal="center"/>
    </xf>
    <xf numFmtId="0" fontId="7" fillId="0" borderId="62" xfId="15" applyFont="1" applyFill="1" applyBorder="1" applyAlignment="1">
      <alignment horizontal="center"/>
    </xf>
    <xf numFmtId="165" fontId="15" fillId="0" borderId="145" xfId="15" quotePrefix="1" applyNumberFormat="1" applyFont="1" applyFill="1" applyBorder="1" applyAlignment="1">
      <alignment horizontal="left" vertical="center" textRotation="135" wrapText="1"/>
    </xf>
    <xf numFmtId="165" fontId="15" fillId="0" borderId="141" xfId="15" applyNumberFormat="1" applyFont="1" applyFill="1" applyBorder="1" applyAlignment="1">
      <alignment horizontal="left" vertical="center" textRotation="135" wrapText="1"/>
    </xf>
    <xf numFmtId="165" fontId="15" fillId="0" borderId="147" xfId="15" applyNumberFormat="1" applyFont="1" applyFill="1" applyBorder="1" applyAlignment="1">
      <alignment horizontal="left" vertical="center" textRotation="135" wrapText="1"/>
    </xf>
    <xf numFmtId="165" fontId="15" fillId="0" borderId="18" xfId="15" applyNumberFormat="1" applyFont="1" applyFill="1" applyBorder="1" applyAlignment="1">
      <alignment horizontal="left" vertical="center" textRotation="135" wrapText="1"/>
    </xf>
    <xf numFmtId="165" fontId="15" fillId="0" borderId="0" xfId="15" applyNumberFormat="1" applyFont="1" applyFill="1" applyAlignment="1">
      <alignment horizontal="left" vertical="center" textRotation="135" wrapText="1"/>
    </xf>
    <xf numFmtId="165" fontId="15" fillId="0" borderId="16" xfId="15" applyNumberFormat="1" applyFont="1" applyFill="1" applyBorder="1" applyAlignment="1">
      <alignment horizontal="left" vertical="center" textRotation="135" wrapText="1"/>
    </xf>
    <xf numFmtId="165" fontId="32" fillId="0" borderId="0" xfId="15" quotePrefix="1" applyNumberFormat="1" applyFont="1" applyAlignment="1">
      <alignment horizontal="center" vertical="center" textRotation="165"/>
    </xf>
    <xf numFmtId="165" fontId="32" fillId="0" borderId="0" xfId="15" applyNumberFormat="1" applyFont="1" applyAlignment="1">
      <alignment horizontal="center" vertical="center" textRotation="165"/>
    </xf>
    <xf numFmtId="165" fontId="32" fillId="0" borderId="6" xfId="15" applyNumberFormat="1" applyFont="1" applyBorder="1" applyAlignment="1">
      <alignment horizontal="center" vertical="center" textRotation="165"/>
    </xf>
    <xf numFmtId="0" fontId="4" fillId="0" borderId="178" xfId="3" applyFont="1" applyFill="1" applyBorder="1" applyAlignment="1" applyProtection="1">
      <alignment horizontal="left" vertical="top" wrapText="1"/>
    </xf>
    <xf numFmtId="0" fontId="4" fillId="0" borderId="179" xfId="3" applyFont="1" applyFill="1" applyBorder="1" applyAlignment="1" applyProtection="1">
      <alignment horizontal="left" vertical="top" wrapText="1"/>
    </xf>
    <xf numFmtId="0" fontId="4" fillId="0" borderId="180" xfId="3" applyFont="1" applyFill="1" applyBorder="1" applyAlignment="1" applyProtection="1">
      <alignment horizontal="left" vertical="top" wrapText="1"/>
    </xf>
    <xf numFmtId="0" fontId="8" fillId="0" borderId="0" xfId="2" applyFont="1" applyFill="1" applyBorder="1" applyAlignment="1" applyProtection="1">
      <alignment horizontal="center"/>
    </xf>
    <xf numFmtId="0" fontId="8" fillId="0" borderId="0" xfId="2" applyFont="1" applyAlignment="1">
      <alignment horizontal="center"/>
    </xf>
    <xf numFmtId="0" fontId="0" fillId="0" borderId="163" xfId="2" applyFont="1" applyBorder="1" applyAlignment="1"/>
    <xf numFmtId="0" fontId="26" fillId="0" borderId="162" xfId="3" applyFont="1" applyBorder="1" applyAlignment="1"/>
    <xf numFmtId="0" fontId="26" fillId="0" borderId="163" xfId="3" applyFont="1" applyBorder="1" applyAlignment="1"/>
    <xf numFmtId="0" fontId="120" fillId="0" borderId="0" xfId="2" applyFont="1" applyAlignment="1">
      <alignment horizontal="right" vertical="top" textRotation="90" wrapText="1"/>
    </xf>
    <xf numFmtId="0" fontId="4" fillId="2" borderId="162" xfId="2" applyFill="1" applyBorder="1" applyAlignment="1">
      <alignment vertical="top" wrapText="1"/>
    </xf>
    <xf numFmtId="0" fontId="4" fillId="2" borderId="162" xfId="2" applyFill="1" applyBorder="1" applyAlignment="1"/>
    <xf numFmtId="0" fontId="0" fillId="2" borderId="163" xfId="2" applyFont="1" applyFill="1" applyBorder="1" applyAlignment="1"/>
    <xf numFmtId="0" fontId="7" fillId="0" borderId="6" xfId="2" applyFont="1" applyBorder="1" applyAlignment="1" applyProtection="1">
      <alignment horizontal="left"/>
      <protection locked="0"/>
    </xf>
    <xf numFmtId="0" fontId="32" fillId="0" borderId="6" xfId="2" applyFont="1" applyBorder="1" applyAlignment="1">
      <alignment horizontal="left" vertical="top" wrapText="1"/>
    </xf>
    <xf numFmtId="0" fontId="25" fillId="0" borderId="161" xfId="3" applyFont="1" applyBorder="1" applyAlignment="1">
      <alignment horizontal="left" vertical="top" wrapText="1"/>
    </xf>
    <xf numFmtId="0" fontId="25" fillId="0" borderId="162" xfId="3" applyFont="1" applyBorder="1" applyAlignment="1">
      <alignment horizontal="left" vertical="top" wrapText="1"/>
    </xf>
    <xf numFmtId="0" fontId="25" fillId="0" borderId="163" xfId="3" applyFont="1" applyBorder="1" applyAlignment="1">
      <alignment horizontal="left" vertical="top" wrapText="1"/>
    </xf>
    <xf numFmtId="0" fontId="12" fillId="0" borderId="141" xfId="2" applyFont="1" applyBorder="1" applyAlignment="1">
      <alignment horizontal="center" vertical="top"/>
    </xf>
    <xf numFmtId="0" fontId="7" fillId="0" borderId="6" xfId="2" applyFont="1" applyBorder="1" applyAlignment="1">
      <alignment horizontal="left" wrapText="1"/>
    </xf>
    <xf numFmtId="0" fontId="25" fillId="0" borderId="138" xfId="2" applyFont="1" applyBorder="1" applyAlignment="1">
      <alignment horizontal="left" vertical="top" wrapText="1"/>
    </xf>
    <xf numFmtId="0" fontId="25" fillId="0" borderId="134" xfId="2" applyFont="1" applyBorder="1" applyAlignment="1">
      <alignment horizontal="left" vertical="top" wrapText="1"/>
    </xf>
    <xf numFmtId="0" fontId="25" fillId="0" borderId="136" xfId="2" applyFont="1" applyBorder="1" applyAlignment="1">
      <alignment horizontal="left" vertical="top" wrapText="1"/>
    </xf>
    <xf numFmtId="0" fontId="25" fillId="0" borderId="161" xfId="2" applyFont="1" applyBorder="1" applyAlignment="1">
      <alignment horizontal="left" wrapText="1"/>
    </xf>
    <xf numFmtId="0" fontId="25" fillId="0" borderId="162" xfId="2" applyFont="1" applyBorder="1" applyAlignment="1">
      <alignment horizontal="left" wrapText="1"/>
    </xf>
    <xf numFmtId="0" fontId="25" fillId="0" borderId="163" xfId="2" applyFont="1" applyBorder="1" applyAlignment="1">
      <alignment horizontal="left" wrapText="1"/>
    </xf>
    <xf numFmtId="0" fontId="4" fillId="0" borderId="102" xfId="2" applyBorder="1" applyAlignment="1">
      <alignment horizontal="left"/>
    </xf>
    <xf numFmtId="0" fontId="4" fillId="0" borderId="103" xfId="2" applyBorder="1" applyAlignment="1">
      <alignment horizontal="left"/>
    </xf>
    <xf numFmtId="0" fontId="4" fillId="0" borderId="104" xfId="2" applyBorder="1" applyAlignment="1">
      <alignment horizontal="left"/>
    </xf>
    <xf numFmtId="0" fontId="4" fillId="0" borderId="161" xfId="2" applyBorder="1" applyAlignment="1">
      <alignment horizontal="left"/>
    </xf>
    <xf numFmtId="0" fontId="4" fillId="0" borderId="162" xfId="2" applyBorder="1" applyAlignment="1">
      <alignment horizontal="left"/>
    </xf>
    <xf numFmtId="0" fontId="4" fillId="0" borderId="163" xfId="2" applyBorder="1" applyAlignment="1">
      <alignment horizontal="left"/>
    </xf>
    <xf numFmtId="0" fontId="25" fillId="0" borderId="161" xfId="2" applyFont="1" applyBorder="1" applyAlignment="1">
      <alignment horizontal="left"/>
    </xf>
    <xf numFmtId="0" fontId="25" fillId="0" borderId="162" xfId="2" applyFont="1" applyBorder="1" applyAlignment="1">
      <alignment horizontal="left"/>
    </xf>
    <xf numFmtId="0" fontId="25" fillId="0" borderId="163" xfId="2" applyFont="1" applyBorder="1" applyAlignment="1">
      <alignment horizontal="left"/>
    </xf>
    <xf numFmtId="0" fontId="4" fillId="0" borderId="138" xfId="2" applyBorder="1" applyAlignment="1">
      <alignment horizontal="left"/>
    </xf>
    <xf numFmtId="0" fontId="4" fillId="0" borderId="145" xfId="2" applyBorder="1" applyAlignment="1">
      <alignment horizontal="left" wrapText="1"/>
    </xf>
    <xf numFmtId="0" fontId="4" fillId="0" borderId="141" xfId="2" applyBorder="1" applyAlignment="1">
      <alignment horizontal="left" wrapText="1"/>
    </xf>
    <xf numFmtId="0" fontId="4" fillId="0" borderId="146" xfId="2" applyBorder="1" applyAlignment="1">
      <alignment horizontal="left" wrapText="1"/>
    </xf>
    <xf numFmtId="0" fontId="25" fillId="0" borderId="102" xfId="2" applyFont="1" applyBorder="1" applyAlignment="1">
      <alignment horizontal="left" wrapText="1"/>
    </xf>
    <xf numFmtId="0" fontId="25" fillId="0" borderId="103" xfId="2" applyFont="1" applyBorder="1" applyAlignment="1">
      <alignment horizontal="left" wrapText="1"/>
    </xf>
    <xf numFmtId="0" fontId="25" fillId="0" borderId="104" xfId="2" applyFont="1" applyBorder="1" applyAlignment="1">
      <alignment horizontal="left" wrapText="1"/>
    </xf>
    <xf numFmtId="0" fontId="4" fillId="0" borderId="178" xfId="2" applyFont="1" applyFill="1" applyBorder="1" applyAlignment="1" applyProtection="1">
      <alignment horizontal="left" vertical="top" wrapText="1"/>
    </xf>
    <xf numFmtId="0" fontId="4" fillId="0" borderId="179" xfId="2" applyFont="1" applyFill="1" applyBorder="1" applyAlignment="1" applyProtection="1">
      <alignment horizontal="left" vertical="top" wrapText="1"/>
    </xf>
    <xf numFmtId="0" fontId="4" fillId="0" borderId="180" xfId="2" applyFont="1" applyFill="1" applyBorder="1" applyAlignment="1" applyProtection="1">
      <alignment horizontal="left" vertical="top" wrapText="1"/>
    </xf>
    <xf numFmtId="0" fontId="4" fillId="0" borderId="178" xfId="2" quotePrefix="1" applyFont="1" applyFill="1" applyBorder="1" applyAlignment="1" applyProtection="1">
      <alignment horizontal="left" vertical="top" wrapText="1"/>
    </xf>
    <xf numFmtId="0" fontId="25" fillId="0" borderId="161" xfId="2" quotePrefix="1" applyFont="1" applyBorder="1" applyAlignment="1">
      <alignment vertical="top" wrapText="1"/>
    </xf>
    <xf numFmtId="0" fontId="25" fillId="0" borderId="162" xfId="2" applyFont="1" applyBorder="1" applyAlignment="1">
      <alignment vertical="top" wrapText="1"/>
    </xf>
    <xf numFmtId="0" fontId="25" fillId="0" borderId="163" xfId="2" applyFont="1" applyBorder="1" applyAlignment="1">
      <alignment vertical="top" wrapText="1"/>
    </xf>
    <xf numFmtId="0" fontId="4" fillId="0" borderId="161" xfId="2" applyBorder="1" applyAlignment="1">
      <alignment horizontal="left" vertical="center" wrapText="1"/>
    </xf>
    <xf numFmtId="0" fontId="4" fillId="0" borderId="162" xfId="2" applyBorder="1" applyAlignment="1">
      <alignment horizontal="left" vertical="center" wrapText="1"/>
    </xf>
    <xf numFmtId="0" fontId="4" fillId="0" borderId="163" xfId="2" applyBorder="1" applyAlignment="1">
      <alignment horizontal="left" vertical="center" wrapText="1"/>
    </xf>
    <xf numFmtId="0" fontId="8" fillId="0" borderId="6" xfId="2" applyFont="1" applyBorder="1" applyAlignment="1">
      <alignment wrapText="1"/>
    </xf>
    <xf numFmtId="0" fontId="0" fillId="0" borderId="6" xfId="2" applyFont="1" applyBorder="1" applyAlignment="1"/>
    <xf numFmtId="0" fontId="4" fillId="2" borderId="178" xfId="3" applyFill="1" applyBorder="1" applyAlignment="1">
      <alignment horizontal="left" vertical="top" wrapText="1"/>
    </xf>
    <xf numFmtId="0" fontId="4" fillId="2" borderId="179" xfId="3" applyFill="1" applyBorder="1" applyAlignment="1">
      <alignment horizontal="left" vertical="top" wrapText="1"/>
    </xf>
    <xf numFmtId="0" fontId="4" fillId="2" borderId="180" xfId="3" applyFill="1" applyBorder="1" applyAlignment="1">
      <alignment horizontal="left" vertical="top" wrapText="1"/>
    </xf>
    <xf numFmtId="0" fontId="4" fillId="0" borderId="178" xfId="5" applyBorder="1" applyAlignment="1">
      <alignment horizontal="left" vertical="top"/>
    </xf>
    <xf numFmtId="0" fontId="4" fillId="0" borderId="179" xfId="5" applyBorder="1" applyAlignment="1">
      <alignment horizontal="left" vertical="top"/>
    </xf>
    <xf numFmtId="0" fontId="4" fillId="0" borderId="180" xfId="5" applyBorder="1" applyAlignment="1">
      <alignment horizontal="left" vertical="top"/>
    </xf>
    <xf numFmtId="0" fontId="40" fillId="0" borderId="178" xfId="5" applyFont="1" applyBorder="1" applyAlignment="1">
      <alignment horizontal="left" vertical="top"/>
    </xf>
    <xf numFmtId="0" fontId="40" fillId="0" borderId="179" xfId="5" applyFont="1" applyBorder="1" applyAlignment="1">
      <alignment horizontal="left" vertical="top"/>
    </xf>
    <xf numFmtId="0" fontId="40" fillId="0" borderId="180" xfId="5" applyFont="1" applyBorder="1" applyAlignment="1">
      <alignment horizontal="left" vertical="top"/>
    </xf>
    <xf numFmtId="0" fontId="4" fillId="0" borderId="178" xfId="5" applyBorder="1" applyAlignment="1">
      <alignment horizontal="left" vertical="top" wrapText="1"/>
    </xf>
  </cellXfs>
  <cellStyles count="47">
    <cellStyle name="cells" xfId="11" xr:uid="{00000000-0005-0000-0000-000000000000}"/>
    <cellStyle name="cells 2" xfId="12" xr:uid="{00000000-0005-0000-0000-000001000000}"/>
    <cellStyle name="Comma" xfId="46" builtinId="3"/>
    <cellStyle name="Comma 2" xfId="7" xr:uid="{00000000-0005-0000-0000-000003000000}"/>
    <cellStyle name="Comma 2 2" xfId="14" xr:uid="{00000000-0005-0000-0000-000004000000}"/>
    <cellStyle name="Comma 2 2 2" xfId="36" xr:uid="{00000000-0005-0000-0000-000005000000}"/>
    <cellStyle name="Comma 2 2 3" xfId="23" xr:uid="{00000000-0005-0000-0000-000006000000}"/>
    <cellStyle name="Comma 2 3" xfId="18" xr:uid="{00000000-0005-0000-0000-000007000000}"/>
    <cellStyle name="Comma 2 3 2" xfId="42" xr:uid="{00000000-0005-0000-0000-000000000000}"/>
    <cellStyle name="Comma 2 3 3" xfId="43" xr:uid="{F90C6ECB-8196-4E80-9F02-2DFC6DC76937}"/>
    <cellStyle name="Comma 3 2" xfId="34" xr:uid="{00000000-0005-0000-0000-000008000000}"/>
    <cellStyle name="Comma 5" xfId="30" xr:uid="{00000000-0005-0000-0000-000009000000}"/>
    <cellStyle name="Comma 63" xfId="29" xr:uid="{00000000-0005-0000-0000-00000A000000}"/>
    <cellStyle name="Comma 7" xfId="22" xr:uid="{00000000-0005-0000-0000-00000B000000}"/>
    <cellStyle name="Comma_Ed data request for presidency_updated MARCH 07" xfId="41" xr:uid="{C1FFA169-9204-4F85-B67D-A4606D61BD97}"/>
    <cellStyle name="Comma_S.S.M STATS 2000 TO 2001" xfId="37" xr:uid="{7D33C65C-1408-4585-9582-9B5EFDBAD18F}"/>
    <cellStyle name="Comma0_Safety and Security indicators 2008" xfId="35" xr:uid="{00000000-0005-0000-0000-00000C000000}"/>
    <cellStyle name="Excel Built-in Excel Built-in Excel Built-in Excel Built-in Excel Built-in Excel Built-in Excel Built-in F4 2" xfId="8" xr:uid="{00000000-0005-0000-0000-00000D000000}"/>
    <cellStyle name="Excel Built-in Excel Built-in Excel Built-in Excel Built-in Excel Built-in Excel Built-in Normal 2" xfId="9" xr:uid="{00000000-0005-0000-0000-00000E000000}"/>
    <cellStyle name="F4 2" xfId="2" xr:uid="{00000000-0005-0000-0000-00000F000000}"/>
    <cellStyle name="F4 2 2" xfId="3" xr:uid="{00000000-0005-0000-0000-000010000000}"/>
    <cellStyle name="F4 2 2 3" xfId="28" xr:uid="{00000000-0005-0000-0000-000011000000}"/>
    <cellStyle name="Hyperlink 2" xfId="39" xr:uid="{57BC6BEB-B036-49AE-8175-B9AE6EC570B8}"/>
    <cellStyle name="Normal" xfId="0" builtinId="0"/>
    <cellStyle name="Normal 118" xfId="38" xr:uid="{43C9DBB4-6591-4304-B681-385B7B9FF6F1}"/>
    <cellStyle name="Normal 2" xfId="5" xr:uid="{00000000-0005-0000-0000-000013000000}"/>
    <cellStyle name="Normal 2 2" xfId="15" xr:uid="{00000000-0005-0000-0000-000014000000}"/>
    <cellStyle name="Normal 2 3" xfId="44" xr:uid="{9694F0B7-6A32-40EC-AA01-41F7CF3D1529}"/>
    <cellStyle name="Normal 2 4" xfId="27" xr:uid="{00000000-0005-0000-0000-000015000000}"/>
    <cellStyle name="Normal 3" xfId="19" xr:uid="{00000000-0005-0000-0000-000016000000}"/>
    <cellStyle name="Normal 3 2" xfId="31" xr:uid="{00000000-0005-0000-0000-000017000000}"/>
    <cellStyle name="Normal 3 3" xfId="32" xr:uid="{00000000-0005-0000-0000-000018000000}"/>
    <cellStyle name="Normal 44" xfId="25" xr:uid="{00000000-0005-0000-0000-000019000000}"/>
    <cellStyle name="Normal 5" xfId="33" xr:uid="{00000000-0005-0000-0000-00001A000000}"/>
    <cellStyle name="Normal 6 2" xfId="13" xr:uid="{00000000-0005-0000-0000-00001B000000}"/>
    <cellStyle name="Normal 8" xfId="20" xr:uid="{00000000-0005-0000-0000-00001C000000}"/>
    <cellStyle name="Normal_Budget 199899 master table 2" xfId="4" xr:uid="{00000000-0005-0000-0000-00001D000000}"/>
    <cellStyle name="Normal_COUNTRY" xfId="16" xr:uid="{00000000-0005-0000-0000-00001E000000}"/>
    <cellStyle name="Normal_CPIX Components 2" xfId="6" xr:uid="{00000000-0005-0000-0000-00001F000000}"/>
    <cellStyle name="Normal_CPIX Components 2 2" xfId="10" xr:uid="{00000000-0005-0000-0000-000020000000}"/>
    <cellStyle name="Normal_Mid-year 2000-2007 (30 Jan 08)" xfId="40" xr:uid="{6C099EEB-E439-4B52-ABE3-C90CFC3FB4E7}"/>
    <cellStyle name="Percent" xfId="1" builtinId="5"/>
    <cellStyle name="Percent 2" xfId="45" xr:uid="{D6A9BFC4-2513-4E27-AFC1-D292255B6D6C}"/>
    <cellStyle name="Percent 2 2" xfId="17" xr:uid="{00000000-0005-0000-0000-000022000000}"/>
    <cellStyle name="Percent 2 3" xfId="26" xr:uid="{00000000-0005-0000-0000-000023000000}"/>
    <cellStyle name="Percent 3 2" xfId="24" xr:uid="{00000000-0005-0000-0000-000024000000}"/>
    <cellStyle name="Percent 5" xfId="21" xr:uid="{00000000-0005-0000-0000-000025000000}"/>
  </cellStyles>
  <dxfs count="0"/>
  <tableStyles count="0" defaultTableStyle="TableStyleMedium2" defaultPivotStyle="PivotStyleLight16"/>
  <colors>
    <mruColors>
      <color rgb="FF003366"/>
      <color rgb="FF00FFFF"/>
      <color rgb="FFFF00FF"/>
      <color rgb="FF99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1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8.xml"/><Relationship Id="rId123" Type="http://schemas.openxmlformats.org/officeDocument/2006/relationships/externalLink" Target="externalLinks/externalLink29.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9.xml"/><Relationship Id="rId118" Type="http://schemas.openxmlformats.org/officeDocument/2006/relationships/externalLink" Target="externalLinks/externalLink2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9.xml"/><Relationship Id="rId108" Type="http://schemas.openxmlformats.org/officeDocument/2006/relationships/externalLink" Target="externalLinks/externalLink14.xml"/><Relationship Id="rId124" Type="http://schemas.openxmlformats.org/officeDocument/2006/relationships/externalLink" Target="externalLinks/externalLink30.xml"/><Relationship Id="rId129" Type="http://schemas.openxmlformats.org/officeDocument/2006/relationships/customXml" Target="../customXml/item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0.xml"/><Relationship Id="rId119" Type="http://schemas.openxmlformats.org/officeDocument/2006/relationships/externalLink" Target="externalLinks/externalLink25.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3.xml"/><Relationship Id="rId104" Type="http://schemas.openxmlformats.org/officeDocument/2006/relationships/externalLink" Target="externalLinks/externalLink10.xml"/><Relationship Id="rId120" Type="http://schemas.openxmlformats.org/officeDocument/2006/relationships/externalLink" Target="externalLinks/externalLink26.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6.xml"/><Relationship Id="rId115" Type="http://schemas.openxmlformats.org/officeDocument/2006/relationships/externalLink" Target="externalLinks/externalLink21.xml"/><Relationship Id="rId131"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6.xml"/><Relationship Id="rId105" Type="http://schemas.openxmlformats.org/officeDocument/2006/relationships/externalLink" Target="externalLinks/externalLink11.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4.xml"/><Relationship Id="rId121" Type="http://schemas.openxmlformats.org/officeDocument/2006/relationships/externalLink" Target="externalLinks/externalLink2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7.xml"/><Relationship Id="rId132" Type="http://schemas.openxmlformats.org/officeDocument/2006/relationships/customXml" Target="../customXml/item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2.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externalLink" Target="externalLinks/externalLink5.xml"/><Relationship Id="rId101" Type="http://schemas.openxmlformats.org/officeDocument/2006/relationships/externalLink" Target="externalLinks/externalLink7.xml"/><Relationship Id="rId122" Type="http://schemas.openxmlformats.org/officeDocument/2006/relationships/externalLink" Target="externalLinks/externalLink2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8.xml"/><Relationship Id="rId133" Type="http://schemas.openxmlformats.org/officeDocument/2006/relationships/customXml" Target="../customXml/item5.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10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2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2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3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3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4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1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1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14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14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14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14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4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152.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0.xml"/><Relationship Id="rId1" Type="http://schemas.microsoft.com/office/2011/relationships/chartStyle" Target="style3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7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7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8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Revenue collection</c:v>
          </c:tx>
          <c:spPr>
            <a:solidFill>
              <a:srgbClr val="9999FF"/>
            </a:solidFill>
            <a:ln w="12700">
              <a:solidFill>
                <a:srgbClr val="000000"/>
              </a:solidFill>
              <a:prstDash val="solid"/>
            </a:ln>
          </c:spPr>
          <c:invertIfNegative val="0"/>
          <c:cat>
            <c:numLit>
              <c:formatCode>General</c:formatCode>
              <c:ptCount val="12"/>
              <c:pt idx="1">
                <c:v>1996</c:v>
              </c:pt>
              <c:pt idx="2">
                <c:v>1997</c:v>
              </c:pt>
              <c:pt idx="3">
                <c:v>1998</c:v>
              </c:pt>
              <c:pt idx="4">
                <c:v>1999</c:v>
              </c:pt>
              <c:pt idx="5">
                <c:v>2000</c:v>
              </c:pt>
              <c:pt idx="6">
                <c:v>2001</c:v>
              </c:pt>
              <c:pt idx="7">
                <c:v>2002</c:v>
              </c:pt>
              <c:pt idx="8">
                <c:v>2003</c:v>
              </c:pt>
              <c:pt idx="9">
                <c:v>2004</c:v>
              </c:pt>
              <c:pt idx="10">
                <c:v>2005</c:v>
              </c:pt>
              <c:pt idx="11">
                <c:v>2006</c:v>
              </c:pt>
            </c:numLit>
          </c:cat>
          <c:val>
            <c:numLit>
              <c:formatCode>General</c:formatCode>
              <c:ptCount val="11"/>
              <c:pt idx="0">
                <c:v>147.30000000000001</c:v>
              </c:pt>
              <c:pt idx="1">
                <c:v>165.3</c:v>
              </c:pt>
              <c:pt idx="2">
                <c:v>184.8</c:v>
              </c:pt>
              <c:pt idx="3">
                <c:v>201.4</c:v>
              </c:pt>
              <c:pt idx="4">
                <c:v>220.3</c:v>
              </c:pt>
              <c:pt idx="5">
                <c:v>252.3</c:v>
              </c:pt>
              <c:pt idx="6">
                <c:v>282.2</c:v>
              </c:pt>
              <c:pt idx="7">
                <c:v>302.5</c:v>
              </c:pt>
              <c:pt idx="8">
                <c:v>355</c:v>
              </c:pt>
              <c:pt idx="9">
                <c:v>417.3</c:v>
              </c:pt>
              <c:pt idx="10">
                <c:v>486.4</c:v>
              </c:pt>
            </c:numLit>
          </c:val>
          <c:extLst>
            <c:ext xmlns:c16="http://schemas.microsoft.com/office/drawing/2014/chart" uri="{C3380CC4-5D6E-409C-BE32-E72D297353CC}">
              <c16:uniqueId val="{00000000-7BD7-4C94-B8BB-92A12A1D184D}"/>
            </c:ext>
          </c:extLst>
        </c:ser>
        <c:ser>
          <c:idx val="1"/>
          <c:order val="1"/>
          <c:tx>
            <c:v>Annual tax relief</c:v>
          </c:tx>
          <c:spPr>
            <a:solidFill>
              <a:srgbClr val="993366"/>
            </a:solidFill>
            <a:ln w="12700">
              <a:solidFill>
                <a:srgbClr val="000000"/>
              </a:solidFill>
              <a:prstDash val="solid"/>
            </a:ln>
          </c:spPr>
          <c:invertIfNegative val="0"/>
          <c:cat>
            <c:numLit>
              <c:formatCode>General</c:formatCode>
              <c:ptCount val="12"/>
              <c:pt idx="1">
                <c:v>1996</c:v>
              </c:pt>
              <c:pt idx="2">
                <c:v>1997</c:v>
              </c:pt>
              <c:pt idx="3">
                <c:v>1998</c:v>
              </c:pt>
              <c:pt idx="4">
                <c:v>1999</c:v>
              </c:pt>
              <c:pt idx="5">
                <c:v>2000</c:v>
              </c:pt>
              <c:pt idx="6">
                <c:v>2001</c:v>
              </c:pt>
              <c:pt idx="7">
                <c:v>2002</c:v>
              </c:pt>
              <c:pt idx="8">
                <c:v>2003</c:v>
              </c:pt>
              <c:pt idx="9">
                <c:v>2004</c:v>
              </c:pt>
              <c:pt idx="10">
                <c:v>2005</c:v>
              </c:pt>
              <c:pt idx="11">
                <c:v>2006</c:v>
              </c:pt>
            </c:numLit>
          </c:cat>
          <c:val>
            <c:numLit>
              <c:formatCode>General</c:formatCode>
              <c:ptCount val="12"/>
              <c:pt idx="0">
                <c:v>0</c:v>
              </c:pt>
              <c:pt idx="1">
                <c:v>2.4</c:v>
              </c:pt>
              <c:pt idx="2">
                <c:v>0.90800000000000003</c:v>
              </c:pt>
              <c:pt idx="4">
                <c:v>3.57</c:v>
              </c:pt>
              <c:pt idx="5">
                <c:v>8.48</c:v>
              </c:pt>
              <c:pt idx="6">
                <c:v>9.06</c:v>
              </c:pt>
              <c:pt idx="7">
                <c:v>15.17</c:v>
              </c:pt>
              <c:pt idx="8">
                <c:v>15.06</c:v>
              </c:pt>
              <c:pt idx="9">
                <c:v>2.2999999999999998</c:v>
              </c:pt>
              <c:pt idx="10">
                <c:v>9.3800000000000008</c:v>
              </c:pt>
              <c:pt idx="11">
                <c:v>19.3</c:v>
              </c:pt>
            </c:numLit>
          </c:val>
          <c:extLst>
            <c:ext xmlns:c16="http://schemas.microsoft.com/office/drawing/2014/chart" uri="{C3380CC4-5D6E-409C-BE32-E72D297353CC}">
              <c16:uniqueId val="{00000001-7BD7-4C94-B8BB-92A12A1D184D}"/>
            </c:ext>
          </c:extLst>
        </c:ser>
        <c:ser>
          <c:idx val="2"/>
          <c:order val="2"/>
          <c:tx>
            <c:v>Tax register</c:v>
          </c:tx>
          <c:spPr>
            <a:solidFill>
              <a:srgbClr val="FFFFCC"/>
            </a:solidFill>
            <a:ln w="12700">
              <a:solidFill>
                <a:srgbClr val="000000"/>
              </a:solidFill>
              <a:prstDash val="solid"/>
            </a:ln>
          </c:spPr>
          <c:invertIfNegative val="0"/>
          <c:cat>
            <c:numLit>
              <c:formatCode>General</c:formatCode>
              <c:ptCount val="12"/>
              <c:pt idx="1">
                <c:v>1996</c:v>
              </c:pt>
              <c:pt idx="2">
                <c:v>1997</c:v>
              </c:pt>
              <c:pt idx="3">
                <c:v>1998</c:v>
              </c:pt>
              <c:pt idx="4">
                <c:v>1999</c:v>
              </c:pt>
              <c:pt idx="5">
                <c:v>2000</c:v>
              </c:pt>
              <c:pt idx="6">
                <c:v>2001</c:v>
              </c:pt>
              <c:pt idx="7">
                <c:v>2002</c:v>
              </c:pt>
              <c:pt idx="8">
                <c:v>2003</c:v>
              </c:pt>
              <c:pt idx="9">
                <c:v>2004</c:v>
              </c:pt>
              <c:pt idx="10">
                <c:v>2005</c:v>
              </c:pt>
              <c:pt idx="11">
                <c:v>2006</c:v>
              </c:pt>
            </c:numLit>
          </c:cat>
          <c:val>
            <c:numLit>
              <c:formatCode>General</c:formatCode>
              <c:ptCount val="12"/>
              <c:pt idx="0">
                <c:v>0</c:v>
              </c:pt>
              <c:pt idx="1">
                <c:v>3166795</c:v>
              </c:pt>
              <c:pt idx="2">
                <c:v>3568089</c:v>
              </c:pt>
              <c:pt idx="3">
                <c:v>3671130</c:v>
              </c:pt>
              <c:pt idx="4">
                <c:v>3941375</c:v>
              </c:pt>
              <c:pt idx="5">
                <c:v>4094271</c:v>
              </c:pt>
              <c:pt idx="6">
                <c:v>4623870</c:v>
              </c:pt>
              <c:pt idx="7">
                <c:v>5102227</c:v>
              </c:pt>
              <c:pt idx="8">
                <c:v>5608223</c:v>
              </c:pt>
              <c:pt idx="9">
                <c:v>6085436</c:v>
              </c:pt>
              <c:pt idx="10">
                <c:v>6624767</c:v>
              </c:pt>
              <c:pt idx="11">
                <c:v>7277006</c:v>
              </c:pt>
            </c:numLit>
          </c:val>
          <c:extLst>
            <c:ext xmlns:c16="http://schemas.microsoft.com/office/drawing/2014/chart" uri="{C3380CC4-5D6E-409C-BE32-E72D297353CC}">
              <c16:uniqueId val="{00000002-7BD7-4C94-B8BB-92A12A1D184D}"/>
            </c:ext>
          </c:extLst>
        </c:ser>
        <c:dLbls>
          <c:showLegendKey val="0"/>
          <c:showVal val="0"/>
          <c:showCatName val="0"/>
          <c:showSerName val="0"/>
          <c:showPercent val="0"/>
          <c:showBubbleSize val="0"/>
        </c:dLbls>
        <c:gapWidth val="150"/>
        <c:overlap val="100"/>
        <c:axId val="532775616"/>
        <c:axId val="532767776"/>
      </c:barChart>
      <c:catAx>
        <c:axId val="532775616"/>
        <c:scaling>
          <c:orientation val="minMax"/>
        </c:scaling>
        <c:delete val="0"/>
        <c:axPos val="t"/>
        <c:title>
          <c:tx>
            <c:rich>
              <a:bodyPr/>
              <a:lstStyle/>
              <a:p>
                <a:pPr>
                  <a:defRPr sz="800" b="0" i="0" u="none" strike="noStrike" baseline="0">
                    <a:solidFill>
                      <a:srgbClr val="000000"/>
                    </a:solidFill>
                    <a:latin typeface="Arial"/>
                    <a:ea typeface="Arial"/>
                    <a:cs typeface="Arial"/>
                  </a:defRPr>
                </a:pPr>
                <a:r>
                  <a:rPr lang="en-ZA"/>
                  <a:t>Year</a:t>
                </a:r>
              </a:p>
            </c:rich>
          </c:tx>
          <c:layout>
            <c:manualLayout>
              <c:xMode val="edge"/>
              <c:yMode val="edge"/>
              <c:x val="0.53648143767436862"/>
              <c:y val="0.205224272339091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7776"/>
        <c:crosses val="max"/>
        <c:auto val="1"/>
        <c:lblAlgn val="ctr"/>
        <c:lblOffset val="100"/>
        <c:tickLblSkip val="1"/>
        <c:tickMarkSkip val="1"/>
        <c:noMultiLvlLbl val="0"/>
      </c:catAx>
      <c:valAx>
        <c:axId val="532767776"/>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3.7195994277539356E-2"/>
              <c:y val="0.597016100599357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7561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'Doing Business'!$D$66</c:f>
              <c:strCache>
                <c:ptCount val="1"/>
                <c:pt idx="0">
                  <c:v>South Africa</c:v>
                </c:pt>
              </c:strCache>
            </c:strRef>
          </c:tx>
          <c:spPr>
            <a:solidFill>
              <a:schemeClr val="accent1"/>
            </a:solidFill>
            <a:ln>
              <a:noFill/>
            </a:ln>
            <a:effectLst/>
          </c:spPr>
          <c:invertIfNegative val="0"/>
          <c:cat>
            <c:numRef>
              <c:extLst>
                <c:ext xmlns:c15="http://schemas.microsoft.com/office/drawing/2012/chart" uri="{02D57815-91ED-43cb-92C2-25804820EDAC}">
                  <c15:fullRef>
                    <c15:sqref>'Doing Business'!$E$65:$T$65</c15:sqref>
                  </c15:fullRef>
                </c:ext>
              </c:extLst>
              <c:f>'Doing Business'!$I$65:$T$65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c:v>2021</c:v>
                </c:pt>
              </c:numCache>
            </c:numRef>
          </c:cat>
          <c:val>
            <c:numRef>
              <c:extLst>
                <c:ext xmlns:c15="http://schemas.microsoft.com/office/drawing/2012/chart" uri="{02D57815-91ED-43cb-92C2-25804820EDAC}">
                  <c15:fullRef>
                    <c15:sqref>'Doing Business'!$E$66:$T$66</c15:sqref>
                  </c15:fullRef>
                </c:ext>
              </c:extLst>
              <c:f>'Doing Business'!$I$66:$T$66</c:f>
              <c:numCache>
                <c:formatCode>General</c:formatCode>
                <c:ptCount val="12"/>
                <c:pt idx="0" formatCode="_ * #\ ##0_ ;_ * \-#\ ##0_ ;_ * &quot;-&quot;??_ ;_ @_ ">
                  <c:v>34</c:v>
                </c:pt>
                <c:pt idx="1" formatCode="_ * #\ ##0_ ;_ * \-#\ ##0_ ;_ * &quot;-&quot;??_ ;_ @_ ">
                  <c:v>34</c:v>
                </c:pt>
                <c:pt idx="2" formatCode="_ * #\ ##0_ ;_ * \-#\ ##0_ ;_ * &quot;-&quot;??_ ;_ @_ ">
                  <c:v>35</c:v>
                </c:pt>
                <c:pt idx="3" formatCode="_ * #\ ##0_ ;_ * \-#\ ##0_ ;_ * &quot;-&quot;??_ ;_ @_ ">
                  <c:v>39</c:v>
                </c:pt>
                <c:pt idx="4" formatCode="_ * #\ ##0_ ;_ * \-#\ ##0_ ;_ * &quot;-&quot;??_ ;_ @_ ">
                  <c:v>41</c:v>
                </c:pt>
                <c:pt idx="5" formatCode="_ * #\ ##0_ ;_ * \-#\ ##0_ ;_ * &quot;-&quot;??_ ;_ @_ ">
                  <c:v>43</c:v>
                </c:pt>
                <c:pt idx="6" formatCode="_ * #\ ##0_ ;_ * \-#\ ##0_ ;_ * &quot;-&quot;??_ ;_ @_ ">
                  <c:v>73</c:v>
                </c:pt>
                <c:pt idx="7" formatCode="_ * #\ ##0_ ;_ * \-#\ ##0_ ;_ * &quot;-&quot;??_ ;_ @_ ">
                  <c:v>74</c:v>
                </c:pt>
                <c:pt idx="8" formatCode="_ * #\ ##0_ ;_ * \-#\ ##0_ ;_ * &quot;-&quot;??_ ;_ @_ ">
                  <c:v>82</c:v>
                </c:pt>
                <c:pt idx="9" formatCode="_ * #\ ##0_ ;_ * \-#\ ##0_ ;_ * &quot;-&quot;??_ ;_ @_ ">
                  <c:v>82</c:v>
                </c:pt>
                <c:pt idx="10" formatCode="_ * #\ ##0_ ;_ * \-#\ ##0_ ;_ * &quot;-&quot;??_ ;_ @_ ">
                  <c:v>84</c:v>
                </c:pt>
              </c:numCache>
            </c:numRef>
          </c:val>
          <c:extLst>
            <c:ext xmlns:c16="http://schemas.microsoft.com/office/drawing/2014/chart" uri="{C3380CC4-5D6E-409C-BE32-E72D297353CC}">
              <c16:uniqueId val="{00000000-4B51-44D9-B8BF-8A6EC5204ABA}"/>
            </c:ext>
          </c:extLst>
        </c:ser>
        <c:dLbls>
          <c:showLegendKey val="0"/>
          <c:showVal val="0"/>
          <c:showCatName val="0"/>
          <c:showSerName val="0"/>
          <c:showPercent val="0"/>
          <c:showBubbleSize val="0"/>
        </c:dLbls>
        <c:gapWidth val="219"/>
        <c:overlap val="-27"/>
        <c:axId val="977874079"/>
        <c:axId val="977866175"/>
      </c:barChart>
      <c:catAx>
        <c:axId val="977874079"/>
        <c:scaling>
          <c:orientation val="minMax"/>
        </c:scaling>
        <c:delete val="0"/>
        <c:axPos val="b"/>
        <c:numFmt formatCode="General" sourceLinked="1"/>
        <c:majorTickMark val="out"/>
        <c:minorTickMark val="none"/>
        <c:tickLblPos val="nextTo"/>
        <c:spPr>
          <a:noFill/>
          <a:ln w="9525" cap="flat" cmpd="sng" algn="ctr">
            <a:solidFill>
              <a:srgbClr val="808080"/>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77866175"/>
        <c:crosses val="autoZero"/>
        <c:auto val="1"/>
        <c:lblAlgn val="ctr"/>
        <c:lblOffset val="100"/>
        <c:noMultiLvlLbl val="0"/>
      </c:catAx>
      <c:valAx>
        <c:axId val="977866175"/>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a:t>Numer</a:t>
                </a:r>
              </a:p>
            </c:rich>
          </c:tx>
          <c:layout>
            <c:manualLayout>
              <c:xMode val="edge"/>
              <c:yMode val="edge"/>
              <c:x val="1.8422564304903594E-2"/>
              <c:y val="0.45308253135024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rgbClr val="808080"/>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9778740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'[14]SET Uni'!$D$52</c:f>
              <c:strCache>
                <c:ptCount val="1"/>
                <c:pt idx="0">
                  <c:v>Total enrolment</c:v>
                </c:pt>
              </c:strCache>
            </c:strRef>
          </c:tx>
          <c:marker>
            <c:symbol val="none"/>
          </c:marker>
          <c:cat>
            <c:numRef>
              <c:f>'[14]SET Uni'!$E$51:$K$51</c:f>
              <c:numCache>
                <c:formatCode>General</c:formatCode>
                <c:ptCount val="7"/>
                <c:pt idx="0">
                  <c:v>2000</c:v>
                </c:pt>
                <c:pt idx="1">
                  <c:v>2001</c:v>
                </c:pt>
                <c:pt idx="2">
                  <c:v>2002</c:v>
                </c:pt>
                <c:pt idx="3">
                  <c:v>2003</c:v>
                </c:pt>
                <c:pt idx="4">
                  <c:v>2004</c:v>
                </c:pt>
                <c:pt idx="5">
                  <c:v>2005</c:v>
                </c:pt>
                <c:pt idx="6">
                  <c:v>2006</c:v>
                </c:pt>
              </c:numCache>
            </c:numRef>
          </c:cat>
          <c:val>
            <c:numRef>
              <c:f>'[14]SET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3CFD-47E5-A3DE-B1E6222EC34B}"/>
            </c:ext>
          </c:extLst>
        </c:ser>
        <c:ser>
          <c:idx val="4"/>
          <c:order val="1"/>
          <c:tx>
            <c:strRef>
              <c:f>'[14]SET Uni'!$D$56</c:f>
              <c:strCache>
                <c:ptCount val="1"/>
                <c:pt idx="0">
                  <c:v>Total Graduates</c:v>
                </c:pt>
              </c:strCache>
            </c:strRef>
          </c:tx>
          <c:marker>
            <c:symbol val="none"/>
          </c:marker>
          <c:cat>
            <c:numRef>
              <c:f>'[14]SET Uni'!$E$51:$K$51</c:f>
              <c:numCache>
                <c:formatCode>General</c:formatCode>
                <c:ptCount val="7"/>
                <c:pt idx="0">
                  <c:v>2000</c:v>
                </c:pt>
                <c:pt idx="1">
                  <c:v>2001</c:v>
                </c:pt>
                <c:pt idx="2">
                  <c:v>2002</c:v>
                </c:pt>
                <c:pt idx="3">
                  <c:v>2003</c:v>
                </c:pt>
                <c:pt idx="4">
                  <c:v>2004</c:v>
                </c:pt>
                <c:pt idx="5">
                  <c:v>2005</c:v>
                </c:pt>
                <c:pt idx="6">
                  <c:v>2006</c:v>
                </c:pt>
              </c:numCache>
            </c:numRef>
          </c:cat>
          <c:val>
            <c:numRef>
              <c:f>'[14]SET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3CFD-47E5-A3DE-B1E6222EC34B}"/>
            </c:ext>
          </c:extLst>
        </c:ser>
        <c:ser>
          <c:idx val="5"/>
          <c:order val="2"/>
          <c:tx>
            <c:strRef>
              <c:f>'[14]SET Uni'!$D$57</c:f>
              <c:strCache>
                <c:ptCount val="1"/>
                <c:pt idx="0">
                  <c:v>SET Graduates</c:v>
                </c:pt>
              </c:strCache>
            </c:strRef>
          </c:tx>
          <c:marker>
            <c:symbol val="none"/>
          </c:marker>
          <c:cat>
            <c:numRef>
              <c:f>'[14]SET Uni'!$E$51:$K$51</c:f>
              <c:numCache>
                <c:formatCode>General</c:formatCode>
                <c:ptCount val="7"/>
                <c:pt idx="0">
                  <c:v>2000</c:v>
                </c:pt>
                <c:pt idx="1">
                  <c:v>2001</c:v>
                </c:pt>
                <c:pt idx="2">
                  <c:v>2002</c:v>
                </c:pt>
                <c:pt idx="3">
                  <c:v>2003</c:v>
                </c:pt>
                <c:pt idx="4">
                  <c:v>2004</c:v>
                </c:pt>
                <c:pt idx="5">
                  <c:v>2005</c:v>
                </c:pt>
                <c:pt idx="6">
                  <c:v>2006</c:v>
                </c:pt>
              </c:numCache>
            </c:numRef>
          </c:cat>
          <c:val>
            <c:numRef>
              <c:f>'[14]SET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3CFD-47E5-A3DE-B1E6222EC34B}"/>
            </c:ext>
          </c:extLst>
        </c:ser>
        <c:dLbls>
          <c:showLegendKey val="0"/>
          <c:showVal val="0"/>
          <c:showCatName val="0"/>
          <c:showSerName val="0"/>
          <c:showPercent val="0"/>
          <c:showBubbleSize val="0"/>
        </c:dLbls>
        <c:smooth val="0"/>
        <c:axId val="-1618810992"/>
        <c:axId val="-1618813712"/>
      </c:lineChart>
      <c:catAx>
        <c:axId val="-1618810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1618813712"/>
        <c:crosses val="autoZero"/>
        <c:auto val="1"/>
        <c:lblAlgn val="ctr"/>
        <c:lblOffset val="100"/>
        <c:tickLblSkip val="1"/>
        <c:tickMarkSkip val="1"/>
        <c:noMultiLvlLbl val="0"/>
      </c:catAx>
      <c:valAx>
        <c:axId val="-1618813712"/>
        <c:scaling>
          <c:orientation val="minMax"/>
        </c:scaling>
        <c:delete val="0"/>
        <c:axPos val="l"/>
        <c:majorGridlines>
          <c:spPr>
            <a:ln w="3175">
              <a:solidFill>
                <a:srgbClr val="000000"/>
              </a:solidFill>
              <a:prstDash val="solid"/>
            </a:ln>
          </c:spPr>
        </c:majorGridlines>
        <c:title>
          <c:tx>
            <c:rich>
              <a:bodyPr/>
              <a:lstStyle/>
              <a:p>
                <a:pPr>
                  <a:defRPr sz="275" b="1"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161881099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588" r="0.75000000000000588"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'[14]SET Uni'!$D$52</c:f>
              <c:strCache>
                <c:ptCount val="1"/>
                <c:pt idx="0">
                  <c:v>Total enrolment</c:v>
                </c:pt>
              </c:strCache>
            </c:strRef>
          </c:tx>
          <c:marker>
            <c:symbol val="none"/>
          </c:marker>
          <c:cat>
            <c:numRef>
              <c:f>'[14]SET Uni'!$E$51:$K$51</c:f>
              <c:numCache>
                <c:formatCode>General</c:formatCode>
                <c:ptCount val="7"/>
                <c:pt idx="0">
                  <c:v>2000</c:v>
                </c:pt>
                <c:pt idx="1">
                  <c:v>2001</c:v>
                </c:pt>
                <c:pt idx="2">
                  <c:v>2002</c:v>
                </c:pt>
                <c:pt idx="3">
                  <c:v>2003</c:v>
                </c:pt>
                <c:pt idx="4">
                  <c:v>2004</c:v>
                </c:pt>
                <c:pt idx="5">
                  <c:v>2005</c:v>
                </c:pt>
                <c:pt idx="6">
                  <c:v>2006</c:v>
                </c:pt>
              </c:numCache>
            </c:numRef>
          </c:cat>
          <c:val>
            <c:numRef>
              <c:f>'[14]SET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0C9F-4B3E-9453-8B565B8A626F}"/>
            </c:ext>
          </c:extLst>
        </c:ser>
        <c:ser>
          <c:idx val="4"/>
          <c:order val="1"/>
          <c:tx>
            <c:strRef>
              <c:f>'[14]SET Uni'!$D$56</c:f>
              <c:strCache>
                <c:ptCount val="1"/>
                <c:pt idx="0">
                  <c:v>Total Graduates</c:v>
                </c:pt>
              </c:strCache>
            </c:strRef>
          </c:tx>
          <c:marker>
            <c:symbol val="none"/>
          </c:marker>
          <c:cat>
            <c:numRef>
              <c:f>'[14]SET Uni'!$E$51:$K$51</c:f>
              <c:numCache>
                <c:formatCode>General</c:formatCode>
                <c:ptCount val="7"/>
                <c:pt idx="0">
                  <c:v>2000</c:v>
                </c:pt>
                <c:pt idx="1">
                  <c:v>2001</c:v>
                </c:pt>
                <c:pt idx="2">
                  <c:v>2002</c:v>
                </c:pt>
                <c:pt idx="3">
                  <c:v>2003</c:v>
                </c:pt>
                <c:pt idx="4">
                  <c:v>2004</c:v>
                </c:pt>
                <c:pt idx="5">
                  <c:v>2005</c:v>
                </c:pt>
                <c:pt idx="6">
                  <c:v>2006</c:v>
                </c:pt>
              </c:numCache>
            </c:numRef>
          </c:cat>
          <c:val>
            <c:numRef>
              <c:f>'[14]SET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0C9F-4B3E-9453-8B565B8A626F}"/>
            </c:ext>
          </c:extLst>
        </c:ser>
        <c:ser>
          <c:idx val="5"/>
          <c:order val="2"/>
          <c:tx>
            <c:strRef>
              <c:f>'[14]SET Uni'!$D$57</c:f>
              <c:strCache>
                <c:ptCount val="1"/>
                <c:pt idx="0">
                  <c:v>SET Graduates</c:v>
                </c:pt>
              </c:strCache>
            </c:strRef>
          </c:tx>
          <c:marker>
            <c:symbol val="none"/>
          </c:marker>
          <c:cat>
            <c:numRef>
              <c:f>'[14]SET Uni'!$E$51:$K$51</c:f>
              <c:numCache>
                <c:formatCode>General</c:formatCode>
                <c:ptCount val="7"/>
                <c:pt idx="0">
                  <c:v>2000</c:v>
                </c:pt>
                <c:pt idx="1">
                  <c:v>2001</c:v>
                </c:pt>
                <c:pt idx="2">
                  <c:v>2002</c:v>
                </c:pt>
                <c:pt idx="3">
                  <c:v>2003</c:v>
                </c:pt>
                <c:pt idx="4">
                  <c:v>2004</c:v>
                </c:pt>
                <c:pt idx="5">
                  <c:v>2005</c:v>
                </c:pt>
                <c:pt idx="6">
                  <c:v>2006</c:v>
                </c:pt>
              </c:numCache>
            </c:numRef>
          </c:cat>
          <c:val>
            <c:numRef>
              <c:f>'[14]SET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0C9F-4B3E-9453-8B565B8A626F}"/>
            </c:ext>
          </c:extLst>
        </c:ser>
        <c:dLbls>
          <c:showLegendKey val="0"/>
          <c:showVal val="0"/>
          <c:showCatName val="0"/>
          <c:showSerName val="0"/>
          <c:showPercent val="0"/>
          <c:showBubbleSize val="0"/>
        </c:dLbls>
        <c:smooth val="0"/>
        <c:axId val="-1618815344"/>
        <c:axId val="-1618830032"/>
      </c:lineChart>
      <c:catAx>
        <c:axId val="-1618815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1618830032"/>
        <c:crosses val="autoZero"/>
        <c:auto val="1"/>
        <c:lblAlgn val="ctr"/>
        <c:lblOffset val="100"/>
        <c:tickLblSkip val="1"/>
        <c:tickMarkSkip val="1"/>
        <c:noMultiLvlLbl val="0"/>
      </c:catAx>
      <c:valAx>
        <c:axId val="-1618830032"/>
        <c:scaling>
          <c:orientation val="minMax"/>
        </c:scaling>
        <c:delete val="0"/>
        <c:axPos val="l"/>
        <c:majorGridlines>
          <c:spPr>
            <a:ln w="3175">
              <a:solidFill>
                <a:srgbClr val="000000"/>
              </a:solidFill>
              <a:prstDash val="solid"/>
            </a:ln>
          </c:spPr>
        </c:majorGridlines>
        <c:title>
          <c:tx>
            <c:rich>
              <a:bodyPr/>
              <a:lstStyle/>
              <a:p>
                <a:pPr>
                  <a:defRPr lang="en-ZA" sz="275" b="1"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161881534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ZA"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83912248629124E-2"/>
          <c:y val="8.4253314489534964E-2"/>
          <c:w val="0.89670932358319377"/>
          <c:h val="0.77887879399690418"/>
        </c:manualLayout>
      </c:layout>
      <c:lineChart>
        <c:grouping val="standard"/>
        <c:varyColors val="0"/>
        <c:ser>
          <c:idx val="0"/>
          <c:order val="0"/>
          <c:spPr>
            <a:ln w="25400">
              <a:solidFill>
                <a:srgbClr val="FF6600"/>
              </a:solidFill>
            </a:ln>
          </c:spPr>
          <c:marker>
            <c:symbol val="square"/>
            <c:size val="5"/>
            <c:spPr>
              <a:solidFill>
                <a:srgbClr val="FF6600"/>
              </a:solidFill>
              <a:ln>
                <a:solidFill>
                  <a:srgbClr val="F79646">
                    <a:lumMod val="75000"/>
                  </a:srgbClr>
                </a:solidFill>
              </a:ln>
            </c:spPr>
          </c:marker>
          <c:cat>
            <c:strRef>
              <c:extLst>
                <c:ext xmlns:c15="http://schemas.microsoft.com/office/drawing/2012/chart" uri="{02D57815-91ED-43cb-92C2-25804820EDAC}">
                  <c15:fullRef>
                    <c15:sqref>'Pride in being SA'!$E$54:$V$54</c15:sqref>
                  </c15:fullRef>
                </c:ext>
              </c:extLst>
              <c:f>'Pride in being SA'!$L$54:$V$54</c:f>
              <c:strCache>
                <c:ptCount val="11"/>
                <c:pt idx="0">
                  <c:v>2010/11</c:v>
                </c:pt>
                <c:pt idx="1">
                  <c:v>2011/12</c:v>
                </c:pt>
                <c:pt idx="2">
                  <c:v>2012/13</c:v>
                </c:pt>
                <c:pt idx="3">
                  <c:v>2013/14</c:v>
                </c:pt>
                <c:pt idx="4">
                  <c:v>2014/15</c:v>
                </c:pt>
                <c:pt idx="5">
                  <c:v>2015/16</c:v>
                </c:pt>
                <c:pt idx="6">
                  <c:v>2016/17</c:v>
                </c:pt>
                <c:pt idx="7">
                  <c:v>2017/18</c:v>
                </c:pt>
                <c:pt idx="8">
                  <c:v>2018/19</c:v>
                </c:pt>
                <c:pt idx="9">
                  <c:v>2019/20</c:v>
                </c:pt>
                <c:pt idx="10">
                  <c:v>2021/22</c:v>
                </c:pt>
              </c:strCache>
            </c:strRef>
          </c:cat>
          <c:val>
            <c:numRef>
              <c:extLst>
                <c:ext xmlns:c15="http://schemas.microsoft.com/office/drawing/2012/chart" uri="{02D57815-91ED-43cb-92C2-25804820EDAC}">
                  <c15:fullRef>
                    <c15:sqref>'Pride in being SA'!$E$55:$V$55</c15:sqref>
                  </c15:fullRef>
                </c:ext>
              </c:extLst>
              <c:f>'Pride in being SA'!$L$55:$V$55</c:f>
              <c:numCache>
                <c:formatCode>General</c:formatCode>
                <c:ptCount val="11"/>
                <c:pt idx="0">
                  <c:v>90</c:v>
                </c:pt>
                <c:pt idx="1" formatCode="0">
                  <c:v>88.25</c:v>
                </c:pt>
                <c:pt idx="2">
                  <c:v>87</c:v>
                </c:pt>
                <c:pt idx="3" formatCode="0">
                  <c:v>88</c:v>
                </c:pt>
                <c:pt idx="4" formatCode="0">
                  <c:v>89</c:v>
                </c:pt>
                <c:pt idx="5" formatCode="0">
                  <c:v>85</c:v>
                </c:pt>
                <c:pt idx="6">
                  <c:v>88</c:v>
                </c:pt>
                <c:pt idx="7">
                  <c:v>81</c:v>
                </c:pt>
                <c:pt idx="8">
                  <c:v>83</c:v>
                </c:pt>
                <c:pt idx="9">
                  <c:v>81</c:v>
                </c:pt>
                <c:pt idx="10">
                  <c:v>76</c:v>
                </c:pt>
              </c:numCache>
            </c:numRef>
          </c:val>
          <c:smooth val="0"/>
          <c:extLst>
            <c:ext xmlns:c16="http://schemas.microsoft.com/office/drawing/2014/chart" uri="{C3380CC4-5D6E-409C-BE32-E72D297353CC}">
              <c16:uniqueId val="{00000000-BBE7-4A38-B594-EC3E392D5324}"/>
            </c:ext>
          </c:extLst>
        </c:ser>
        <c:dLbls>
          <c:showLegendKey val="0"/>
          <c:showVal val="0"/>
          <c:showCatName val="0"/>
          <c:showSerName val="0"/>
          <c:showPercent val="0"/>
          <c:showBubbleSize val="0"/>
        </c:dLbls>
        <c:marker val="1"/>
        <c:smooth val="0"/>
        <c:axId val="221211952"/>
        <c:axId val="221213520"/>
      </c:lineChart>
      <c:catAx>
        <c:axId val="22121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1213520"/>
        <c:crosses val="autoZero"/>
        <c:auto val="0"/>
        <c:lblAlgn val="ctr"/>
        <c:lblOffset val="100"/>
        <c:tickLblSkip val="1"/>
        <c:tickMarkSkip val="1"/>
        <c:noMultiLvlLbl val="0"/>
      </c:catAx>
      <c:valAx>
        <c:axId val="221213520"/>
        <c:scaling>
          <c:orientation val="minMax"/>
          <c:max val="100"/>
          <c:min val="50"/>
        </c:scaling>
        <c:delete val="0"/>
        <c:axPos val="l"/>
        <c:majorGridlines>
          <c:spPr>
            <a:ln w="3175">
              <a:solidFill>
                <a:srgbClr val="969696"/>
              </a:solidFill>
              <a:prstDash val="sysDash"/>
            </a:ln>
          </c:spPr>
        </c:majorGridlines>
        <c:title>
          <c:tx>
            <c:rich>
              <a:bodyPr/>
              <a:lstStyle/>
              <a:p>
                <a:pPr>
                  <a:defRPr sz="900" b="1" i="0" u="none" strike="noStrike" baseline="0">
                    <a:solidFill>
                      <a:srgbClr val="000000"/>
                    </a:solidFill>
                    <a:latin typeface="Arial"/>
                    <a:ea typeface="Arial"/>
                    <a:cs typeface="Arial"/>
                  </a:defRPr>
                </a:pPr>
                <a:r>
                  <a:rPr lang="en-ZA" sz="900"/>
                  <a:t>%</a:t>
                </a:r>
              </a:p>
            </c:rich>
          </c:tx>
          <c:layout>
            <c:manualLayout>
              <c:xMode val="edge"/>
              <c:yMode val="edge"/>
              <c:x val="2.1052675773846442E-2"/>
              <c:y val="0.50482301793281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1211952"/>
        <c:crosses val="autoZero"/>
        <c:crossBetween val="midCat"/>
        <c:majorUnit val="5"/>
      </c:valAx>
      <c:spPr>
        <a:solidFill>
          <a:schemeClr val="bg1"/>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611" r="0.75000000000000611" t="1" header="0.5" footer="0.5"/>
    <c:pageSetup paperSize="9" orientation="landscape" horizontalDpi="300" verticalDpi="30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472284956628"/>
          <c:y val="8.3945644326592836E-2"/>
          <c:w val="0.85364300392683468"/>
          <c:h val="0.7791864866506083"/>
        </c:manualLayout>
      </c:layout>
      <c:lineChart>
        <c:grouping val="standard"/>
        <c:varyColors val="0"/>
        <c:ser>
          <c:idx val="0"/>
          <c:order val="0"/>
          <c:spPr>
            <a:ln w="15875">
              <a:solidFill>
                <a:schemeClr val="accent6">
                  <a:lumMod val="75000"/>
                </a:schemeClr>
              </a:solidFill>
            </a:ln>
          </c:spPr>
          <c:marker>
            <c:symbol val="none"/>
          </c:marker>
          <c:cat>
            <c:strRef>
              <c:f>'Pride in being SA'!$E$54:$V$54</c:f>
              <c:strCache>
                <c:ptCount val="18"/>
                <c:pt idx="0">
                  <c:v>2003</c:v>
                </c:pt>
                <c:pt idx="1">
                  <c:v>2004</c:v>
                </c:pt>
                <c:pt idx="2">
                  <c:v>2005</c:v>
                </c:pt>
                <c:pt idx="3">
                  <c:v>2006</c:v>
                </c:pt>
                <c:pt idx="4">
                  <c:v>2007</c:v>
                </c:pt>
                <c:pt idx="5">
                  <c:v>2008</c:v>
                </c:pt>
                <c:pt idx="6">
                  <c:v>2009</c:v>
                </c:pt>
                <c:pt idx="7">
                  <c:v>2010/11</c:v>
                </c:pt>
                <c:pt idx="8">
                  <c:v>2011/12</c:v>
                </c:pt>
                <c:pt idx="9">
                  <c:v>2012/13</c:v>
                </c:pt>
                <c:pt idx="10">
                  <c:v>2013/14</c:v>
                </c:pt>
                <c:pt idx="11">
                  <c:v>2014/15</c:v>
                </c:pt>
                <c:pt idx="12">
                  <c:v>2015/16</c:v>
                </c:pt>
                <c:pt idx="13">
                  <c:v>2016/17</c:v>
                </c:pt>
                <c:pt idx="14">
                  <c:v>2017/18</c:v>
                </c:pt>
                <c:pt idx="15">
                  <c:v>2018/19</c:v>
                </c:pt>
                <c:pt idx="16">
                  <c:v>2019/20</c:v>
                </c:pt>
                <c:pt idx="17">
                  <c:v>2021/22</c:v>
                </c:pt>
              </c:strCache>
            </c:strRef>
          </c:cat>
          <c:val>
            <c:numRef>
              <c:f>'Pride in being SA'!$E$55:$V$55</c:f>
              <c:numCache>
                <c:formatCode>General</c:formatCode>
                <c:ptCount val="18"/>
                <c:pt idx="0">
                  <c:v>84</c:v>
                </c:pt>
                <c:pt idx="1">
                  <c:v>90</c:v>
                </c:pt>
                <c:pt idx="2">
                  <c:v>90</c:v>
                </c:pt>
                <c:pt idx="3">
                  <c:v>90</c:v>
                </c:pt>
                <c:pt idx="4">
                  <c:v>78</c:v>
                </c:pt>
                <c:pt idx="5">
                  <c:v>65</c:v>
                </c:pt>
                <c:pt idx="6">
                  <c:v>75</c:v>
                </c:pt>
                <c:pt idx="7">
                  <c:v>90</c:v>
                </c:pt>
                <c:pt idx="8" formatCode="0">
                  <c:v>88.25</c:v>
                </c:pt>
                <c:pt idx="9">
                  <c:v>87</c:v>
                </c:pt>
                <c:pt idx="10" formatCode="0">
                  <c:v>88</c:v>
                </c:pt>
                <c:pt idx="11" formatCode="0">
                  <c:v>89</c:v>
                </c:pt>
                <c:pt idx="12" formatCode="0">
                  <c:v>85</c:v>
                </c:pt>
                <c:pt idx="13">
                  <c:v>88</c:v>
                </c:pt>
                <c:pt idx="14">
                  <c:v>81</c:v>
                </c:pt>
                <c:pt idx="15">
                  <c:v>83</c:v>
                </c:pt>
                <c:pt idx="16">
                  <c:v>81</c:v>
                </c:pt>
                <c:pt idx="17">
                  <c:v>76</c:v>
                </c:pt>
              </c:numCache>
            </c:numRef>
          </c:val>
          <c:smooth val="0"/>
          <c:extLst>
            <c:ext xmlns:c16="http://schemas.microsoft.com/office/drawing/2014/chart" uri="{C3380CC4-5D6E-409C-BE32-E72D297353CC}">
              <c16:uniqueId val="{00000000-E906-4D52-881B-96CA9DB74A86}"/>
            </c:ext>
          </c:extLst>
        </c:ser>
        <c:dLbls>
          <c:showLegendKey val="0"/>
          <c:showVal val="0"/>
          <c:showCatName val="0"/>
          <c:showSerName val="0"/>
          <c:showPercent val="0"/>
          <c:showBubbleSize val="0"/>
        </c:dLbls>
        <c:smooth val="0"/>
        <c:axId val="221215872"/>
        <c:axId val="221209600"/>
      </c:lineChart>
      <c:catAx>
        <c:axId val="221215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221209600"/>
        <c:crosses val="autoZero"/>
        <c:auto val="0"/>
        <c:lblAlgn val="ctr"/>
        <c:lblOffset val="100"/>
        <c:tickLblSkip val="1"/>
        <c:tickMarkSkip val="1"/>
        <c:noMultiLvlLbl val="0"/>
      </c:catAx>
      <c:valAx>
        <c:axId val="221209600"/>
        <c:scaling>
          <c:orientation val="minMax"/>
          <c:max val="100"/>
          <c:min val="50"/>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2.1052675773846442E-2"/>
              <c:y val="0.50482301793281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221215872"/>
        <c:crosses val="autoZero"/>
        <c:crossBetween val="midCat"/>
        <c:majorUnit val="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oddHeader>&amp;A</c:oddHeader>
      <c:oddFooter>Page &amp;P</c:oddFooter>
    </c:headerFooter>
    <c:pageMargins b="1" l="0.75000000000000611" r="0.75000000000000611" t="1" header="0.5" footer="0.5"/>
    <c:pageSetup paperSize="9" orientation="landscape" horizontalDpi="300" verticalDpi="30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COUNTRY GOING IN THE RIGHT DIRECTION</a:t>
            </a:r>
          </a:p>
        </c:rich>
      </c:tx>
      <c:layout>
        <c:manualLayout>
          <c:xMode val="edge"/>
          <c:yMode val="edge"/>
          <c:x val="6.5252854812398092E-2"/>
          <c:y val="2.0618556701030927E-2"/>
        </c:manualLayout>
      </c:layout>
      <c:overlay val="0"/>
      <c:spPr>
        <a:noFill/>
        <a:ln w="25400">
          <a:noFill/>
        </a:ln>
      </c:spPr>
    </c:title>
    <c:autoTitleDeleted val="0"/>
    <c:plotArea>
      <c:layout>
        <c:manualLayout>
          <c:layoutTarget val="inner"/>
          <c:xMode val="edge"/>
          <c:yMode val="edge"/>
          <c:x val="9.0896829940600429E-2"/>
          <c:y val="0.15191568343676667"/>
          <c:w val="0.88611576797112945"/>
          <c:h val="0.58435074120407837"/>
        </c:manualLayout>
      </c:layout>
      <c:lineChart>
        <c:grouping val="standard"/>
        <c:varyColors val="0"/>
        <c:ser>
          <c:idx val="0"/>
          <c:order val="0"/>
          <c:tx>
            <c:strRef>
              <c:f>'Country direction'!$D$9</c:f>
              <c:strCache>
                <c:ptCount val="1"/>
                <c:pt idx="0">
                  <c:v>1994-1999</c:v>
                </c:pt>
              </c:strCache>
            </c:strRef>
          </c:tx>
          <c:spPr>
            <a:ln w="25400">
              <a:solidFill>
                <a:srgbClr val="FF66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direction'!$E$9:$N$9</c:f>
              <c:numCache>
                <c:formatCode>#.0</c:formatCode>
                <c:ptCount val="10"/>
                <c:pt idx="0">
                  <c:v>76</c:v>
                </c:pt>
                <c:pt idx="1">
                  <c:v>62</c:v>
                </c:pt>
                <c:pt idx="2">
                  <c:v>49</c:v>
                </c:pt>
                <c:pt idx="3">
                  <c:v>66</c:v>
                </c:pt>
                <c:pt idx="4">
                  <c:v>57</c:v>
                </c:pt>
                <c:pt idx="5">
                  <c:v>56</c:v>
                </c:pt>
                <c:pt idx="8">
                  <c:v>43</c:v>
                </c:pt>
                <c:pt idx="9">
                  <c:v>48</c:v>
                </c:pt>
              </c:numCache>
            </c:numRef>
          </c:val>
          <c:smooth val="0"/>
          <c:extLst>
            <c:ext xmlns:c16="http://schemas.microsoft.com/office/drawing/2014/chart" uri="{C3380CC4-5D6E-409C-BE32-E72D297353CC}">
              <c16:uniqueId val="{00000000-C6A3-4EE8-B14C-4D4BC4066327}"/>
            </c:ext>
          </c:extLst>
        </c:ser>
        <c:ser>
          <c:idx val="1"/>
          <c:order val="1"/>
          <c:tx>
            <c:strRef>
              <c:f>'Country direction'!$D$10</c:f>
              <c:strCache>
                <c:ptCount val="1"/>
                <c:pt idx="0">
                  <c:v>1999-2004</c:v>
                </c:pt>
              </c:strCache>
            </c:strRef>
          </c:tx>
          <c:spPr>
            <a:ln w="25400">
              <a:solidFill>
                <a:srgbClr val="BE4B48"/>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direction'!$E$10:$N$10</c:f>
              <c:numCache>
                <c:formatCode>#.0</c:formatCode>
                <c:ptCount val="10"/>
                <c:pt idx="0">
                  <c:v>66</c:v>
                </c:pt>
                <c:pt idx="1">
                  <c:v>60</c:v>
                </c:pt>
                <c:pt idx="2">
                  <c:v>56</c:v>
                </c:pt>
                <c:pt idx="3">
                  <c:v>41</c:v>
                </c:pt>
                <c:pt idx="4">
                  <c:v>48.8</c:v>
                </c:pt>
                <c:pt idx="5">
                  <c:v>47.5</c:v>
                </c:pt>
                <c:pt idx="6">
                  <c:v>42.8</c:v>
                </c:pt>
                <c:pt idx="7">
                  <c:v>47.8</c:v>
                </c:pt>
                <c:pt idx="8">
                  <c:v>51.8</c:v>
                </c:pt>
                <c:pt idx="9">
                  <c:v>54</c:v>
                </c:pt>
              </c:numCache>
            </c:numRef>
          </c:val>
          <c:smooth val="0"/>
          <c:extLst>
            <c:ext xmlns:c16="http://schemas.microsoft.com/office/drawing/2014/chart" uri="{C3380CC4-5D6E-409C-BE32-E72D297353CC}">
              <c16:uniqueId val="{00000001-C6A3-4EE8-B14C-4D4BC4066327}"/>
            </c:ext>
          </c:extLst>
        </c:ser>
        <c:ser>
          <c:idx val="2"/>
          <c:order val="2"/>
          <c:tx>
            <c:strRef>
              <c:f>'Country direction'!$D$11</c:f>
              <c:strCache>
                <c:ptCount val="1"/>
                <c:pt idx="0">
                  <c:v>2004-2009</c:v>
                </c:pt>
              </c:strCache>
            </c:strRef>
          </c:tx>
          <c:spPr>
            <a:ln w="25400">
              <a:solidFill>
                <a:srgbClr val="FFC6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direction'!$E$11:$N$11</c:f>
              <c:numCache>
                <c:formatCode>#.0</c:formatCode>
                <c:ptCount val="10"/>
                <c:pt idx="0">
                  <c:v>73.5</c:v>
                </c:pt>
                <c:pt idx="1">
                  <c:v>67.599999999999994</c:v>
                </c:pt>
                <c:pt idx="2">
                  <c:v>67.5</c:v>
                </c:pt>
                <c:pt idx="3">
                  <c:v>65</c:v>
                </c:pt>
                <c:pt idx="4">
                  <c:v>69</c:v>
                </c:pt>
                <c:pt idx="5">
                  <c:v>50.5</c:v>
                </c:pt>
                <c:pt idx="6" formatCode="General">
                  <c:v>59.6</c:v>
                </c:pt>
                <c:pt idx="7">
                  <c:v>54.3</c:v>
                </c:pt>
                <c:pt idx="8">
                  <c:v>45.5</c:v>
                </c:pt>
                <c:pt idx="9">
                  <c:v>38.4</c:v>
                </c:pt>
              </c:numCache>
            </c:numRef>
          </c:val>
          <c:smooth val="0"/>
          <c:extLst>
            <c:ext xmlns:c16="http://schemas.microsoft.com/office/drawing/2014/chart" uri="{C3380CC4-5D6E-409C-BE32-E72D297353CC}">
              <c16:uniqueId val="{00000002-C6A3-4EE8-B14C-4D4BC4066327}"/>
            </c:ext>
          </c:extLst>
        </c:ser>
        <c:ser>
          <c:idx val="3"/>
          <c:order val="3"/>
          <c:tx>
            <c:strRef>
              <c:f>'Country direction'!$D$12</c:f>
              <c:strCache>
                <c:ptCount val="1"/>
                <c:pt idx="0">
                  <c:v>2009-2014</c:v>
                </c:pt>
              </c:strCache>
            </c:strRef>
          </c:tx>
          <c:spPr>
            <a:ln w="25400">
              <a:solidFill>
                <a:srgbClr val="00B05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direction'!$E$12:$N$12</c:f>
              <c:numCache>
                <c:formatCode>#.0</c:formatCode>
                <c:ptCount val="10"/>
                <c:pt idx="0">
                  <c:v>42.8</c:v>
                </c:pt>
                <c:pt idx="1">
                  <c:v>56.4</c:v>
                </c:pt>
                <c:pt idx="2">
                  <c:v>55.3</c:v>
                </c:pt>
                <c:pt idx="3">
                  <c:v>50</c:v>
                </c:pt>
                <c:pt idx="4">
                  <c:v>51</c:v>
                </c:pt>
                <c:pt idx="5">
                  <c:v>45.1</c:v>
                </c:pt>
                <c:pt idx="6">
                  <c:v>46.1</c:v>
                </c:pt>
                <c:pt idx="7">
                  <c:v>38.200000000000003</c:v>
                </c:pt>
                <c:pt idx="8">
                  <c:v>37.6</c:v>
                </c:pt>
                <c:pt idx="9">
                  <c:v>33.6</c:v>
                </c:pt>
              </c:numCache>
            </c:numRef>
          </c:val>
          <c:smooth val="0"/>
          <c:extLst>
            <c:ext xmlns:c16="http://schemas.microsoft.com/office/drawing/2014/chart" uri="{C3380CC4-5D6E-409C-BE32-E72D297353CC}">
              <c16:uniqueId val="{00000003-C6A3-4EE8-B14C-4D4BC4066327}"/>
            </c:ext>
          </c:extLst>
        </c:ser>
        <c:ser>
          <c:idx val="4"/>
          <c:order val="4"/>
          <c:tx>
            <c:strRef>
              <c:f>'Country direction'!$D$13</c:f>
              <c:strCache>
                <c:ptCount val="1"/>
                <c:pt idx="0">
                  <c:v>2014-2019</c:v>
                </c:pt>
              </c:strCache>
            </c:strRef>
          </c:tx>
          <c:spPr>
            <a:ln>
              <a:solidFill>
                <a:srgbClr val="3D96AE"/>
              </a:solidFill>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direction'!$E$13:$N$13</c:f>
              <c:numCache>
                <c:formatCode>#.0</c:formatCode>
                <c:ptCount val="10"/>
                <c:pt idx="0">
                  <c:v>40.799999999999997</c:v>
                </c:pt>
                <c:pt idx="1">
                  <c:v>42</c:v>
                </c:pt>
                <c:pt idx="2">
                  <c:v>44</c:v>
                </c:pt>
                <c:pt idx="3">
                  <c:v>40</c:v>
                </c:pt>
                <c:pt idx="4">
                  <c:v>28</c:v>
                </c:pt>
                <c:pt idx="5">
                  <c:v>31</c:v>
                </c:pt>
                <c:pt idx="6">
                  <c:v>20</c:v>
                </c:pt>
                <c:pt idx="7">
                  <c:v>26</c:v>
                </c:pt>
                <c:pt idx="8">
                  <c:v>27</c:v>
                </c:pt>
                <c:pt idx="9">
                  <c:v>27</c:v>
                </c:pt>
              </c:numCache>
            </c:numRef>
          </c:val>
          <c:smooth val="0"/>
          <c:extLst>
            <c:ext xmlns:c16="http://schemas.microsoft.com/office/drawing/2014/chart" uri="{C3380CC4-5D6E-409C-BE32-E72D297353CC}">
              <c16:uniqueId val="{00000004-C6A3-4EE8-B14C-4D4BC4066327}"/>
            </c:ext>
          </c:extLst>
        </c:ser>
        <c:ser>
          <c:idx val="5"/>
          <c:order val="5"/>
          <c:tx>
            <c:strRef>
              <c:f>'Country direction'!$D$14</c:f>
              <c:strCache>
                <c:ptCount val="1"/>
                <c:pt idx="0">
                  <c:v>2019-2024</c:v>
                </c:pt>
              </c:strCache>
            </c:strRef>
          </c:tx>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direction'!$E$14:$N$14</c:f>
              <c:numCache>
                <c:formatCode>#.0</c:formatCode>
                <c:ptCount val="10"/>
                <c:pt idx="0">
                  <c:v>23.5</c:v>
                </c:pt>
                <c:pt idx="1">
                  <c:v>26.2</c:v>
                </c:pt>
                <c:pt idx="2">
                  <c:v>28</c:v>
                </c:pt>
                <c:pt idx="5">
                  <c:v>18</c:v>
                </c:pt>
                <c:pt idx="6">
                  <c:v>11</c:v>
                </c:pt>
                <c:pt idx="7">
                  <c:v>17</c:v>
                </c:pt>
              </c:numCache>
            </c:numRef>
          </c:val>
          <c:smooth val="0"/>
          <c:extLst>
            <c:ext xmlns:c16="http://schemas.microsoft.com/office/drawing/2014/chart" uri="{C3380CC4-5D6E-409C-BE32-E72D297353CC}">
              <c16:uniqueId val="{00000000-5D66-4274-9E5E-A8E6312FC73A}"/>
            </c:ext>
          </c:extLst>
        </c:ser>
        <c:dLbls>
          <c:showLegendKey val="0"/>
          <c:showVal val="0"/>
          <c:showCatName val="0"/>
          <c:showSerName val="0"/>
          <c:showPercent val="0"/>
          <c:showBubbleSize val="0"/>
        </c:dLbls>
        <c:smooth val="0"/>
        <c:axId val="206594224"/>
        <c:axId val="206593440"/>
      </c:lineChart>
      <c:catAx>
        <c:axId val="206594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6593440"/>
        <c:crosses val="autoZero"/>
        <c:auto val="1"/>
        <c:lblAlgn val="ctr"/>
        <c:lblOffset val="100"/>
        <c:tickLblSkip val="2"/>
        <c:tickMarkSkip val="1"/>
        <c:noMultiLvlLbl val="0"/>
      </c:catAx>
      <c:valAx>
        <c:axId val="206593440"/>
        <c:scaling>
          <c:orientation val="minMax"/>
          <c:min val="10"/>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1.4707405134840704E-2"/>
              <c:y val="0.43986394224086472"/>
            </c:manualLayout>
          </c:layout>
          <c:overlay val="0"/>
          <c:spPr>
            <a:noFill/>
            <a:ln w="25400">
              <a:noFill/>
            </a:ln>
          </c:spPr>
        </c:title>
        <c:numFmt formatCode="#"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6594224"/>
        <c:crosses val="autoZero"/>
        <c:crossBetween val="between"/>
        <c:majorUnit val="10"/>
      </c:valAx>
      <c:spPr>
        <a:solidFill>
          <a:srgbClr val="FFFFFF"/>
        </a:solidFill>
        <a:ln w="25400">
          <a:noFill/>
        </a:ln>
      </c:spPr>
    </c:plotArea>
    <c:legend>
      <c:legendPos val="r"/>
      <c:layout>
        <c:manualLayout>
          <c:xMode val="edge"/>
          <c:yMode val="edge"/>
          <c:x val="1.8596454178859828E-2"/>
          <c:y val="0.90934366849003689"/>
          <c:w val="0.12009871048727605"/>
          <c:h val="9.065633150996312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horizontalDpi="0" verticalDpi="0"/>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32837609801059"/>
          <c:y val="9.0515232625624761E-2"/>
          <c:w val="0.85568433669123856"/>
          <c:h val="0.64575114991814142"/>
        </c:manualLayout>
      </c:layout>
      <c:lineChart>
        <c:grouping val="standard"/>
        <c:varyColors val="0"/>
        <c:ser>
          <c:idx val="0"/>
          <c:order val="0"/>
          <c:tx>
            <c:strRef>
              <c:f>'Country direction'!$D$9</c:f>
              <c:strCache>
                <c:ptCount val="1"/>
                <c:pt idx="0">
                  <c:v>1994-1999</c:v>
                </c:pt>
              </c:strCache>
            </c:strRef>
          </c:tx>
          <c:spPr>
            <a:ln w="15875">
              <a:solidFill>
                <a:srgbClr val="9933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direction'!$E$9:$N$9</c:f>
              <c:numCache>
                <c:formatCode>#.0</c:formatCode>
                <c:ptCount val="10"/>
                <c:pt idx="0">
                  <c:v>76</c:v>
                </c:pt>
                <c:pt idx="1">
                  <c:v>62</c:v>
                </c:pt>
                <c:pt idx="2">
                  <c:v>49</c:v>
                </c:pt>
                <c:pt idx="3">
                  <c:v>66</c:v>
                </c:pt>
                <c:pt idx="4">
                  <c:v>57</c:v>
                </c:pt>
                <c:pt idx="5">
                  <c:v>56</c:v>
                </c:pt>
                <c:pt idx="8">
                  <c:v>43</c:v>
                </c:pt>
                <c:pt idx="9">
                  <c:v>48</c:v>
                </c:pt>
              </c:numCache>
            </c:numRef>
          </c:val>
          <c:smooth val="0"/>
          <c:extLst>
            <c:ext xmlns:c16="http://schemas.microsoft.com/office/drawing/2014/chart" uri="{C3380CC4-5D6E-409C-BE32-E72D297353CC}">
              <c16:uniqueId val="{00000000-341C-461F-A8F5-F5E20ECB0BA8}"/>
            </c:ext>
          </c:extLst>
        </c:ser>
        <c:ser>
          <c:idx val="1"/>
          <c:order val="1"/>
          <c:tx>
            <c:strRef>
              <c:f>'Country direction'!$D$10</c:f>
              <c:strCache>
                <c:ptCount val="1"/>
                <c:pt idx="0">
                  <c:v>1999-2004</c:v>
                </c:pt>
              </c:strCache>
            </c:strRef>
          </c:tx>
          <c:spPr>
            <a:ln w="15875">
              <a:solidFill>
                <a:srgbClr val="FF66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direction'!$E$10:$N$10</c:f>
              <c:numCache>
                <c:formatCode>#.0</c:formatCode>
                <c:ptCount val="10"/>
                <c:pt idx="0">
                  <c:v>66</c:v>
                </c:pt>
                <c:pt idx="1">
                  <c:v>60</c:v>
                </c:pt>
                <c:pt idx="2">
                  <c:v>56</c:v>
                </c:pt>
                <c:pt idx="3">
                  <c:v>41</c:v>
                </c:pt>
                <c:pt idx="4">
                  <c:v>48.8</c:v>
                </c:pt>
                <c:pt idx="5">
                  <c:v>47.5</c:v>
                </c:pt>
                <c:pt idx="6">
                  <c:v>42.8</c:v>
                </c:pt>
                <c:pt idx="7">
                  <c:v>47.8</c:v>
                </c:pt>
                <c:pt idx="8">
                  <c:v>51.8</c:v>
                </c:pt>
                <c:pt idx="9">
                  <c:v>54</c:v>
                </c:pt>
              </c:numCache>
            </c:numRef>
          </c:val>
          <c:smooth val="0"/>
          <c:extLst>
            <c:ext xmlns:c16="http://schemas.microsoft.com/office/drawing/2014/chart" uri="{C3380CC4-5D6E-409C-BE32-E72D297353CC}">
              <c16:uniqueId val="{00000001-341C-461F-A8F5-F5E20ECB0BA8}"/>
            </c:ext>
          </c:extLst>
        </c:ser>
        <c:ser>
          <c:idx val="2"/>
          <c:order val="2"/>
          <c:tx>
            <c:strRef>
              <c:f>'Country direction'!$D$11</c:f>
              <c:strCache>
                <c:ptCount val="1"/>
                <c:pt idx="0">
                  <c:v>2004-2009</c:v>
                </c:pt>
              </c:strCache>
            </c:strRef>
          </c:tx>
          <c:spPr>
            <a:ln w="15875">
              <a:solidFill>
                <a:srgbClr val="8080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direction'!$E$11:$N$11</c:f>
              <c:numCache>
                <c:formatCode>#.0</c:formatCode>
                <c:ptCount val="10"/>
                <c:pt idx="0">
                  <c:v>73.5</c:v>
                </c:pt>
                <c:pt idx="1">
                  <c:v>67.599999999999994</c:v>
                </c:pt>
                <c:pt idx="2">
                  <c:v>67.5</c:v>
                </c:pt>
                <c:pt idx="3">
                  <c:v>65</c:v>
                </c:pt>
                <c:pt idx="4">
                  <c:v>69</c:v>
                </c:pt>
                <c:pt idx="5">
                  <c:v>50.5</c:v>
                </c:pt>
                <c:pt idx="6" formatCode="General">
                  <c:v>59.6</c:v>
                </c:pt>
                <c:pt idx="7">
                  <c:v>54.3</c:v>
                </c:pt>
                <c:pt idx="8">
                  <c:v>45.5</c:v>
                </c:pt>
                <c:pt idx="9">
                  <c:v>38.4</c:v>
                </c:pt>
              </c:numCache>
            </c:numRef>
          </c:val>
          <c:smooth val="0"/>
          <c:extLst>
            <c:ext xmlns:c16="http://schemas.microsoft.com/office/drawing/2014/chart" uri="{C3380CC4-5D6E-409C-BE32-E72D297353CC}">
              <c16:uniqueId val="{00000002-341C-461F-A8F5-F5E20ECB0BA8}"/>
            </c:ext>
          </c:extLst>
        </c:ser>
        <c:ser>
          <c:idx val="3"/>
          <c:order val="3"/>
          <c:tx>
            <c:strRef>
              <c:f>'Country direction'!$D$12</c:f>
              <c:strCache>
                <c:ptCount val="1"/>
                <c:pt idx="0">
                  <c:v>2009-2014</c:v>
                </c:pt>
              </c:strCache>
            </c:strRef>
          </c:tx>
          <c:spPr>
            <a:ln w="15875">
              <a:solidFill>
                <a:srgbClr val="FFC0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direction'!$E$12:$N$12</c:f>
              <c:numCache>
                <c:formatCode>#.0</c:formatCode>
                <c:ptCount val="10"/>
                <c:pt idx="0">
                  <c:v>42.8</c:v>
                </c:pt>
                <c:pt idx="1">
                  <c:v>56.4</c:v>
                </c:pt>
                <c:pt idx="2">
                  <c:v>55.3</c:v>
                </c:pt>
                <c:pt idx="3">
                  <c:v>50</c:v>
                </c:pt>
                <c:pt idx="4">
                  <c:v>51</c:v>
                </c:pt>
                <c:pt idx="5">
                  <c:v>45.1</c:v>
                </c:pt>
                <c:pt idx="6">
                  <c:v>46.1</c:v>
                </c:pt>
                <c:pt idx="7">
                  <c:v>38.200000000000003</c:v>
                </c:pt>
                <c:pt idx="8">
                  <c:v>37.6</c:v>
                </c:pt>
                <c:pt idx="9">
                  <c:v>33.6</c:v>
                </c:pt>
              </c:numCache>
            </c:numRef>
          </c:val>
          <c:smooth val="0"/>
          <c:extLst>
            <c:ext xmlns:c16="http://schemas.microsoft.com/office/drawing/2014/chart" uri="{C3380CC4-5D6E-409C-BE32-E72D297353CC}">
              <c16:uniqueId val="{00000003-341C-461F-A8F5-F5E20ECB0BA8}"/>
            </c:ext>
          </c:extLst>
        </c:ser>
        <c:ser>
          <c:idx val="4"/>
          <c:order val="4"/>
          <c:tx>
            <c:strRef>
              <c:f>'Country direction'!$D$13</c:f>
              <c:strCache>
                <c:ptCount val="1"/>
                <c:pt idx="0">
                  <c:v>2014-2019</c:v>
                </c:pt>
              </c:strCache>
            </c:strRef>
          </c:tx>
          <c:spPr>
            <a:ln w="15875"/>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direction'!$E$13:$N$13</c:f>
              <c:numCache>
                <c:formatCode>#.0</c:formatCode>
                <c:ptCount val="10"/>
                <c:pt idx="0">
                  <c:v>40.799999999999997</c:v>
                </c:pt>
                <c:pt idx="1">
                  <c:v>42</c:v>
                </c:pt>
                <c:pt idx="2">
                  <c:v>44</c:v>
                </c:pt>
                <c:pt idx="3">
                  <c:v>40</c:v>
                </c:pt>
                <c:pt idx="4">
                  <c:v>28</c:v>
                </c:pt>
                <c:pt idx="5">
                  <c:v>31</c:v>
                </c:pt>
                <c:pt idx="6">
                  <c:v>20</c:v>
                </c:pt>
                <c:pt idx="7">
                  <c:v>26</c:v>
                </c:pt>
                <c:pt idx="8">
                  <c:v>27</c:v>
                </c:pt>
                <c:pt idx="9">
                  <c:v>27</c:v>
                </c:pt>
              </c:numCache>
            </c:numRef>
          </c:val>
          <c:smooth val="0"/>
          <c:extLst>
            <c:ext xmlns:c16="http://schemas.microsoft.com/office/drawing/2014/chart" uri="{C3380CC4-5D6E-409C-BE32-E72D297353CC}">
              <c16:uniqueId val="{00000004-341C-461F-A8F5-F5E20ECB0BA8}"/>
            </c:ext>
          </c:extLst>
        </c:ser>
        <c:dLbls>
          <c:showLegendKey val="0"/>
          <c:showVal val="0"/>
          <c:showCatName val="0"/>
          <c:showSerName val="0"/>
          <c:showPercent val="0"/>
          <c:showBubbleSize val="0"/>
        </c:dLbls>
        <c:smooth val="0"/>
        <c:axId val="206598144"/>
        <c:axId val="206591088"/>
      </c:lineChart>
      <c:catAx>
        <c:axId val="206598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206591088"/>
        <c:crosses val="autoZero"/>
        <c:auto val="1"/>
        <c:lblAlgn val="ctr"/>
        <c:lblOffset val="100"/>
        <c:tickLblSkip val="2"/>
        <c:tickMarkSkip val="1"/>
        <c:noMultiLvlLbl val="0"/>
      </c:catAx>
      <c:valAx>
        <c:axId val="206591088"/>
        <c:scaling>
          <c:orientation val="minMax"/>
          <c:min val="30"/>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5.3833605220229001E-2"/>
              <c:y val="0.43986398607390964"/>
            </c:manualLayout>
          </c:layout>
          <c:overlay val="0"/>
          <c:spPr>
            <a:noFill/>
            <a:ln w="25400">
              <a:noFill/>
            </a:ln>
          </c:spPr>
        </c:title>
        <c:numFmt formatCode="#" sourceLinked="0"/>
        <c:majorTickMark val="out"/>
        <c:minorTickMark val="none"/>
        <c:tickLblPos val="nextTo"/>
        <c:spPr>
          <a:ln w="3175">
            <a:solidFill>
              <a:srgbClr val="000000"/>
            </a:solidFill>
            <a:prstDash val="solid"/>
          </a:ln>
        </c:spPr>
        <c:txPr>
          <a:bodyPr rot="0" vert="horz"/>
          <a:lstStyle/>
          <a:p>
            <a:pPr>
              <a:defRPr/>
            </a:pPr>
            <a:endParaRPr lang="en-US"/>
          </a:p>
        </c:txPr>
        <c:crossAx val="206598144"/>
        <c:crosses val="autoZero"/>
        <c:crossBetween val="between"/>
        <c:majorUnit val="10"/>
      </c:valAx>
      <c:spPr>
        <a:solidFill>
          <a:srgbClr val="FFFFFF"/>
        </a:solidFill>
        <a:ln w="25400">
          <a:noFill/>
        </a:ln>
      </c:spPr>
    </c:plotArea>
    <c:legend>
      <c:legendPos val="r"/>
      <c:layout>
        <c:manualLayout>
          <c:xMode val="edge"/>
          <c:yMode val="edge"/>
          <c:x val="1.8596454178859828E-2"/>
          <c:y val="0.90934366849003689"/>
          <c:w val="0.97047579301629439"/>
          <c:h val="9.0656167979002625E-2"/>
        </c:manualLayout>
      </c:layout>
      <c:overlay val="0"/>
      <c:spPr>
        <a:solidFill>
          <a:srgbClr val="FFFFFF"/>
        </a:solidFill>
        <a:ln w="3175">
          <a:noFill/>
          <a:prstDash val="solid"/>
        </a:ln>
      </c:spPr>
    </c:legend>
    <c:plotVisOnly val="1"/>
    <c:dispBlanksAs val="gap"/>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544" r="0.75000000000000544" t="1" header="0.5" footer="0.5"/>
    <c:pageSetup orientation="landscape" horizontalDpi="0" verticalDpi="0"/>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ZA"/>
              <a:t>SELF-DESCRIPTION</a:t>
            </a:r>
          </a:p>
        </c:rich>
      </c:tx>
      <c:layout>
        <c:manualLayout>
          <c:xMode val="edge"/>
          <c:yMode val="edge"/>
          <c:x val="8.2456303417384802E-2"/>
          <c:y val="3.3557046979865786E-2"/>
        </c:manualLayout>
      </c:layout>
      <c:overlay val="0"/>
      <c:spPr>
        <a:noFill/>
        <a:ln w="25400">
          <a:noFill/>
        </a:ln>
      </c:spPr>
    </c:title>
    <c:autoTitleDeleted val="0"/>
    <c:plotArea>
      <c:layout>
        <c:manualLayout>
          <c:layoutTarget val="inner"/>
          <c:xMode val="edge"/>
          <c:yMode val="edge"/>
          <c:x val="0.10381092516437385"/>
          <c:y val="0.19571128841017818"/>
          <c:w val="0.87122333397443075"/>
          <c:h val="0.54423824037350665"/>
        </c:manualLayout>
      </c:layout>
      <c:barChart>
        <c:barDir val="col"/>
        <c:grouping val="percentStacked"/>
        <c:varyColors val="0"/>
        <c:ser>
          <c:idx val="0"/>
          <c:order val="0"/>
          <c:tx>
            <c:strRef>
              <c:f>'Self description'!$D$9</c:f>
              <c:strCache>
                <c:ptCount val="1"/>
                <c:pt idx="0">
                  <c:v>As an African</c:v>
                </c:pt>
              </c:strCache>
            </c:strRef>
          </c:tx>
          <c:spPr>
            <a:solidFill>
              <a:srgbClr val="FCD5B5"/>
            </a:solidFill>
            <a:ln w="12700">
              <a:noFill/>
              <a:prstDash val="solid"/>
            </a:ln>
          </c:spPr>
          <c:invertIfNegative val="0"/>
          <c:cat>
            <c:strRef>
              <c:extLst>
                <c:ext xmlns:c15="http://schemas.microsoft.com/office/drawing/2012/chart" uri="{02D57815-91ED-43cb-92C2-25804820EDAC}">
                  <c15:fullRef>
                    <c15:sqref>'Self description'!$E$8:$R$8</c15:sqref>
                  </c15:fullRef>
                </c:ext>
              </c:extLst>
              <c:f>'Self description'!$J$8:$R$8</c:f>
              <c:strCache>
                <c:ptCount val="9"/>
                <c:pt idx="0">
                  <c:v>2011</c:v>
                </c:pt>
                <c:pt idx="1">
                  <c:v>2012</c:v>
                </c:pt>
                <c:pt idx="2">
                  <c:v>2014</c:v>
                </c:pt>
                <c:pt idx="3">
                  <c:v>2015</c:v>
                </c:pt>
                <c:pt idx="4">
                  <c:v>2016</c:v>
                </c:pt>
                <c:pt idx="5">
                  <c:v>2017/18</c:v>
                </c:pt>
                <c:pt idx="6">
                  <c:v>2018/19</c:v>
                </c:pt>
                <c:pt idx="7">
                  <c:v>2019/20</c:v>
                </c:pt>
                <c:pt idx="8">
                  <c:v>2020/21</c:v>
                </c:pt>
              </c:strCache>
            </c:strRef>
          </c:cat>
          <c:val>
            <c:numRef>
              <c:extLst>
                <c:ext xmlns:c15="http://schemas.microsoft.com/office/drawing/2012/chart" uri="{02D57815-91ED-43cb-92C2-25804820EDAC}">
                  <c15:fullRef>
                    <c15:sqref>'Self description'!$E$9:$R$9</c15:sqref>
                  </c15:fullRef>
                </c:ext>
              </c:extLst>
              <c:f>'Self description'!$J$9:$R$9</c:f>
              <c:numCache>
                <c:formatCode>General</c:formatCode>
                <c:ptCount val="9"/>
                <c:pt idx="0">
                  <c:v>30.8</c:v>
                </c:pt>
                <c:pt idx="1">
                  <c:v>29.1</c:v>
                </c:pt>
                <c:pt idx="2">
                  <c:v>30</c:v>
                </c:pt>
                <c:pt idx="3">
                  <c:v>29</c:v>
                </c:pt>
                <c:pt idx="4">
                  <c:v>27.8</c:v>
                </c:pt>
                <c:pt idx="5">
                  <c:v>26</c:v>
                </c:pt>
                <c:pt idx="6">
                  <c:v>29.5</c:v>
                </c:pt>
                <c:pt idx="7">
                  <c:v>29.4</c:v>
                </c:pt>
                <c:pt idx="8">
                  <c:v>35.4</c:v>
                </c:pt>
              </c:numCache>
            </c:numRef>
          </c:val>
          <c:extLst>
            <c:ext xmlns:c16="http://schemas.microsoft.com/office/drawing/2014/chart" uri="{C3380CC4-5D6E-409C-BE32-E72D297353CC}">
              <c16:uniqueId val="{00000000-9F04-407D-A81B-08B583A03B41}"/>
            </c:ext>
          </c:extLst>
        </c:ser>
        <c:ser>
          <c:idx val="1"/>
          <c:order val="1"/>
          <c:tx>
            <c:strRef>
              <c:f>'Self description'!$D$10</c:f>
              <c:strCache>
                <c:ptCount val="1"/>
                <c:pt idx="0">
                  <c:v>As South African</c:v>
                </c:pt>
              </c:strCache>
            </c:strRef>
          </c:tx>
          <c:spPr>
            <a:solidFill>
              <a:srgbClr val="F8A662"/>
            </a:solidFill>
            <a:ln w="12700">
              <a:noFill/>
              <a:prstDash val="solid"/>
            </a:ln>
          </c:spPr>
          <c:invertIfNegative val="0"/>
          <c:cat>
            <c:strRef>
              <c:extLst>
                <c:ext xmlns:c15="http://schemas.microsoft.com/office/drawing/2012/chart" uri="{02D57815-91ED-43cb-92C2-25804820EDAC}">
                  <c15:fullRef>
                    <c15:sqref>'Self description'!$E$8:$R$8</c15:sqref>
                  </c15:fullRef>
                </c:ext>
              </c:extLst>
              <c:f>'Self description'!$J$8:$R$8</c:f>
              <c:strCache>
                <c:ptCount val="9"/>
                <c:pt idx="0">
                  <c:v>2011</c:v>
                </c:pt>
                <c:pt idx="1">
                  <c:v>2012</c:v>
                </c:pt>
                <c:pt idx="2">
                  <c:v>2014</c:v>
                </c:pt>
                <c:pt idx="3">
                  <c:v>2015</c:v>
                </c:pt>
                <c:pt idx="4">
                  <c:v>2016</c:v>
                </c:pt>
                <c:pt idx="5">
                  <c:v>2017/18</c:v>
                </c:pt>
                <c:pt idx="6">
                  <c:v>2018/19</c:v>
                </c:pt>
                <c:pt idx="7">
                  <c:v>2019/20</c:v>
                </c:pt>
                <c:pt idx="8">
                  <c:v>2020/21</c:v>
                </c:pt>
              </c:strCache>
            </c:strRef>
          </c:cat>
          <c:val>
            <c:numRef>
              <c:extLst>
                <c:ext xmlns:c15="http://schemas.microsoft.com/office/drawing/2012/chart" uri="{02D57815-91ED-43cb-92C2-25804820EDAC}">
                  <c15:fullRef>
                    <c15:sqref>'Self description'!$E$10:$R$10</c15:sqref>
                  </c15:fullRef>
                </c:ext>
              </c:extLst>
              <c:f>'Self description'!$J$10:$R$10</c:f>
              <c:numCache>
                <c:formatCode>General</c:formatCode>
                <c:ptCount val="9"/>
                <c:pt idx="0">
                  <c:v>50.8</c:v>
                </c:pt>
                <c:pt idx="1">
                  <c:v>52.4</c:v>
                </c:pt>
                <c:pt idx="2">
                  <c:v>57</c:v>
                </c:pt>
                <c:pt idx="3">
                  <c:v>52</c:v>
                </c:pt>
                <c:pt idx="4">
                  <c:v>48</c:v>
                </c:pt>
                <c:pt idx="5">
                  <c:v>50</c:v>
                </c:pt>
                <c:pt idx="6">
                  <c:v>48.9</c:v>
                </c:pt>
                <c:pt idx="7">
                  <c:v>49.5</c:v>
                </c:pt>
                <c:pt idx="8">
                  <c:v>45.8</c:v>
                </c:pt>
              </c:numCache>
            </c:numRef>
          </c:val>
          <c:extLst>
            <c:ext xmlns:c16="http://schemas.microsoft.com/office/drawing/2014/chart" uri="{C3380CC4-5D6E-409C-BE32-E72D297353CC}">
              <c16:uniqueId val="{00000001-9F04-407D-A81B-08B583A03B41}"/>
            </c:ext>
          </c:extLst>
        </c:ser>
        <c:ser>
          <c:idx val="2"/>
          <c:order val="2"/>
          <c:tx>
            <c:strRef>
              <c:f>'Self description'!$D$11</c:f>
              <c:strCache>
                <c:ptCount val="1"/>
                <c:pt idx="0">
                  <c:v>By race group</c:v>
                </c:pt>
              </c:strCache>
            </c:strRef>
          </c:tx>
          <c:spPr>
            <a:solidFill>
              <a:srgbClr val="E46C0A"/>
            </a:solidFill>
            <a:ln w="12700">
              <a:noFill/>
              <a:prstDash val="solid"/>
            </a:ln>
          </c:spPr>
          <c:invertIfNegative val="0"/>
          <c:cat>
            <c:strRef>
              <c:extLst>
                <c:ext xmlns:c15="http://schemas.microsoft.com/office/drawing/2012/chart" uri="{02D57815-91ED-43cb-92C2-25804820EDAC}">
                  <c15:fullRef>
                    <c15:sqref>'Self description'!$E$8:$R$8</c15:sqref>
                  </c15:fullRef>
                </c:ext>
              </c:extLst>
              <c:f>'Self description'!$J$8:$R$8</c:f>
              <c:strCache>
                <c:ptCount val="9"/>
                <c:pt idx="0">
                  <c:v>2011</c:v>
                </c:pt>
                <c:pt idx="1">
                  <c:v>2012</c:v>
                </c:pt>
                <c:pt idx="2">
                  <c:v>2014</c:v>
                </c:pt>
                <c:pt idx="3">
                  <c:v>2015</c:v>
                </c:pt>
                <c:pt idx="4">
                  <c:v>2016</c:v>
                </c:pt>
                <c:pt idx="5">
                  <c:v>2017/18</c:v>
                </c:pt>
                <c:pt idx="6">
                  <c:v>2018/19</c:v>
                </c:pt>
                <c:pt idx="7">
                  <c:v>2019/20</c:v>
                </c:pt>
                <c:pt idx="8">
                  <c:v>2020/21</c:v>
                </c:pt>
              </c:strCache>
            </c:strRef>
          </c:cat>
          <c:val>
            <c:numRef>
              <c:extLst>
                <c:ext xmlns:c15="http://schemas.microsoft.com/office/drawing/2012/chart" uri="{02D57815-91ED-43cb-92C2-25804820EDAC}">
                  <c15:fullRef>
                    <c15:sqref>'Self description'!$E$11:$R$11</c15:sqref>
                  </c15:fullRef>
                </c:ext>
              </c:extLst>
              <c:f>'Self description'!$J$11:$R$11</c:f>
              <c:numCache>
                <c:formatCode>General</c:formatCode>
                <c:ptCount val="9"/>
                <c:pt idx="0">
                  <c:v>9.1</c:v>
                </c:pt>
                <c:pt idx="1">
                  <c:v>8.8000000000000007</c:v>
                </c:pt>
                <c:pt idx="2">
                  <c:v>6</c:v>
                </c:pt>
                <c:pt idx="3">
                  <c:v>9</c:v>
                </c:pt>
                <c:pt idx="4">
                  <c:v>8.8000000000000007</c:v>
                </c:pt>
                <c:pt idx="5">
                  <c:v>10.3</c:v>
                </c:pt>
                <c:pt idx="6">
                  <c:v>8</c:v>
                </c:pt>
                <c:pt idx="7">
                  <c:v>8.6</c:v>
                </c:pt>
                <c:pt idx="8">
                  <c:v>10.1</c:v>
                </c:pt>
              </c:numCache>
            </c:numRef>
          </c:val>
          <c:extLst>
            <c:ext xmlns:c16="http://schemas.microsoft.com/office/drawing/2014/chart" uri="{C3380CC4-5D6E-409C-BE32-E72D297353CC}">
              <c16:uniqueId val="{00000002-9F04-407D-A81B-08B583A03B41}"/>
            </c:ext>
          </c:extLst>
        </c:ser>
        <c:ser>
          <c:idx val="3"/>
          <c:order val="3"/>
          <c:tx>
            <c:strRef>
              <c:f>'Self description'!$D$12</c:f>
              <c:strCache>
                <c:ptCount val="1"/>
                <c:pt idx="0">
                  <c:v>By language group</c:v>
                </c:pt>
              </c:strCache>
            </c:strRef>
          </c:tx>
          <c:spPr>
            <a:solidFill>
              <a:srgbClr val="984807"/>
            </a:solidFill>
            <a:ln w="12700">
              <a:noFill/>
              <a:prstDash val="solid"/>
            </a:ln>
          </c:spPr>
          <c:invertIfNegative val="0"/>
          <c:cat>
            <c:strRef>
              <c:extLst>
                <c:ext xmlns:c15="http://schemas.microsoft.com/office/drawing/2012/chart" uri="{02D57815-91ED-43cb-92C2-25804820EDAC}">
                  <c15:fullRef>
                    <c15:sqref>'Self description'!$E$8:$R$8</c15:sqref>
                  </c15:fullRef>
                </c:ext>
              </c:extLst>
              <c:f>'Self description'!$J$8:$R$8</c:f>
              <c:strCache>
                <c:ptCount val="9"/>
                <c:pt idx="0">
                  <c:v>2011</c:v>
                </c:pt>
                <c:pt idx="1">
                  <c:v>2012</c:v>
                </c:pt>
                <c:pt idx="2">
                  <c:v>2014</c:v>
                </c:pt>
                <c:pt idx="3">
                  <c:v>2015</c:v>
                </c:pt>
                <c:pt idx="4">
                  <c:v>2016</c:v>
                </c:pt>
                <c:pt idx="5">
                  <c:v>2017/18</c:v>
                </c:pt>
                <c:pt idx="6">
                  <c:v>2018/19</c:v>
                </c:pt>
                <c:pt idx="7">
                  <c:v>2019/20</c:v>
                </c:pt>
                <c:pt idx="8">
                  <c:v>2020/21</c:v>
                </c:pt>
              </c:strCache>
            </c:strRef>
          </c:cat>
          <c:val>
            <c:numRef>
              <c:extLst>
                <c:ext xmlns:c15="http://schemas.microsoft.com/office/drawing/2012/chart" uri="{02D57815-91ED-43cb-92C2-25804820EDAC}">
                  <c15:fullRef>
                    <c15:sqref>'Self description'!$E$12:$R$12</c15:sqref>
                  </c15:fullRef>
                </c:ext>
              </c:extLst>
              <c:f>'Self description'!$J$12:$R$12</c:f>
              <c:numCache>
                <c:formatCode>General</c:formatCode>
                <c:ptCount val="9"/>
                <c:pt idx="0">
                  <c:v>3.7</c:v>
                </c:pt>
                <c:pt idx="1">
                  <c:v>4.0999999999999996</c:v>
                </c:pt>
                <c:pt idx="2">
                  <c:v>2</c:v>
                </c:pt>
                <c:pt idx="3">
                  <c:v>3</c:v>
                </c:pt>
                <c:pt idx="4">
                  <c:v>4.8</c:v>
                </c:pt>
                <c:pt idx="5">
                  <c:v>4.0999999999999996</c:v>
                </c:pt>
                <c:pt idx="6">
                  <c:v>4</c:v>
                </c:pt>
                <c:pt idx="7">
                  <c:v>4.0999999999999996</c:v>
                </c:pt>
                <c:pt idx="8">
                  <c:v>2.5</c:v>
                </c:pt>
              </c:numCache>
            </c:numRef>
          </c:val>
          <c:extLst>
            <c:ext xmlns:c16="http://schemas.microsoft.com/office/drawing/2014/chart" uri="{C3380CC4-5D6E-409C-BE32-E72D297353CC}">
              <c16:uniqueId val="{00000003-9F04-407D-A81B-08B583A03B41}"/>
            </c:ext>
          </c:extLst>
        </c:ser>
        <c:ser>
          <c:idx val="4"/>
          <c:order val="4"/>
          <c:tx>
            <c:strRef>
              <c:f>'Self description'!$D$13</c:f>
              <c:strCache>
                <c:ptCount val="1"/>
                <c:pt idx="0">
                  <c:v>Rest of self descriptors</c:v>
                </c:pt>
              </c:strCache>
            </c:strRef>
          </c:tx>
          <c:spPr>
            <a:solidFill>
              <a:srgbClr val="C83C14"/>
            </a:solidFill>
            <a:ln w="12700">
              <a:noFill/>
              <a:prstDash val="solid"/>
            </a:ln>
          </c:spPr>
          <c:invertIfNegative val="0"/>
          <c:cat>
            <c:strRef>
              <c:extLst>
                <c:ext xmlns:c15="http://schemas.microsoft.com/office/drawing/2012/chart" uri="{02D57815-91ED-43cb-92C2-25804820EDAC}">
                  <c15:fullRef>
                    <c15:sqref>'Self description'!$E$8:$R$8</c15:sqref>
                  </c15:fullRef>
                </c:ext>
              </c:extLst>
              <c:f>'Self description'!$J$8:$R$8</c:f>
              <c:strCache>
                <c:ptCount val="9"/>
                <c:pt idx="0">
                  <c:v>2011</c:v>
                </c:pt>
                <c:pt idx="1">
                  <c:v>2012</c:v>
                </c:pt>
                <c:pt idx="2">
                  <c:v>2014</c:v>
                </c:pt>
                <c:pt idx="3">
                  <c:v>2015</c:v>
                </c:pt>
                <c:pt idx="4">
                  <c:v>2016</c:v>
                </c:pt>
                <c:pt idx="5">
                  <c:v>2017/18</c:v>
                </c:pt>
                <c:pt idx="6">
                  <c:v>2018/19</c:v>
                </c:pt>
                <c:pt idx="7">
                  <c:v>2019/20</c:v>
                </c:pt>
                <c:pt idx="8">
                  <c:v>2020/21</c:v>
                </c:pt>
              </c:strCache>
            </c:strRef>
          </c:cat>
          <c:val>
            <c:numRef>
              <c:extLst>
                <c:ext xmlns:c15="http://schemas.microsoft.com/office/drawing/2012/chart" uri="{02D57815-91ED-43cb-92C2-25804820EDAC}">
                  <c15:fullRef>
                    <c15:sqref>'Self description'!$E$13:$R$13</c15:sqref>
                  </c15:fullRef>
                </c:ext>
              </c:extLst>
              <c:f>'Self description'!$J$13:$R$13</c:f>
              <c:numCache>
                <c:formatCode>General</c:formatCode>
                <c:ptCount val="9"/>
                <c:pt idx="0">
                  <c:v>5.6</c:v>
                </c:pt>
                <c:pt idx="1">
                  <c:v>5.6</c:v>
                </c:pt>
                <c:pt idx="2">
                  <c:v>6.9</c:v>
                </c:pt>
                <c:pt idx="3">
                  <c:v>7</c:v>
                </c:pt>
                <c:pt idx="4">
                  <c:v>4.9000000000000004</c:v>
                </c:pt>
                <c:pt idx="5">
                  <c:v>9.1999999999999993</c:v>
                </c:pt>
                <c:pt idx="6">
                  <c:v>4</c:v>
                </c:pt>
                <c:pt idx="7">
                  <c:v>8.3000000000000007</c:v>
                </c:pt>
                <c:pt idx="8">
                  <c:v>6.1</c:v>
                </c:pt>
              </c:numCache>
            </c:numRef>
          </c:val>
          <c:extLst>
            <c:ext xmlns:c16="http://schemas.microsoft.com/office/drawing/2014/chart" uri="{C3380CC4-5D6E-409C-BE32-E72D297353CC}">
              <c16:uniqueId val="{00000004-9F04-407D-A81B-08B583A03B41}"/>
            </c:ext>
          </c:extLst>
        </c:ser>
        <c:dLbls>
          <c:showLegendKey val="0"/>
          <c:showVal val="0"/>
          <c:showCatName val="0"/>
          <c:showSerName val="0"/>
          <c:showPercent val="0"/>
          <c:showBubbleSize val="0"/>
        </c:dLbls>
        <c:gapWidth val="150"/>
        <c:overlap val="100"/>
        <c:axId val="206594616"/>
        <c:axId val="221215088"/>
      </c:barChart>
      <c:catAx>
        <c:axId val="206594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21215088"/>
        <c:crosses val="autoZero"/>
        <c:auto val="1"/>
        <c:lblAlgn val="ctr"/>
        <c:lblOffset val="100"/>
        <c:tickLblSkip val="1"/>
        <c:tickMarkSkip val="1"/>
        <c:noMultiLvlLbl val="0"/>
      </c:catAx>
      <c:valAx>
        <c:axId val="221215088"/>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6594616"/>
        <c:crosses val="autoZero"/>
        <c:crossBetween val="between"/>
        <c:majorUnit val="0.2"/>
      </c:valAx>
      <c:spPr>
        <a:noFill/>
        <a:ln w="25400">
          <a:noFill/>
        </a:ln>
      </c:spPr>
    </c:plotArea>
    <c:legend>
      <c:legendPos val="b"/>
      <c:layout>
        <c:manualLayout>
          <c:xMode val="edge"/>
          <c:yMode val="edge"/>
          <c:x val="4.9934369066407802E-2"/>
          <c:y val="0.90080812199752358"/>
          <c:w val="0.90276083022690001"/>
          <c:h val="7.7748320053357703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PUBLIC OPINION ON RACE RELATIONS</a:t>
            </a:r>
          </a:p>
        </c:rich>
      </c:tx>
      <c:layout>
        <c:manualLayout>
          <c:xMode val="edge"/>
          <c:yMode val="edge"/>
          <c:x val="0.33161841747871634"/>
          <c:y val="2.1663194954637255E-2"/>
        </c:manualLayout>
      </c:layout>
      <c:overlay val="0"/>
      <c:spPr>
        <a:noFill/>
        <a:ln w="25400">
          <a:noFill/>
        </a:ln>
      </c:spPr>
    </c:title>
    <c:autoTitleDeleted val="0"/>
    <c:plotArea>
      <c:layout>
        <c:manualLayout>
          <c:layoutTarget val="inner"/>
          <c:xMode val="edge"/>
          <c:yMode val="edge"/>
          <c:x val="4.0991393231695553E-2"/>
          <c:y val="0.12234658922299915"/>
          <c:w val="0.92552470833663358"/>
          <c:h val="0.75172217084280502"/>
        </c:manualLayout>
      </c:layout>
      <c:lineChart>
        <c:grouping val="standard"/>
        <c:varyColors val="0"/>
        <c:ser>
          <c:idx val="0"/>
          <c:order val="0"/>
          <c:tx>
            <c:strRef>
              <c:f>'Race relations opinion'!$D$75</c:f>
              <c:strCache>
                <c:ptCount val="1"/>
                <c:pt idx="0">
                  <c:v>Race relations improving </c:v>
                </c:pt>
              </c:strCache>
            </c:strRef>
          </c:tx>
          <c:spPr>
            <a:ln w="25400">
              <a:solidFill>
                <a:srgbClr val="FF6600"/>
              </a:solidFill>
              <a:prstDash val="solid"/>
            </a:ln>
          </c:spPr>
          <c:marker>
            <c:symbol val="none"/>
          </c:marker>
          <c:cat>
            <c:multiLvlStrRef>
              <c:f>'Race relations opinion'!$E$73:$AJ$74</c:f>
              <c:multiLvlStrCache>
                <c:ptCount val="32"/>
                <c:lvl>
                  <c:pt idx="0">
                    <c:v>May </c:v>
                  </c:pt>
                  <c:pt idx="1">
                    <c:v>Nov</c:v>
                  </c:pt>
                  <c:pt idx="2">
                    <c:v>May </c:v>
                  </c:pt>
                  <c:pt idx="3">
                    <c:v>Nov</c:v>
                  </c:pt>
                  <c:pt idx="4">
                    <c:v>May </c:v>
                  </c:pt>
                  <c:pt idx="5">
                    <c:v>Nov</c:v>
                  </c:pt>
                  <c:pt idx="6">
                    <c:v>May </c:v>
                  </c:pt>
                  <c:pt idx="7">
                    <c:v>Nov</c:v>
                  </c:pt>
                  <c:pt idx="8">
                    <c:v>May </c:v>
                  </c:pt>
                  <c:pt idx="9">
                    <c:v>Nov</c:v>
                  </c:pt>
                  <c:pt idx="10">
                    <c:v>May </c:v>
                  </c:pt>
                  <c:pt idx="11">
                    <c:v>Nov</c:v>
                  </c:pt>
                  <c:pt idx="12">
                    <c:v>May </c:v>
                  </c:pt>
                  <c:pt idx="13">
                    <c:v>Nov</c:v>
                  </c:pt>
                  <c:pt idx="14">
                    <c:v>May </c:v>
                  </c:pt>
                  <c:pt idx="15">
                    <c:v>Nov</c:v>
                  </c:pt>
                  <c:pt idx="16">
                    <c:v>May</c:v>
                  </c:pt>
                  <c:pt idx="17">
                    <c:v>Nov</c:v>
                  </c:pt>
                  <c:pt idx="18">
                    <c:v>May</c:v>
                  </c:pt>
                  <c:pt idx="19">
                    <c:v>Nov </c:v>
                  </c:pt>
                  <c:pt idx="20">
                    <c:v>May </c:v>
                  </c:pt>
                  <c:pt idx="21">
                    <c:v>Nov</c:v>
                  </c:pt>
                  <c:pt idx="22">
                    <c:v>May</c:v>
                  </c:pt>
                  <c:pt idx="23">
                    <c:v>Nov </c:v>
                  </c:pt>
                  <c:pt idx="24">
                    <c:v>May</c:v>
                  </c:pt>
                  <c:pt idx="25">
                    <c:v>Nov </c:v>
                  </c:pt>
                  <c:pt idx="26">
                    <c:v>May</c:v>
                  </c:pt>
                  <c:pt idx="27">
                    <c:v>Nov </c:v>
                  </c:pt>
                  <c:pt idx="28">
                    <c:v>May</c:v>
                  </c:pt>
                  <c:pt idx="29">
                    <c:v>Nov </c:v>
                  </c:pt>
                  <c:pt idx="30">
                    <c:v>May</c:v>
                  </c:pt>
                  <c:pt idx="31">
                    <c:v>Nov </c:v>
                  </c:pt>
                </c:lvl>
                <c:lvl>
                  <c:pt idx="0">
                    <c:v>2000</c:v>
                  </c:pt>
                  <c:pt idx="2">
                    <c:v>2001</c:v>
                  </c:pt>
                  <c:pt idx="4">
                    <c:v>2002</c:v>
                  </c:pt>
                  <c:pt idx="6">
                    <c:v>2003</c:v>
                  </c:pt>
                  <c:pt idx="8">
                    <c:v>2004</c:v>
                  </c:pt>
                  <c:pt idx="10">
                    <c:v>2005</c:v>
                  </c:pt>
                  <c:pt idx="12">
                    <c:v>2006</c:v>
                  </c:pt>
                  <c:pt idx="14">
                    <c:v>2007</c:v>
                  </c:pt>
                  <c:pt idx="16">
                    <c:v>2008</c:v>
                  </c:pt>
                  <c:pt idx="18">
                    <c:v>2009</c:v>
                  </c:pt>
                  <c:pt idx="20">
                    <c:v>2010</c:v>
                  </c:pt>
                  <c:pt idx="22">
                    <c:v>2011</c:v>
                  </c:pt>
                  <c:pt idx="24">
                    <c:v>2012</c:v>
                  </c:pt>
                  <c:pt idx="26">
                    <c:v>2013</c:v>
                  </c:pt>
                  <c:pt idx="28">
                    <c:v>2014</c:v>
                  </c:pt>
                  <c:pt idx="30">
                    <c:v>2015</c:v>
                  </c:pt>
                </c:lvl>
              </c:multiLvlStrCache>
            </c:multiLvlStrRef>
          </c:cat>
          <c:val>
            <c:numRef>
              <c:f>'Race relations opinion'!$E$75:$AJ$75</c:f>
              <c:numCache>
                <c:formatCode>General</c:formatCode>
                <c:ptCount val="32"/>
                <c:pt idx="0">
                  <c:v>74</c:v>
                </c:pt>
                <c:pt idx="1">
                  <c:v>69</c:v>
                </c:pt>
                <c:pt idx="2">
                  <c:v>40</c:v>
                </c:pt>
                <c:pt idx="3">
                  <c:v>40</c:v>
                </c:pt>
                <c:pt idx="4">
                  <c:v>43</c:v>
                </c:pt>
                <c:pt idx="5">
                  <c:v>44</c:v>
                </c:pt>
                <c:pt idx="6" formatCode="0">
                  <c:v>47.9</c:v>
                </c:pt>
                <c:pt idx="7" formatCode="0">
                  <c:v>50.8</c:v>
                </c:pt>
                <c:pt idx="8" formatCode="0">
                  <c:v>60.4</c:v>
                </c:pt>
                <c:pt idx="9" formatCode="0">
                  <c:v>59.4</c:v>
                </c:pt>
                <c:pt idx="10" formatCode="0">
                  <c:v>59.7</c:v>
                </c:pt>
                <c:pt idx="11" formatCode="0">
                  <c:v>58.6</c:v>
                </c:pt>
                <c:pt idx="12" formatCode="0">
                  <c:v>60.3</c:v>
                </c:pt>
                <c:pt idx="13" formatCode="0">
                  <c:v>58.1</c:v>
                </c:pt>
                <c:pt idx="14" formatCode="0">
                  <c:v>57</c:v>
                </c:pt>
                <c:pt idx="15" formatCode="0">
                  <c:v>54.9</c:v>
                </c:pt>
                <c:pt idx="16" formatCode="0">
                  <c:v>48.5</c:v>
                </c:pt>
                <c:pt idx="17" formatCode="0">
                  <c:v>50</c:v>
                </c:pt>
                <c:pt idx="18" formatCode="0">
                  <c:v>48.5</c:v>
                </c:pt>
                <c:pt idx="19" formatCode="0">
                  <c:v>57</c:v>
                </c:pt>
                <c:pt idx="20" formatCode="0">
                  <c:v>46</c:v>
                </c:pt>
                <c:pt idx="21" formatCode="0">
                  <c:v>54</c:v>
                </c:pt>
                <c:pt idx="22" formatCode="0">
                  <c:v>48</c:v>
                </c:pt>
                <c:pt idx="23" formatCode="0">
                  <c:v>40.200000000000003</c:v>
                </c:pt>
                <c:pt idx="24" formatCode="0">
                  <c:v>42</c:v>
                </c:pt>
                <c:pt idx="25" formatCode="0">
                  <c:v>35.799999999999997</c:v>
                </c:pt>
                <c:pt idx="26" formatCode="0">
                  <c:v>37</c:v>
                </c:pt>
                <c:pt idx="27" formatCode="0">
                  <c:v>34</c:v>
                </c:pt>
                <c:pt idx="28" formatCode="0">
                  <c:v>43</c:v>
                </c:pt>
                <c:pt idx="29" formatCode="0">
                  <c:v>46</c:v>
                </c:pt>
                <c:pt idx="30" formatCode="0">
                  <c:v>40</c:v>
                </c:pt>
                <c:pt idx="31" formatCode="0">
                  <c:v>37</c:v>
                </c:pt>
              </c:numCache>
            </c:numRef>
          </c:val>
          <c:smooth val="0"/>
          <c:extLst>
            <c:ext xmlns:c16="http://schemas.microsoft.com/office/drawing/2014/chart" uri="{C3380CC4-5D6E-409C-BE32-E72D297353CC}">
              <c16:uniqueId val="{00000000-08EC-4FDB-AEAA-8DBC92806AD3}"/>
            </c:ext>
          </c:extLst>
        </c:ser>
        <c:dLbls>
          <c:showLegendKey val="0"/>
          <c:showVal val="0"/>
          <c:showCatName val="0"/>
          <c:showSerName val="0"/>
          <c:showPercent val="0"/>
          <c:showBubbleSize val="0"/>
        </c:dLbls>
        <c:smooth val="0"/>
        <c:axId val="206596184"/>
        <c:axId val="206592264"/>
      </c:lineChart>
      <c:catAx>
        <c:axId val="206596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6592264"/>
        <c:crosses val="autoZero"/>
        <c:auto val="1"/>
        <c:lblAlgn val="ctr"/>
        <c:lblOffset val="100"/>
        <c:tickLblSkip val="1"/>
        <c:tickMarkSkip val="1"/>
        <c:noMultiLvlLbl val="0"/>
      </c:catAx>
      <c:valAx>
        <c:axId val="206592264"/>
        <c:scaling>
          <c:orientation val="minMax"/>
          <c:min val="30"/>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ZA"/>
                  <a:t>%</a:t>
                </a:r>
              </a:p>
            </c:rich>
          </c:tx>
          <c:layout>
            <c:manualLayout>
              <c:xMode val="edge"/>
              <c:yMode val="edge"/>
              <c:x val="3.8242015944782441E-3"/>
              <c:y val="0.2166622468823521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659618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0"/>
          <c:order val="0"/>
          <c:tx>
            <c:strRef>
              <c:f>'Race relations opinion'!$D$9</c:f>
              <c:strCache>
                <c:ptCount val="1"/>
                <c:pt idx="0">
                  <c:v>Race relations improving</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extLst>
                <c:ext xmlns:c15="http://schemas.microsoft.com/office/drawing/2012/chart" uri="{02D57815-91ED-43cb-92C2-25804820EDAC}">
                  <c15:fullRef>
                    <c15:sqref>'Race relations opinion'!$E$8:$AA$8</c15:sqref>
                  </c15:fullRef>
                </c:ext>
              </c:extLst>
              <c:f>'Race relations opinion'!$K$8:$AA$8</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Cache>
            </c:numRef>
          </c:cat>
          <c:val>
            <c:numRef>
              <c:extLst>
                <c:ext xmlns:c15="http://schemas.microsoft.com/office/drawing/2012/chart" uri="{02D57815-91ED-43cb-92C2-25804820EDAC}">
                  <c15:fullRef>
                    <c15:sqref>'Race relations opinion'!$E$9:$AA$9</c15:sqref>
                  </c15:fullRef>
                </c:ext>
              </c:extLst>
              <c:f>'Race relations opinion'!$K$9:$AA$9</c:f>
              <c:numCache>
                <c:formatCode>General</c:formatCode>
                <c:ptCount val="17"/>
                <c:pt idx="0">
                  <c:v>59</c:v>
                </c:pt>
                <c:pt idx="1">
                  <c:v>59</c:v>
                </c:pt>
                <c:pt idx="2">
                  <c:v>49</c:v>
                </c:pt>
                <c:pt idx="3">
                  <c:v>53</c:v>
                </c:pt>
                <c:pt idx="4">
                  <c:v>50</c:v>
                </c:pt>
                <c:pt idx="5">
                  <c:v>44</c:v>
                </c:pt>
                <c:pt idx="6">
                  <c:v>39</c:v>
                </c:pt>
                <c:pt idx="7">
                  <c:v>36</c:v>
                </c:pt>
                <c:pt idx="8">
                  <c:v>45</c:v>
                </c:pt>
                <c:pt idx="9">
                  <c:v>39</c:v>
                </c:pt>
                <c:pt idx="10">
                  <c:v>29</c:v>
                </c:pt>
                <c:pt idx="11">
                  <c:v>38</c:v>
                </c:pt>
                <c:pt idx="12">
                  <c:v>42</c:v>
                </c:pt>
                <c:pt idx="13">
                  <c:v>40</c:v>
                </c:pt>
                <c:pt idx="14">
                  <c:v>0</c:v>
                </c:pt>
                <c:pt idx="15">
                  <c:v>37</c:v>
                </c:pt>
                <c:pt idx="16">
                  <c:v>30</c:v>
                </c:pt>
              </c:numCache>
            </c:numRef>
          </c:val>
          <c:smooth val="0"/>
          <c:extLst>
            <c:ext xmlns:c16="http://schemas.microsoft.com/office/drawing/2014/chart" uri="{C3380CC4-5D6E-409C-BE32-E72D297353CC}">
              <c16:uniqueId val="{00000000-F4C5-4D7C-B0CF-27FE560DCFB3}"/>
            </c:ext>
          </c:extLst>
        </c:ser>
        <c:dLbls>
          <c:showLegendKey val="0"/>
          <c:showVal val="0"/>
          <c:showCatName val="0"/>
          <c:showSerName val="0"/>
          <c:showPercent val="0"/>
          <c:showBubbleSize val="0"/>
        </c:dLbls>
        <c:marker val="1"/>
        <c:smooth val="0"/>
        <c:axId val="206595008"/>
        <c:axId val="206595792"/>
      </c:lineChart>
      <c:catAx>
        <c:axId val="206595008"/>
        <c:scaling>
          <c:orientation val="minMax"/>
        </c:scaling>
        <c:delete val="0"/>
        <c:axPos val="b"/>
        <c:numFmt formatCode="General" sourceLinked="1"/>
        <c:majorTickMark val="out"/>
        <c:minorTickMark val="none"/>
        <c:tickLblPos val="nextTo"/>
        <c:spPr>
          <a:noFill/>
          <a:ln w="9525" cap="flat" cmpd="sng" algn="ctr">
            <a:solidFill>
              <a:srgbClr val="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595792"/>
        <c:crosses val="autoZero"/>
        <c:auto val="1"/>
        <c:lblAlgn val="ctr"/>
        <c:lblOffset val="100"/>
        <c:noMultiLvlLbl val="0"/>
      </c:catAx>
      <c:valAx>
        <c:axId val="206595792"/>
        <c:scaling>
          <c:orientation val="minMax"/>
          <c:min val="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rgbClr val="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595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CONFIDENT IN A HAPPY FUTURE OF ALL RACES</a:t>
            </a:r>
          </a:p>
        </c:rich>
      </c:tx>
      <c:layout>
        <c:manualLayout>
          <c:xMode val="edge"/>
          <c:yMode val="edge"/>
          <c:x val="5.2740422504759965E-2"/>
          <c:y val="3.7931034482759036E-2"/>
        </c:manualLayout>
      </c:layout>
      <c:overlay val="0"/>
      <c:spPr>
        <a:noFill/>
        <a:ln w="25400">
          <a:noFill/>
        </a:ln>
      </c:spPr>
    </c:title>
    <c:autoTitleDeleted val="0"/>
    <c:plotArea>
      <c:layout>
        <c:manualLayout>
          <c:layoutTarget val="inner"/>
          <c:xMode val="edge"/>
          <c:yMode val="edge"/>
          <c:x val="7.1062283772300713E-2"/>
          <c:y val="0.14206282768915296"/>
          <c:w val="0.92380968903990823"/>
          <c:h val="0.77369939617478212"/>
        </c:manualLayout>
      </c:layout>
      <c:lineChart>
        <c:grouping val="standard"/>
        <c:varyColors val="0"/>
        <c:ser>
          <c:idx val="0"/>
          <c:order val="0"/>
          <c:tx>
            <c:strRef>
              <c:f>'Confidence in a happy future'!$D$58</c:f>
              <c:strCache>
                <c:ptCount val="1"/>
                <c:pt idx="0">
                  <c:v>Confident in a happy future for all races</c:v>
                </c:pt>
              </c:strCache>
            </c:strRef>
          </c:tx>
          <c:marker>
            <c:symbol val="none"/>
          </c:marker>
          <c:cat>
            <c:numRef>
              <c:extLst>
                <c:ext xmlns:c15="http://schemas.microsoft.com/office/drawing/2012/chart" uri="{02D57815-91ED-43cb-92C2-25804820EDAC}">
                  <c15:fullRef>
                    <c15:sqref>'Confidence in a happy future'!$E$57:$X$57</c15:sqref>
                  </c15:fullRef>
                </c:ext>
              </c:extLst>
              <c:f>'Confidence in a happy future'!$G$57:$X$57</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extLst>
                <c:ext xmlns:c15="http://schemas.microsoft.com/office/drawing/2012/chart" uri="{02D57815-91ED-43cb-92C2-25804820EDAC}">
                  <c15:fullRef>
                    <c15:sqref>'Confidence in a happy future'!$E$58:$X$58</c15:sqref>
                  </c15:fullRef>
                </c:ext>
              </c:extLst>
              <c:f>'Confidence in a happy future'!$G$58:$X$58</c:f>
              <c:numCache>
                <c:formatCode>General</c:formatCode>
                <c:ptCount val="18"/>
                <c:pt idx="0">
                  <c:v>85</c:v>
                </c:pt>
                <c:pt idx="1">
                  <c:v>82</c:v>
                </c:pt>
                <c:pt idx="2">
                  <c:v>77</c:v>
                </c:pt>
                <c:pt idx="3">
                  <c:v>61</c:v>
                </c:pt>
                <c:pt idx="4">
                  <c:v>64</c:v>
                </c:pt>
                <c:pt idx="5">
                  <c:v>67</c:v>
                </c:pt>
                <c:pt idx="6">
                  <c:v>64</c:v>
                </c:pt>
                <c:pt idx="7">
                  <c:v>58</c:v>
                </c:pt>
                <c:pt idx="8">
                  <c:v>55</c:v>
                </c:pt>
                <c:pt idx="9">
                  <c:v>67</c:v>
                </c:pt>
                <c:pt idx="10">
                  <c:v>67</c:v>
                </c:pt>
                <c:pt idx="11">
                  <c:v>58</c:v>
                </c:pt>
                <c:pt idx="12">
                  <c:v>65</c:v>
                </c:pt>
                <c:pt idx="13">
                  <c:v>59</c:v>
                </c:pt>
                <c:pt idx="14">
                  <c:v>66</c:v>
                </c:pt>
                <c:pt idx="15">
                  <c:v>0</c:v>
                </c:pt>
                <c:pt idx="16">
                  <c:v>65</c:v>
                </c:pt>
                <c:pt idx="17">
                  <c:v>62</c:v>
                </c:pt>
              </c:numCache>
            </c:numRef>
          </c:val>
          <c:smooth val="0"/>
          <c:extLst>
            <c:ext xmlns:c16="http://schemas.microsoft.com/office/drawing/2014/chart" uri="{C3380CC4-5D6E-409C-BE32-E72D297353CC}">
              <c16:uniqueId val="{00000000-8312-4292-ABA6-7DB1481AF301}"/>
            </c:ext>
          </c:extLst>
        </c:ser>
        <c:dLbls>
          <c:showLegendKey val="0"/>
          <c:showVal val="0"/>
          <c:showCatName val="0"/>
          <c:showSerName val="0"/>
          <c:showPercent val="0"/>
          <c:showBubbleSize val="0"/>
        </c:dLbls>
        <c:smooth val="0"/>
        <c:axId val="204769120"/>
        <c:axId val="204765984"/>
        <c:extLst/>
      </c:lineChart>
      <c:catAx>
        <c:axId val="204769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4765984"/>
        <c:crosses val="autoZero"/>
        <c:auto val="1"/>
        <c:lblAlgn val="ctr"/>
        <c:lblOffset val="100"/>
        <c:tickLblSkip val="1"/>
        <c:tickMarkSkip val="1"/>
        <c:noMultiLvlLbl val="0"/>
      </c:catAx>
      <c:valAx>
        <c:axId val="204765984"/>
        <c:scaling>
          <c:orientation val="minMax"/>
          <c:max val="90"/>
          <c:min val="45"/>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3.1023761533794152E-2"/>
              <c:y val="0.462068965517247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47691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b="1"/>
              <a:t>GDP</a:t>
            </a:r>
            <a:r>
              <a:rPr lang="en-ZA" b="1" baseline="0"/>
              <a:t> (YEAR ON YEAR)</a:t>
            </a:r>
            <a:endParaRPr lang="en-ZA" b="1"/>
          </a:p>
        </c:rich>
      </c:tx>
      <c:layout>
        <c:manualLayout>
          <c:xMode val="edge"/>
          <c:yMode val="edge"/>
          <c:x val="1.9650349650349667E-2"/>
          <c:y val="2.5940337224383919E-2"/>
        </c:manualLayout>
      </c:layout>
      <c:overlay val="0"/>
    </c:title>
    <c:autoTitleDeleted val="0"/>
    <c:plotArea>
      <c:layout>
        <c:manualLayout>
          <c:layoutTarget val="inner"/>
          <c:xMode val="edge"/>
          <c:yMode val="edge"/>
          <c:x val="6.8493185926173414E-2"/>
          <c:y val="0.14305627722930575"/>
          <c:w val="0.91675495008878893"/>
          <c:h val="0.73714610229558863"/>
        </c:manualLayout>
      </c:layout>
      <c:lineChart>
        <c:grouping val="standard"/>
        <c:varyColors val="0"/>
        <c:ser>
          <c:idx val="0"/>
          <c:order val="0"/>
          <c:spPr>
            <a:ln w="25400">
              <a:solidFill>
                <a:srgbClr val="FF6600"/>
              </a:solidFill>
              <a:prstDash val="solid"/>
            </a:ln>
          </c:spPr>
          <c:marker>
            <c:symbol val="none"/>
          </c:marker>
          <c:cat>
            <c:multiLvlStrRef>
              <c:extLst>
                <c:ext xmlns:c15="http://schemas.microsoft.com/office/drawing/2012/chart" uri="{02D57815-91ED-43cb-92C2-25804820EDAC}">
                  <c15:fullRef>
                    <c15:sqref>GDP!$E$6:$AG$7</c15:sqref>
                  </c15:fullRef>
                </c:ext>
              </c:extLst>
              <c:f>GDP!$Q$6:$AG$7</c:f>
              <c:multiLvlStrCache>
                <c:ptCount val="17"/>
                <c:lvl>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lvl>
                <c:lvl/>
              </c:multiLvlStrCache>
            </c:multiLvlStrRef>
          </c:cat>
          <c:val>
            <c:numRef>
              <c:extLst>
                <c:ext xmlns:c15="http://schemas.microsoft.com/office/drawing/2012/chart" uri="{02D57815-91ED-43cb-92C2-25804820EDAC}">
                  <c15:fullRef>
                    <c15:sqref>GDP!$E$8:$AG$8</c15:sqref>
                  </c15:fullRef>
                </c:ext>
              </c:extLst>
              <c:f>GDP!$Q$8:$AG$8</c:f>
              <c:numCache>
                <c:formatCode>0.0</c:formatCode>
                <c:ptCount val="17"/>
                <c:pt idx="0">
                  <c:v>5.6038061160837742</c:v>
                </c:pt>
                <c:pt idx="1">
                  <c:v>5.3604737885323885</c:v>
                </c:pt>
                <c:pt idx="2">
                  <c:v>3.1910446266535644</c:v>
                </c:pt>
                <c:pt idx="3">
                  <c:v>-1.538088957143998</c:v>
                </c:pt>
                <c:pt idx="4">
                  <c:v>3.0397323068580135</c:v>
                </c:pt>
                <c:pt idx="5">
                  <c:v>3.1685562788890991</c:v>
                </c:pt>
                <c:pt idx="6" formatCode="_ * #\ ##0.0_ ;_ * \-#\ ##0.0_ ;_ * &quot;-&quot;??_ ;_ @_ ">
                  <c:v>2.3962323843987861</c:v>
                </c:pt>
                <c:pt idx="7">
                  <c:v>2.4854680089647587</c:v>
                </c:pt>
                <c:pt idx="8">
                  <c:v>1.4138264512349394</c:v>
                </c:pt>
                <c:pt idx="9">
                  <c:v>1.3218622371000635</c:v>
                </c:pt>
                <c:pt idx="10">
                  <c:v>0.66455230785689423</c:v>
                </c:pt>
                <c:pt idx="11">
                  <c:v>1.1579469511465277</c:v>
                </c:pt>
                <c:pt idx="12">
                  <c:v>1.4876173726830189</c:v>
                </c:pt>
                <c:pt idx="13">
                  <c:v>0.11305369753380035</c:v>
                </c:pt>
                <c:pt idx="14">
                  <c:v>-6.3</c:v>
                </c:pt>
                <c:pt idx="15">
                  <c:v>4.9000000000000004</c:v>
                </c:pt>
                <c:pt idx="16">
                  <c:v>2</c:v>
                </c:pt>
              </c:numCache>
            </c:numRef>
          </c:val>
          <c:smooth val="0"/>
          <c:extLst>
            <c:ext xmlns:c16="http://schemas.microsoft.com/office/drawing/2014/chart" uri="{C3380CC4-5D6E-409C-BE32-E72D297353CC}">
              <c16:uniqueId val="{00000000-C771-436E-B12B-73C1C07AA137}"/>
            </c:ext>
          </c:extLst>
        </c:ser>
        <c:dLbls>
          <c:showLegendKey val="0"/>
          <c:showVal val="0"/>
          <c:showCatName val="0"/>
          <c:showSerName val="0"/>
          <c:showPercent val="0"/>
          <c:showBubbleSize val="0"/>
        </c:dLbls>
        <c:smooth val="0"/>
        <c:axId val="397415248"/>
        <c:axId val="397413680"/>
      </c:lineChart>
      <c:catAx>
        <c:axId val="39741524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7413680"/>
        <c:crossesAt val="-8"/>
        <c:auto val="1"/>
        <c:lblAlgn val="ctr"/>
        <c:lblOffset val="100"/>
        <c:tickLblSkip val="1"/>
        <c:tickMarkSkip val="1"/>
        <c:noMultiLvlLbl val="0"/>
      </c:catAx>
      <c:valAx>
        <c:axId val="397413680"/>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a:t>
                </a:r>
              </a:p>
            </c:rich>
          </c:tx>
          <c:layout>
            <c:manualLayout>
              <c:xMode val="edge"/>
              <c:yMode val="edge"/>
              <c:x val="1.6198698635339393E-2"/>
              <c:y val="0.4654101837270341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741524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paperSize="9" orientation="landscape" horizontalDpi="1200" verticalDpi="1200"/>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411852132941216E-2"/>
          <c:y val="7.980803870104472E-2"/>
          <c:w val="0.89853729880150524"/>
          <c:h val="0.6933298166160603"/>
        </c:manualLayout>
      </c:layout>
      <c:lineChart>
        <c:grouping val="standard"/>
        <c:varyColors val="0"/>
        <c:ser>
          <c:idx val="0"/>
          <c:order val="0"/>
          <c:tx>
            <c:strRef>
              <c:f>'Confidence in a happy future'!$D$9</c:f>
              <c:strCache>
                <c:ptCount val="1"/>
                <c:pt idx="0">
                  <c:v>Confident in a happy future for all races</c:v>
                </c:pt>
              </c:strCache>
            </c:strRef>
          </c:tx>
          <c:spPr>
            <a:ln w="12700">
              <a:solidFill>
                <a:srgbClr val="FF6600"/>
              </a:solidFill>
              <a:prstDash val="solid"/>
            </a:ln>
          </c:spPr>
          <c:marker>
            <c:symbol val="none"/>
          </c:marker>
          <c:cat>
            <c:multiLvlStrRef>
              <c:f>'Confidence in a happy future'!$E$7:$AJ$8</c:f>
              <c:multiLvlStrCache>
                <c:ptCount val="32"/>
                <c:lvl>
                  <c:pt idx="0">
                    <c:v>May </c:v>
                  </c:pt>
                  <c:pt idx="1">
                    <c:v>Nov</c:v>
                  </c:pt>
                  <c:pt idx="2">
                    <c:v>May </c:v>
                  </c:pt>
                  <c:pt idx="3">
                    <c:v>Nov</c:v>
                  </c:pt>
                  <c:pt idx="4">
                    <c:v>May </c:v>
                  </c:pt>
                  <c:pt idx="5">
                    <c:v>Nov</c:v>
                  </c:pt>
                  <c:pt idx="6">
                    <c:v>May </c:v>
                  </c:pt>
                  <c:pt idx="7">
                    <c:v>Nov</c:v>
                  </c:pt>
                  <c:pt idx="8">
                    <c:v>May </c:v>
                  </c:pt>
                  <c:pt idx="9">
                    <c:v>Nov</c:v>
                  </c:pt>
                  <c:pt idx="10">
                    <c:v>May </c:v>
                  </c:pt>
                  <c:pt idx="11">
                    <c:v>Nov</c:v>
                  </c:pt>
                  <c:pt idx="12">
                    <c:v>May </c:v>
                  </c:pt>
                  <c:pt idx="13">
                    <c:v>Nov</c:v>
                  </c:pt>
                  <c:pt idx="14">
                    <c:v>May </c:v>
                  </c:pt>
                  <c:pt idx="15">
                    <c:v>Nov</c:v>
                  </c:pt>
                  <c:pt idx="16">
                    <c:v>May</c:v>
                  </c:pt>
                  <c:pt idx="17">
                    <c:v>Nov</c:v>
                  </c:pt>
                  <c:pt idx="18">
                    <c:v>May</c:v>
                  </c:pt>
                  <c:pt idx="19">
                    <c:v>Nov</c:v>
                  </c:pt>
                  <c:pt idx="20">
                    <c:v>May</c:v>
                  </c:pt>
                  <c:pt idx="21">
                    <c:v>Nov</c:v>
                  </c:pt>
                  <c:pt idx="22">
                    <c:v>May</c:v>
                  </c:pt>
                  <c:pt idx="23">
                    <c:v>Nov</c:v>
                  </c:pt>
                  <c:pt idx="24">
                    <c:v>May</c:v>
                  </c:pt>
                  <c:pt idx="25">
                    <c:v>Nov</c:v>
                  </c:pt>
                  <c:pt idx="26">
                    <c:v>May</c:v>
                  </c:pt>
                  <c:pt idx="27">
                    <c:v>Nov</c:v>
                  </c:pt>
                  <c:pt idx="28">
                    <c:v>May</c:v>
                  </c:pt>
                  <c:pt idx="29">
                    <c:v>Nov</c:v>
                  </c:pt>
                  <c:pt idx="30">
                    <c:v>May</c:v>
                  </c:pt>
                  <c:pt idx="31">
                    <c:v>Nov</c:v>
                  </c:pt>
                </c:lvl>
                <c:lvl>
                  <c:pt idx="0">
                    <c:v>2000</c:v>
                  </c:pt>
                  <c:pt idx="2">
                    <c:v>2001</c:v>
                  </c:pt>
                  <c:pt idx="4">
                    <c:v>2002</c:v>
                  </c:pt>
                  <c:pt idx="6">
                    <c:v>2003</c:v>
                  </c:pt>
                  <c:pt idx="8">
                    <c:v>2004</c:v>
                  </c:pt>
                  <c:pt idx="10">
                    <c:v>2005</c:v>
                  </c:pt>
                  <c:pt idx="12">
                    <c:v>2006</c:v>
                  </c:pt>
                  <c:pt idx="14">
                    <c:v>2007</c:v>
                  </c:pt>
                  <c:pt idx="16">
                    <c:v>2008</c:v>
                  </c:pt>
                  <c:pt idx="18">
                    <c:v>2009</c:v>
                  </c:pt>
                  <c:pt idx="20">
                    <c:v>2010</c:v>
                  </c:pt>
                  <c:pt idx="22">
                    <c:v>2011</c:v>
                  </c:pt>
                  <c:pt idx="24">
                    <c:v>2012</c:v>
                  </c:pt>
                  <c:pt idx="26">
                    <c:v>2013</c:v>
                  </c:pt>
                  <c:pt idx="28">
                    <c:v>2014</c:v>
                  </c:pt>
                  <c:pt idx="30">
                    <c:v>2015</c:v>
                  </c:pt>
                </c:lvl>
              </c:multiLvlStrCache>
            </c:multiLvlStrRef>
          </c:cat>
          <c:val>
            <c:numRef>
              <c:f>'Confidence in a happy future'!$E$9:$AJ$9</c:f>
              <c:numCache>
                <c:formatCode>General</c:formatCode>
                <c:ptCount val="32"/>
                <c:pt idx="0">
                  <c:v>74</c:v>
                </c:pt>
                <c:pt idx="1">
                  <c:v>69</c:v>
                </c:pt>
                <c:pt idx="2">
                  <c:v>69</c:v>
                </c:pt>
                <c:pt idx="3">
                  <c:v>71</c:v>
                </c:pt>
                <c:pt idx="4">
                  <c:v>70</c:v>
                </c:pt>
                <c:pt idx="5">
                  <c:v>72</c:v>
                </c:pt>
                <c:pt idx="6" formatCode="0">
                  <c:v>75.099999999999994</c:v>
                </c:pt>
                <c:pt idx="7" formatCode="0">
                  <c:v>77.5</c:v>
                </c:pt>
                <c:pt idx="8" formatCode="0">
                  <c:v>85.6</c:v>
                </c:pt>
                <c:pt idx="9" formatCode="0">
                  <c:v>85</c:v>
                </c:pt>
                <c:pt idx="10" formatCode="0">
                  <c:v>85.7</c:v>
                </c:pt>
                <c:pt idx="11" formatCode="0">
                  <c:v>84.2</c:v>
                </c:pt>
                <c:pt idx="12" formatCode="0">
                  <c:v>83.8</c:v>
                </c:pt>
                <c:pt idx="13" formatCode="0">
                  <c:v>79.8</c:v>
                </c:pt>
                <c:pt idx="14" formatCode="0">
                  <c:v>77.8</c:v>
                </c:pt>
                <c:pt idx="15" formatCode="0">
                  <c:v>76.599999999999994</c:v>
                </c:pt>
                <c:pt idx="16" formatCode="0">
                  <c:v>62</c:v>
                </c:pt>
                <c:pt idx="17" formatCode="0">
                  <c:v>60.1</c:v>
                </c:pt>
                <c:pt idx="18" formatCode="0">
                  <c:v>61.7</c:v>
                </c:pt>
                <c:pt idx="19" formatCode="0">
                  <c:v>66</c:v>
                </c:pt>
                <c:pt idx="20" formatCode="0">
                  <c:v>67</c:v>
                </c:pt>
                <c:pt idx="21" formatCode="0">
                  <c:v>66</c:v>
                </c:pt>
                <c:pt idx="22" formatCode="0">
                  <c:v>65</c:v>
                </c:pt>
                <c:pt idx="23" formatCode="0">
                  <c:v>62</c:v>
                </c:pt>
                <c:pt idx="24" formatCode="0">
                  <c:v>63.1</c:v>
                </c:pt>
                <c:pt idx="25" formatCode="0">
                  <c:v>53.3</c:v>
                </c:pt>
                <c:pt idx="26" formatCode="0">
                  <c:v>57</c:v>
                </c:pt>
                <c:pt idx="27" formatCode="0">
                  <c:v>53</c:v>
                </c:pt>
                <c:pt idx="28" formatCode="0">
                  <c:v>66</c:v>
                </c:pt>
                <c:pt idx="29" formatCode="0">
                  <c:v>67</c:v>
                </c:pt>
                <c:pt idx="30" formatCode="0">
                  <c:v>66</c:v>
                </c:pt>
                <c:pt idx="31" formatCode="0">
                  <c:v>68</c:v>
                </c:pt>
              </c:numCache>
            </c:numRef>
          </c:val>
          <c:smooth val="0"/>
          <c:extLst>
            <c:ext xmlns:c16="http://schemas.microsoft.com/office/drawing/2014/chart" uri="{C3380CC4-5D6E-409C-BE32-E72D297353CC}">
              <c16:uniqueId val="{00000000-114B-4963-B1ED-43B1849F69E8}"/>
            </c:ext>
          </c:extLst>
        </c:ser>
        <c:dLbls>
          <c:showLegendKey val="0"/>
          <c:showVal val="0"/>
          <c:showCatName val="0"/>
          <c:showSerName val="0"/>
          <c:showPercent val="0"/>
          <c:showBubbleSize val="0"/>
        </c:dLbls>
        <c:smooth val="0"/>
        <c:axId val="206592656"/>
        <c:axId val="206595400"/>
      </c:lineChart>
      <c:catAx>
        <c:axId val="206592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206595400"/>
        <c:crosses val="autoZero"/>
        <c:auto val="1"/>
        <c:lblAlgn val="ctr"/>
        <c:lblOffset val="100"/>
        <c:tickLblSkip val="1"/>
        <c:tickMarkSkip val="1"/>
        <c:noMultiLvlLbl val="0"/>
      </c:catAx>
      <c:valAx>
        <c:axId val="206595400"/>
        <c:scaling>
          <c:orientation val="minMax"/>
          <c:min val="50"/>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3.1023761533794152E-2"/>
              <c:y val="0.462068965517247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206592656"/>
        <c:crosses val="autoZero"/>
        <c:crossBetween val="between"/>
      </c:valAx>
      <c:spPr>
        <a:noFill/>
        <a:ln w="3175">
          <a:noFill/>
          <a:prstDash val="solid"/>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544" r="0.75000000000000544" t="1" header="0.5" footer="0.5"/>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'Confidence in a happy future'!$AO$58</c:f>
              <c:strCache>
                <c:ptCount val="1"/>
                <c:pt idx="0">
                  <c:v>Confident in a happy future for all races</c:v>
                </c:pt>
              </c:strCache>
            </c:strRef>
          </c:tx>
          <c:spPr>
            <a:ln w="28575" cap="rnd">
              <a:solidFill>
                <a:schemeClr val="accent1"/>
              </a:solidFill>
              <a:round/>
            </a:ln>
            <a:effectLst/>
          </c:spPr>
          <c:marker>
            <c:symbol val="none"/>
          </c:marker>
          <c:cat>
            <c:numRef>
              <c:f>'Confidence in a happy future'!$AP$57:$BF$57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'Confidence in a happy future'!$AP$58:$BF$58</c:f>
              <c:numCache>
                <c:formatCode>General</c:formatCode>
                <c:ptCount val="17"/>
                <c:pt idx="0">
                  <c:v>72</c:v>
                </c:pt>
                <c:pt idx="1">
                  <c:v>70</c:v>
                </c:pt>
                <c:pt idx="2">
                  <c:v>71</c:v>
                </c:pt>
                <c:pt idx="3">
                  <c:v>76</c:v>
                </c:pt>
                <c:pt idx="4">
                  <c:v>85</c:v>
                </c:pt>
                <c:pt idx="5">
                  <c:v>85</c:v>
                </c:pt>
                <c:pt idx="6">
                  <c:v>82</c:v>
                </c:pt>
                <c:pt idx="7">
                  <c:v>77</c:v>
                </c:pt>
                <c:pt idx="8">
                  <c:v>61</c:v>
                </c:pt>
                <c:pt idx="9">
                  <c:v>64</c:v>
                </c:pt>
                <c:pt idx="10">
                  <c:v>67</c:v>
                </c:pt>
                <c:pt idx="11">
                  <c:v>64</c:v>
                </c:pt>
                <c:pt idx="12">
                  <c:v>58</c:v>
                </c:pt>
                <c:pt idx="13">
                  <c:v>55</c:v>
                </c:pt>
                <c:pt idx="14">
                  <c:v>67</c:v>
                </c:pt>
                <c:pt idx="15">
                  <c:v>67</c:v>
                </c:pt>
                <c:pt idx="16">
                  <c:v>60</c:v>
                </c:pt>
              </c:numCache>
            </c:numRef>
          </c:val>
          <c:smooth val="0"/>
          <c:extLst>
            <c:ext xmlns:c16="http://schemas.microsoft.com/office/drawing/2014/chart" uri="{C3380CC4-5D6E-409C-BE32-E72D297353CC}">
              <c16:uniqueId val="{00000000-03FB-4234-AD45-E03D0793DF37}"/>
            </c:ext>
          </c:extLst>
        </c:ser>
        <c:dLbls>
          <c:showLegendKey val="0"/>
          <c:showVal val="0"/>
          <c:showCatName val="0"/>
          <c:showSerName val="0"/>
          <c:showPercent val="0"/>
          <c:showBubbleSize val="0"/>
        </c:dLbls>
        <c:smooth val="0"/>
        <c:axId val="206593832"/>
        <c:axId val="206597752"/>
      </c:lineChart>
      <c:catAx>
        <c:axId val="2065938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597752"/>
        <c:crosses val="autoZero"/>
        <c:auto val="1"/>
        <c:lblAlgn val="ctr"/>
        <c:lblOffset val="100"/>
        <c:noMultiLvlLbl val="0"/>
      </c:catAx>
      <c:valAx>
        <c:axId val="206597752"/>
        <c:scaling>
          <c:orientation val="minMax"/>
        </c:scaling>
        <c:delete val="0"/>
        <c:axPos val="l"/>
        <c:majorGridlines>
          <c:spPr>
            <a:ln w="317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5938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NATIONAL GREENHOUSE GAS (GHG) EMISSIONS TRAJECTORY RANGE</a:t>
            </a:r>
          </a:p>
        </c:rich>
      </c:tx>
      <c:layout>
        <c:manualLayout>
          <c:xMode val="edge"/>
          <c:yMode val="edge"/>
          <c:x val="0.30617970426033364"/>
          <c:y val="2.8835063437139562E-2"/>
        </c:manualLayout>
      </c:layout>
      <c:overlay val="0"/>
      <c:spPr>
        <a:noFill/>
        <a:ln w="25400">
          <a:noFill/>
        </a:ln>
      </c:spPr>
    </c:title>
    <c:autoTitleDeleted val="0"/>
    <c:plotArea>
      <c:layout>
        <c:manualLayout>
          <c:layoutTarget val="inner"/>
          <c:xMode val="edge"/>
          <c:yMode val="edge"/>
          <c:x val="9.2103276573462595E-2"/>
          <c:y val="8.7636342170031509E-2"/>
          <c:w val="0.88984472735300613"/>
          <c:h val="0.8186040263257901"/>
        </c:manualLayout>
      </c:layout>
      <c:lineChart>
        <c:grouping val="standard"/>
        <c:varyColors val="0"/>
        <c:ser>
          <c:idx val="3"/>
          <c:order val="0"/>
          <c:tx>
            <c:strRef>
              <c:f>'Greenhouse Gas Emissions '!$D$8</c:f>
              <c:strCache>
                <c:ptCount val="1"/>
                <c:pt idx="0">
                  <c:v>Benchmark Trajectory Upper Range </c:v>
                </c:pt>
              </c:strCache>
            </c:strRef>
          </c:tx>
          <c:spPr>
            <a:ln>
              <a:solidFill>
                <a:srgbClr val="00F66F"/>
              </a:solidFill>
            </a:ln>
          </c:spPr>
          <c:marker>
            <c:spPr>
              <a:noFill/>
              <a:ln>
                <a:noFill/>
              </a:ln>
            </c:spPr>
          </c:marker>
          <c:cat>
            <c:numRef>
              <c:f>'Greenhouse Gas Emissions '!$F$7:$Z$7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'Greenhouse Gas Emissions '!$F$8:$Z$8</c:f>
              <c:numCache>
                <c:formatCode>General</c:formatCode>
                <c:ptCount val="21"/>
                <c:pt idx="0">
                  <c:v>431</c:v>
                </c:pt>
                <c:pt idx="1">
                  <c:v>442</c:v>
                </c:pt>
                <c:pt idx="2">
                  <c:v>453</c:v>
                </c:pt>
                <c:pt idx="3">
                  <c:v>464</c:v>
                </c:pt>
                <c:pt idx="4">
                  <c:v>475</c:v>
                </c:pt>
                <c:pt idx="5">
                  <c:v>486</c:v>
                </c:pt>
                <c:pt idx="6">
                  <c:v>497</c:v>
                </c:pt>
                <c:pt idx="7">
                  <c:v>508</c:v>
                </c:pt>
                <c:pt idx="8">
                  <c:v>519</c:v>
                </c:pt>
                <c:pt idx="9">
                  <c:v>530</c:v>
                </c:pt>
                <c:pt idx="10">
                  <c:v>547</c:v>
                </c:pt>
                <c:pt idx="11">
                  <c:v>550</c:v>
                </c:pt>
                <c:pt idx="12">
                  <c:v>553</c:v>
                </c:pt>
                <c:pt idx="13">
                  <c:v>556</c:v>
                </c:pt>
                <c:pt idx="14">
                  <c:v>559</c:v>
                </c:pt>
                <c:pt idx="15">
                  <c:v>562</c:v>
                </c:pt>
                <c:pt idx="16">
                  <c:v>565</c:v>
                </c:pt>
                <c:pt idx="17">
                  <c:v>568</c:v>
                </c:pt>
                <c:pt idx="18">
                  <c:v>571</c:v>
                </c:pt>
                <c:pt idx="19">
                  <c:v>574</c:v>
                </c:pt>
                <c:pt idx="20">
                  <c:v>583</c:v>
                </c:pt>
              </c:numCache>
            </c:numRef>
          </c:val>
          <c:smooth val="0"/>
          <c:extLst>
            <c:ext xmlns:c16="http://schemas.microsoft.com/office/drawing/2014/chart" uri="{C3380CC4-5D6E-409C-BE32-E72D297353CC}">
              <c16:uniqueId val="{00000000-5B5D-4F5E-B2FC-87FB8EF9E60A}"/>
            </c:ext>
          </c:extLst>
        </c:ser>
        <c:ser>
          <c:idx val="4"/>
          <c:order val="1"/>
          <c:tx>
            <c:strRef>
              <c:f>'Greenhouse Gas Emissions '!$D$9</c:f>
              <c:strCache>
                <c:ptCount val="1"/>
                <c:pt idx="0">
                  <c:v>Benchmark Trajectory Lower Range </c:v>
                </c:pt>
              </c:strCache>
            </c:strRef>
          </c:tx>
          <c:spPr>
            <a:ln>
              <a:solidFill>
                <a:srgbClr val="FF0000"/>
              </a:solidFill>
            </a:ln>
          </c:spPr>
          <c:marker>
            <c:spPr>
              <a:noFill/>
              <a:ln>
                <a:noFill/>
              </a:ln>
            </c:spPr>
          </c:marker>
          <c:cat>
            <c:numRef>
              <c:f>'Greenhouse Gas Emissions '!$F$7:$Z$7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'Greenhouse Gas Emissions '!$F$9:$Z$9</c:f>
              <c:numCache>
                <c:formatCode>General</c:formatCode>
                <c:ptCount val="21"/>
                <c:pt idx="0">
                  <c:v>398</c:v>
                </c:pt>
                <c:pt idx="1">
                  <c:v>398</c:v>
                </c:pt>
                <c:pt idx="2">
                  <c:v>398</c:v>
                </c:pt>
                <c:pt idx="3">
                  <c:v>398</c:v>
                </c:pt>
                <c:pt idx="4">
                  <c:v>398</c:v>
                </c:pt>
                <c:pt idx="5">
                  <c:v>398</c:v>
                </c:pt>
                <c:pt idx="6">
                  <c:v>398</c:v>
                </c:pt>
                <c:pt idx="7">
                  <c:v>398</c:v>
                </c:pt>
                <c:pt idx="8">
                  <c:v>398</c:v>
                </c:pt>
                <c:pt idx="9">
                  <c:v>398</c:v>
                </c:pt>
                <c:pt idx="10">
                  <c:v>398</c:v>
                </c:pt>
                <c:pt idx="11">
                  <c:v>398</c:v>
                </c:pt>
                <c:pt idx="12">
                  <c:v>398</c:v>
                </c:pt>
                <c:pt idx="13">
                  <c:v>398</c:v>
                </c:pt>
                <c:pt idx="14">
                  <c:v>398</c:v>
                </c:pt>
                <c:pt idx="15">
                  <c:v>398</c:v>
                </c:pt>
                <c:pt idx="16">
                  <c:v>398</c:v>
                </c:pt>
                <c:pt idx="17">
                  <c:v>398</c:v>
                </c:pt>
                <c:pt idx="18">
                  <c:v>398</c:v>
                </c:pt>
                <c:pt idx="19">
                  <c:v>398</c:v>
                </c:pt>
                <c:pt idx="20">
                  <c:v>398</c:v>
                </c:pt>
              </c:numCache>
            </c:numRef>
          </c:val>
          <c:smooth val="0"/>
          <c:extLst>
            <c:ext xmlns:c16="http://schemas.microsoft.com/office/drawing/2014/chart" uri="{C3380CC4-5D6E-409C-BE32-E72D297353CC}">
              <c16:uniqueId val="{00000001-5B5D-4F5E-B2FC-87FB8EF9E60A}"/>
            </c:ext>
          </c:extLst>
        </c:ser>
        <c:ser>
          <c:idx val="5"/>
          <c:order val="2"/>
          <c:tx>
            <c:strRef>
              <c:f>'Greenhouse Gas Emissions '!$D$10</c:f>
              <c:strCache>
                <c:ptCount val="1"/>
                <c:pt idx="0">
                  <c:v>Actual emissions</c:v>
                </c:pt>
              </c:strCache>
            </c:strRef>
          </c:tx>
          <c:spPr>
            <a:ln>
              <a:solidFill>
                <a:srgbClr val="00B0F0"/>
              </a:solidFill>
            </a:ln>
          </c:spPr>
          <c:marker>
            <c:symbol val="none"/>
          </c:marker>
          <c:cat>
            <c:numRef>
              <c:f>'Greenhouse Gas Emissions '!$F$7:$Z$7</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'Greenhouse Gas Emissions '!$F$10:$Z$10</c:f>
              <c:numCache>
                <c:formatCode>0</c:formatCode>
                <c:ptCount val="21"/>
                <c:pt idx="0">
                  <c:v>436</c:v>
                </c:pt>
                <c:pt idx="1">
                  <c:v>438</c:v>
                </c:pt>
                <c:pt idx="2">
                  <c:v>443</c:v>
                </c:pt>
                <c:pt idx="3">
                  <c:v>455</c:v>
                </c:pt>
                <c:pt idx="4">
                  <c:v>474</c:v>
                </c:pt>
                <c:pt idx="5">
                  <c:v>485</c:v>
                </c:pt>
                <c:pt idx="6">
                  <c:v>485</c:v>
                </c:pt>
                <c:pt idx="7">
                  <c:v>518</c:v>
                </c:pt>
                <c:pt idx="8">
                  <c:v>518</c:v>
                </c:pt>
                <c:pt idx="9">
                  <c:v>522</c:v>
                </c:pt>
                <c:pt idx="10">
                  <c:v>511</c:v>
                </c:pt>
                <c:pt idx="11">
                  <c:v>501</c:v>
                </c:pt>
                <c:pt idx="12">
                  <c:v>514</c:v>
                </c:pt>
                <c:pt idx="13">
                  <c:v>509</c:v>
                </c:pt>
                <c:pt idx="14">
                  <c:v>511</c:v>
                </c:pt>
                <c:pt idx="15">
                  <c:v>504</c:v>
                </c:pt>
                <c:pt idx="16">
                  <c:v>481</c:v>
                </c:pt>
                <c:pt idx="17">
                  <c:v>482</c:v>
                </c:pt>
                <c:pt idx="18">
                  <c:v>490</c:v>
                </c:pt>
                <c:pt idx="19">
                  <c:v>476</c:v>
                </c:pt>
                <c:pt idx="20" formatCode="General">
                  <c:v>442</c:v>
                </c:pt>
              </c:numCache>
            </c:numRef>
          </c:val>
          <c:smooth val="0"/>
          <c:extLst>
            <c:ext xmlns:c16="http://schemas.microsoft.com/office/drawing/2014/chart" uri="{C3380CC4-5D6E-409C-BE32-E72D297353CC}">
              <c16:uniqueId val="{00000002-5B5D-4F5E-B2FC-87FB8EF9E60A}"/>
            </c:ext>
          </c:extLst>
        </c:ser>
        <c:dLbls>
          <c:showLegendKey val="0"/>
          <c:showVal val="0"/>
          <c:showCatName val="0"/>
          <c:showSerName val="0"/>
          <c:showPercent val="0"/>
          <c:showBubbleSize val="0"/>
        </c:dLbls>
        <c:marker val="1"/>
        <c:smooth val="0"/>
        <c:axId val="422024304"/>
        <c:axId val="422024696"/>
      </c:lineChart>
      <c:catAx>
        <c:axId val="422024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en-US"/>
          </a:p>
        </c:txPr>
        <c:crossAx val="422024696"/>
        <c:crosses val="autoZero"/>
        <c:auto val="1"/>
        <c:lblAlgn val="ctr"/>
        <c:lblOffset val="100"/>
        <c:tickLblSkip val="1"/>
        <c:tickMarkSkip val="1"/>
        <c:noMultiLvlLbl val="0"/>
      </c:catAx>
      <c:valAx>
        <c:axId val="422024696"/>
        <c:scaling>
          <c:orientation val="minMax"/>
          <c:max val="650"/>
          <c:min val="200"/>
        </c:scaling>
        <c:delete val="0"/>
        <c:axPos val="l"/>
        <c:majorGridlines>
          <c:spPr>
            <a:ln w="3175">
              <a:solidFill>
                <a:srgbClr val="C0C0C0"/>
              </a:solidFill>
              <a:prstDash val="sysDash"/>
            </a:ln>
          </c:spPr>
        </c:majorGridlines>
        <c:title>
          <c:tx>
            <c:rich>
              <a:bodyPr/>
              <a:lstStyle/>
              <a:p>
                <a:pPr>
                  <a:defRPr/>
                </a:pPr>
                <a:r>
                  <a:rPr lang="en-ZA"/>
                  <a:t>(GHG Emissions in Mt CO2-eq</a:t>
                </a:r>
              </a:p>
              <a:p>
                <a:pPr>
                  <a:defRPr/>
                </a:pPr>
                <a:endParaRPr lang="en-ZA"/>
              </a:p>
            </c:rich>
          </c:tx>
          <c:layout>
            <c:manualLayout>
              <c:xMode val="edge"/>
              <c:yMode val="edge"/>
              <c:x val="2.33959285250771E-2"/>
              <c:y val="0.37579813992152616"/>
            </c:manualLayout>
          </c:layout>
          <c:overlay val="0"/>
        </c:title>
        <c:numFmt formatCode="General" sourceLinked="1"/>
        <c:majorTickMark val="none"/>
        <c:minorTickMark val="none"/>
        <c:tickLblPos val="nextTo"/>
        <c:spPr>
          <a:ln w="12700">
            <a:solidFill>
              <a:schemeClr val="tx1"/>
            </a:solidFill>
          </a:ln>
        </c:spPr>
        <c:txPr>
          <a:bodyPr rot="0" vert="horz"/>
          <a:lstStyle/>
          <a:p>
            <a:pPr>
              <a:defRPr/>
            </a:pPr>
            <a:endParaRPr lang="en-US"/>
          </a:p>
        </c:txPr>
        <c:crossAx val="422024304"/>
        <c:crosses val="autoZero"/>
        <c:crossBetween val="between"/>
        <c:majorUnit val="50"/>
      </c:valAx>
    </c:plotArea>
    <c:legend>
      <c:legendPos val="t"/>
      <c:layout>
        <c:manualLayout>
          <c:xMode val="edge"/>
          <c:yMode val="edge"/>
          <c:x val="0.15745861151894019"/>
          <c:y val="9.4120751045068035E-2"/>
          <c:w val="0.61880877358469533"/>
          <c:h val="8.7728589720935987E-2"/>
        </c:manualLayout>
      </c:layout>
      <c:overlay val="0"/>
      <c:txPr>
        <a:bodyPr/>
        <a:lstStyle/>
        <a:p>
          <a:pPr>
            <a:defRPr sz="900"/>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paperSize="9" orientation="landscape"/>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Regional Air Quality Indices</a:t>
            </a:r>
          </a:p>
        </c:rich>
      </c:tx>
      <c:layout>
        <c:manualLayout>
          <c:xMode val="edge"/>
          <c:yMode val="edge"/>
          <c:x val="0.39873508769150334"/>
          <c:y val="3.4602076124567477E-2"/>
        </c:manualLayout>
      </c:layout>
      <c:overlay val="0"/>
      <c:spPr>
        <a:noFill/>
        <a:ln w="25400">
          <a:noFill/>
        </a:ln>
      </c:spPr>
    </c:title>
    <c:autoTitleDeleted val="0"/>
    <c:plotArea>
      <c:layout>
        <c:manualLayout>
          <c:layoutTarget val="inner"/>
          <c:xMode val="edge"/>
          <c:yMode val="edge"/>
          <c:x val="9.2103276573462595E-2"/>
          <c:y val="8.7636342170031509E-2"/>
          <c:w val="0.71184578258240816"/>
          <c:h val="0.80630759523639617"/>
        </c:manualLayout>
      </c:layout>
      <c:lineChart>
        <c:grouping val="standard"/>
        <c:varyColors val="0"/>
        <c:ser>
          <c:idx val="3"/>
          <c:order val="0"/>
          <c:tx>
            <c:strRef>
              <c:f>'Air Quality Indicators'!$D$8</c:f>
              <c:strCache>
                <c:ptCount val="1"/>
                <c:pt idx="0">
                  <c:v>National Air Quality Indicator (NAQI)</c:v>
                </c:pt>
              </c:strCache>
            </c:strRef>
          </c:tx>
          <c:spPr>
            <a:ln w="38100">
              <a:solidFill>
                <a:schemeClr val="accent6">
                  <a:lumMod val="50000"/>
                </a:schemeClr>
              </a:solidFill>
            </a:ln>
          </c:spPr>
          <c:marker>
            <c:spPr>
              <a:noFill/>
              <a:ln>
                <a:noFill/>
              </a:ln>
            </c:spPr>
          </c:marker>
          <c:cat>
            <c:numRef>
              <c:f>'Air Quality Indicators'!$E$7:$V$7</c:f>
              <c:numCache>
                <c:formatCode>General</c:formatCode>
                <c:ptCount val="18"/>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numCache>
            </c:numRef>
          </c:cat>
          <c:val>
            <c:numRef>
              <c:f>'Air Quality Indicators'!$E$8:$V$8</c:f>
              <c:numCache>
                <c:formatCode>0.00</c:formatCode>
                <c:ptCount val="18"/>
                <c:pt idx="0">
                  <c:v>0.81743181818181809</c:v>
                </c:pt>
                <c:pt idx="1">
                  <c:v>0.88807692307692299</c:v>
                </c:pt>
                <c:pt idx="2">
                  <c:v>0.84668750000000004</c:v>
                </c:pt>
                <c:pt idx="3">
                  <c:v>1.1520499999999998</c:v>
                </c:pt>
                <c:pt idx="4">
                  <c:v>1.1875192307692306</c:v>
                </c:pt>
                <c:pt idx="5">
                  <c:v>1.2734032258064516</c:v>
                </c:pt>
                <c:pt idx="6">
                  <c:v>1.2222105263157896</c:v>
                </c:pt>
                <c:pt idx="7">
                  <c:v>1.0280750000000001</c:v>
                </c:pt>
                <c:pt idx="8">
                  <c:v>1.0788124999999997</c:v>
                </c:pt>
                <c:pt idx="9">
                  <c:v>1.05315</c:v>
                </c:pt>
                <c:pt idx="10">
                  <c:v>0.97507978723404243</c:v>
                </c:pt>
                <c:pt idx="11">
                  <c:v>1.0399112903225807</c:v>
                </c:pt>
                <c:pt idx="12">
                  <c:v>1.0354827586206894</c:v>
                </c:pt>
                <c:pt idx="13">
                  <c:v>0.97449807805253263</c:v>
                </c:pt>
                <c:pt idx="14">
                  <c:v>0.99</c:v>
                </c:pt>
                <c:pt idx="15">
                  <c:v>1.26</c:v>
                </c:pt>
                <c:pt idx="16">
                  <c:v>1.1200000000000001</c:v>
                </c:pt>
                <c:pt idx="17" formatCode="General">
                  <c:v>1.1399999999999999</c:v>
                </c:pt>
              </c:numCache>
            </c:numRef>
          </c:val>
          <c:smooth val="0"/>
          <c:extLst>
            <c:ext xmlns:c16="http://schemas.microsoft.com/office/drawing/2014/chart" uri="{C3380CC4-5D6E-409C-BE32-E72D297353CC}">
              <c16:uniqueId val="{00000000-3209-4E6E-9FD9-27F63DC6B9BE}"/>
            </c:ext>
          </c:extLst>
        </c:ser>
        <c:ser>
          <c:idx val="4"/>
          <c:order val="1"/>
          <c:tx>
            <c:strRef>
              <c:f>'Air Quality Indicators'!$D$9</c:f>
              <c:strCache>
                <c:ptCount val="1"/>
                <c:pt idx="0">
                  <c:v>Priority Area Air Quality Index for the Vaal Triangle Priority Area (PAAQI-VTPA)</c:v>
                </c:pt>
              </c:strCache>
            </c:strRef>
          </c:tx>
          <c:spPr>
            <a:ln w="38100">
              <a:solidFill>
                <a:srgbClr val="FF0000"/>
              </a:solidFill>
            </a:ln>
          </c:spPr>
          <c:marker>
            <c:spPr>
              <a:noFill/>
              <a:ln>
                <a:noFill/>
              </a:ln>
            </c:spPr>
          </c:marker>
          <c:cat>
            <c:numRef>
              <c:f>'Air Quality Indicators'!$E$7:$V$7</c:f>
              <c:numCache>
                <c:formatCode>General</c:formatCode>
                <c:ptCount val="18"/>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numCache>
            </c:numRef>
          </c:cat>
          <c:val>
            <c:numRef>
              <c:f>'Air Quality Indicators'!$E$9:$V$9</c:f>
              <c:numCache>
                <c:formatCode>0.00</c:formatCode>
                <c:ptCount val="18"/>
                <c:pt idx="3">
                  <c:v>1.43</c:v>
                </c:pt>
                <c:pt idx="4">
                  <c:v>1.54</c:v>
                </c:pt>
                <c:pt idx="5">
                  <c:v>1.51</c:v>
                </c:pt>
                <c:pt idx="6">
                  <c:v>1.53</c:v>
                </c:pt>
                <c:pt idx="7">
                  <c:v>1.51</c:v>
                </c:pt>
                <c:pt idx="8">
                  <c:v>1.53</c:v>
                </c:pt>
                <c:pt idx="9">
                  <c:v>1.35</c:v>
                </c:pt>
                <c:pt idx="10">
                  <c:v>1.28</c:v>
                </c:pt>
                <c:pt idx="11">
                  <c:v>1.3</c:v>
                </c:pt>
                <c:pt idx="12">
                  <c:v>1.5</c:v>
                </c:pt>
                <c:pt idx="13">
                  <c:v>1.02</c:v>
                </c:pt>
                <c:pt idx="14">
                  <c:v>1.17</c:v>
                </c:pt>
                <c:pt idx="15">
                  <c:v>1.17</c:v>
                </c:pt>
                <c:pt idx="16">
                  <c:v>1.1399999999999999</c:v>
                </c:pt>
                <c:pt idx="17" formatCode="General">
                  <c:v>1.32</c:v>
                </c:pt>
              </c:numCache>
            </c:numRef>
          </c:val>
          <c:smooth val="0"/>
          <c:extLst>
            <c:ext xmlns:c16="http://schemas.microsoft.com/office/drawing/2014/chart" uri="{C3380CC4-5D6E-409C-BE32-E72D297353CC}">
              <c16:uniqueId val="{00000001-3209-4E6E-9FD9-27F63DC6B9BE}"/>
            </c:ext>
          </c:extLst>
        </c:ser>
        <c:ser>
          <c:idx val="5"/>
          <c:order val="2"/>
          <c:tx>
            <c:strRef>
              <c:f>'Air Quality Indicators'!$D$10</c:f>
              <c:strCache>
                <c:ptCount val="1"/>
                <c:pt idx="0">
                  <c:v>Priority Area Air Quality Index for the Highveld priority Area (PAAQI-HPA)</c:v>
                </c:pt>
              </c:strCache>
            </c:strRef>
          </c:tx>
          <c:spPr>
            <a:ln w="38100">
              <a:solidFill>
                <a:schemeClr val="accent6">
                  <a:lumMod val="75000"/>
                </a:schemeClr>
              </a:solidFill>
              <a:prstDash val="dash"/>
            </a:ln>
          </c:spPr>
          <c:marker>
            <c:symbol val="none"/>
          </c:marker>
          <c:cat>
            <c:numRef>
              <c:f>'Air Quality Indicators'!$E$7:$V$7</c:f>
              <c:numCache>
                <c:formatCode>General</c:formatCode>
                <c:ptCount val="18"/>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numCache>
            </c:numRef>
          </c:cat>
          <c:val>
            <c:numRef>
              <c:f>'Air Quality Indicators'!$E$10:$V$10</c:f>
              <c:numCache>
                <c:formatCode>0.00</c:formatCode>
                <c:ptCount val="18"/>
                <c:pt idx="4">
                  <c:v>1.5</c:v>
                </c:pt>
                <c:pt idx="5">
                  <c:v>1.28</c:v>
                </c:pt>
                <c:pt idx="6">
                  <c:v>1.4</c:v>
                </c:pt>
                <c:pt idx="7">
                  <c:v>1.35</c:v>
                </c:pt>
                <c:pt idx="8">
                  <c:v>1.3</c:v>
                </c:pt>
                <c:pt idx="9">
                  <c:v>1.39</c:v>
                </c:pt>
                <c:pt idx="10">
                  <c:v>0.89</c:v>
                </c:pt>
                <c:pt idx="11">
                  <c:v>1.22</c:v>
                </c:pt>
                <c:pt idx="12">
                  <c:v>0.85</c:v>
                </c:pt>
                <c:pt idx="13">
                  <c:v>1.1000000000000001</c:v>
                </c:pt>
                <c:pt idx="14">
                  <c:v>1.44</c:v>
                </c:pt>
                <c:pt idx="15">
                  <c:v>1.18</c:v>
                </c:pt>
                <c:pt idx="16">
                  <c:v>0.97</c:v>
                </c:pt>
                <c:pt idx="17" formatCode="General">
                  <c:v>0.9</c:v>
                </c:pt>
              </c:numCache>
            </c:numRef>
          </c:val>
          <c:smooth val="0"/>
          <c:extLst>
            <c:ext xmlns:c16="http://schemas.microsoft.com/office/drawing/2014/chart" uri="{C3380CC4-5D6E-409C-BE32-E72D297353CC}">
              <c16:uniqueId val="{00000002-3209-4E6E-9FD9-27F63DC6B9BE}"/>
            </c:ext>
          </c:extLst>
        </c:ser>
        <c:ser>
          <c:idx val="0"/>
          <c:order val="3"/>
          <c:tx>
            <c:strRef>
              <c:f>'Air Quality Indicators'!$D$11</c:f>
              <c:strCache>
                <c:ptCount val="1"/>
                <c:pt idx="0">
                  <c:v>AcPriority Area Air Quality Index for the Highveld Priority Area (PAAQI-WBPA)ceptability threshold</c:v>
                </c:pt>
              </c:strCache>
            </c:strRef>
          </c:tx>
          <c:spPr>
            <a:ln w="38100">
              <a:solidFill>
                <a:srgbClr val="C00000"/>
              </a:solidFill>
            </a:ln>
          </c:spPr>
          <c:marker>
            <c:symbol val="none"/>
          </c:marker>
          <c:dPt>
            <c:idx val="0"/>
            <c:bubble3D val="0"/>
            <c:spPr>
              <a:ln w="38100" cap="flat">
                <a:solidFill>
                  <a:srgbClr val="C00000"/>
                </a:solidFill>
                <a:miter lim="800000"/>
              </a:ln>
            </c:spPr>
            <c:extLst>
              <c:ext xmlns:c16="http://schemas.microsoft.com/office/drawing/2014/chart" uri="{C3380CC4-5D6E-409C-BE32-E72D297353CC}">
                <c16:uniqueId val="{00000005-3209-4E6E-9FD9-27F63DC6B9BE}"/>
              </c:ext>
            </c:extLst>
          </c:dPt>
          <c:cat>
            <c:numRef>
              <c:f>'Air Quality Indicators'!$E$7:$V$7</c:f>
              <c:numCache>
                <c:formatCode>General</c:formatCode>
                <c:ptCount val="18"/>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numCache>
            </c:numRef>
          </c:cat>
          <c:val>
            <c:numRef>
              <c:f>'Air Quality Indicators'!$E$11:$V$11</c:f>
              <c:numCache>
                <c:formatCode>0.00</c:formatCode>
                <c:ptCount val="18"/>
                <c:pt idx="9">
                  <c:v>1.08</c:v>
                </c:pt>
                <c:pt idx="10">
                  <c:v>0.93</c:v>
                </c:pt>
                <c:pt idx="11">
                  <c:v>0.72</c:v>
                </c:pt>
                <c:pt idx="12">
                  <c:v>1.07</c:v>
                </c:pt>
                <c:pt idx="13">
                  <c:v>1.04</c:v>
                </c:pt>
                <c:pt idx="14">
                  <c:v>1.1100000000000001</c:v>
                </c:pt>
                <c:pt idx="15">
                  <c:v>1.28</c:v>
                </c:pt>
                <c:pt idx="16">
                  <c:v>0.99</c:v>
                </c:pt>
                <c:pt idx="17" formatCode="General">
                  <c:v>1.1100000000000001</c:v>
                </c:pt>
              </c:numCache>
            </c:numRef>
          </c:val>
          <c:smooth val="0"/>
          <c:extLst>
            <c:ext xmlns:c16="http://schemas.microsoft.com/office/drawing/2014/chart" uri="{C3380CC4-5D6E-409C-BE32-E72D297353CC}">
              <c16:uniqueId val="{00000003-3209-4E6E-9FD9-27F63DC6B9BE}"/>
            </c:ext>
          </c:extLst>
        </c:ser>
        <c:dLbls>
          <c:showLegendKey val="0"/>
          <c:showVal val="0"/>
          <c:showCatName val="0"/>
          <c:showSerName val="0"/>
          <c:showPercent val="0"/>
          <c:showBubbleSize val="0"/>
        </c:dLbls>
        <c:marker val="1"/>
        <c:smooth val="0"/>
        <c:axId val="714542312"/>
        <c:axId val="714558384"/>
      </c:lineChart>
      <c:catAx>
        <c:axId val="7145423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en-US"/>
          </a:p>
        </c:txPr>
        <c:crossAx val="714558384"/>
        <c:crosses val="autoZero"/>
        <c:auto val="1"/>
        <c:lblAlgn val="ctr"/>
        <c:lblOffset val="100"/>
        <c:tickLblSkip val="1"/>
        <c:tickMarkSkip val="1"/>
        <c:noMultiLvlLbl val="0"/>
      </c:catAx>
      <c:valAx>
        <c:axId val="714558384"/>
        <c:scaling>
          <c:orientation val="minMax"/>
          <c:max val="1.6"/>
          <c:min val="0"/>
        </c:scaling>
        <c:delete val="0"/>
        <c:axPos val="l"/>
        <c:majorGridlines>
          <c:spPr>
            <a:ln w="3175">
              <a:solidFill>
                <a:srgbClr val="C0C0C0"/>
              </a:solidFill>
              <a:prstDash val="sysDash"/>
            </a:ln>
          </c:spPr>
        </c:majorGridlines>
        <c:title>
          <c:tx>
            <c:rich>
              <a:bodyPr/>
              <a:lstStyle/>
              <a:p>
                <a:pPr>
                  <a:defRPr/>
                </a:pPr>
                <a:r>
                  <a:rPr lang="en-ZA"/>
                  <a:t>(GHG Emissions in Mt CO2-eq</a:t>
                </a:r>
              </a:p>
              <a:p>
                <a:pPr>
                  <a:defRPr/>
                </a:pPr>
                <a:endParaRPr lang="en-ZA"/>
              </a:p>
            </c:rich>
          </c:tx>
          <c:layout>
            <c:manualLayout>
              <c:xMode val="edge"/>
              <c:yMode val="edge"/>
              <c:x val="2.33959285250771E-2"/>
              <c:y val="0.37579813992152616"/>
            </c:manualLayout>
          </c:layout>
          <c:overlay val="0"/>
        </c:title>
        <c:numFmt formatCode="0.0" sourceLinked="0"/>
        <c:majorTickMark val="none"/>
        <c:minorTickMark val="none"/>
        <c:tickLblPos val="nextTo"/>
        <c:spPr>
          <a:ln w="12700">
            <a:solidFill>
              <a:schemeClr val="tx1"/>
            </a:solidFill>
          </a:ln>
        </c:spPr>
        <c:txPr>
          <a:bodyPr rot="0" vert="horz"/>
          <a:lstStyle/>
          <a:p>
            <a:pPr>
              <a:defRPr/>
            </a:pPr>
            <a:endParaRPr lang="en-US"/>
          </a:p>
        </c:txPr>
        <c:crossAx val="714542312"/>
        <c:crosses val="autoZero"/>
        <c:crossBetween val="between"/>
      </c:valAx>
      <c:spPr>
        <a:gradFill>
          <a:gsLst>
            <a:gs pos="0">
              <a:schemeClr val="accent6">
                <a:lumMod val="75000"/>
                <a:alpha val="0"/>
              </a:schemeClr>
            </a:gs>
            <a:gs pos="86000">
              <a:schemeClr val="tx2">
                <a:lumMod val="40000"/>
                <a:lumOff val="60000"/>
                <a:alpha val="59000"/>
              </a:schemeClr>
            </a:gs>
            <a:gs pos="43000">
              <a:schemeClr val="bg1"/>
            </a:gs>
            <a:gs pos="100000">
              <a:schemeClr val="tx2">
                <a:lumMod val="60000"/>
                <a:lumOff val="40000"/>
              </a:schemeClr>
            </a:gs>
          </a:gsLst>
          <a:lin ang="5400000" scaled="1"/>
        </a:gradFill>
      </c:spPr>
    </c:plotArea>
    <c:legend>
      <c:legendPos val="r"/>
      <c:layout>
        <c:manualLayout>
          <c:xMode val="edge"/>
          <c:yMode val="edge"/>
          <c:x val="0.79341604052719994"/>
          <c:y val="9.8476282592703593E-2"/>
          <c:w val="0.18780466263870835"/>
          <c:h val="0.66818666669978033"/>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paperSize="9"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Terrestrial Protected Areas Representivity</a:t>
            </a:r>
          </a:p>
        </c:rich>
      </c:tx>
      <c:layout>
        <c:manualLayout>
          <c:xMode val="edge"/>
          <c:yMode val="edge"/>
          <c:x val="0.29813146596112106"/>
          <c:y val="3.4602076124567477E-2"/>
        </c:manualLayout>
      </c:layout>
      <c:overlay val="0"/>
      <c:spPr>
        <a:noFill/>
        <a:ln w="25400">
          <a:noFill/>
        </a:ln>
      </c:spPr>
    </c:title>
    <c:autoTitleDeleted val="0"/>
    <c:plotArea>
      <c:layout>
        <c:manualLayout>
          <c:layoutTarget val="inner"/>
          <c:xMode val="edge"/>
          <c:yMode val="edge"/>
          <c:x val="9.2103276573462595E-2"/>
          <c:y val="8.7636342170031509E-2"/>
          <c:w val="0.67131901777288772"/>
          <c:h val="0.80630759523639617"/>
        </c:manualLayout>
      </c:layout>
      <c:lineChart>
        <c:grouping val="standard"/>
        <c:varyColors val="0"/>
        <c:ser>
          <c:idx val="3"/>
          <c:order val="0"/>
          <c:tx>
            <c:strRef>
              <c:f>'Terresterial Biodiversity'!$D$9</c:f>
              <c:strCache>
                <c:ptCount val="1"/>
                <c:pt idx="0">
                  <c:v>Per cent land mass under protection</c:v>
                </c:pt>
              </c:strCache>
            </c:strRef>
          </c:tx>
          <c:spPr>
            <a:ln w="38100">
              <a:solidFill>
                <a:schemeClr val="accent6">
                  <a:lumMod val="50000"/>
                </a:schemeClr>
              </a:solidFill>
            </a:ln>
          </c:spPr>
          <c:marker>
            <c:spPr>
              <a:noFill/>
              <a:ln>
                <a:noFill/>
              </a:ln>
            </c:spPr>
          </c:marker>
          <c:cat>
            <c:numRef>
              <c:f>'Terresterial Biodiversity'!$E$8:$O$8</c:f>
              <c:numCache>
                <c:formatCode>General</c:formatCode>
                <c:ptCount val="11"/>
                <c:pt idx="0">
                  <c:v>1990</c:v>
                </c:pt>
                <c:pt idx="1">
                  <c:v>2000</c:v>
                </c:pt>
                <c:pt idx="2">
                  <c:v>2010</c:v>
                </c:pt>
                <c:pt idx="3">
                  <c:v>2014</c:v>
                </c:pt>
                <c:pt idx="4">
                  <c:v>2015</c:v>
                </c:pt>
                <c:pt idx="5">
                  <c:v>2016</c:v>
                </c:pt>
                <c:pt idx="6">
                  <c:v>2017</c:v>
                </c:pt>
                <c:pt idx="7">
                  <c:v>2018</c:v>
                </c:pt>
                <c:pt idx="8">
                  <c:v>2019</c:v>
                </c:pt>
                <c:pt idx="9">
                  <c:v>2020</c:v>
                </c:pt>
                <c:pt idx="10">
                  <c:v>2021</c:v>
                </c:pt>
              </c:numCache>
            </c:numRef>
          </c:cat>
          <c:val>
            <c:numRef>
              <c:f>'Terresterial Biodiversity'!$E$9:$O$9</c:f>
              <c:numCache>
                <c:formatCode>0.00%</c:formatCode>
                <c:ptCount val="11"/>
                <c:pt idx="0">
                  <c:v>6.2905562615290012E-2</c:v>
                </c:pt>
                <c:pt idx="1">
                  <c:v>7.2009335217052675E-2</c:v>
                </c:pt>
                <c:pt idx="2">
                  <c:v>8.3885977827423658E-2</c:v>
                </c:pt>
                <c:pt idx="3">
                  <c:v>8.7112406640705062E-2</c:v>
                </c:pt>
                <c:pt idx="4">
                  <c:v>8.7813847099815531E-2</c:v>
                </c:pt>
                <c:pt idx="5">
                  <c:v>9.1446535872104939E-2</c:v>
                </c:pt>
                <c:pt idx="6">
                  <c:v>9.1446535872104939E-2</c:v>
                </c:pt>
                <c:pt idx="7">
                  <c:v>9.3933314252100844E-2</c:v>
                </c:pt>
                <c:pt idx="8">
                  <c:v>9.4424410980938719E-2</c:v>
                </c:pt>
                <c:pt idx="9">
                  <c:v>9.619785201885632E-2</c:v>
                </c:pt>
                <c:pt idx="10">
                  <c:v>9.8299999999999998E-2</c:v>
                </c:pt>
              </c:numCache>
            </c:numRef>
          </c:val>
          <c:smooth val="0"/>
          <c:extLst>
            <c:ext xmlns:c16="http://schemas.microsoft.com/office/drawing/2014/chart" uri="{C3380CC4-5D6E-409C-BE32-E72D297353CC}">
              <c16:uniqueId val="{00000000-0A56-44CD-AA52-E09526255DEE}"/>
            </c:ext>
          </c:extLst>
        </c:ser>
        <c:ser>
          <c:idx val="4"/>
          <c:order val="1"/>
          <c:tx>
            <c:strRef>
              <c:f>'Terresterial Biodiversity'!$D$10</c:f>
              <c:strCache>
                <c:ptCount val="1"/>
                <c:pt idx="0">
                  <c:v>Outcome 10 Target for land mass under protection</c:v>
                </c:pt>
              </c:strCache>
            </c:strRef>
          </c:tx>
          <c:spPr>
            <a:ln w="38100">
              <a:solidFill>
                <a:srgbClr val="FF0000"/>
              </a:solidFill>
            </a:ln>
          </c:spPr>
          <c:marker>
            <c:spPr>
              <a:noFill/>
              <a:ln>
                <a:noFill/>
              </a:ln>
            </c:spPr>
          </c:marker>
          <c:cat>
            <c:numRef>
              <c:f>'Terresterial Biodiversity'!$E$8:$O$8</c:f>
              <c:numCache>
                <c:formatCode>General</c:formatCode>
                <c:ptCount val="11"/>
                <c:pt idx="0">
                  <c:v>1990</c:v>
                </c:pt>
                <c:pt idx="1">
                  <c:v>2000</c:v>
                </c:pt>
                <c:pt idx="2">
                  <c:v>2010</c:v>
                </c:pt>
                <c:pt idx="3">
                  <c:v>2014</c:v>
                </c:pt>
                <c:pt idx="4">
                  <c:v>2015</c:v>
                </c:pt>
                <c:pt idx="5">
                  <c:v>2016</c:v>
                </c:pt>
                <c:pt idx="6">
                  <c:v>2017</c:v>
                </c:pt>
                <c:pt idx="7">
                  <c:v>2018</c:v>
                </c:pt>
                <c:pt idx="8">
                  <c:v>2019</c:v>
                </c:pt>
                <c:pt idx="9">
                  <c:v>2020</c:v>
                </c:pt>
                <c:pt idx="10">
                  <c:v>2021</c:v>
                </c:pt>
              </c:numCache>
            </c:numRef>
          </c:cat>
          <c:val>
            <c:numRef>
              <c:f>'Terresterial Biodiversity'!$E$10:$O$10</c:f>
              <c:numCache>
                <c:formatCode>0.00%</c:formatCode>
                <c:ptCount val="11"/>
                <c:pt idx="0">
                  <c:v>0</c:v>
                </c:pt>
                <c:pt idx="1">
                  <c:v>7.2009335217052675E-2</c:v>
                </c:pt>
                <c:pt idx="2">
                  <c:v>0.10350466760852634</c:v>
                </c:pt>
                <c:pt idx="3">
                  <c:v>0.11610280056511579</c:v>
                </c:pt>
                <c:pt idx="4">
                  <c:v>0.11925233380426316</c:v>
                </c:pt>
                <c:pt idx="5">
                  <c:v>0.1255514002825579</c:v>
                </c:pt>
                <c:pt idx="6">
                  <c:v>0.1255514002825579</c:v>
                </c:pt>
                <c:pt idx="7">
                  <c:v>0.12870093352170528</c:v>
                </c:pt>
                <c:pt idx="8">
                  <c:v>0.13185046676085266</c:v>
                </c:pt>
                <c:pt idx="9">
                  <c:v>0.13500000000000004</c:v>
                </c:pt>
                <c:pt idx="10">
                  <c:v>0.14199999999999999</c:v>
                </c:pt>
              </c:numCache>
            </c:numRef>
          </c:val>
          <c:smooth val="0"/>
          <c:extLst>
            <c:ext xmlns:c16="http://schemas.microsoft.com/office/drawing/2014/chart" uri="{C3380CC4-5D6E-409C-BE32-E72D297353CC}">
              <c16:uniqueId val="{00000001-0A56-44CD-AA52-E09526255DEE}"/>
            </c:ext>
          </c:extLst>
        </c:ser>
        <c:ser>
          <c:idx val="5"/>
          <c:order val="2"/>
          <c:tx>
            <c:strRef>
              <c:f>'Terresterial Biodiversity'!$D$11</c:f>
              <c:strCache>
                <c:ptCount val="1"/>
                <c:pt idx="0">
                  <c:v>Terrestrial Biodiversity Protection Index</c:v>
                </c:pt>
              </c:strCache>
            </c:strRef>
          </c:tx>
          <c:spPr>
            <a:ln w="38100">
              <a:solidFill>
                <a:schemeClr val="accent6">
                  <a:lumMod val="75000"/>
                </a:schemeClr>
              </a:solidFill>
              <a:prstDash val="dash"/>
            </a:ln>
          </c:spPr>
          <c:marker>
            <c:symbol val="none"/>
          </c:marker>
          <c:cat>
            <c:numRef>
              <c:f>'Terresterial Biodiversity'!$E$8:$O$8</c:f>
              <c:numCache>
                <c:formatCode>General</c:formatCode>
                <c:ptCount val="11"/>
                <c:pt idx="0">
                  <c:v>1990</c:v>
                </c:pt>
                <c:pt idx="1">
                  <c:v>2000</c:v>
                </c:pt>
                <c:pt idx="2">
                  <c:v>2010</c:v>
                </c:pt>
                <c:pt idx="3">
                  <c:v>2014</c:v>
                </c:pt>
                <c:pt idx="4">
                  <c:v>2015</c:v>
                </c:pt>
                <c:pt idx="5">
                  <c:v>2016</c:v>
                </c:pt>
                <c:pt idx="6">
                  <c:v>2017</c:v>
                </c:pt>
                <c:pt idx="7">
                  <c:v>2018</c:v>
                </c:pt>
                <c:pt idx="8">
                  <c:v>2019</c:v>
                </c:pt>
                <c:pt idx="9">
                  <c:v>2020</c:v>
                </c:pt>
                <c:pt idx="10">
                  <c:v>2021</c:v>
                </c:pt>
              </c:numCache>
            </c:numRef>
          </c:cat>
          <c:val>
            <c:numRef>
              <c:f>'Terresterial Biodiversity'!$E$11:$O$11</c:f>
              <c:numCache>
                <c:formatCode>0.00%</c:formatCode>
                <c:ptCount val="11"/>
                <c:pt idx="0">
                  <c:v>4.02E-2</c:v>
                </c:pt>
                <c:pt idx="1">
                  <c:v>4.5699999999999998E-2</c:v>
                </c:pt>
                <c:pt idx="2">
                  <c:v>5.1700000000000003E-2</c:v>
                </c:pt>
                <c:pt idx="3">
                  <c:v>5.3800000000000001E-2</c:v>
                </c:pt>
                <c:pt idx="4">
                  <c:v>5.4399999999999997E-2</c:v>
                </c:pt>
                <c:pt idx="5">
                  <c:v>5.6800000000000003E-2</c:v>
                </c:pt>
                <c:pt idx="6">
                  <c:v>5.7500000000000002E-2</c:v>
                </c:pt>
                <c:pt idx="7">
                  <c:v>6.0699999999999997E-2</c:v>
                </c:pt>
                <c:pt idx="8">
                  <c:v>6.1100000000000002E-2</c:v>
                </c:pt>
                <c:pt idx="9">
                  <c:v>6.2799999999999995E-2</c:v>
                </c:pt>
                <c:pt idx="10">
                  <c:v>6.59E-2</c:v>
                </c:pt>
              </c:numCache>
            </c:numRef>
          </c:val>
          <c:smooth val="0"/>
          <c:extLst>
            <c:ext xmlns:c16="http://schemas.microsoft.com/office/drawing/2014/chart" uri="{C3380CC4-5D6E-409C-BE32-E72D297353CC}">
              <c16:uniqueId val="{00000002-0A56-44CD-AA52-E09526255DEE}"/>
            </c:ext>
          </c:extLst>
        </c:ser>
        <c:ser>
          <c:idx val="0"/>
          <c:order val="3"/>
          <c:tx>
            <c:strRef>
              <c:f>'Terresterial Biodiversity'!$D$12</c:f>
              <c:strCache>
                <c:ptCount val="1"/>
                <c:pt idx="0">
                  <c:v>Aichi Target</c:v>
                </c:pt>
              </c:strCache>
            </c:strRef>
          </c:tx>
          <c:spPr>
            <a:ln w="38100">
              <a:solidFill>
                <a:srgbClr val="C00000"/>
              </a:solidFill>
            </a:ln>
          </c:spPr>
          <c:marker>
            <c:symbol val="none"/>
          </c:marker>
          <c:cat>
            <c:numRef>
              <c:f>'Terresterial Biodiversity'!$E$8:$O$8</c:f>
              <c:numCache>
                <c:formatCode>General</c:formatCode>
                <c:ptCount val="11"/>
                <c:pt idx="0">
                  <c:v>1990</c:v>
                </c:pt>
                <c:pt idx="1">
                  <c:v>2000</c:v>
                </c:pt>
                <c:pt idx="2">
                  <c:v>2010</c:v>
                </c:pt>
                <c:pt idx="3">
                  <c:v>2014</c:v>
                </c:pt>
                <c:pt idx="4">
                  <c:v>2015</c:v>
                </c:pt>
                <c:pt idx="5">
                  <c:v>2016</c:v>
                </c:pt>
                <c:pt idx="6">
                  <c:v>2017</c:v>
                </c:pt>
                <c:pt idx="7">
                  <c:v>2018</c:v>
                </c:pt>
                <c:pt idx="8">
                  <c:v>2019</c:v>
                </c:pt>
                <c:pt idx="9">
                  <c:v>2020</c:v>
                </c:pt>
                <c:pt idx="10">
                  <c:v>2021</c:v>
                </c:pt>
              </c:numCache>
            </c:numRef>
          </c:cat>
          <c:val>
            <c:numRef>
              <c:f>'Terresterial Biodiversity'!$E$12:$O$12</c:f>
              <c:numCache>
                <c:formatCode>0.00%</c:formatCode>
                <c:ptCount val="11"/>
                <c:pt idx="2">
                  <c:v>8.3885977827423658E-2</c:v>
                </c:pt>
                <c:pt idx="3">
                  <c:v>0.11833158669645422</c:v>
                </c:pt>
                <c:pt idx="4">
                  <c:v>0.12694298891371186</c:v>
                </c:pt>
                <c:pt idx="5">
                  <c:v>0.13555439113096951</c:v>
                </c:pt>
                <c:pt idx="6">
                  <c:v>0.14416579334822716</c:v>
                </c:pt>
                <c:pt idx="7">
                  <c:v>0.1527771955654848</c:v>
                </c:pt>
                <c:pt idx="8">
                  <c:v>0.16138859778274245</c:v>
                </c:pt>
                <c:pt idx="9">
                  <c:v>0.1700000000000001</c:v>
                </c:pt>
              </c:numCache>
            </c:numRef>
          </c:val>
          <c:smooth val="0"/>
          <c:extLst>
            <c:ext xmlns:c16="http://schemas.microsoft.com/office/drawing/2014/chart" uri="{C3380CC4-5D6E-409C-BE32-E72D297353CC}">
              <c16:uniqueId val="{00000003-0A56-44CD-AA52-E09526255DEE}"/>
            </c:ext>
          </c:extLst>
        </c:ser>
        <c:dLbls>
          <c:showLegendKey val="0"/>
          <c:showVal val="0"/>
          <c:showCatName val="0"/>
          <c:showSerName val="0"/>
          <c:showPercent val="0"/>
          <c:showBubbleSize val="0"/>
        </c:dLbls>
        <c:marker val="1"/>
        <c:smooth val="0"/>
        <c:axId val="414986304"/>
        <c:axId val="414987872"/>
      </c:lineChart>
      <c:catAx>
        <c:axId val="414986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en-US"/>
          </a:p>
        </c:txPr>
        <c:crossAx val="414987872"/>
        <c:crosses val="autoZero"/>
        <c:auto val="1"/>
        <c:lblAlgn val="ctr"/>
        <c:lblOffset val="100"/>
        <c:tickLblSkip val="1"/>
        <c:tickMarkSkip val="1"/>
        <c:noMultiLvlLbl val="0"/>
      </c:catAx>
      <c:valAx>
        <c:axId val="414987872"/>
        <c:scaling>
          <c:orientation val="minMax"/>
          <c:max val="0.2"/>
          <c:min val="0"/>
        </c:scaling>
        <c:delete val="0"/>
        <c:axPos val="l"/>
        <c:majorGridlines>
          <c:spPr>
            <a:ln w="3175">
              <a:solidFill>
                <a:srgbClr val="C0C0C0"/>
              </a:solidFill>
              <a:prstDash val="sysDash"/>
            </a:ln>
          </c:spPr>
        </c:majorGridlines>
        <c:title>
          <c:tx>
            <c:rich>
              <a:bodyPr/>
              <a:lstStyle/>
              <a:p>
                <a:pPr>
                  <a:defRPr/>
                </a:pPr>
                <a:r>
                  <a:rPr lang="en-ZA"/>
                  <a:t>Percentage</a:t>
                </a:r>
              </a:p>
            </c:rich>
          </c:tx>
          <c:layout>
            <c:manualLayout>
              <c:xMode val="edge"/>
              <c:yMode val="edge"/>
              <c:x val="2.33959285250771E-2"/>
              <c:y val="0.37579813992152616"/>
            </c:manualLayout>
          </c:layout>
          <c:overlay val="0"/>
        </c:title>
        <c:numFmt formatCode="0.0%" sourceLinked="0"/>
        <c:majorTickMark val="none"/>
        <c:minorTickMark val="none"/>
        <c:tickLblPos val="nextTo"/>
        <c:spPr>
          <a:ln w="12700">
            <a:solidFill>
              <a:schemeClr val="tx1"/>
            </a:solidFill>
          </a:ln>
        </c:spPr>
        <c:txPr>
          <a:bodyPr rot="0" vert="horz"/>
          <a:lstStyle/>
          <a:p>
            <a:pPr>
              <a:defRPr/>
            </a:pPr>
            <a:endParaRPr lang="en-US"/>
          </a:p>
        </c:txPr>
        <c:crossAx val="414986304"/>
        <c:crosses val="autoZero"/>
        <c:crossBetween val="between"/>
        <c:majorUnit val="1.0000000000000002E-2"/>
      </c:valAx>
      <c:spPr>
        <a:gradFill>
          <a:gsLst>
            <a:gs pos="0">
              <a:schemeClr val="accent6">
                <a:lumMod val="75000"/>
                <a:alpha val="0"/>
              </a:schemeClr>
            </a:gs>
            <a:gs pos="86000">
              <a:schemeClr val="tx2">
                <a:lumMod val="40000"/>
                <a:lumOff val="60000"/>
                <a:alpha val="59000"/>
              </a:schemeClr>
            </a:gs>
            <a:gs pos="43000">
              <a:schemeClr val="bg1"/>
            </a:gs>
            <a:gs pos="100000">
              <a:schemeClr val="tx2">
                <a:lumMod val="60000"/>
                <a:lumOff val="40000"/>
              </a:schemeClr>
            </a:gs>
          </a:gsLst>
          <a:lin ang="5400000" scaled="1"/>
        </a:gradFill>
      </c:spPr>
    </c:plotArea>
    <c:legend>
      <c:legendPos val="r"/>
      <c:layout>
        <c:manualLayout>
          <c:xMode val="edge"/>
          <c:yMode val="edge"/>
          <c:x val="0.75530115367902007"/>
          <c:y val="0.11726732017939831"/>
          <c:w val="0.22992157670432042"/>
          <c:h val="0.56094801514862547"/>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paperSize="9"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ZA">
                <a:solidFill>
                  <a:sysClr val="windowText" lastClr="000000"/>
                </a:solidFill>
              </a:rPr>
              <a:t>Marine</a:t>
            </a:r>
            <a:r>
              <a:rPr lang="en-ZA" baseline="0">
                <a:solidFill>
                  <a:sysClr val="windowText" lastClr="000000"/>
                </a:solidFill>
              </a:rPr>
              <a:t> Biodiversity Protection Index</a:t>
            </a:r>
            <a:endParaRPr lang="en-ZA">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'Marine Biodiverity Protection'!$D$55</c:f>
              <c:strCache>
                <c:ptCount val="1"/>
                <c:pt idx="0">
                  <c:v>Total MPA (% of EEZ)</c:v>
                </c:pt>
              </c:strCache>
            </c:strRef>
          </c:tx>
          <c:spPr>
            <a:ln w="28575" cap="rnd">
              <a:solidFill>
                <a:schemeClr val="accent1"/>
              </a:solidFill>
              <a:round/>
            </a:ln>
            <a:effectLst/>
          </c:spPr>
          <c:marker>
            <c:symbol val="none"/>
          </c:marker>
          <c:cat>
            <c:numRef>
              <c:f>'Marine Biodiverity Protection'!$E$54:$N$54</c:f>
              <c:numCache>
                <c:formatCode>General</c:formatCode>
                <c:ptCount val="10"/>
                <c:pt idx="0">
                  <c:v>1990</c:v>
                </c:pt>
                <c:pt idx="1">
                  <c:v>2000</c:v>
                </c:pt>
                <c:pt idx="2">
                  <c:v>2010</c:v>
                </c:pt>
                <c:pt idx="3">
                  <c:v>2015</c:v>
                </c:pt>
                <c:pt idx="4">
                  <c:v>2016</c:v>
                </c:pt>
                <c:pt idx="5">
                  <c:v>2017</c:v>
                </c:pt>
                <c:pt idx="6">
                  <c:v>2018</c:v>
                </c:pt>
                <c:pt idx="7">
                  <c:v>2019</c:v>
                </c:pt>
                <c:pt idx="8">
                  <c:v>2020</c:v>
                </c:pt>
                <c:pt idx="9">
                  <c:v>2021</c:v>
                </c:pt>
              </c:numCache>
            </c:numRef>
          </c:cat>
          <c:val>
            <c:numRef>
              <c:f>'Marine Biodiverity Protection'!$E$55:$N$55</c:f>
              <c:numCache>
                <c:formatCode>0.00%</c:formatCode>
                <c:ptCount val="10"/>
                <c:pt idx="0">
                  <c:v>0</c:v>
                </c:pt>
                <c:pt idx="1">
                  <c:v>2.0372856900803399E-3</c:v>
                </c:pt>
                <c:pt idx="2">
                  <c:v>4.3860445009339796E-3</c:v>
                </c:pt>
                <c:pt idx="3">
                  <c:v>4.6138695117436219E-3</c:v>
                </c:pt>
                <c:pt idx="4">
                  <c:v>4.6138695117436219E-3</c:v>
                </c:pt>
                <c:pt idx="5">
                  <c:v>4.6140885833889367E-3</c:v>
                </c:pt>
                <c:pt idx="6">
                  <c:v>4.6143962094089925E-3</c:v>
                </c:pt>
                <c:pt idx="7">
                  <c:v>5.3699999999999998E-2</c:v>
                </c:pt>
                <c:pt idx="8">
                  <c:v>5.3699999999999998E-2</c:v>
                </c:pt>
                <c:pt idx="9">
                  <c:v>5.3800000000000001E-2</c:v>
                </c:pt>
              </c:numCache>
            </c:numRef>
          </c:val>
          <c:smooth val="0"/>
          <c:extLst>
            <c:ext xmlns:c16="http://schemas.microsoft.com/office/drawing/2014/chart" uri="{C3380CC4-5D6E-409C-BE32-E72D297353CC}">
              <c16:uniqueId val="{00000000-893C-4E2A-9896-8F3C19283A82}"/>
            </c:ext>
          </c:extLst>
        </c:ser>
        <c:ser>
          <c:idx val="1"/>
          <c:order val="1"/>
          <c:tx>
            <c:strRef>
              <c:f>'Marine Biodiverity Protection'!$D$56</c:f>
              <c:strCache>
                <c:ptCount val="1"/>
                <c:pt idx="0">
                  <c:v>Marine Biodiversity Protection (MBP) Index: MPA contributing to biodiversity targets (% of EEZ)</c:v>
                </c:pt>
              </c:strCache>
            </c:strRef>
          </c:tx>
          <c:spPr>
            <a:ln w="28575" cap="rnd">
              <a:solidFill>
                <a:schemeClr val="accent2"/>
              </a:solidFill>
              <a:round/>
            </a:ln>
            <a:effectLst/>
          </c:spPr>
          <c:marker>
            <c:symbol val="none"/>
          </c:marker>
          <c:cat>
            <c:numRef>
              <c:f>'Marine Biodiverity Protection'!$E$54:$N$54</c:f>
              <c:numCache>
                <c:formatCode>General</c:formatCode>
                <c:ptCount val="10"/>
                <c:pt idx="0">
                  <c:v>1990</c:v>
                </c:pt>
                <c:pt idx="1">
                  <c:v>2000</c:v>
                </c:pt>
                <c:pt idx="2">
                  <c:v>2010</c:v>
                </c:pt>
                <c:pt idx="3">
                  <c:v>2015</c:v>
                </c:pt>
                <c:pt idx="4">
                  <c:v>2016</c:v>
                </c:pt>
                <c:pt idx="5">
                  <c:v>2017</c:v>
                </c:pt>
                <c:pt idx="6">
                  <c:v>2018</c:v>
                </c:pt>
                <c:pt idx="7">
                  <c:v>2019</c:v>
                </c:pt>
                <c:pt idx="8">
                  <c:v>2020</c:v>
                </c:pt>
                <c:pt idx="9">
                  <c:v>2021</c:v>
                </c:pt>
              </c:numCache>
            </c:numRef>
          </c:cat>
          <c:val>
            <c:numRef>
              <c:f>'Marine Biodiverity Protection'!$E$56:$N$56</c:f>
              <c:numCache>
                <c:formatCode>0.00%</c:formatCode>
                <c:ptCount val="10"/>
                <c:pt idx="0">
                  <c:v>4.079413245217085E-5</c:v>
                </c:pt>
                <c:pt idx="1">
                  <c:v>1.451082553212261E-3</c:v>
                </c:pt>
                <c:pt idx="2">
                  <c:v>3.2859231407263226E-3</c:v>
                </c:pt>
                <c:pt idx="3">
                  <c:v>3.4881459016867437E-3</c:v>
                </c:pt>
                <c:pt idx="4">
                  <c:v>3.4881459016867437E-3</c:v>
                </c:pt>
                <c:pt idx="5">
                  <c:v>3.4882453159784657E-3</c:v>
                </c:pt>
                <c:pt idx="6">
                  <c:v>3.4884447191288843E-3</c:v>
                </c:pt>
                <c:pt idx="7">
                  <c:v>4.1099999999999998E-2</c:v>
                </c:pt>
                <c:pt idx="8">
                  <c:v>4.1099999999999998E-2</c:v>
                </c:pt>
                <c:pt idx="9">
                  <c:v>4.1099999999999998E-2</c:v>
                </c:pt>
              </c:numCache>
            </c:numRef>
          </c:val>
          <c:smooth val="0"/>
          <c:extLst>
            <c:ext xmlns:c16="http://schemas.microsoft.com/office/drawing/2014/chart" uri="{C3380CC4-5D6E-409C-BE32-E72D297353CC}">
              <c16:uniqueId val="{00000001-893C-4E2A-9896-8F3C19283A82}"/>
            </c:ext>
          </c:extLst>
        </c:ser>
        <c:ser>
          <c:idx val="2"/>
          <c:order val="2"/>
          <c:tx>
            <c:strRef>
              <c:f>'Marine Biodiverity Protection'!$D$57</c:f>
              <c:strCache>
                <c:ptCount val="1"/>
                <c:pt idx="0">
                  <c:v>Outcome 10 target (linked to Total MPAs)</c:v>
                </c:pt>
              </c:strCache>
            </c:strRef>
          </c:tx>
          <c:spPr>
            <a:ln w="28575" cap="rnd">
              <a:solidFill>
                <a:schemeClr val="accent3"/>
              </a:solidFill>
              <a:round/>
            </a:ln>
            <a:effectLst/>
          </c:spPr>
          <c:marker>
            <c:symbol val="none"/>
          </c:marker>
          <c:cat>
            <c:numRef>
              <c:f>'Marine Biodiverity Protection'!$E$54:$N$54</c:f>
              <c:numCache>
                <c:formatCode>General</c:formatCode>
                <c:ptCount val="10"/>
                <c:pt idx="0">
                  <c:v>1990</c:v>
                </c:pt>
                <c:pt idx="1">
                  <c:v>2000</c:v>
                </c:pt>
                <c:pt idx="2">
                  <c:v>2010</c:v>
                </c:pt>
                <c:pt idx="3">
                  <c:v>2015</c:v>
                </c:pt>
                <c:pt idx="4">
                  <c:v>2016</c:v>
                </c:pt>
                <c:pt idx="5">
                  <c:v>2017</c:v>
                </c:pt>
                <c:pt idx="6">
                  <c:v>2018</c:v>
                </c:pt>
                <c:pt idx="7">
                  <c:v>2019</c:v>
                </c:pt>
                <c:pt idx="8">
                  <c:v>2020</c:v>
                </c:pt>
                <c:pt idx="9">
                  <c:v>2021</c:v>
                </c:pt>
              </c:numCache>
            </c:numRef>
          </c:cat>
          <c:val>
            <c:numRef>
              <c:f>'Marine Biodiverity Protection'!$E$57:$N$57</c:f>
              <c:numCache>
                <c:formatCode>0.00%</c:formatCode>
                <c:ptCount val="10"/>
                <c:pt idx="2">
                  <c:v>4.3860445009339796E-3</c:v>
                </c:pt>
                <c:pt idx="3">
                  <c:v>2.0394766687850244E-2</c:v>
                </c:pt>
                <c:pt idx="4">
                  <c:v>2.3596511125233498E-2</c:v>
                </c:pt>
                <c:pt idx="5">
                  <c:v>2.6798255562616752E-2</c:v>
                </c:pt>
                <c:pt idx="6">
                  <c:v>3.0000000000000006E-2</c:v>
                </c:pt>
                <c:pt idx="7">
                  <c:v>3.32E-2</c:v>
                </c:pt>
              </c:numCache>
            </c:numRef>
          </c:val>
          <c:smooth val="0"/>
          <c:extLst>
            <c:ext xmlns:c16="http://schemas.microsoft.com/office/drawing/2014/chart" uri="{C3380CC4-5D6E-409C-BE32-E72D297353CC}">
              <c16:uniqueId val="{00000002-893C-4E2A-9896-8F3C19283A82}"/>
            </c:ext>
          </c:extLst>
        </c:ser>
        <c:dLbls>
          <c:showLegendKey val="0"/>
          <c:showVal val="0"/>
          <c:showCatName val="0"/>
          <c:showSerName val="0"/>
          <c:showPercent val="0"/>
          <c:showBubbleSize val="0"/>
        </c:dLbls>
        <c:smooth val="0"/>
        <c:axId val="129089680"/>
        <c:axId val="129090096"/>
        <c:extLst>
          <c:ext xmlns:c15="http://schemas.microsoft.com/office/drawing/2012/chart" uri="{02D57815-91ED-43cb-92C2-25804820EDAC}">
            <c15:filteredLineSeries>
              <c15:ser>
                <c:idx val="3"/>
                <c:order val="3"/>
                <c:tx>
                  <c:strRef>
                    <c:extLst>
                      <c:ext uri="{02D57815-91ED-43cb-92C2-25804820EDAC}">
                        <c15:formulaRef>
                          <c15:sqref>'Marine Biodiverity Protection'!$D$58</c15:sqref>
                        </c15:formulaRef>
                      </c:ext>
                    </c:extLst>
                    <c:strCache>
                      <c:ptCount val="1"/>
                      <c:pt idx="0">
                        <c:v>Aichi target (linked to MBP Index)</c:v>
                      </c:pt>
                    </c:strCache>
                  </c:strRef>
                </c:tx>
                <c:spPr>
                  <a:ln w="28575" cap="rnd">
                    <a:solidFill>
                      <a:schemeClr val="accent4"/>
                    </a:solidFill>
                    <a:round/>
                  </a:ln>
                  <a:effectLst/>
                </c:spPr>
                <c:marker>
                  <c:symbol val="none"/>
                </c:marker>
                <c:cat>
                  <c:numRef>
                    <c:extLst>
                      <c:ext uri="{02D57815-91ED-43cb-92C2-25804820EDAC}">
                        <c15:formulaRef>
                          <c15:sqref>'Marine Biodiverity Protection'!$E$54:$N$54</c15:sqref>
                        </c15:formulaRef>
                      </c:ext>
                    </c:extLst>
                    <c:numCache>
                      <c:formatCode>General</c:formatCode>
                      <c:ptCount val="10"/>
                      <c:pt idx="0">
                        <c:v>1990</c:v>
                      </c:pt>
                      <c:pt idx="1">
                        <c:v>2000</c:v>
                      </c:pt>
                      <c:pt idx="2">
                        <c:v>2010</c:v>
                      </c:pt>
                      <c:pt idx="3">
                        <c:v>2015</c:v>
                      </c:pt>
                      <c:pt idx="4">
                        <c:v>2016</c:v>
                      </c:pt>
                      <c:pt idx="5">
                        <c:v>2017</c:v>
                      </c:pt>
                      <c:pt idx="6">
                        <c:v>2018</c:v>
                      </c:pt>
                      <c:pt idx="7">
                        <c:v>2019</c:v>
                      </c:pt>
                      <c:pt idx="8">
                        <c:v>2020</c:v>
                      </c:pt>
                      <c:pt idx="9">
                        <c:v>2021</c:v>
                      </c:pt>
                    </c:numCache>
                  </c:numRef>
                </c:cat>
                <c:val>
                  <c:numRef>
                    <c:extLst>
                      <c:ext uri="{02D57815-91ED-43cb-92C2-25804820EDAC}">
                        <c15:formulaRef>
                          <c15:sqref>'Marine Biodiverity Protection'!$E$58:$L$58</c15:sqref>
                        </c15:formulaRef>
                      </c:ext>
                    </c:extLst>
                    <c:numCache>
                      <c:formatCode>0.00%</c:formatCode>
                      <c:ptCount val="8"/>
                      <c:pt idx="2">
                        <c:v>4.3860445009339796E-3</c:v>
                      </c:pt>
                      <c:pt idx="3">
                        <c:v>5.2193022250467E-2</c:v>
                      </c:pt>
                      <c:pt idx="4">
                        <c:v>6.1754417800373607E-2</c:v>
                      </c:pt>
                      <c:pt idx="5">
                        <c:v>7.1315813350280213E-2</c:v>
                      </c:pt>
                      <c:pt idx="6">
                        <c:v>8.087720890018682E-2</c:v>
                      </c:pt>
                      <c:pt idx="7">
                        <c:v>9.0399999999999994E-2</c:v>
                      </c:pt>
                    </c:numCache>
                  </c:numRef>
                </c:val>
                <c:smooth val="0"/>
                <c:extLst>
                  <c:ext xmlns:c16="http://schemas.microsoft.com/office/drawing/2014/chart" uri="{C3380CC4-5D6E-409C-BE32-E72D297353CC}">
                    <c16:uniqueId val="{00000003-893C-4E2A-9896-8F3C19283A82}"/>
                  </c:ext>
                </c:extLst>
              </c15:ser>
            </c15:filteredLineSeries>
          </c:ext>
        </c:extLst>
      </c:lineChart>
      <c:catAx>
        <c:axId val="1290896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29090096"/>
        <c:crosses val="autoZero"/>
        <c:auto val="1"/>
        <c:lblAlgn val="ctr"/>
        <c:lblOffset val="100"/>
        <c:noMultiLvlLbl val="0"/>
      </c:catAx>
      <c:valAx>
        <c:axId val="129090096"/>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solidFill>
                      <a:sysClr val="windowText" lastClr="000000"/>
                    </a:solidFill>
                  </a:rPr>
                  <a:t>Percentage of Exclusive</a:t>
                </a:r>
                <a:r>
                  <a:rPr lang="en-ZA" b="1" baseline="0">
                    <a:solidFill>
                      <a:sysClr val="windowText" lastClr="000000"/>
                    </a:solidFill>
                  </a:rPr>
                  <a:t> Economic Zone (EEZ)</a:t>
                </a:r>
                <a:endParaRPr lang="en-ZA"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00%"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29089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rgbClr val="FFFFFF"/>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'ICT '!$C$59</c:f>
              <c:strCache>
                <c:ptCount val="1"/>
                <c:pt idx="0">
                  <c:v>Fixed broadband Internet subscribers (per 100 people)</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'ICT '!$D$58:$W$58</c15:sqref>
                  </c15:fullRef>
                </c:ext>
              </c:extLst>
              <c:f>'ICT '!$P$58:$W$58</c:f>
              <c:numCache>
                <c:formatCode>General</c:formatCode>
                <c:ptCount val="8"/>
                <c:pt idx="0">
                  <c:v>2012</c:v>
                </c:pt>
                <c:pt idx="1">
                  <c:v>2013</c:v>
                </c:pt>
                <c:pt idx="2">
                  <c:v>2014</c:v>
                </c:pt>
                <c:pt idx="3">
                  <c:v>2015</c:v>
                </c:pt>
                <c:pt idx="4">
                  <c:v>2016</c:v>
                </c:pt>
                <c:pt idx="5">
                  <c:v>2017</c:v>
                </c:pt>
                <c:pt idx="6">
                  <c:v>2018</c:v>
                </c:pt>
                <c:pt idx="7">
                  <c:v>2019</c:v>
                </c:pt>
              </c:numCache>
            </c:numRef>
          </c:cat>
          <c:val>
            <c:numRef>
              <c:extLst>
                <c:ext xmlns:c15="http://schemas.microsoft.com/office/drawing/2012/chart" uri="{02D57815-91ED-43cb-92C2-25804820EDAC}">
                  <c15:fullRef>
                    <c15:sqref>'ICT '!$D$59:$W$59</c15:sqref>
                  </c15:fullRef>
                </c:ext>
              </c:extLst>
              <c:f>'ICT '!$P$59:$W$59</c:f>
              <c:numCache>
                <c:formatCode>General</c:formatCode>
                <c:ptCount val="8"/>
                <c:pt idx="0" formatCode="0.0">
                  <c:v>2.0891270428306701</c:v>
                </c:pt>
                <c:pt idx="1" formatCode="0.0">
                  <c:v>3.0040696038171499</c:v>
                </c:pt>
                <c:pt idx="2" formatCode="0.0">
                  <c:v>3.1285779640620901</c:v>
                </c:pt>
                <c:pt idx="3" formatCode="0.0">
                  <c:v>2.5489523880145502</c:v>
                </c:pt>
                <c:pt idx="4" formatCode="0.0">
                  <c:v>2</c:v>
                </c:pt>
                <c:pt idx="5" formatCode="0.0">
                  <c:v>1.9701698074273499</c:v>
                </c:pt>
                <c:pt idx="6" formatCode="0.0">
                  <c:v>1.9</c:v>
                </c:pt>
                <c:pt idx="7" formatCode="0.0">
                  <c:v>2.1</c:v>
                </c:pt>
              </c:numCache>
            </c:numRef>
          </c:val>
          <c:smooth val="0"/>
          <c:extLst>
            <c:ext xmlns:c16="http://schemas.microsoft.com/office/drawing/2014/chart" uri="{C3380CC4-5D6E-409C-BE32-E72D297353CC}">
              <c16:uniqueId val="{00000000-36A6-4F6C-A956-8631B240D8D1}"/>
            </c:ext>
          </c:extLst>
        </c:ser>
        <c:dLbls>
          <c:showLegendKey val="0"/>
          <c:showVal val="0"/>
          <c:showCatName val="0"/>
          <c:showSerName val="0"/>
          <c:showPercent val="0"/>
          <c:showBubbleSize val="0"/>
        </c:dLbls>
        <c:smooth val="0"/>
        <c:axId val="1109215375"/>
        <c:axId val="1021661999"/>
      </c:lineChart>
      <c:catAx>
        <c:axId val="1109215375"/>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1661999"/>
        <c:crosses val="autoZero"/>
        <c:auto val="1"/>
        <c:lblAlgn val="ctr"/>
        <c:lblOffset val="100"/>
        <c:noMultiLvlLbl val="0"/>
      </c:catAx>
      <c:valAx>
        <c:axId val="10216619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92153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'ICT '!$C$62</c:f>
              <c:strCache>
                <c:ptCount val="1"/>
                <c:pt idx="0">
                  <c:v>Mobile cellular subscriptions (per 100 people)</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'ICT '!$D$61:$W$61</c15:sqref>
                  </c15:fullRef>
                </c:ext>
              </c:extLst>
              <c:f>'ICT '!$P$61:$W$61</c:f>
              <c:numCache>
                <c:formatCode>General</c:formatCode>
                <c:ptCount val="8"/>
                <c:pt idx="0">
                  <c:v>2012</c:v>
                </c:pt>
                <c:pt idx="1">
                  <c:v>2013</c:v>
                </c:pt>
                <c:pt idx="2">
                  <c:v>2014</c:v>
                </c:pt>
                <c:pt idx="3">
                  <c:v>2015</c:v>
                </c:pt>
                <c:pt idx="4">
                  <c:v>2016</c:v>
                </c:pt>
                <c:pt idx="5">
                  <c:v>2017</c:v>
                </c:pt>
                <c:pt idx="6">
                  <c:v>2018</c:v>
                </c:pt>
                <c:pt idx="7">
                  <c:v>2019</c:v>
                </c:pt>
              </c:numCache>
            </c:numRef>
          </c:cat>
          <c:val>
            <c:numRef>
              <c:extLst>
                <c:ext xmlns:c15="http://schemas.microsoft.com/office/drawing/2012/chart" uri="{02D57815-91ED-43cb-92C2-25804820EDAC}">
                  <c15:fullRef>
                    <c15:sqref>'ICT '!$D$62:$W$62</c15:sqref>
                  </c15:fullRef>
                </c:ext>
              </c:extLst>
              <c:f>'ICT '!$P$62:$W$62</c:f>
              <c:numCache>
                <c:formatCode>0.0</c:formatCode>
                <c:ptCount val="8"/>
                <c:pt idx="0">
                  <c:v>129.5</c:v>
                </c:pt>
                <c:pt idx="1">
                  <c:v>143.19999999999999</c:v>
                </c:pt>
                <c:pt idx="2">
                  <c:v>145.36368648737599</c:v>
                </c:pt>
                <c:pt idx="3">
                  <c:v>158.9</c:v>
                </c:pt>
                <c:pt idx="4">
                  <c:v>146.6</c:v>
                </c:pt>
                <c:pt idx="5">
                  <c:v>155.23239566224399</c:v>
                </c:pt>
                <c:pt idx="6">
                  <c:v>159.9</c:v>
                </c:pt>
                <c:pt idx="7">
                  <c:v>165.6</c:v>
                </c:pt>
              </c:numCache>
            </c:numRef>
          </c:val>
          <c:smooth val="0"/>
          <c:extLst>
            <c:ext xmlns:c16="http://schemas.microsoft.com/office/drawing/2014/chart" uri="{C3380CC4-5D6E-409C-BE32-E72D297353CC}">
              <c16:uniqueId val="{00000000-E97C-4C76-9AAC-6E2F9B6F1252}"/>
            </c:ext>
          </c:extLst>
        </c:ser>
        <c:dLbls>
          <c:showLegendKey val="0"/>
          <c:showVal val="0"/>
          <c:showCatName val="0"/>
          <c:showSerName val="0"/>
          <c:showPercent val="0"/>
          <c:showBubbleSize val="0"/>
        </c:dLbls>
        <c:smooth val="0"/>
        <c:axId val="1117249407"/>
        <c:axId val="1021659919"/>
      </c:lineChart>
      <c:catAx>
        <c:axId val="1117249407"/>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1659919"/>
        <c:crosses val="autoZero"/>
        <c:auto val="1"/>
        <c:lblAlgn val="ctr"/>
        <c:lblOffset val="100"/>
        <c:noMultiLvlLbl val="0"/>
      </c:catAx>
      <c:valAx>
        <c:axId val="102165991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72494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ZA" sz="1100">
                <a:solidFill>
                  <a:sysClr val="windowText" lastClr="000000"/>
                </a:solidFill>
                <a:effectLst/>
                <a:latin typeface="+mn-lt"/>
              </a:rPr>
              <a:t>POVERTY HEADCOUNTS BASED ON THE FPL, LBPL AND UBPL (2006, 2009, 2011 AND 2015)</a:t>
            </a:r>
          </a:p>
        </c:rich>
      </c:tx>
      <c:layout>
        <c:manualLayout>
          <c:xMode val="edge"/>
          <c:yMode val="edge"/>
          <c:x val="0.1095168317357921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'Poverty Headcount'!$B$44</c:f>
              <c:strCache>
                <c:ptCount val="1"/>
                <c:pt idx="0">
                  <c:v>Percentage of the population that is UBPL poor</c:v>
                </c:pt>
              </c:strCache>
            </c:strRef>
          </c:tx>
          <c:spPr>
            <a:ln w="28575" cap="rnd">
              <a:solidFill>
                <a:schemeClr val="accent1"/>
              </a:solidFill>
              <a:round/>
            </a:ln>
            <a:effectLst/>
          </c:spPr>
          <c:marker>
            <c:symbol val="none"/>
          </c:marker>
          <c:cat>
            <c:numRef>
              <c:f>'Poverty Headcount'!$C$43:$F$43</c:f>
              <c:numCache>
                <c:formatCode>General</c:formatCode>
                <c:ptCount val="4"/>
                <c:pt idx="0">
                  <c:v>2006</c:v>
                </c:pt>
                <c:pt idx="1">
                  <c:v>2009</c:v>
                </c:pt>
                <c:pt idx="2">
                  <c:v>2011</c:v>
                </c:pt>
                <c:pt idx="3">
                  <c:v>2015</c:v>
                </c:pt>
              </c:numCache>
            </c:numRef>
          </c:cat>
          <c:val>
            <c:numRef>
              <c:f>'Poverty Headcount'!$C$44:$F$44</c:f>
              <c:numCache>
                <c:formatCode>0%</c:formatCode>
                <c:ptCount val="4"/>
                <c:pt idx="0">
                  <c:v>0.66600000000000004</c:v>
                </c:pt>
                <c:pt idx="1">
                  <c:v>0.621</c:v>
                </c:pt>
                <c:pt idx="2">
                  <c:v>0.53200000000000003</c:v>
                </c:pt>
                <c:pt idx="3">
                  <c:v>0.55500000000000005</c:v>
                </c:pt>
              </c:numCache>
            </c:numRef>
          </c:val>
          <c:smooth val="0"/>
          <c:extLst>
            <c:ext xmlns:c16="http://schemas.microsoft.com/office/drawing/2014/chart" uri="{C3380CC4-5D6E-409C-BE32-E72D297353CC}">
              <c16:uniqueId val="{00000000-4BF6-41E0-8641-CB44FEB1D528}"/>
            </c:ext>
          </c:extLst>
        </c:ser>
        <c:ser>
          <c:idx val="1"/>
          <c:order val="1"/>
          <c:tx>
            <c:strRef>
              <c:f>'Poverty Headcount'!$B$45</c:f>
              <c:strCache>
                <c:ptCount val="1"/>
                <c:pt idx="0">
                  <c:v>Percentage of the population that is LBPL poor</c:v>
                </c:pt>
              </c:strCache>
            </c:strRef>
          </c:tx>
          <c:spPr>
            <a:ln w="28575" cap="rnd">
              <a:solidFill>
                <a:schemeClr val="accent2"/>
              </a:solidFill>
              <a:round/>
            </a:ln>
            <a:effectLst/>
          </c:spPr>
          <c:marker>
            <c:symbol val="none"/>
          </c:marker>
          <c:cat>
            <c:numRef>
              <c:f>'Poverty Headcount'!$C$43:$F$43</c:f>
              <c:numCache>
                <c:formatCode>General</c:formatCode>
                <c:ptCount val="4"/>
                <c:pt idx="0">
                  <c:v>2006</c:v>
                </c:pt>
                <c:pt idx="1">
                  <c:v>2009</c:v>
                </c:pt>
                <c:pt idx="2">
                  <c:v>2011</c:v>
                </c:pt>
                <c:pt idx="3">
                  <c:v>2015</c:v>
                </c:pt>
              </c:numCache>
            </c:numRef>
          </c:cat>
          <c:val>
            <c:numRef>
              <c:f>'Poverty Headcount'!$C$45:$F$45</c:f>
              <c:numCache>
                <c:formatCode>0%</c:formatCode>
                <c:ptCount val="4"/>
                <c:pt idx="0">
                  <c:v>0.51</c:v>
                </c:pt>
                <c:pt idx="1">
                  <c:v>0.47599999999999998</c:v>
                </c:pt>
                <c:pt idx="2">
                  <c:v>0.36399999999999999</c:v>
                </c:pt>
                <c:pt idx="3">
                  <c:v>0.4</c:v>
                </c:pt>
              </c:numCache>
            </c:numRef>
          </c:val>
          <c:smooth val="0"/>
          <c:extLst>
            <c:ext xmlns:c16="http://schemas.microsoft.com/office/drawing/2014/chart" uri="{C3380CC4-5D6E-409C-BE32-E72D297353CC}">
              <c16:uniqueId val="{00000001-4BF6-41E0-8641-CB44FEB1D528}"/>
            </c:ext>
          </c:extLst>
        </c:ser>
        <c:ser>
          <c:idx val="2"/>
          <c:order val="2"/>
          <c:tx>
            <c:strRef>
              <c:f>'Poverty Headcount'!$B$46</c:f>
              <c:strCache>
                <c:ptCount val="1"/>
                <c:pt idx="0">
                  <c:v>Percentage of the population living in extreme poverty (below FPL)</c:v>
                </c:pt>
              </c:strCache>
            </c:strRef>
          </c:tx>
          <c:spPr>
            <a:ln w="28575" cap="rnd">
              <a:solidFill>
                <a:schemeClr val="accent3"/>
              </a:solidFill>
              <a:round/>
            </a:ln>
            <a:effectLst/>
          </c:spPr>
          <c:marker>
            <c:symbol val="none"/>
          </c:marker>
          <c:cat>
            <c:numRef>
              <c:f>'Poverty Headcount'!$C$43:$F$43</c:f>
              <c:numCache>
                <c:formatCode>General</c:formatCode>
                <c:ptCount val="4"/>
                <c:pt idx="0">
                  <c:v>2006</c:v>
                </c:pt>
                <c:pt idx="1">
                  <c:v>2009</c:v>
                </c:pt>
                <c:pt idx="2">
                  <c:v>2011</c:v>
                </c:pt>
                <c:pt idx="3">
                  <c:v>2015</c:v>
                </c:pt>
              </c:numCache>
            </c:numRef>
          </c:cat>
          <c:val>
            <c:numRef>
              <c:f>'Poverty Headcount'!$C$46:$F$46</c:f>
              <c:numCache>
                <c:formatCode>0%</c:formatCode>
                <c:ptCount val="4"/>
                <c:pt idx="0">
                  <c:v>0.28399999999999997</c:v>
                </c:pt>
                <c:pt idx="1">
                  <c:v>0.33500000000000002</c:v>
                </c:pt>
                <c:pt idx="2">
                  <c:v>0.214</c:v>
                </c:pt>
                <c:pt idx="3">
                  <c:v>0.252</c:v>
                </c:pt>
              </c:numCache>
            </c:numRef>
          </c:val>
          <c:smooth val="0"/>
          <c:extLst>
            <c:ext xmlns:c16="http://schemas.microsoft.com/office/drawing/2014/chart" uri="{C3380CC4-5D6E-409C-BE32-E72D297353CC}">
              <c16:uniqueId val="{00000002-4BF6-41E0-8641-CB44FEB1D528}"/>
            </c:ext>
          </c:extLst>
        </c:ser>
        <c:dLbls>
          <c:showLegendKey val="0"/>
          <c:showVal val="0"/>
          <c:showCatName val="0"/>
          <c:showSerName val="0"/>
          <c:showPercent val="0"/>
          <c:showBubbleSize val="0"/>
        </c:dLbls>
        <c:smooth val="0"/>
        <c:axId val="138545200"/>
        <c:axId val="138545984"/>
      </c:lineChart>
      <c:catAx>
        <c:axId val="138545200"/>
        <c:scaling>
          <c:orientation val="minMax"/>
        </c:scaling>
        <c:delete val="0"/>
        <c:axPos val="b"/>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8545984"/>
        <c:crosses val="autoZero"/>
        <c:auto val="1"/>
        <c:lblAlgn val="ctr"/>
        <c:lblOffset val="100"/>
        <c:noMultiLvlLbl val="0"/>
      </c:catAx>
      <c:valAx>
        <c:axId val="138545984"/>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none"/>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8545200"/>
        <c:crosses val="autoZero"/>
        <c:crossBetween val="between"/>
      </c:valAx>
      <c:spPr>
        <a:noFill/>
        <a:ln>
          <a:noFill/>
        </a:ln>
        <a:effectLst/>
      </c:spPr>
    </c:plotArea>
    <c:legend>
      <c:legendPos val="b"/>
      <c:layout>
        <c:manualLayout>
          <c:xMode val="edge"/>
          <c:yMode val="edge"/>
          <c:x val="1.4984479412590802E-2"/>
          <c:y val="0.82291557305336838"/>
          <c:w val="0.97147170379794967"/>
          <c:h val="0.1493066491688538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0" i="0" u="none" strike="noStrike" baseline="0">
                <a:solidFill>
                  <a:srgbClr val="000000"/>
                </a:solidFill>
                <a:latin typeface="Arial"/>
                <a:ea typeface="Arial"/>
                <a:cs typeface="Arial"/>
              </a:defRPr>
            </a:pPr>
            <a:r>
              <a:rPr lang="en-ZA"/>
              <a:t>Inequality measures</a:t>
            </a:r>
          </a:p>
        </c:rich>
      </c:tx>
      <c:overlay val="0"/>
      <c:spPr>
        <a:noFill/>
        <a:ln w="25400">
          <a:noFill/>
        </a:ln>
      </c:spPr>
    </c:title>
    <c:autoTitleDeleted val="0"/>
    <c:plotArea>
      <c:layout/>
      <c:lineChart>
        <c:grouping val="standard"/>
        <c:varyColors val="0"/>
        <c:ser>
          <c:idx val="0"/>
          <c:order val="0"/>
          <c:tx>
            <c:strRef>
              <c:f>[16]Inequality!$D$11</c:f>
              <c:strCache>
                <c:ptCount val="1"/>
              </c:strCache>
            </c:strRef>
          </c:tx>
          <c:spPr>
            <a:ln w="25400">
              <a:solidFill>
                <a:srgbClr val="000080"/>
              </a:solidFill>
              <a:prstDash val="solid"/>
            </a:ln>
          </c:spPr>
          <c:marker>
            <c:symbol val="none"/>
          </c:marker>
          <c:cat>
            <c:numRef>
              <c:f>[16]Inequality!$F$8:$T$8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[16]Inequality!$F$11:$T$11</c:f>
              <c:numCache>
                <c:formatCode>General</c:formatCode>
                <c:ptCount val="15"/>
                <c:pt idx="0">
                  <c:v>0.67218999999999995</c:v>
                </c:pt>
                <c:pt idx="1">
                  <c:v>0.66464000000000001</c:v>
                </c:pt>
                <c:pt idx="2">
                  <c:v>0.67388999999999999</c:v>
                </c:pt>
                <c:pt idx="3">
                  <c:v>0.67762999999999995</c:v>
                </c:pt>
                <c:pt idx="4">
                  <c:v>0.67444999999999999</c:v>
                </c:pt>
                <c:pt idx="5">
                  <c:v>0.68332999999999999</c:v>
                </c:pt>
                <c:pt idx="6">
                  <c:v>0.68511999999999995</c:v>
                </c:pt>
                <c:pt idx="7">
                  <c:v>0.68171000000000004</c:v>
                </c:pt>
                <c:pt idx="8">
                  <c:v>0.68498999999999999</c:v>
                </c:pt>
                <c:pt idx="9">
                  <c:v>0.67044000000000004</c:v>
                </c:pt>
                <c:pt idx="10">
                  <c:v>0.68569000000000002</c:v>
                </c:pt>
                <c:pt idx="11">
                  <c:v>0.67750999999999995</c:v>
                </c:pt>
                <c:pt idx="12">
                  <c:v>0.68267</c:v>
                </c:pt>
                <c:pt idx="13">
                  <c:v>0.68462999999999996</c:v>
                </c:pt>
                <c:pt idx="14">
                  <c:v>0.65961999999999998</c:v>
                </c:pt>
              </c:numCache>
            </c:numRef>
          </c:val>
          <c:smooth val="0"/>
          <c:extLst>
            <c:ext xmlns:c16="http://schemas.microsoft.com/office/drawing/2014/chart" uri="{C3380CC4-5D6E-409C-BE32-E72D297353CC}">
              <c16:uniqueId val="{00000000-A81C-46D1-B2F1-201F8D0C167E}"/>
            </c:ext>
          </c:extLst>
        </c:ser>
        <c:ser>
          <c:idx val="1"/>
          <c:order val="1"/>
          <c:tx>
            <c:strRef>
              <c:f>[16]Inequality!$D$18</c:f>
              <c:strCache>
                <c:ptCount val="1"/>
                <c:pt idx="0">
                  <c:v>Total value</c:v>
                </c:pt>
              </c:strCache>
            </c:strRef>
          </c:tx>
          <c:spPr>
            <a:ln w="25400">
              <a:solidFill>
                <a:srgbClr val="FF00FF"/>
              </a:solidFill>
              <a:prstDash val="solid"/>
            </a:ln>
          </c:spPr>
          <c:marker>
            <c:symbol val="none"/>
          </c:marker>
          <c:cat>
            <c:numRef>
              <c:f>[16]Inequality!$F$8:$T$8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[16]Inequality!$F$18:$T$18</c:f>
              <c:numCache>
                <c:formatCode>General</c:formatCode>
                <c:ptCount val="15"/>
                <c:pt idx="0">
                  <c:v>0.89875000000000005</c:v>
                </c:pt>
                <c:pt idx="1">
                  <c:v>0.88022</c:v>
                </c:pt>
                <c:pt idx="2">
                  <c:v>0.89901999999999993</c:v>
                </c:pt>
                <c:pt idx="3">
                  <c:v>0.91837999999999997</c:v>
                </c:pt>
                <c:pt idx="4">
                  <c:v>0.90565999999999991</c:v>
                </c:pt>
                <c:pt idx="5">
                  <c:v>0.93734000000000006</c:v>
                </c:pt>
                <c:pt idx="6">
                  <c:v>0.93833999999999995</c:v>
                </c:pt>
                <c:pt idx="7">
                  <c:v>0.93518999999999997</c:v>
                </c:pt>
                <c:pt idx="8">
                  <c:v>0.93652999999999997</c:v>
                </c:pt>
                <c:pt idx="9">
                  <c:v>0.92066000000000003</c:v>
                </c:pt>
                <c:pt idx="10">
                  <c:v>1.0132700000000001</c:v>
                </c:pt>
                <c:pt idx="11">
                  <c:v>0.96665999999999996</c:v>
                </c:pt>
                <c:pt idx="12">
                  <c:v>1.01197</c:v>
                </c:pt>
                <c:pt idx="13">
                  <c:v>1.02963</c:v>
                </c:pt>
                <c:pt idx="14">
                  <c:v>0.91663000000000006</c:v>
                </c:pt>
              </c:numCache>
            </c:numRef>
          </c:val>
          <c:smooth val="0"/>
          <c:extLst>
            <c:ext xmlns:c16="http://schemas.microsoft.com/office/drawing/2014/chart" uri="{C3380CC4-5D6E-409C-BE32-E72D297353CC}">
              <c16:uniqueId val="{00000001-A81C-46D1-B2F1-201F8D0C167E}"/>
            </c:ext>
          </c:extLst>
        </c:ser>
        <c:ser>
          <c:idx val="2"/>
          <c:order val="2"/>
          <c:tx>
            <c:strRef>
              <c:f>[16]Inequality!$D$14</c:f>
              <c:strCache>
                <c:ptCount val="1"/>
                <c:pt idx="0">
                  <c:v>Within-Race</c:v>
                </c:pt>
              </c:strCache>
            </c:strRef>
          </c:tx>
          <c:spPr>
            <a:ln w="25400">
              <a:solidFill>
                <a:srgbClr val="FFFF00"/>
              </a:solidFill>
              <a:prstDash val="solid"/>
            </a:ln>
          </c:spPr>
          <c:marker>
            <c:symbol val="none"/>
          </c:marker>
          <c:cat>
            <c:numRef>
              <c:f>[16]Inequality!$F$8:$T$8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[16]Inequality!$F$14:$T$14</c:f>
              <c:numCache>
                <c:formatCode>General</c:formatCode>
                <c:ptCount val="15"/>
                <c:pt idx="0">
                  <c:v>0.35005999999999998</c:v>
                </c:pt>
                <c:pt idx="1">
                  <c:v>0.34866999999999998</c:v>
                </c:pt>
                <c:pt idx="2">
                  <c:v>0.36642999999999998</c:v>
                </c:pt>
                <c:pt idx="3">
                  <c:v>0.37019999999999997</c:v>
                </c:pt>
                <c:pt idx="4">
                  <c:v>0.38213999999999998</c:v>
                </c:pt>
                <c:pt idx="5">
                  <c:v>0.38912000000000002</c:v>
                </c:pt>
                <c:pt idx="6">
                  <c:v>0.40029999999999999</c:v>
                </c:pt>
                <c:pt idx="7">
                  <c:v>0.46387</c:v>
                </c:pt>
                <c:pt idx="8">
                  <c:v>0.45641999999999999</c:v>
                </c:pt>
                <c:pt idx="9">
                  <c:v>0.50229999999999997</c:v>
                </c:pt>
                <c:pt idx="10">
                  <c:v>0.54988000000000004</c:v>
                </c:pt>
                <c:pt idx="11">
                  <c:v>0.51405999999999996</c:v>
                </c:pt>
                <c:pt idx="12">
                  <c:v>0.59704999999999997</c:v>
                </c:pt>
                <c:pt idx="13">
                  <c:v>0.61319000000000001</c:v>
                </c:pt>
                <c:pt idx="14">
                  <c:v>0.57420000000000004</c:v>
                </c:pt>
              </c:numCache>
            </c:numRef>
          </c:val>
          <c:smooth val="0"/>
          <c:extLst>
            <c:ext xmlns:c16="http://schemas.microsoft.com/office/drawing/2014/chart" uri="{C3380CC4-5D6E-409C-BE32-E72D297353CC}">
              <c16:uniqueId val="{00000002-A81C-46D1-B2F1-201F8D0C167E}"/>
            </c:ext>
          </c:extLst>
        </c:ser>
        <c:ser>
          <c:idx val="3"/>
          <c:order val="3"/>
          <c:tx>
            <c:strRef>
              <c:f>[16]Inequality!$D$16</c:f>
              <c:strCache>
                <c:ptCount val="1"/>
                <c:pt idx="0">
                  <c:v>Between-Race</c:v>
                </c:pt>
              </c:strCache>
            </c:strRef>
          </c:tx>
          <c:spPr>
            <a:ln w="25400">
              <a:solidFill>
                <a:srgbClr val="00FFFF"/>
              </a:solidFill>
              <a:prstDash val="solid"/>
            </a:ln>
          </c:spPr>
          <c:marker>
            <c:symbol val="none"/>
          </c:marker>
          <c:cat>
            <c:numRef>
              <c:f>[16]Inequality!$F$8:$T$8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[16]Inequality!$F$16:$T$16</c:f>
              <c:numCache>
                <c:formatCode>General</c:formatCode>
                <c:ptCount val="15"/>
                <c:pt idx="0">
                  <c:v>0.54869000000000001</c:v>
                </c:pt>
                <c:pt idx="1">
                  <c:v>0.53154999999999997</c:v>
                </c:pt>
                <c:pt idx="2">
                  <c:v>0.53259000000000001</c:v>
                </c:pt>
                <c:pt idx="3">
                  <c:v>0.54818</c:v>
                </c:pt>
                <c:pt idx="4">
                  <c:v>0.52351999999999999</c:v>
                </c:pt>
                <c:pt idx="5">
                  <c:v>0.54822000000000004</c:v>
                </c:pt>
                <c:pt idx="6">
                  <c:v>0.53803999999999996</c:v>
                </c:pt>
                <c:pt idx="7">
                  <c:v>0.47132000000000002</c:v>
                </c:pt>
                <c:pt idx="8">
                  <c:v>0.48010999999999998</c:v>
                </c:pt>
                <c:pt idx="9">
                  <c:v>0.41836000000000001</c:v>
                </c:pt>
                <c:pt idx="10">
                  <c:v>0.46339000000000002</c:v>
                </c:pt>
                <c:pt idx="11">
                  <c:v>0.4526</c:v>
                </c:pt>
                <c:pt idx="12">
                  <c:v>0.41492000000000001</c:v>
                </c:pt>
                <c:pt idx="13">
                  <c:v>0.41643999999999998</c:v>
                </c:pt>
                <c:pt idx="14">
                  <c:v>0.34243000000000001</c:v>
                </c:pt>
              </c:numCache>
            </c:numRef>
          </c:val>
          <c:smooth val="0"/>
          <c:extLst>
            <c:ext xmlns:c16="http://schemas.microsoft.com/office/drawing/2014/chart" uri="{C3380CC4-5D6E-409C-BE32-E72D297353CC}">
              <c16:uniqueId val="{00000003-A81C-46D1-B2F1-201F8D0C167E}"/>
            </c:ext>
          </c:extLst>
        </c:ser>
        <c:dLbls>
          <c:showLegendKey val="0"/>
          <c:showVal val="0"/>
          <c:showCatName val="0"/>
          <c:showSerName val="0"/>
          <c:showPercent val="0"/>
          <c:showBubbleSize val="0"/>
        </c:dLbls>
        <c:smooth val="0"/>
        <c:axId val="138544808"/>
        <c:axId val="138542064"/>
      </c:lineChart>
      <c:catAx>
        <c:axId val="138544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38542064"/>
        <c:crosses val="autoZero"/>
        <c:auto val="1"/>
        <c:lblAlgn val="ctr"/>
        <c:lblOffset val="100"/>
        <c:tickLblSkip val="1"/>
        <c:tickMarkSkip val="1"/>
        <c:noMultiLvlLbl val="0"/>
      </c:catAx>
      <c:valAx>
        <c:axId val="138542064"/>
        <c:scaling>
          <c:orientation val="minMax"/>
        </c:scaling>
        <c:delete val="0"/>
        <c:axPos val="l"/>
        <c:majorGridlines>
          <c:spPr>
            <a:ln w="3175">
              <a:solidFill>
                <a:srgbClr val="000000"/>
              </a:solidFill>
              <a:prstDash val="solid"/>
            </a:ln>
          </c:spPr>
        </c:majorGridlines>
        <c:title>
          <c:tx>
            <c:rich>
              <a:bodyPr/>
              <a:lstStyle/>
              <a:p>
                <a:pPr>
                  <a:defRPr sz="200" b="0" i="0" u="none" strike="noStrike" baseline="0">
                    <a:solidFill>
                      <a:srgbClr val="000000"/>
                    </a:solidFill>
                    <a:latin typeface="Arial"/>
                    <a:ea typeface="Arial"/>
                    <a:cs typeface="Arial"/>
                  </a:defRPr>
                </a:pPr>
                <a:r>
                  <a:rPr lang="en-ZA"/>
                  <a:t>index</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13854480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778878896176112E-2"/>
          <c:y val="6.2683993294612494E-2"/>
          <c:w val="0.89546932275911051"/>
          <c:h val="0.73291607031611317"/>
        </c:manualLayout>
      </c:layout>
      <c:lineChart>
        <c:grouping val="standard"/>
        <c:varyColors val="0"/>
        <c:ser>
          <c:idx val="0"/>
          <c:order val="0"/>
          <c:spPr>
            <a:ln w="15875">
              <a:solidFill>
                <a:srgbClr val="FF6600"/>
              </a:solidFill>
              <a:prstDash val="solid"/>
            </a:ln>
          </c:spPr>
          <c:marker>
            <c:symbol val="none"/>
          </c:marker>
          <c:cat>
            <c:multiLvlStrRef>
              <c:f>GDP!$D$59:$CK$60</c:f>
              <c:multiLvlStrCache>
                <c:ptCount val="86"/>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8">
                    <c:v>S</c:v>
                  </c:pt>
                  <c:pt idx="29">
                    <c:v>D</c:v>
                  </c:pt>
                  <c:pt idx="30">
                    <c:v>M</c:v>
                  </c:pt>
                  <c:pt idx="31">
                    <c:v>J</c:v>
                  </c:pt>
                  <c:pt idx="32">
                    <c:v>S</c:v>
                  </c:pt>
                  <c:pt idx="33">
                    <c:v>D</c:v>
                  </c:pt>
                  <c:pt idx="34">
                    <c:v>M</c:v>
                  </c:pt>
                  <c:pt idx="35">
                    <c:v>J</c:v>
                  </c:pt>
                  <c:pt idx="36">
                    <c:v>S</c:v>
                  </c:pt>
                  <c:pt idx="37">
                    <c:v>D</c:v>
                  </c:pt>
                  <c:pt idx="38">
                    <c:v>M</c:v>
                  </c:pt>
                  <c:pt idx="39">
                    <c:v>J</c:v>
                  </c:pt>
                  <c:pt idx="40">
                    <c:v>S</c:v>
                  </c:pt>
                  <c:pt idx="41">
                    <c:v>D</c:v>
                  </c:pt>
                  <c:pt idx="42">
                    <c:v>M</c:v>
                  </c:pt>
                  <c:pt idx="43">
                    <c:v>J</c:v>
                  </c:pt>
                  <c:pt idx="44">
                    <c:v>S</c:v>
                  </c:pt>
                  <c:pt idx="45">
                    <c:v>D</c:v>
                  </c:pt>
                  <c:pt idx="46">
                    <c:v>M</c:v>
                  </c:pt>
                  <c:pt idx="47">
                    <c:v>J</c:v>
                  </c:pt>
                  <c:pt idx="48">
                    <c:v>S</c:v>
                  </c:pt>
                  <c:pt idx="49">
                    <c:v>D</c:v>
                  </c:pt>
                  <c:pt idx="50">
                    <c:v>M</c:v>
                  </c:pt>
                  <c:pt idx="51">
                    <c:v>J</c:v>
                  </c:pt>
                  <c:pt idx="52">
                    <c:v>S</c:v>
                  </c:pt>
                  <c:pt idx="53">
                    <c:v>D</c:v>
                  </c:pt>
                  <c:pt idx="54">
                    <c:v>M</c:v>
                  </c:pt>
                  <c:pt idx="55">
                    <c:v>J</c:v>
                  </c:pt>
                  <c:pt idx="56">
                    <c:v>S</c:v>
                  </c:pt>
                  <c:pt idx="57">
                    <c:v>D</c:v>
                  </c:pt>
                  <c:pt idx="58">
                    <c:v>M</c:v>
                  </c:pt>
                  <c:pt idx="59">
                    <c:v>J</c:v>
                  </c:pt>
                  <c:pt idx="60">
                    <c:v>S</c:v>
                  </c:pt>
                  <c:pt idx="61">
                    <c:v>D</c:v>
                  </c:pt>
                  <c:pt idx="62">
                    <c:v>M</c:v>
                  </c:pt>
                  <c:pt idx="63">
                    <c:v>J</c:v>
                  </c:pt>
                  <c:pt idx="64">
                    <c:v>S</c:v>
                  </c:pt>
                  <c:pt idx="65">
                    <c:v>D</c:v>
                  </c:pt>
                  <c:pt idx="66">
                    <c:v>M</c:v>
                  </c:pt>
                  <c:pt idx="67">
                    <c:v>J</c:v>
                  </c:pt>
                  <c:pt idx="68">
                    <c:v>S</c:v>
                  </c:pt>
                  <c:pt idx="69">
                    <c:v>D</c:v>
                  </c:pt>
                  <c:pt idx="70">
                    <c:v>M</c:v>
                  </c:pt>
                  <c:pt idx="71">
                    <c:v>J</c:v>
                  </c:pt>
                  <c:pt idx="72">
                    <c:v>S</c:v>
                  </c:pt>
                  <c:pt idx="73">
                    <c:v>D</c:v>
                  </c:pt>
                  <c:pt idx="74">
                    <c:v>M</c:v>
                  </c:pt>
                  <c:pt idx="75">
                    <c:v>J</c:v>
                  </c:pt>
                  <c:pt idx="76">
                    <c:v>S</c:v>
                  </c:pt>
                  <c:pt idx="77">
                    <c:v>D</c:v>
                  </c:pt>
                  <c:pt idx="78">
                    <c:v>M</c:v>
                  </c:pt>
                  <c:pt idx="79">
                    <c:v>J</c:v>
                  </c:pt>
                  <c:pt idx="80">
                    <c:v>S</c:v>
                  </c:pt>
                  <c:pt idx="81">
                    <c:v>D</c:v>
                  </c:pt>
                  <c:pt idx="82">
                    <c:v>M</c:v>
                  </c:pt>
                  <c:pt idx="83">
                    <c:v>J</c:v>
                  </c:pt>
                  <c:pt idx="84">
                    <c:v>S</c:v>
                  </c:pt>
                  <c:pt idx="85">
                    <c:v>D</c:v>
                  </c:pt>
                </c:lvl>
                <c:lvl>
                  <c:pt idx="0">
                    <c:v>1994</c:v>
                  </c:pt>
                  <c:pt idx="4">
                    <c:v>1995</c:v>
                  </c:pt>
                  <c:pt idx="8">
                    <c:v>1996</c:v>
                  </c:pt>
                  <c:pt idx="12">
                    <c:v>1997</c:v>
                  </c:pt>
                  <c:pt idx="16">
                    <c:v>1998</c:v>
                  </c:pt>
                  <c:pt idx="20">
                    <c:v>1999</c:v>
                  </c:pt>
                  <c:pt idx="24">
                    <c:v>2000</c:v>
                  </c:pt>
                  <c:pt idx="30">
                    <c:v>2001</c:v>
                  </c:pt>
                  <c:pt idx="34">
                    <c:v>2002</c:v>
                  </c:pt>
                  <c:pt idx="38">
                    <c:v>2003</c:v>
                  </c:pt>
                  <c:pt idx="42">
                    <c:v>2004</c:v>
                  </c:pt>
                  <c:pt idx="46">
                    <c:v>2005</c:v>
                  </c:pt>
                  <c:pt idx="50">
                    <c:v>2006</c:v>
                  </c:pt>
                  <c:pt idx="54">
                    <c:v>2007</c:v>
                  </c:pt>
                  <c:pt idx="58">
                    <c:v>2008</c:v>
                  </c:pt>
                  <c:pt idx="62">
                    <c:v>2009</c:v>
                  </c:pt>
                  <c:pt idx="66">
                    <c:v>2010</c:v>
                  </c:pt>
                  <c:pt idx="70">
                    <c:v>2011</c:v>
                  </c:pt>
                  <c:pt idx="74">
                    <c:v>2012</c:v>
                  </c:pt>
                  <c:pt idx="78">
                    <c:v>2013</c:v>
                  </c:pt>
                  <c:pt idx="82">
                    <c:v>2014</c:v>
                  </c:pt>
                </c:lvl>
              </c:multiLvlStrCache>
            </c:multiLvlStrRef>
          </c:cat>
          <c:val>
            <c:numRef>
              <c:f>GDP!$D$61:$CK$61</c:f>
              <c:numCache>
                <c:formatCode>0.0</c:formatCode>
                <c:ptCount val="86"/>
                <c:pt idx="0">
                  <c:v>-0.56882299978329165</c:v>
                </c:pt>
                <c:pt idx="1">
                  <c:v>4.4104514770248127</c:v>
                </c:pt>
                <c:pt idx="2">
                  <c:v>4.5755211153102104</c:v>
                </c:pt>
                <c:pt idx="3">
                  <c:v>6.8455482249596855</c:v>
                </c:pt>
                <c:pt idx="4">
                  <c:v>1.4526669020042515</c:v>
                </c:pt>
                <c:pt idx="5">
                  <c:v>1.7879948352484298</c:v>
                </c:pt>
                <c:pt idx="6">
                  <c:v>1.7378476026035594</c:v>
                </c:pt>
                <c:pt idx="7">
                  <c:v>1.5880303373726701</c:v>
                </c:pt>
                <c:pt idx="8">
                  <c:v>5.7321595371055745</c:v>
                </c:pt>
                <c:pt idx="9">
                  <c:v>7.7052022605754944</c:v>
                </c:pt>
                <c:pt idx="10">
                  <c:v>4.6170729815531164</c:v>
                </c:pt>
                <c:pt idx="11">
                  <c:v>3.8480044584029871</c:v>
                </c:pt>
                <c:pt idx="12">
                  <c:v>1.1541025640912084</c:v>
                </c:pt>
                <c:pt idx="13">
                  <c:v>2.469329522299879</c:v>
                </c:pt>
                <c:pt idx="14">
                  <c:v>0.83825604314000657</c:v>
                </c:pt>
                <c:pt idx="15">
                  <c:v>0.60528963769586053</c:v>
                </c:pt>
                <c:pt idx="16">
                  <c:v>0.50652649384492765</c:v>
                </c:pt>
                <c:pt idx="17">
                  <c:v>0.5667910380350305</c:v>
                </c:pt>
                <c:pt idx="18">
                  <c:v>-0.87372637708889034</c:v>
                </c:pt>
                <c:pt idx="19">
                  <c:v>0.38708722146880703</c:v>
                </c:pt>
                <c:pt idx="20">
                  <c:v>3.7293234295857625</c:v>
                </c:pt>
                <c:pt idx="21">
                  <c:v>3.2216411057017558</c:v>
                </c:pt>
                <c:pt idx="22">
                  <c:v>4.4404269358685688</c:v>
                </c:pt>
                <c:pt idx="23">
                  <c:v>4.4718969599649272</c:v>
                </c:pt>
                <c:pt idx="24">
                  <c:v>4.5758022715120417</c:v>
                </c:pt>
                <c:pt idx="25">
                  <c:v>3.7315457274831543</c:v>
                </c:pt>
                <c:pt idx="28">
                  <c:v>4.0207206604008006</c:v>
                </c:pt>
                <c:pt idx="29">
                  <c:v>3.446709698974848</c:v>
                </c:pt>
                <c:pt idx="30">
                  <c:v>2.6230856866677144</c:v>
                </c:pt>
                <c:pt idx="31">
                  <c:v>2.0146632087566063</c:v>
                </c:pt>
                <c:pt idx="32">
                  <c:v>1.0666361289954462</c:v>
                </c:pt>
                <c:pt idx="33">
                  <c:v>3.1110855135721316</c:v>
                </c:pt>
                <c:pt idx="34">
                  <c:v>5.2924284098060603</c:v>
                </c:pt>
                <c:pt idx="35">
                  <c:v>4.9325000418816378</c:v>
                </c:pt>
                <c:pt idx="36">
                  <c:v>3.3216503268672648</c:v>
                </c:pt>
                <c:pt idx="37">
                  <c:v>2.6991500495235021</c:v>
                </c:pt>
                <c:pt idx="38">
                  <c:v>3.7531764032818993</c:v>
                </c:pt>
                <c:pt idx="39">
                  <c:v>1.9677572605739213</c:v>
                </c:pt>
                <c:pt idx="40">
                  <c:v>2.188320445632419</c:v>
                </c:pt>
                <c:pt idx="41">
                  <c:v>2.327483203645353</c:v>
                </c:pt>
                <c:pt idx="42">
                  <c:v>6.1944683527078492</c:v>
                </c:pt>
                <c:pt idx="43">
                  <c:v>5.7078837294311624</c:v>
                </c:pt>
                <c:pt idx="44">
                  <c:v>6.7026886167146138</c:v>
                </c:pt>
                <c:pt idx="45">
                  <c:v>4.3404056280374359</c:v>
                </c:pt>
                <c:pt idx="46">
                  <c:v>4.1289585309853605</c:v>
                </c:pt>
                <c:pt idx="47">
                  <c:v>7.3737951776069011</c:v>
                </c:pt>
                <c:pt idx="48">
                  <c:v>5.5671463307113367</c:v>
                </c:pt>
                <c:pt idx="49">
                  <c:v>2.7053484122573801</c:v>
                </c:pt>
                <c:pt idx="50">
                  <c:v>7.2147199226530567</c:v>
                </c:pt>
                <c:pt idx="51">
                  <c:v>5.8033950109959154</c:v>
                </c:pt>
                <c:pt idx="52">
                  <c:v>5.6400423927502885</c:v>
                </c:pt>
                <c:pt idx="53">
                  <c:v>5.646861823647753</c:v>
                </c:pt>
                <c:pt idx="54">
                  <c:v>6.6550968043899372</c:v>
                </c:pt>
                <c:pt idx="55">
                  <c:v>3.3185540413170012</c:v>
                </c:pt>
                <c:pt idx="56">
                  <c:v>4.770772853431815</c:v>
                </c:pt>
                <c:pt idx="57">
                  <c:v>5.7889758122643853</c:v>
                </c:pt>
                <c:pt idx="58">
                  <c:v>1.6914714233666972</c:v>
                </c:pt>
                <c:pt idx="59">
                  <c:v>4.9736319432639009</c:v>
                </c:pt>
                <c:pt idx="60">
                  <c:v>0.95933734197808374</c:v>
                </c:pt>
                <c:pt idx="61">
                  <c:v>-2.2579336248711779</c:v>
                </c:pt>
                <c:pt idx="62">
                  <c:v>-6.0782800497366622</c:v>
                </c:pt>
                <c:pt idx="63">
                  <c:v>-1.3656485490968429</c:v>
                </c:pt>
                <c:pt idx="64">
                  <c:v>0.93084880933691494</c:v>
                </c:pt>
                <c:pt idx="65">
                  <c:v>2.6938677703393088</c:v>
                </c:pt>
                <c:pt idx="66">
                  <c:v>4.800123095448483</c:v>
                </c:pt>
                <c:pt idx="67">
                  <c:v>2.4730446755976132</c:v>
                </c:pt>
                <c:pt idx="68">
                  <c:v>4.5599305427149961</c:v>
                </c:pt>
                <c:pt idx="69">
                  <c:v>4.470945145674321</c:v>
                </c:pt>
                <c:pt idx="70">
                  <c:v>3.732716238755307</c:v>
                </c:pt>
                <c:pt idx="71">
                  <c:v>2.1349992664698503</c:v>
                </c:pt>
                <c:pt idx="72">
                  <c:v>1.0514533241010593</c:v>
                </c:pt>
                <c:pt idx="73">
                  <c:v>3.1354710753329629</c:v>
                </c:pt>
                <c:pt idx="74">
                  <c:v>1.6642899696322599</c:v>
                </c:pt>
                <c:pt idx="75">
                  <c:v>3.6993530234988192</c:v>
                </c:pt>
                <c:pt idx="76">
                  <c:v>1.200714604255726</c:v>
                </c:pt>
                <c:pt idx="77">
                  <c:v>1.7879127297799391</c:v>
                </c:pt>
                <c:pt idx="78">
                  <c:v>1.5</c:v>
                </c:pt>
                <c:pt idx="79">
                  <c:v>4</c:v>
                </c:pt>
                <c:pt idx="80">
                  <c:v>1.6</c:v>
                </c:pt>
                <c:pt idx="81">
                  <c:v>4.9000000000000004</c:v>
                </c:pt>
                <c:pt idx="82">
                  <c:v>-1.5555437996301436</c:v>
                </c:pt>
                <c:pt idx="83">
                  <c:v>0.8</c:v>
                </c:pt>
                <c:pt idx="84">
                  <c:v>2.2000000000000002</c:v>
                </c:pt>
                <c:pt idx="85">
                  <c:v>4.0999999999999996</c:v>
                </c:pt>
              </c:numCache>
            </c:numRef>
          </c:val>
          <c:smooth val="0"/>
          <c:extLst>
            <c:ext xmlns:c16="http://schemas.microsoft.com/office/drawing/2014/chart" uri="{C3380CC4-5D6E-409C-BE32-E72D297353CC}">
              <c16:uniqueId val="{00000000-82BF-40AA-B38C-343E29B1223C}"/>
            </c:ext>
          </c:extLst>
        </c:ser>
        <c:dLbls>
          <c:showLegendKey val="0"/>
          <c:showVal val="0"/>
          <c:showCatName val="0"/>
          <c:showSerName val="0"/>
          <c:showPercent val="0"/>
          <c:showBubbleSize val="0"/>
        </c:dLbls>
        <c:smooth val="0"/>
        <c:axId val="397410936"/>
        <c:axId val="397411328"/>
      </c:lineChart>
      <c:catAx>
        <c:axId val="3974109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397411328"/>
        <c:crossesAt val="-8"/>
        <c:auto val="1"/>
        <c:lblAlgn val="ctr"/>
        <c:lblOffset val="100"/>
        <c:tickLblSkip val="1"/>
        <c:tickMarkSkip val="1"/>
        <c:noMultiLvlLbl val="0"/>
      </c:catAx>
      <c:valAx>
        <c:axId val="397411328"/>
        <c:scaling>
          <c:orientation val="minMax"/>
        </c:scaling>
        <c:delete val="0"/>
        <c:axPos val="l"/>
        <c:majorGridlines>
          <c:spPr>
            <a:ln w="3175">
              <a:solidFill>
                <a:srgbClr val="969696"/>
              </a:solidFill>
              <a:prstDash val="sysDash"/>
            </a:ln>
          </c:spPr>
        </c:majorGridlines>
        <c:title>
          <c:tx>
            <c:rich>
              <a:bodyPr/>
              <a:lstStyle/>
              <a:p>
                <a:pPr>
                  <a:defRPr/>
                </a:pPr>
                <a:r>
                  <a:rPr lang="en-US"/>
                  <a:t>%</a:t>
                </a:r>
              </a:p>
            </c:rich>
          </c:tx>
          <c:layout>
            <c:manualLayout>
              <c:xMode val="edge"/>
              <c:yMode val="edge"/>
              <c:x val="1.6198698635339393E-2"/>
              <c:y val="0.4654101837270341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7410936"/>
        <c:crosses val="autoZero"/>
        <c:crossBetween val="between"/>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paperSize="9" orientation="landscape" horizontalDpi="1200" verticalDpi="120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54469197447202"/>
          <c:y val="4.9088110171007233E-2"/>
          <c:w val="0.83553390611031908"/>
          <c:h val="0.79716104167991675"/>
        </c:manualLayout>
      </c:layout>
      <c:barChart>
        <c:barDir val="col"/>
        <c:grouping val="clustered"/>
        <c:varyColors val="0"/>
        <c:ser>
          <c:idx val="10"/>
          <c:order val="0"/>
          <c:tx>
            <c:strRef>
              <c:f>Inequality!$D$60</c:f>
              <c:strCache>
                <c:ptCount val="1"/>
                <c:pt idx="0">
                  <c:v>South Africa</c:v>
                </c:pt>
              </c:strCache>
            </c:strRef>
          </c:tx>
          <c:spPr>
            <a:solidFill>
              <a:schemeClr val="accent6"/>
            </a:solidFill>
          </c:spPr>
          <c:invertIfNegative val="0"/>
          <c:dPt>
            <c:idx val="6"/>
            <c:invertIfNegative val="0"/>
            <c:bubble3D val="0"/>
            <c:spPr>
              <a:solidFill>
                <a:schemeClr val="accent2"/>
              </a:solidFill>
            </c:spPr>
            <c:extLst>
              <c:ext xmlns:c16="http://schemas.microsoft.com/office/drawing/2014/chart" uri="{C3380CC4-5D6E-409C-BE32-E72D297353CC}">
                <c16:uniqueId val="{00000001-3A4E-4608-8F1C-0738149D291B}"/>
              </c:ext>
            </c:extLst>
          </c:dPt>
          <c:dPt>
            <c:idx val="7"/>
            <c:invertIfNegative val="0"/>
            <c:bubble3D val="0"/>
            <c:spPr>
              <a:solidFill>
                <a:schemeClr val="accent2"/>
              </a:solidFill>
            </c:spPr>
            <c:extLst>
              <c:ext xmlns:c16="http://schemas.microsoft.com/office/drawing/2014/chart" uri="{C3380CC4-5D6E-409C-BE32-E72D297353CC}">
                <c16:uniqueId val="{00000003-3A4E-4608-8F1C-0738149D291B}"/>
              </c:ext>
            </c:extLst>
          </c:dPt>
          <c:dPt>
            <c:idx val="8"/>
            <c:invertIfNegative val="0"/>
            <c:bubble3D val="0"/>
            <c:spPr>
              <a:solidFill>
                <a:schemeClr val="accent2"/>
              </a:solidFill>
            </c:spPr>
            <c:extLst>
              <c:ext xmlns:c16="http://schemas.microsoft.com/office/drawing/2014/chart" uri="{C3380CC4-5D6E-409C-BE32-E72D297353CC}">
                <c16:uniqueId val="{00000005-3A4E-4608-8F1C-0738149D291B}"/>
              </c:ext>
            </c:extLst>
          </c:dPt>
          <c:dPt>
            <c:idx val="9"/>
            <c:invertIfNegative val="0"/>
            <c:bubble3D val="0"/>
            <c:spPr>
              <a:solidFill>
                <a:schemeClr val="accent2"/>
              </a:solidFill>
            </c:spPr>
            <c:extLst>
              <c:ext xmlns:c16="http://schemas.microsoft.com/office/drawing/2014/chart" uri="{C3380CC4-5D6E-409C-BE32-E72D297353CC}">
                <c16:uniqueId val="{00000007-3A4E-4608-8F1C-0738149D291B}"/>
              </c:ext>
            </c:extLst>
          </c:dPt>
          <c:dPt>
            <c:idx val="10"/>
            <c:invertIfNegative val="0"/>
            <c:bubble3D val="0"/>
            <c:spPr>
              <a:solidFill>
                <a:schemeClr val="accent2"/>
              </a:solidFill>
            </c:spPr>
            <c:extLst>
              <c:ext xmlns:c16="http://schemas.microsoft.com/office/drawing/2014/chart" uri="{C3380CC4-5D6E-409C-BE32-E72D297353CC}">
                <c16:uniqueId val="{00000009-3A4E-4608-8F1C-0738149D291B}"/>
              </c:ext>
            </c:extLst>
          </c:dPt>
          <c:cat>
            <c:multiLvlStrRef>
              <c:f>Inequality!$E$58:$N$59</c:f>
              <c:multiLvlStrCache>
                <c:ptCount val="10"/>
                <c:lvl>
                  <c:pt idx="0">
                    <c:v>2008</c:v>
                  </c:pt>
                  <c:pt idx="1">
                    <c:v>2010</c:v>
                  </c:pt>
                  <c:pt idx="2">
                    <c:v>2012</c:v>
                  </c:pt>
                  <c:pt idx="3">
                    <c:v>2014/15</c:v>
                  </c:pt>
                  <c:pt idx="4">
                    <c:v>2017</c:v>
                  </c:pt>
                  <c:pt idx="5">
                    <c:v>2018</c:v>
                  </c:pt>
                  <c:pt idx="6">
                    <c:v>2008</c:v>
                  </c:pt>
                  <c:pt idx="7">
                    <c:v>2010</c:v>
                  </c:pt>
                  <c:pt idx="8">
                    <c:v>2012</c:v>
                  </c:pt>
                  <c:pt idx="9">
                    <c:v>2014/15</c:v>
                  </c:pt>
                </c:lvl>
                <c:lvl>
                  <c:pt idx="0">
                    <c:v>Gini (per capita income)</c:v>
                  </c:pt>
                  <c:pt idx="6">
                    <c:v>Gini (per capita expenditure)</c:v>
                  </c:pt>
                </c:lvl>
              </c:multiLvlStrCache>
            </c:multiLvlStrRef>
          </c:cat>
          <c:val>
            <c:numRef>
              <c:f>Inequality!$E$60:$O$60</c:f>
              <c:numCache>
                <c:formatCode>0.00</c:formatCode>
                <c:ptCount val="11"/>
                <c:pt idx="0">
                  <c:v>0.7</c:v>
                </c:pt>
                <c:pt idx="1">
                  <c:v>0.68</c:v>
                </c:pt>
                <c:pt idx="2">
                  <c:v>0.67</c:v>
                </c:pt>
                <c:pt idx="3">
                  <c:v>0.65</c:v>
                </c:pt>
                <c:pt idx="4">
                  <c:v>0.67</c:v>
                </c:pt>
                <c:pt idx="6">
                  <c:v>0.7</c:v>
                </c:pt>
                <c:pt idx="7">
                  <c:v>0.71</c:v>
                </c:pt>
                <c:pt idx="8">
                  <c:v>0.67</c:v>
                </c:pt>
                <c:pt idx="9">
                  <c:v>0.67</c:v>
                </c:pt>
                <c:pt idx="10">
                  <c:v>0.68</c:v>
                </c:pt>
              </c:numCache>
            </c:numRef>
          </c:val>
          <c:extLst>
            <c:ext xmlns:c16="http://schemas.microsoft.com/office/drawing/2014/chart" uri="{C3380CC4-5D6E-409C-BE32-E72D297353CC}">
              <c16:uniqueId val="{0000000A-3A4E-4608-8F1C-0738149D291B}"/>
            </c:ext>
          </c:extLst>
        </c:ser>
        <c:dLbls>
          <c:showLegendKey val="0"/>
          <c:showVal val="0"/>
          <c:showCatName val="0"/>
          <c:showSerName val="0"/>
          <c:showPercent val="0"/>
          <c:showBubbleSize val="0"/>
        </c:dLbls>
        <c:gapWidth val="150"/>
        <c:axId val="138546768"/>
        <c:axId val="138548728"/>
      </c:barChart>
      <c:catAx>
        <c:axId val="138546768"/>
        <c:scaling>
          <c:orientation val="minMax"/>
        </c:scaling>
        <c:delete val="0"/>
        <c:axPos val="b"/>
        <c:numFmt formatCode="General" sourceLinked="1"/>
        <c:majorTickMark val="out"/>
        <c:minorTickMark val="none"/>
        <c:tickLblPos val="nextTo"/>
        <c:crossAx val="138548728"/>
        <c:crosses val="autoZero"/>
        <c:auto val="1"/>
        <c:lblAlgn val="ctr"/>
        <c:lblOffset val="100"/>
        <c:noMultiLvlLbl val="0"/>
      </c:catAx>
      <c:valAx>
        <c:axId val="138548728"/>
        <c:scaling>
          <c:orientation val="minMax"/>
        </c:scaling>
        <c:delete val="0"/>
        <c:axPos val="l"/>
        <c:majorGridlines>
          <c:spPr>
            <a:ln>
              <a:prstDash val="dash"/>
            </a:ln>
          </c:spPr>
        </c:majorGridlines>
        <c:title>
          <c:tx>
            <c:rich>
              <a:bodyPr rot="-5400000" vert="horz" anchor="t" anchorCtr="0"/>
              <a:lstStyle/>
              <a:p>
                <a:pPr>
                  <a:defRPr/>
                </a:pPr>
                <a:r>
                  <a:rPr lang="en-US"/>
                  <a:t>Gini coefficient</a:t>
                </a:r>
              </a:p>
            </c:rich>
          </c:tx>
          <c:overlay val="0"/>
        </c:title>
        <c:numFmt formatCode="0.00" sourceLinked="1"/>
        <c:majorTickMark val="out"/>
        <c:minorTickMark val="none"/>
        <c:tickLblPos val="nextTo"/>
        <c:crossAx val="138546768"/>
        <c:crosses val="autoZero"/>
        <c:crossBetween val="between"/>
      </c:valAx>
    </c:plotArea>
    <c:plotVisOnly val="1"/>
    <c:dispBlanksAs val="gap"/>
    <c:showDLblsOverMax val="0"/>
  </c:chart>
  <c:spPr>
    <a:ln>
      <a:noFill/>
    </a:ln>
  </c:spPr>
  <c:txPr>
    <a:bodyPr/>
    <a:lstStyle/>
    <a:p>
      <a:pPr>
        <a:defRPr sz="800">
          <a:latin typeface="Arial Narrow" pitchFamily="34" charset="0"/>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2006</c:v>
          </c:tx>
          <c:spPr>
            <a:solidFill>
              <a:srgbClr val="FCD5B5"/>
            </a:solidFill>
          </c:spPr>
          <c:invertIfNegative val="0"/>
          <c:cat>
            <c:strRef>
              <c:f>'Poverty Gap indices  '!$D$9:$D$18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'!$E$9:$E$18</c:f>
              <c:numCache>
                <c:formatCode>General</c:formatCode>
                <c:ptCount val="10"/>
                <c:pt idx="0">
                  <c:v>43.9</c:v>
                </c:pt>
                <c:pt idx="1">
                  <c:v>31</c:v>
                </c:pt>
                <c:pt idx="2">
                  <c:v>18.3</c:v>
                </c:pt>
                <c:pt idx="3">
                  <c:v>45.2</c:v>
                </c:pt>
                <c:pt idx="4">
                  <c:v>47.4</c:v>
                </c:pt>
                <c:pt idx="5">
                  <c:v>41.8</c:v>
                </c:pt>
                <c:pt idx="6">
                  <c:v>40.9</c:v>
                </c:pt>
                <c:pt idx="7">
                  <c:v>37.5</c:v>
                </c:pt>
                <c:pt idx="8">
                  <c:v>21.2</c:v>
                </c:pt>
                <c:pt idx="9">
                  <c:v>35.6</c:v>
                </c:pt>
              </c:numCache>
            </c:numRef>
          </c:val>
          <c:extLst>
            <c:ext xmlns:c16="http://schemas.microsoft.com/office/drawing/2014/chart" uri="{C3380CC4-5D6E-409C-BE32-E72D297353CC}">
              <c16:uniqueId val="{00000000-5229-4967-A8E1-AE50B2F2CA01}"/>
            </c:ext>
          </c:extLst>
        </c:ser>
        <c:ser>
          <c:idx val="1"/>
          <c:order val="1"/>
          <c:tx>
            <c:v>2009</c:v>
          </c:tx>
          <c:spPr>
            <a:solidFill>
              <a:srgbClr val="F8A662"/>
            </a:solidFill>
          </c:spPr>
          <c:invertIfNegative val="0"/>
          <c:cat>
            <c:strRef>
              <c:f>'Poverty Gap indices  '!$D$9:$D$18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'!$F$9:$F$18</c:f>
              <c:numCache>
                <c:formatCode>General</c:formatCode>
                <c:ptCount val="10"/>
                <c:pt idx="0">
                  <c:v>44.9</c:v>
                </c:pt>
                <c:pt idx="1">
                  <c:v>34.9</c:v>
                </c:pt>
                <c:pt idx="2">
                  <c:v>16.600000000000001</c:v>
                </c:pt>
                <c:pt idx="3">
                  <c:v>41.2</c:v>
                </c:pt>
                <c:pt idx="4">
                  <c:v>50.6</c:v>
                </c:pt>
                <c:pt idx="5">
                  <c:v>40.700000000000003</c:v>
                </c:pt>
                <c:pt idx="6">
                  <c:v>36.6</c:v>
                </c:pt>
                <c:pt idx="7">
                  <c:v>36</c:v>
                </c:pt>
                <c:pt idx="8">
                  <c:v>18.100000000000001</c:v>
                </c:pt>
                <c:pt idx="9">
                  <c:v>33.5</c:v>
                </c:pt>
              </c:numCache>
            </c:numRef>
          </c:val>
          <c:extLst>
            <c:ext xmlns:c16="http://schemas.microsoft.com/office/drawing/2014/chart" uri="{C3380CC4-5D6E-409C-BE32-E72D297353CC}">
              <c16:uniqueId val="{00000001-5229-4967-A8E1-AE50B2F2CA01}"/>
            </c:ext>
          </c:extLst>
        </c:ser>
        <c:ser>
          <c:idx val="2"/>
          <c:order val="2"/>
          <c:tx>
            <c:v>2011</c:v>
          </c:tx>
          <c:spPr>
            <a:solidFill>
              <a:srgbClr val="E46C0A"/>
            </a:solidFill>
          </c:spPr>
          <c:invertIfNegative val="0"/>
          <c:cat>
            <c:strRef>
              <c:f>'Poverty Gap indices  '!$D$9:$D$18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'!$G$9:$G$18</c:f>
              <c:numCache>
                <c:formatCode>General</c:formatCode>
                <c:ptCount val="10"/>
                <c:pt idx="0">
                  <c:v>35.5</c:v>
                </c:pt>
                <c:pt idx="1">
                  <c:v>23.4</c:v>
                </c:pt>
                <c:pt idx="2">
                  <c:v>12</c:v>
                </c:pt>
                <c:pt idx="3">
                  <c:v>33.4</c:v>
                </c:pt>
                <c:pt idx="4">
                  <c:v>36.799999999999997</c:v>
                </c:pt>
                <c:pt idx="5">
                  <c:v>31.1</c:v>
                </c:pt>
                <c:pt idx="6">
                  <c:v>26.4</c:v>
                </c:pt>
                <c:pt idx="7">
                  <c:v>29.6</c:v>
                </c:pt>
                <c:pt idx="8">
                  <c:v>12.5</c:v>
                </c:pt>
                <c:pt idx="9">
                  <c:v>25.5</c:v>
                </c:pt>
              </c:numCache>
            </c:numRef>
          </c:val>
          <c:extLst>
            <c:ext xmlns:c16="http://schemas.microsoft.com/office/drawing/2014/chart" uri="{C3380CC4-5D6E-409C-BE32-E72D297353CC}">
              <c16:uniqueId val="{00000002-5229-4967-A8E1-AE50B2F2CA01}"/>
            </c:ext>
          </c:extLst>
        </c:ser>
        <c:ser>
          <c:idx val="3"/>
          <c:order val="3"/>
          <c:tx>
            <c:strRef>
              <c:f>'Poverty Gap indices  '!$H$8</c:f>
              <c:strCache>
                <c:ptCount val="1"/>
                <c:pt idx="0">
                  <c:v>2015</c:v>
                </c:pt>
              </c:strCache>
            </c:strRef>
          </c:tx>
          <c:invertIfNegative val="0"/>
          <c:cat>
            <c:strRef>
              <c:f>'Poverty Gap indices  '!$D$9:$D$18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'!$H$9:$H$18</c:f>
              <c:numCache>
                <c:formatCode>General</c:formatCode>
                <c:ptCount val="10"/>
                <c:pt idx="0">
                  <c:v>41.3</c:v>
                </c:pt>
                <c:pt idx="1">
                  <c:v>25.1</c:v>
                </c:pt>
                <c:pt idx="2">
                  <c:v>13.2</c:v>
                </c:pt>
                <c:pt idx="3">
                  <c:v>36.1</c:v>
                </c:pt>
                <c:pt idx="4">
                  <c:v>40.299999999999997</c:v>
                </c:pt>
                <c:pt idx="5">
                  <c:v>29</c:v>
                </c:pt>
                <c:pt idx="6">
                  <c:v>28</c:v>
                </c:pt>
                <c:pt idx="7">
                  <c:v>32.200000000000003</c:v>
                </c:pt>
                <c:pt idx="8">
                  <c:v>14.7</c:v>
                </c:pt>
                <c:pt idx="9">
                  <c:v>27.7</c:v>
                </c:pt>
              </c:numCache>
            </c:numRef>
          </c:val>
          <c:extLst>
            <c:ext xmlns:c16="http://schemas.microsoft.com/office/drawing/2014/chart" uri="{C3380CC4-5D6E-409C-BE32-E72D297353CC}">
              <c16:uniqueId val="{00000003-5229-4967-A8E1-AE50B2F2CA01}"/>
            </c:ext>
          </c:extLst>
        </c:ser>
        <c:dLbls>
          <c:showLegendKey val="0"/>
          <c:showVal val="0"/>
          <c:showCatName val="0"/>
          <c:showSerName val="0"/>
          <c:showPercent val="0"/>
          <c:showBubbleSize val="0"/>
        </c:dLbls>
        <c:gapWidth val="150"/>
        <c:axId val="138541280"/>
        <c:axId val="138546376"/>
      </c:barChart>
      <c:catAx>
        <c:axId val="138541280"/>
        <c:scaling>
          <c:orientation val="minMax"/>
        </c:scaling>
        <c:delete val="0"/>
        <c:axPos val="b"/>
        <c:numFmt formatCode="General" sourceLinked="0"/>
        <c:majorTickMark val="out"/>
        <c:minorTickMark val="none"/>
        <c:tickLblPos val="nextTo"/>
        <c:spPr>
          <a:ln>
            <a:solidFill>
              <a:schemeClr val="tx1">
                <a:lumMod val="95000"/>
                <a:lumOff val="5000"/>
              </a:schemeClr>
            </a:solidFill>
          </a:ln>
        </c:spPr>
        <c:crossAx val="138546376"/>
        <c:crosses val="autoZero"/>
        <c:auto val="1"/>
        <c:lblAlgn val="ctr"/>
        <c:lblOffset val="100"/>
        <c:noMultiLvlLbl val="0"/>
      </c:catAx>
      <c:valAx>
        <c:axId val="138546376"/>
        <c:scaling>
          <c:orientation val="minMax"/>
        </c:scaling>
        <c:delete val="0"/>
        <c:axPos val="l"/>
        <c:majorGridlines>
          <c:spPr>
            <a:ln w="6350">
              <a:prstDash val="sysDash"/>
            </a:ln>
          </c:spPr>
        </c:majorGridlines>
        <c:numFmt formatCode="#,##0.0" sourceLinked="0"/>
        <c:majorTickMark val="out"/>
        <c:minorTickMark val="none"/>
        <c:tickLblPos val="nextTo"/>
        <c:spPr>
          <a:ln>
            <a:solidFill>
              <a:schemeClr val="tx1">
                <a:lumMod val="95000"/>
                <a:lumOff val="5000"/>
              </a:schemeClr>
            </a:solidFill>
          </a:ln>
        </c:spPr>
        <c:crossAx val="1385412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2006</c:v>
          </c:tx>
          <c:spPr>
            <a:solidFill>
              <a:srgbClr val="FCD5B5"/>
            </a:solidFill>
          </c:spPr>
          <c:invertIfNegative val="0"/>
          <c:cat>
            <c:strRef>
              <c:f>'Poverty Gap indices  '!$K$9:$K$18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'!$L$9:$L$18</c:f>
              <c:numCache>
                <c:formatCode>General</c:formatCode>
                <c:ptCount val="10"/>
                <c:pt idx="0">
                  <c:v>28.4</c:v>
                </c:pt>
                <c:pt idx="1">
                  <c:v>18.2</c:v>
                </c:pt>
                <c:pt idx="2">
                  <c:v>9.6</c:v>
                </c:pt>
                <c:pt idx="3">
                  <c:v>30.3</c:v>
                </c:pt>
                <c:pt idx="4">
                  <c:v>31</c:v>
                </c:pt>
                <c:pt idx="5">
                  <c:v>26.9</c:v>
                </c:pt>
                <c:pt idx="6">
                  <c:v>26.2</c:v>
                </c:pt>
                <c:pt idx="7">
                  <c:v>23.7</c:v>
                </c:pt>
                <c:pt idx="8">
                  <c:v>11.7</c:v>
                </c:pt>
                <c:pt idx="9">
                  <c:v>22.5</c:v>
                </c:pt>
              </c:numCache>
            </c:numRef>
          </c:val>
          <c:extLst>
            <c:ext xmlns:c16="http://schemas.microsoft.com/office/drawing/2014/chart" uri="{C3380CC4-5D6E-409C-BE32-E72D297353CC}">
              <c16:uniqueId val="{00000000-9012-47D8-A2F1-435942CB1B1F}"/>
            </c:ext>
          </c:extLst>
        </c:ser>
        <c:ser>
          <c:idx val="1"/>
          <c:order val="1"/>
          <c:tx>
            <c:v>2009</c:v>
          </c:tx>
          <c:spPr>
            <a:solidFill>
              <a:srgbClr val="F8A662"/>
            </a:solidFill>
          </c:spPr>
          <c:invertIfNegative val="0"/>
          <c:cat>
            <c:strRef>
              <c:f>'Poverty Gap indices  '!$K$9:$K$18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'!$M$9:$M$18</c:f>
              <c:numCache>
                <c:formatCode>General</c:formatCode>
                <c:ptCount val="10"/>
                <c:pt idx="0">
                  <c:v>29.6</c:v>
                </c:pt>
                <c:pt idx="1">
                  <c:v>21</c:v>
                </c:pt>
                <c:pt idx="2">
                  <c:v>9.1</c:v>
                </c:pt>
                <c:pt idx="3">
                  <c:v>27.1</c:v>
                </c:pt>
                <c:pt idx="4">
                  <c:v>34.700000000000003</c:v>
                </c:pt>
                <c:pt idx="5">
                  <c:v>26.4</c:v>
                </c:pt>
                <c:pt idx="6">
                  <c:v>22.6</c:v>
                </c:pt>
                <c:pt idx="7">
                  <c:v>22.5</c:v>
                </c:pt>
                <c:pt idx="8">
                  <c:v>9.9</c:v>
                </c:pt>
                <c:pt idx="9">
                  <c:v>21.3</c:v>
                </c:pt>
              </c:numCache>
            </c:numRef>
          </c:val>
          <c:extLst>
            <c:ext xmlns:c16="http://schemas.microsoft.com/office/drawing/2014/chart" uri="{C3380CC4-5D6E-409C-BE32-E72D297353CC}">
              <c16:uniqueId val="{00000001-9012-47D8-A2F1-435942CB1B1F}"/>
            </c:ext>
          </c:extLst>
        </c:ser>
        <c:ser>
          <c:idx val="2"/>
          <c:order val="2"/>
          <c:tx>
            <c:v>2011</c:v>
          </c:tx>
          <c:spPr>
            <a:solidFill>
              <a:srgbClr val="E46C0A"/>
            </a:solidFill>
          </c:spPr>
          <c:invertIfNegative val="0"/>
          <c:cat>
            <c:strRef>
              <c:f>'Poverty Gap indices  '!$K$9:$K$18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'!$N$9:$N$18</c:f>
              <c:numCache>
                <c:formatCode>General</c:formatCode>
                <c:ptCount val="10"/>
                <c:pt idx="0">
                  <c:v>21.6</c:v>
                </c:pt>
                <c:pt idx="1">
                  <c:v>13.4</c:v>
                </c:pt>
                <c:pt idx="2">
                  <c:v>6.4</c:v>
                </c:pt>
                <c:pt idx="3">
                  <c:v>20.399999999999999</c:v>
                </c:pt>
                <c:pt idx="4">
                  <c:v>23</c:v>
                </c:pt>
                <c:pt idx="5">
                  <c:v>18</c:v>
                </c:pt>
                <c:pt idx="6">
                  <c:v>14.9</c:v>
                </c:pt>
                <c:pt idx="7">
                  <c:v>17.8</c:v>
                </c:pt>
                <c:pt idx="8">
                  <c:v>6.2</c:v>
                </c:pt>
                <c:pt idx="9">
                  <c:v>15</c:v>
                </c:pt>
              </c:numCache>
            </c:numRef>
          </c:val>
          <c:extLst>
            <c:ext xmlns:c16="http://schemas.microsoft.com/office/drawing/2014/chart" uri="{C3380CC4-5D6E-409C-BE32-E72D297353CC}">
              <c16:uniqueId val="{00000002-9012-47D8-A2F1-435942CB1B1F}"/>
            </c:ext>
          </c:extLst>
        </c:ser>
        <c:ser>
          <c:idx val="3"/>
          <c:order val="3"/>
          <c:tx>
            <c:strRef>
              <c:f>'Poverty Gap indices  '!$O$8</c:f>
              <c:strCache>
                <c:ptCount val="1"/>
                <c:pt idx="0">
                  <c:v>2015</c:v>
                </c:pt>
              </c:strCache>
            </c:strRef>
          </c:tx>
          <c:invertIfNegative val="0"/>
          <c:cat>
            <c:strRef>
              <c:f>'Poverty Gap indices  '!$K$9:$K$18</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'!$O$9:$O$18</c:f>
              <c:numCache>
                <c:formatCode>General</c:formatCode>
                <c:ptCount val="10"/>
                <c:pt idx="0">
                  <c:v>27.1</c:v>
                </c:pt>
                <c:pt idx="1">
                  <c:v>14.2</c:v>
                </c:pt>
                <c:pt idx="2">
                  <c:v>6.9</c:v>
                </c:pt>
                <c:pt idx="3">
                  <c:v>22.7</c:v>
                </c:pt>
                <c:pt idx="4">
                  <c:v>26.4</c:v>
                </c:pt>
                <c:pt idx="5">
                  <c:v>17.3</c:v>
                </c:pt>
                <c:pt idx="6">
                  <c:v>16.5</c:v>
                </c:pt>
                <c:pt idx="7">
                  <c:v>19.8</c:v>
                </c:pt>
                <c:pt idx="8">
                  <c:v>7.6</c:v>
                </c:pt>
                <c:pt idx="9">
                  <c:v>17</c:v>
                </c:pt>
              </c:numCache>
            </c:numRef>
          </c:val>
          <c:extLst>
            <c:ext xmlns:c16="http://schemas.microsoft.com/office/drawing/2014/chart" uri="{C3380CC4-5D6E-409C-BE32-E72D297353CC}">
              <c16:uniqueId val="{00000003-9012-47D8-A2F1-435942CB1B1F}"/>
            </c:ext>
          </c:extLst>
        </c:ser>
        <c:dLbls>
          <c:showLegendKey val="0"/>
          <c:showVal val="0"/>
          <c:showCatName val="0"/>
          <c:showSerName val="0"/>
          <c:showPercent val="0"/>
          <c:showBubbleSize val="0"/>
        </c:dLbls>
        <c:gapWidth val="150"/>
        <c:axId val="138542848"/>
        <c:axId val="138543632"/>
      </c:barChart>
      <c:catAx>
        <c:axId val="138542848"/>
        <c:scaling>
          <c:orientation val="minMax"/>
        </c:scaling>
        <c:delete val="0"/>
        <c:axPos val="b"/>
        <c:numFmt formatCode="General" sourceLinked="0"/>
        <c:majorTickMark val="none"/>
        <c:minorTickMark val="out"/>
        <c:tickLblPos val="nextTo"/>
        <c:spPr>
          <a:ln>
            <a:solidFill>
              <a:schemeClr val="tx1">
                <a:lumMod val="95000"/>
                <a:lumOff val="5000"/>
              </a:schemeClr>
            </a:solidFill>
          </a:ln>
        </c:spPr>
        <c:crossAx val="138543632"/>
        <c:crosses val="autoZero"/>
        <c:auto val="1"/>
        <c:lblAlgn val="ctr"/>
        <c:lblOffset val="100"/>
        <c:noMultiLvlLbl val="0"/>
      </c:catAx>
      <c:valAx>
        <c:axId val="138543632"/>
        <c:scaling>
          <c:orientation val="minMax"/>
        </c:scaling>
        <c:delete val="0"/>
        <c:axPos val="l"/>
        <c:majorGridlines>
          <c:spPr>
            <a:ln w="6350">
              <a:prstDash val="sysDash"/>
            </a:ln>
          </c:spPr>
        </c:majorGridlines>
        <c:numFmt formatCode="#,##0.0" sourceLinked="0"/>
        <c:majorTickMark val="out"/>
        <c:minorTickMark val="none"/>
        <c:tickLblPos val="nextTo"/>
        <c:spPr>
          <a:ln>
            <a:solidFill>
              <a:schemeClr val="tx1">
                <a:lumMod val="95000"/>
                <a:lumOff val="5000"/>
              </a:schemeClr>
            </a:solidFill>
          </a:ln>
        </c:spPr>
        <c:crossAx val="13854284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328113535526703E-2"/>
          <c:y val="4.4189133074783601E-2"/>
          <c:w val="0.94081192477581999"/>
          <c:h val="0.82653378775413799"/>
        </c:manualLayout>
      </c:layout>
      <c:lineChart>
        <c:grouping val="standard"/>
        <c:varyColors val="0"/>
        <c:ser>
          <c:idx val="0"/>
          <c:order val="0"/>
          <c:tx>
            <c:strRef>
              <c:f>'UN Police Ratio'!$D$53</c:f>
              <c:strCache>
                <c:ptCount val="1"/>
              </c:strCache>
            </c:strRef>
          </c:tx>
          <c:spPr>
            <a:ln w="12700" cap="rnd" cmpd="sng" algn="ctr">
              <a:solidFill>
                <a:schemeClr val="accent1"/>
              </a:solidFill>
              <a:prstDash val="solid"/>
              <a:round/>
            </a:ln>
          </c:spPr>
          <c:marker>
            <c:symbol val="none"/>
          </c:marker>
          <c:cat>
            <c:numRef>
              <c:f>'UN Police Ratio'!$E$52:$AE$52</c:f>
              <c:numCache>
                <c:formatCode>General</c:formatCode>
                <c:ptCount val="14"/>
              </c:numCache>
            </c:numRef>
          </c:cat>
          <c:val>
            <c:numRef>
              <c:f>'UN Police Ratio'!$E$53:$AE$53</c:f>
              <c:numCache>
                <c:formatCode>0.00</c:formatCode>
                <c:ptCount val="14"/>
              </c:numCache>
            </c:numRef>
          </c:val>
          <c:smooth val="0"/>
          <c:extLst>
            <c:ext xmlns:c16="http://schemas.microsoft.com/office/drawing/2014/chart" uri="{C3380CC4-5D6E-409C-BE32-E72D297353CC}">
              <c16:uniqueId val="{00000000-3789-4957-ABE6-4844B40F02A3}"/>
            </c:ext>
          </c:extLst>
        </c:ser>
        <c:ser>
          <c:idx val="1"/>
          <c:order val="1"/>
          <c:tx>
            <c:strRef>
              <c:f>'UN Police Ratio'!$D$54</c:f>
              <c:strCache>
                <c:ptCount val="1"/>
              </c:strCache>
            </c:strRef>
          </c:tx>
          <c:spPr>
            <a:ln w="12700" cap="rnd" cmpd="sng" algn="ctr">
              <a:solidFill>
                <a:schemeClr val="accent2"/>
              </a:solidFill>
              <a:prstDash val="solid"/>
              <a:round/>
            </a:ln>
          </c:spPr>
          <c:marker>
            <c:symbol val="none"/>
          </c:marker>
          <c:cat>
            <c:numRef>
              <c:f>'UN Police Ratio'!$E$52:$AE$52</c:f>
              <c:numCache>
                <c:formatCode>General</c:formatCode>
                <c:ptCount val="14"/>
              </c:numCache>
            </c:numRef>
          </c:cat>
          <c:val>
            <c:numRef>
              <c:f>'UN Police Ratio'!$E$54:$AE$54</c:f>
              <c:numCache>
                <c:formatCode>0.00</c:formatCode>
                <c:ptCount val="14"/>
              </c:numCache>
            </c:numRef>
          </c:val>
          <c:smooth val="0"/>
          <c:extLst>
            <c:ext xmlns:c16="http://schemas.microsoft.com/office/drawing/2014/chart" uri="{C3380CC4-5D6E-409C-BE32-E72D297353CC}">
              <c16:uniqueId val="{00000001-3789-4957-ABE6-4844B40F02A3}"/>
            </c:ext>
          </c:extLst>
        </c:ser>
        <c:ser>
          <c:idx val="2"/>
          <c:order val="2"/>
          <c:tx>
            <c:strRef>
              <c:f>'UN Police Ratio'!$D$55</c:f>
              <c:strCache>
                <c:ptCount val="1"/>
              </c:strCache>
            </c:strRef>
          </c:tx>
          <c:spPr>
            <a:ln w="12700" cap="rnd" cmpd="sng" algn="ctr">
              <a:solidFill>
                <a:schemeClr val="accent3"/>
              </a:solidFill>
              <a:prstDash val="solid"/>
              <a:round/>
            </a:ln>
          </c:spPr>
          <c:marker>
            <c:symbol val="none"/>
          </c:marker>
          <c:cat>
            <c:numRef>
              <c:f>'UN Police Ratio'!$E$52:$AE$52</c:f>
              <c:numCache>
                <c:formatCode>General</c:formatCode>
                <c:ptCount val="14"/>
              </c:numCache>
            </c:numRef>
          </c:cat>
          <c:val>
            <c:numRef>
              <c:f>'UN Police Ratio'!$E$55:$AD$55</c:f>
              <c:numCache>
                <c:formatCode>0.00</c:formatCode>
                <c:ptCount val="13"/>
              </c:numCache>
            </c:numRef>
          </c:val>
          <c:smooth val="0"/>
          <c:extLst>
            <c:ext xmlns:c16="http://schemas.microsoft.com/office/drawing/2014/chart" uri="{C3380CC4-5D6E-409C-BE32-E72D297353CC}">
              <c16:uniqueId val="{00000002-3789-4957-ABE6-4844B40F02A3}"/>
            </c:ext>
          </c:extLst>
        </c:ser>
        <c:ser>
          <c:idx val="3"/>
          <c:order val="3"/>
          <c:tx>
            <c:strRef>
              <c:f>'UN Police Ratio'!$D$56</c:f>
              <c:strCache>
                <c:ptCount val="1"/>
              </c:strCache>
            </c:strRef>
          </c:tx>
          <c:spPr>
            <a:ln w="12700" cap="rnd" cmpd="sng" algn="ctr">
              <a:solidFill>
                <a:schemeClr val="accent4"/>
              </a:solidFill>
              <a:prstDash val="solid"/>
              <a:round/>
            </a:ln>
          </c:spPr>
          <c:marker>
            <c:symbol val="none"/>
          </c:marker>
          <c:cat>
            <c:numRef>
              <c:f>'UN Police Ratio'!$E$52:$AE$52</c:f>
              <c:numCache>
                <c:formatCode>General</c:formatCode>
                <c:ptCount val="14"/>
              </c:numCache>
            </c:numRef>
          </c:cat>
          <c:val>
            <c:numRef>
              <c:f>'UN Police Ratio'!$E$56:$AE$56</c:f>
              <c:numCache>
                <c:formatCode>0.00</c:formatCode>
                <c:ptCount val="14"/>
              </c:numCache>
            </c:numRef>
          </c:val>
          <c:smooth val="0"/>
          <c:extLst>
            <c:ext xmlns:c16="http://schemas.microsoft.com/office/drawing/2014/chart" uri="{C3380CC4-5D6E-409C-BE32-E72D297353CC}">
              <c16:uniqueId val="{00000003-3789-4957-ABE6-4844B40F02A3}"/>
            </c:ext>
          </c:extLst>
        </c:ser>
        <c:ser>
          <c:idx val="4"/>
          <c:order val="4"/>
          <c:tx>
            <c:strRef>
              <c:f>'UN Police Ratio'!$D$57</c:f>
              <c:strCache>
                <c:ptCount val="1"/>
              </c:strCache>
            </c:strRef>
          </c:tx>
          <c:spPr>
            <a:ln w="12700" cap="rnd" cmpd="sng" algn="ctr">
              <a:solidFill>
                <a:schemeClr val="accent5"/>
              </a:solidFill>
              <a:prstDash val="solid"/>
              <a:round/>
            </a:ln>
          </c:spPr>
          <c:marker>
            <c:symbol val="none"/>
          </c:marker>
          <c:cat>
            <c:numRef>
              <c:f>'UN Police Ratio'!$E$52:$AE$52</c:f>
              <c:numCache>
                <c:formatCode>General</c:formatCode>
                <c:ptCount val="14"/>
              </c:numCache>
            </c:numRef>
          </c:cat>
          <c:val>
            <c:numRef>
              <c:f>'UN Police Ratio'!$E$57:$AE$57</c:f>
              <c:numCache>
                <c:formatCode>0.00</c:formatCode>
                <c:ptCount val="14"/>
              </c:numCache>
            </c:numRef>
          </c:val>
          <c:smooth val="0"/>
          <c:extLst>
            <c:ext xmlns:c16="http://schemas.microsoft.com/office/drawing/2014/chart" uri="{C3380CC4-5D6E-409C-BE32-E72D297353CC}">
              <c16:uniqueId val="{00000004-3789-4957-ABE6-4844B40F02A3}"/>
            </c:ext>
          </c:extLst>
        </c:ser>
        <c:dLbls>
          <c:showLegendKey val="0"/>
          <c:showVal val="0"/>
          <c:showCatName val="0"/>
          <c:showSerName val="0"/>
          <c:showPercent val="0"/>
          <c:showBubbleSize val="0"/>
        </c:dLbls>
        <c:smooth val="0"/>
        <c:axId val="566569776"/>
        <c:axId val="566570336"/>
      </c:lineChart>
      <c:catAx>
        <c:axId val="566569776"/>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800" b="0" i="0" u="none" strike="noStrike" kern="1200" baseline="0">
                <a:solidFill>
                  <a:srgbClr val="000000"/>
                </a:solidFill>
                <a:latin typeface="Arial Narrow" panose="020B0606020202030204" pitchFamily="34" charset="0"/>
                <a:ea typeface="Calibri" panose="020F0502020204030204"/>
                <a:cs typeface="Calibri" panose="020F0502020204030204"/>
              </a:defRPr>
            </a:pPr>
            <a:endParaRPr lang="en-US"/>
          </a:p>
        </c:txPr>
        <c:crossAx val="566570336"/>
        <c:crosses val="autoZero"/>
        <c:auto val="1"/>
        <c:lblAlgn val="ctr"/>
        <c:lblOffset val="100"/>
        <c:noMultiLvlLbl val="0"/>
      </c:catAx>
      <c:valAx>
        <c:axId val="566570336"/>
        <c:scaling>
          <c:orientation val="minMax"/>
        </c:scaling>
        <c:delete val="0"/>
        <c:axPos val="l"/>
        <c:majorGridlines>
          <c:spPr>
            <a:ln w="6350" cap="flat" cmpd="sng" algn="ctr">
              <a:solidFill>
                <a:schemeClr val="tx1">
                  <a:tint val="75000"/>
                </a:schemeClr>
              </a:solidFill>
              <a:prstDash val="sysDash"/>
              <a:round/>
            </a:ln>
          </c:spPr>
        </c:majorGridlines>
        <c:numFmt formatCode="#\,###\,###" sourceLinked="0"/>
        <c:majorTickMark val="out"/>
        <c:minorTickMark val="none"/>
        <c:tickLblPos val="nextTo"/>
        <c:txPr>
          <a:bodyPr rot="0" spcFirstLastPara="0" vertOverflow="ellipsis" vert="horz" wrap="square" anchor="ctr" anchorCtr="1"/>
          <a:lstStyle/>
          <a:p>
            <a:pPr>
              <a:defRPr lang="en-US" sz="800" b="0" i="0" u="none" strike="noStrike" kern="1200" baseline="0">
                <a:solidFill>
                  <a:srgbClr val="000000"/>
                </a:solidFill>
                <a:latin typeface="Arial Narrow" panose="020B0606020202030204" pitchFamily="34" charset="0"/>
                <a:ea typeface="Calibri" panose="020F0502020204030204"/>
                <a:cs typeface="Calibri" panose="020F0502020204030204"/>
              </a:defRPr>
            </a:pPr>
            <a:endParaRPr lang="en-US"/>
          </a:p>
        </c:txPr>
        <c:crossAx val="566569776"/>
        <c:crosses val="autoZero"/>
        <c:crossBetween val="midCat"/>
        <c:majorUnit val="25"/>
      </c:valAx>
      <c:spPr>
        <a:solidFill>
          <a:srgbClr val="FFFFFF"/>
        </a:solidFill>
        <a:ln>
          <a:noFill/>
          <a:prstDash val="sysDash"/>
        </a:ln>
      </c:spPr>
    </c:plotArea>
    <c:legend>
      <c:legendPos val="r"/>
      <c:layout>
        <c:manualLayout>
          <c:xMode val="edge"/>
          <c:yMode val="edge"/>
          <c:x val="6.8409310972168805E-2"/>
          <c:y val="8.9453416863038093E-2"/>
          <c:w val="0.89700762345040996"/>
          <c:h val="8.9491653010378799E-2"/>
        </c:manualLayout>
      </c:layout>
      <c:overlay val="0"/>
      <c:txPr>
        <a:bodyPr rot="0" spcFirstLastPara="0" vertOverflow="ellipsis" vert="horz" wrap="square" anchor="ctr" anchorCtr="1"/>
        <a:lstStyle/>
        <a:p>
          <a:pPr>
            <a:defRPr lang="en-US" sz="900" b="0" i="0" u="none" strike="noStrike" kern="1200" baseline="0">
              <a:solidFill>
                <a:srgbClr val="000000"/>
              </a:solidFill>
              <a:latin typeface="Arial Narrow" panose="020B0606020202030204" pitchFamily="34" charset="0"/>
              <a:ea typeface="Calibri" panose="020F0502020204030204"/>
              <a:cs typeface="Calibri" panose="020F0502020204030204"/>
            </a:defRPr>
          </a:pPr>
          <a:endParaRPr lang="en-US"/>
        </a:p>
      </c:txPr>
    </c:legend>
    <c:plotVisOnly val="1"/>
    <c:dispBlanksAs val="gap"/>
    <c:showDLblsOverMax val="0"/>
  </c:chart>
  <c:txPr>
    <a:bodyPr/>
    <a:lstStyle/>
    <a:p>
      <a:pPr>
        <a:defRPr lang="en-US" sz="800" b="0" i="0" u="none" strike="noStrike" baseline="0">
          <a:solidFill>
            <a:srgbClr val="000000"/>
          </a:solidFill>
          <a:latin typeface="Arial Narrow" panose="020B0606020202030204" pitchFamily="34" charset="0"/>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883275200679"/>
          <c:y val="6.9651741293532299E-2"/>
          <c:w val="0.83348719341116795"/>
          <c:h val="0.80643788929368898"/>
        </c:manualLayout>
      </c:layout>
      <c:lineChart>
        <c:grouping val="standard"/>
        <c:varyColors val="0"/>
        <c:ser>
          <c:idx val="0"/>
          <c:order val="0"/>
          <c:tx>
            <c:strRef>
              <c:f>'Crime Victims '!$D$8</c:f>
              <c:strCache>
                <c:ptCount val="1"/>
                <c:pt idx="0">
                  <c:v>Safe during the day</c:v>
                </c:pt>
              </c:strCache>
            </c:strRef>
          </c:tx>
          <c:spPr>
            <a:ln w="25400" cap="rnd" cmpd="sng" algn="ctr">
              <a:solidFill>
                <a:srgbClr val="BE4B48"/>
              </a:solidFill>
              <a:prstDash val="solid"/>
              <a:round/>
            </a:ln>
          </c:spPr>
          <c:marker>
            <c:symbol val="none"/>
          </c:marker>
          <c:cat>
            <c:strRef>
              <c:f>'Crime Victims '!$E$7:$P$7</c:f>
              <c:strCache>
                <c:ptCount val="12"/>
                <c:pt idx="0">
                  <c:v>2007</c:v>
                </c:pt>
                <c:pt idx="1">
                  <c:v>2011</c:v>
                </c:pt>
                <c:pt idx="2">
                  <c:v>2012</c:v>
                </c:pt>
                <c:pt idx="3">
                  <c:v>2013/14</c:v>
                </c:pt>
                <c:pt idx="4">
                  <c:v>2014/15</c:v>
                </c:pt>
                <c:pt idx="5">
                  <c:v>2015/16</c:v>
                </c:pt>
                <c:pt idx="6">
                  <c:v>2016/17</c:v>
                </c:pt>
                <c:pt idx="7">
                  <c:v>2017/18</c:v>
                </c:pt>
                <c:pt idx="8">
                  <c:v>2018/19</c:v>
                </c:pt>
                <c:pt idx="9">
                  <c:v>2019/20</c:v>
                </c:pt>
                <c:pt idx="10">
                  <c:v>2020/21</c:v>
                </c:pt>
                <c:pt idx="11">
                  <c:v>2021/22</c:v>
                </c:pt>
              </c:strCache>
            </c:strRef>
          </c:cat>
          <c:val>
            <c:numRef>
              <c:f>'Crime Victims '!$E$8:$P$8</c:f>
              <c:numCache>
                <c:formatCode>0.0</c:formatCode>
                <c:ptCount val="12"/>
                <c:pt idx="0">
                  <c:v>76</c:v>
                </c:pt>
                <c:pt idx="1">
                  <c:v>88.4</c:v>
                </c:pt>
                <c:pt idx="2">
                  <c:v>85.1</c:v>
                </c:pt>
                <c:pt idx="3">
                  <c:v>86.8</c:v>
                </c:pt>
                <c:pt idx="4">
                  <c:v>85.4</c:v>
                </c:pt>
                <c:pt idx="5">
                  <c:v>83.7</c:v>
                </c:pt>
                <c:pt idx="6" formatCode="General">
                  <c:v>84.8</c:v>
                </c:pt>
                <c:pt idx="7" formatCode="0.00">
                  <c:v>79.099999999999994</c:v>
                </c:pt>
                <c:pt idx="8" formatCode="0.00">
                  <c:v>82.6</c:v>
                </c:pt>
                <c:pt idx="9" formatCode="0.00">
                  <c:v>86.9</c:v>
                </c:pt>
                <c:pt idx="10" formatCode="0.00">
                  <c:v>84.8</c:v>
                </c:pt>
                <c:pt idx="11" formatCode="0.00">
                  <c:v>81.3</c:v>
                </c:pt>
              </c:numCache>
            </c:numRef>
          </c:val>
          <c:smooth val="0"/>
          <c:extLst>
            <c:ext xmlns:c16="http://schemas.microsoft.com/office/drawing/2014/chart" uri="{C3380CC4-5D6E-409C-BE32-E72D297353CC}">
              <c16:uniqueId val="{00000000-72A0-4770-9BAF-D8B574E69B72}"/>
            </c:ext>
          </c:extLst>
        </c:ser>
        <c:ser>
          <c:idx val="1"/>
          <c:order val="1"/>
          <c:tx>
            <c:strRef>
              <c:f>'Crime Victims '!$D$9</c:f>
              <c:strCache>
                <c:ptCount val="1"/>
                <c:pt idx="0">
                  <c:v>Safe at night</c:v>
                </c:pt>
              </c:strCache>
            </c:strRef>
          </c:tx>
          <c:spPr>
            <a:ln w="25400" cap="rnd" cmpd="sng" algn="ctr">
              <a:solidFill>
                <a:srgbClr val="FF6600"/>
              </a:solidFill>
              <a:prstDash val="solid"/>
              <a:round/>
            </a:ln>
          </c:spPr>
          <c:marker>
            <c:symbol val="none"/>
          </c:marker>
          <c:cat>
            <c:strRef>
              <c:f>'Crime Victims '!$E$7:$P$7</c:f>
              <c:strCache>
                <c:ptCount val="12"/>
                <c:pt idx="0">
                  <c:v>2007</c:v>
                </c:pt>
                <c:pt idx="1">
                  <c:v>2011</c:v>
                </c:pt>
                <c:pt idx="2">
                  <c:v>2012</c:v>
                </c:pt>
                <c:pt idx="3">
                  <c:v>2013/14</c:v>
                </c:pt>
                <c:pt idx="4">
                  <c:v>2014/15</c:v>
                </c:pt>
                <c:pt idx="5">
                  <c:v>2015/16</c:v>
                </c:pt>
                <c:pt idx="6">
                  <c:v>2016/17</c:v>
                </c:pt>
                <c:pt idx="7">
                  <c:v>2017/18</c:v>
                </c:pt>
                <c:pt idx="8">
                  <c:v>2018/19</c:v>
                </c:pt>
                <c:pt idx="9">
                  <c:v>2019/20</c:v>
                </c:pt>
                <c:pt idx="10">
                  <c:v>2020/21</c:v>
                </c:pt>
                <c:pt idx="11">
                  <c:v>2021/22</c:v>
                </c:pt>
              </c:strCache>
            </c:strRef>
          </c:cat>
          <c:val>
            <c:numRef>
              <c:f>'Crime Victims '!$E$9:$P$9</c:f>
              <c:numCache>
                <c:formatCode>0.0</c:formatCode>
                <c:ptCount val="12"/>
                <c:pt idx="0">
                  <c:v>23</c:v>
                </c:pt>
                <c:pt idx="1">
                  <c:v>37.6</c:v>
                </c:pt>
                <c:pt idx="2">
                  <c:v>36.5</c:v>
                </c:pt>
                <c:pt idx="3">
                  <c:v>35</c:v>
                </c:pt>
                <c:pt idx="4">
                  <c:v>31.2</c:v>
                </c:pt>
                <c:pt idx="5">
                  <c:v>30.7</c:v>
                </c:pt>
                <c:pt idx="6">
                  <c:v>29.4</c:v>
                </c:pt>
                <c:pt idx="7" formatCode="0.00">
                  <c:v>32</c:v>
                </c:pt>
                <c:pt idx="8" formatCode="0.00">
                  <c:v>35.1</c:v>
                </c:pt>
                <c:pt idx="9" formatCode="0.00">
                  <c:v>41.8</c:v>
                </c:pt>
                <c:pt idx="10" formatCode="0.00">
                  <c:v>40</c:v>
                </c:pt>
                <c:pt idx="11" formatCode="0.00">
                  <c:v>36</c:v>
                </c:pt>
              </c:numCache>
            </c:numRef>
          </c:val>
          <c:smooth val="0"/>
          <c:extLst>
            <c:ext xmlns:c16="http://schemas.microsoft.com/office/drawing/2014/chart" uri="{C3380CC4-5D6E-409C-BE32-E72D297353CC}">
              <c16:uniqueId val="{00000001-72A0-4770-9BAF-D8B574E69B72}"/>
            </c:ext>
          </c:extLst>
        </c:ser>
        <c:dLbls>
          <c:showLegendKey val="0"/>
          <c:showVal val="0"/>
          <c:showCatName val="0"/>
          <c:showSerName val="0"/>
          <c:showPercent val="0"/>
          <c:showBubbleSize val="0"/>
        </c:dLbls>
        <c:smooth val="0"/>
        <c:axId val="341008368"/>
        <c:axId val="341015088"/>
      </c:lineChart>
      <c:catAx>
        <c:axId val="341008368"/>
        <c:scaling>
          <c:orientation val="minMax"/>
        </c:scaling>
        <c:delete val="0"/>
        <c:axPos val="b"/>
        <c:numFmt formatCode="General" sourceLinked="0"/>
        <c:majorTickMark val="out"/>
        <c:minorTickMark val="none"/>
        <c:tickLblPos val="nextTo"/>
        <c:txPr>
          <a:bodyPr rot="-60000000" spcFirstLastPara="0" vertOverflow="ellipsis" vert="horz" wrap="square" anchor="ctr" anchorCtr="1"/>
          <a:lstStyle/>
          <a:p>
            <a:pPr>
              <a:defRPr lang="en-US" sz="600" b="0" i="0" u="none" strike="noStrike" kern="1200" baseline="0">
                <a:solidFill>
                  <a:schemeClr val="tx1"/>
                </a:solidFill>
                <a:latin typeface="Arial" panose="020B0604020202020204" pitchFamily="7" charset="0"/>
                <a:ea typeface="+mn-ea"/>
                <a:cs typeface="Arial" panose="020B0604020202020204" pitchFamily="7" charset="0"/>
              </a:defRPr>
            </a:pPr>
            <a:endParaRPr lang="en-US"/>
          </a:p>
        </c:txPr>
        <c:crossAx val="341015088"/>
        <c:crosses val="autoZero"/>
        <c:auto val="1"/>
        <c:lblAlgn val="ctr"/>
        <c:lblOffset val="100"/>
        <c:noMultiLvlLbl val="0"/>
      </c:catAx>
      <c:valAx>
        <c:axId val="341015088"/>
        <c:scaling>
          <c:orientation val="minMax"/>
        </c:scaling>
        <c:delete val="0"/>
        <c:axPos val="l"/>
        <c:majorGridlines>
          <c:spPr>
            <a:ln w="6350" cap="flat" cmpd="sng" algn="ctr">
              <a:solidFill>
                <a:schemeClr val="tx1">
                  <a:tint val="75000"/>
                </a:schemeClr>
              </a:solidFill>
              <a:prstDash val="sysDash"/>
              <a:round/>
            </a:ln>
          </c:spPr>
        </c:majorGridlines>
        <c:numFmt formatCode="0.0" sourceLinked="1"/>
        <c:majorTickMark val="out"/>
        <c:minorTickMark val="none"/>
        <c:tickLblPos val="nextTo"/>
        <c:txPr>
          <a:bodyPr rot="-60000000" spcFirstLastPara="0" vertOverflow="ellipsis" vert="horz" wrap="square" anchor="ctr" anchorCtr="1"/>
          <a:lstStyle/>
          <a:p>
            <a:pPr>
              <a:defRPr lang="en-US" sz="600" b="0" i="0" u="none" strike="noStrike" kern="1200" baseline="0">
                <a:solidFill>
                  <a:schemeClr val="tx1"/>
                </a:solidFill>
                <a:latin typeface="Arial" panose="020B0604020202020204" pitchFamily="7" charset="0"/>
                <a:ea typeface="+mn-ea"/>
                <a:cs typeface="Arial" panose="020B0604020202020204" pitchFamily="7" charset="0"/>
              </a:defRPr>
            </a:pPr>
            <a:endParaRPr lang="en-US"/>
          </a:p>
        </c:txPr>
        <c:crossAx val="341008368"/>
        <c:crosses val="autoZero"/>
        <c:crossBetween val="between"/>
      </c:valAx>
    </c:plotArea>
    <c:legend>
      <c:legendPos val="b"/>
      <c:layout>
        <c:manualLayout>
          <c:xMode val="edge"/>
          <c:yMode val="edge"/>
          <c:x val="0.216142080383188"/>
          <c:y val="0.3498028422606882"/>
          <c:w val="0.70034183392858396"/>
          <c:h val="0.11288403370504151"/>
        </c:manualLayout>
      </c:layout>
      <c:overlay val="0"/>
      <c:txPr>
        <a:bodyPr rot="0" spcFirstLastPara="0" vertOverflow="ellipsis" vert="horz" wrap="square" anchor="ctr" anchorCtr="1"/>
        <a:lstStyle/>
        <a:p>
          <a:pPr>
            <a:defRPr lang="en-US" sz="800" b="0" i="0" u="none" strike="noStrike" kern="1200" baseline="0">
              <a:solidFill>
                <a:schemeClr val="tx1"/>
              </a:solidFill>
              <a:latin typeface="Arial" panose="020B0604020202020204" pitchFamily="7" charset="0"/>
              <a:ea typeface="+mn-ea"/>
              <a:cs typeface="Arial" panose="020B0604020202020204" pitchFamily="7" charset="0"/>
            </a:defRPr>
          </a:pPr>
          <a:endParaRPr lang="en-US"/>
        </a:p>
      </c:txPr>
    </c:legend>
    <c:plotVisOnly val="1"/>
    <c:dispBlanksAs val="gap"/>
    <c:showDLblsOverMax val="0"/>
  </c:chart>
  <c:txPr>
    <a:bodyPr/>
    <a:lstStyle/>
    <a:p>
      <a:pPr>
        <a:defRPr lang="en-US" sz="600">
          <a:latin typeface="Arial" panose="020B0604020202020204" pitchFamily="7" charset="0"/>
          <a:cs typeface="Arial" panose="020B0604020202020204" pitchFamily="7" charset="0"/>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930961274891835E-2"/>
          <c:y val="0.11282586340196514"/>
          <c:w val="0.94081192477581999"/>
          <c:h val="0.82653378775413799"/>
        </c:manualLayout>
      </c:layout>
      <c:lineChart>
        <c:grouping val="standard"/>
        <c:varyColors val="0"/>
        <c:ser>
          <c:idx val="0"/>
          <c:order val="0"/>
          <c:tx>
            <c:strRef>
              <c:f>'Serious Crime rate '!$D$52</c:f>
              <c:strCache>
                <c:ptCount val="1"/>
                <c:pt idx="0">
                  <c:v>Property Crimes</c:v>
                </c:pt>
              </c:strCache>
            </c:strRef>
          </c:tx>
          <c:spPr>
            <a:ln w="12700" cap="rnd" cmpd="sng" algn="ctr">
              <a:solidFill>
                <a:schemeClr val="accent1"/>
              </a:solidFill>
              <a:prstDash val="solid"/>
              <a:round/>
            </a:ln>
          </c:spPr>
          <c:marker>
            <c:symbol val="none"/>
          </c:marker>
          <c:cat>
            <c:strRef>
              <c:f>'Serious Crime rate '!$E$51:$AF$51</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'Serious Crime rate '!$E$52:$AF$52</c:f>
              <c:numCache>
                <c:formatCode>0.00</c:formatCode>
                <c:ptCount val="28"/>
                <c:pt idx="0">
                  <c:v>100</c:v>
                </c:pt>
                <c:pt idx="1">
                  <c:v>100.25457344147772</c:v>
                </c:pt>
                <c:pt idx="2">
                  <c:v>94.209934284530235</c:v>
                </c:pt>
                <c:pt idx="3">
                  <c:v>95.666331182286442</c:v>
                </c:pt>
                <c:pt idx="4">
                  <c:v>99.745426558522283</c:v>
                </c:pt>
                <c:pt idx="5">
                  <c:v>99.402048428157002</c:v>
                </c:pt>
                <c:pt idx="6">
                  <c:v>99.840151560002383</c:v>
                </c:pt>
                <c:pt idx="7">
                  <c:v>96.104434314131794</c:v>
                </c:pt>
                <c:pt idx="8">
                  <c:v>95.044698360073426</c:v>
                </c:pt>
                <c:pt idx="9">
                  <c:v>84.915043514297565</c:v>
                </c:pt>
                <c:pt idx="10">
                  <c:v>75.898407435912617</c:v>
                </c:pt>
                <c:pt idx="11">
                  <c:v>72.05612456337694</c:v>
                </c:pt>
                <c:pt idx="12">
                  <c:v>68.361849505653907</c:v>
                </c:pt>
                <c:pt idx="13">
                  <c:v>64.531407258303247</c:v>
                </c:pt>
                <c:pt idx="14">
                  <c:v>64.709016636078388</c:v>
                </c:pt>
                <c:pt idx="15">
                  <c:v>66.425907287904806</c:v>
                </c:pt>
                <c:pt idx="16">
                  <c:v>63.288141613877215</c:v>
                </c:pt>
                <c:pt idx="17">
                  <c:v>62.743472855366768</c:v>
                </c:pt>
                <c:pt idx="18">
                  <c:v>63.844650997572685</c:v>
                </c:pt>
                <c:pt idx="19">
                  <c:v>62.879699518992958</c:v>
                </c:pt>
                <c:pt idx="20">
                  <c:v>60.677283760582569</c:v>
                </c:pt>
                <c:pt idx="21">
                  <c:v>58.55189153987331</c:v>
                </c:pt>
                <c:pt idx="22">
                  <c:v>57.249772206681151</c:v>
                </c:pt>
                <c:pt idx="23">
                  <c:v>52.990211290655587</c:v>
                </c:pt>
                <c:pt idx="24">
                  <c:v>50.807426069238424</c:v>
                </c:pt>
                <c:pt idx="25">
                  <c:v>47.221917692521941</c:v>
                </c:pt>
                <c:pt idx="26">
                  <c:v>38.922983412125745</c:v>
                </c:pt>
                <c:pt idx="27">
                  <c:v>37.144677072362065</c:v>
                </c:pt>
              </c:numCache>
            </c:numRef>
          </c:val>
          <c:smooth val="0"/>
          <c:extLst>
            <c:ext xmlns:c16="http://schemas.microsoft.com/office/drawing/2014/chart" uri="{C3380CC4-5D6E-409C-BE32-E72D297353CC}">
              <c16:uniqueId val="{00000000-698A-4B04-B10B-72A6F89AF624}"/>
            </c:ext>
          </c:extLst>
        </c:ser>
        <c:ser>
          <c:idx val="1"/>
          <c:order val="1"/>
          <c:tx>
            <c:strRef>
              <c:f>'Serious Crime rate '!$D$53</c:f>
              <c:strCache>
                <c:ptCount val="1"/>
                <c:pt idx="0">
                  <c:v>Contact Crimes</c:v>
                </c:pt>
              </c:strCache>
            </c:strRef>
          </c:tx>
          <c:spPr>
            <a:ln w="12700" cap="rnd" cmpd="sng" algn="ctr">
              <a:solidFill>
                <a:schemeClr val="accent2"/>
              </a:solidFill>
              <a:prstDash val="solid"/>
              <a:round/>
            </a:ln>
          </c:spPr>
          <c:marker>
            <c:symbol val="none"/>
          </c:marker>
          <c:cat>
            <c:strRef>
              <c:f>'Serious Crime rate '!$E$51:$AF$51</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'Serious Crime rate '!$E$53:$AF$53</c:f>
              <c:numCache>
                <c:formatCode>0.00</c:formatCode>
                <c:ptCount val="28"/>
                <c:pt idx="0">
                  <c:v>100</c:v>
                </c:pt>
                <c:pt idx="1">
                  <c:v>101.87599950793455</c:v>
                </c:pt>
                <c:pt idx="2">
                  <c:v>99.55099028170747</c:v>
                </c:pt>
                <c:pt idx="3">
                  <c:v>99.913888547176782</c:v>
                </c:pt>
                <c:pt idx="4">
                  <c:v>103.03235330298929</c:v>
                </c:pt>
                <c:pt idx="5">
                  <c:v>110.14269897896421</c:v>
                </c:pt>
                <c:pt idx="6">
                  <c:v>116.98240866035184</c:v>
                </c:pt>
                <c:pt idx="7">
                  <c:v>115.26017960388732</c:v>
                </c:pt>
                <c:pt idx="8">
                  <c:v>120.04551605363514</c:v>
                </c:pt>
                <c:pt idx="9">
                  <c:v>117.51137901340878</c:v>
                </c:pt>
                <c:pt idx="10">
                  <c:v>111.8710788534875</c:v>
                </c:pt>
                <c:pt idx="11">
                  <c:v>99.188092016238159</c:v>
                </c:pt>
                <c:pt idx="12">
                  <c:v>94.790257104194851</c:v>
                </c:pt>
                <c:pt idx="13">
                  <c:v>89.026940583097556</c:v>
                </c:pt>
                <c:pt idx="14">
                  <c:v>86.437446180341979</c:v>
                </c:pt>
                <c:pt idx="15">
                  <c:v>84.352318858408182</c:v>
                </c:pt>
                <c:pt idx="16">
                  <c:v>78.558248247016863</c:v>
                </c:pt>
                <c:pt idx="17">
                  <c:v>75.808832574732449</c:v>
                </c:pt>
                <c:pt idx="18">
                  <c:v>72.628859638331903</c:v>
                </c:pt>
                <c:pt idx="19">
                  <c:v>72.019928650510522</c:v>
                </c:pt>
                <c:pt idx="20">
                  <c:v>70.273096321810797</c:v>
                </c:pt>
                <c:pt idx="21">
                  <c:v>69.750276786812648</c:v>
                </c:pt>
                <c:pt idx="22">
                  <c:v>66.920900479763816</c:v>
                </c:pt>
                <c:pt idx="23">
                  <c:v>65.174907767951922</c:v>
                </c:pt>
                <c:pt idx="24">
                  <c:v>65.796373780275346</c:v>
                </c:pt>
                <c:pt idx="25">
                  <c:v>63.925293003996586</c:v>
                </c:pt>
                <c:pt idx="26">
                  <c:v>55.395319271781105</c:v>
                </c:pt>
                <c:pt idx="27">
                  <c:v>61.92788087013642</c:v>
                </c:pt>
              </c:numCache>
            </c:numRef>
          </c:val>
          <c:smooth val="0"/>
          <c:extLst>
            <c:ext xmlns:c16="http://schemas.microsoft.com/office/drawing/2014/chart" uri="{C3380CC4-5D6E-409C-BE32-E72D297353CC}">
              <c16:uniqueId val="{00000001-698A-4B04-B10B-72A6F89AF624}"/>
            </c:ext>
          </c:extLst>
        </c:ser>
        <c:ser>
          <c:idx val="2"/>
          <c:order val="2"/>
          <c:tx>
            <c:strRef>
              <c:f>'Serious Crime rate '!$D$54</c:f>
              <c:strCache>
                <c:ptCount val="1"/>
                <c:pt idx="0">
                  <c:v>Theft and commercial crime</c:v>
                </c:pt>
              </c:strCache>
            </c:strRef>
          </c:tx>
          <c:spPr>
            <a:ln w="12700" cap="rnd" cmpd="sng" algn="ctr">
              <a:solidFill>
                <a:schemeClr val="accent3"/>
              </a:solidFill>
              <a:prstDash val="solid"/>
              <a:round/>
            </a:ln>
          </c:spPr>
          <c:marker>
            <c:symbol val="none"/>
          </c:marker>
          <c:cat>
            <c:strRef>
              <c:f>'Serious Crime rate '!$E$51:$AF$51</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'Serious Crime rate '!$E$54:$AF$54</c:f>
              <c:numCache>
                <c:formatCode>0.00</c:formatCode>
                <c:ptCount val="28"/>
                <c:pt idx="0">
                  <c:v>100</c:v>
                </c:pt>
                <c:pt idx="1">
                  <c:v>97.328617653698544</c:v>
                </c:pt>
                <c:pt idx="2">
                  <c:v>92.550229513131171</c:v>
                </c:pt>
                <c:pt idx="3">
                  <c:v>96.117089321995635</c:v>
                </c:pt>
                <c:pt idx="4">
                  <c:v>102.04680562871546</c:v>
                </c:pt>
                <c:pt idx="5">
                  <c:v>110.15877793663932</c:v>
                </c:pt>
                <c:pt idx="6">
                  <c:v>119.52742870042891</c:v>
                </c:pt>
                <c:pt idx="7">
                  <c:v>118.12024983068703</c:v>
                </c:pt>
                <c:pt idx="8">
                  <c:v>123.41786439912707</c:v>
                </c:pt>
                <c:pt idx="9">
                  <c:v>119.10602754157573</c:v>
                </c:pt>
                <c:pt idx="10">
                  <c:v>106.08021672059597</c:v>
                </c:pt>
                <c:pt idx="11">
                  <c:v>88.479193317781608</c:v>
                </c:pt>
                <c:pt idx="12">
                  <c:v>86.116336819926261</c:v>
                </c:pt>
                <c:pt idx="13">
                  <c:v>82.963353149221149</c:v>
                </c:pt>
                <c:pt idx="14">
                  <c:v>85.371359771239369</c:v>
                </c:pt>
                <c:pt idx="15">
                  <c:v>82.526901948980353</c:v>
                </c:pt>
                <c:pt idx="16">
                  <c:v>80.510196403040112</c:v>
                </c:pt>
                <c:pt idx="17">
                  <c:v>79.930769809616976</c:v>
                </c:pt>
                <c:pt idx="18">
                  <c:v>75.679133117616075</c:v>
                </c:pt>
                <c:pt idx="19">
                  <c:v>73.609752426819171</c:v>
                </c:pt>
                <c:pt idx="20">
                  <c:v>69.629016479795311</c:v>
                </c:pt>
                <c:pt idx="21">
                  <c:v>65.595605387914816</c:v>
                </c:pt>
                <c:pt idx="22">
                  <c:v>63.160644090626548</c:v>
                </c:pt>
                <c:pt idx="23">
                  <c:v>58.090151987491865</c:v>
                </c:pt>
                <c:pt idx="24">
                  <c:v>57.964727978491723</c:v>
                </c:pt>
                <c:pt idx="25">
                  <c:v>56.205574609769691</c:v>
                </c:pt>
                <c:pt idx="26">
                  <c:v>48.292886087841289</c:v>
                </c:pt>
                <c:pt idx="27">
                  <c:v>51.083407628676056</c:v>
                </c:pt>
              </c:numCache>
            </c:numRef>
          </c:val>
          <c:smooth val="0"/>
          <c:extLst>
            <c:ext xmlns:c16="http://schemas.microsoft.com/office/drawing/2014/chart" uri="{C3380CC4-5D6E-409C-BE32-E72D297353CC}">
              <c16:uniqueId val="{00000002-698A-4B04-B10B-72A6F89AF624}"/>
            </c:ext>
          </c:extLst>
        </c:ser>
        <c:ser>
          <c:idx val="3"/>
          <c:order val="3"/>
          <c:tx>
            <c:strRef>
              <c:f>'Serious Crime rate '!$D$55</c:f>
              <c:strCache>
                <c:ptCount val="1"/>
                <c:pt idx="0">
                  <c:v>Damage to property and arson</c:v>
                </c:pt>
              </c:strCache>
            </c:strRef>
          </c:tx>
          <c:spPr>
            <a:ln w="12700" cap="rnd" cmpd="sng" algn="ctr">
              <a:solidFill>
                <a:schemeClr val="accent4"/>
              </a:solidFill>
              <a:prstDash val="solid"/>
              <a:round/>
            </a:ln>
          </c:spPr>
          <c:marker>
            <c:symbol val="none"/>
          </c:marker>
          <c:cat>
            <c:strRef>
              <c:f>'Serious Crime rate '!$E$51:$AF$51</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'Serious Crime rate '!$E$55:$AF$55</c:f>
              <c:numCache>
                <c:formatCode>0.00</c:formatCode>
                <c:ptCount val="28"/>
                <c:pt idx="0">
                  <c:v>100</c:v>
                </c:pt>
                <c:pt idx="1">
                  <c:v>101.73410404624276</c:v>
                </c:pt>
                <c:pt idx="2">
                  <c:v>97.92613636363636</c:v>
                </c:pt>
                <c:pt idx="3">
                  <c:v>95.780346820809243</c:v>
                </c:pt>
                <c:pt idx="4">
                  <c:v>95.809248554913296</c:v>
                </c:pt>
                <c:pt idx="5">
                  <c:v>96.618497109826592</c:v>
                </c:pt>
                <c:pt idx="6">
                  <c:v>98.179190751445077</c:v>
                </c:pt>
                <c:pt idx="7">
                  <c:v>99.421965317919074</c:v>
                </c:pt>
                <c:pt idx="8">
                  <c:v>105.72254335260116</c:v>
                </c:pt>
                <c:pt idx="9">
                  <c:v>104.10404624277456</c:v>
                </c:pt>
                <c:pt idx="10">
                  <c:v>98.641618497109832</c:v>
                </c:pt>
                <c:pt idx="11">
                  <c:v>93.641618497109818</c:v>
                </c:pt>
                <c:pt idx="12">
                  <c:v>92.225433526011571</c:v>
                </c:pt>
                <c:pt idx="13">
                  <c:v>87.196531791907518</c:v>
                </c:pt>
                <c:pt idx="14">
                  <c:v>83.786127167630056</c:v>
                </c:pt>
                <c:pt idx="15">
                  <c:v>81.358381502890182</c:v>
                </c:pt>
                <c:pt idx="16">
                  <c:v>76.242774566473997</c:v>
                </c:pt>
                <c:pt idx="17">
                  <c:v>73.497109826589607</c:v>
                </c:pt>
                <c:pt idx="18">
                  <c:v>70.317919075144502</c:v>
                </c:pt>
                <c:pt idx="19">
                  <c:v>68.497109826589593</c:v>
                </c:pt>
                <c:pt idx="20">
                  <c:v>67.312138728323703</c:v>
                </c:pt>
                <c:pt idx="21">
                  <c:v>65.635838150289018</c:v>
                </c:pt>
                <c:pt idx="22">
                  <c:v>62.409342843525359</c:v>
                </c:pt>
                <c:pt idx="23">
                  <c:v>58.747797252077895</c:v>
                </c:pt>
                <c:pt idx="24">
                  <c:v>58.692670277545346</c:v>
                </c:pt>
                <c:pt idx="25">
                  <c:v>54.342977425956995</c:v>
                </c:pt>
                <c:pt idx="26">
                  <c:v>49.700253065145155</c:v>
                </c:pt>
                <c:pt idx="27">
                  <c:v>58.745924718448371</c:v>
                </c:pt>
              </c:numCache>
            </c:numRef>
          </c:val>
          <c:smooth val="0"/>
          <c:extLst>
            <c:ext xmlns:c16="http://schemas.microsoft.com/office/drawing/2014/chart" uri="{C3380CC4-5D6E-409C-BE32-E72D297353CC}">
              <c16:uniqueId val="{00000003-698A-4B04-B10B-72A6F89AF624}"/>
            </c:ext>
          </c:extLst>
        </c:ser>
        <c:ser>
          <c:idx val="4"/>
          <c:order val="4"/>
          <c:tx>
            <c:strRef>
              <c:f>'Serious Crime rate '!$D$56</c:f>
              <c:strCache>
                <c:ptCount val="1"/>
                <c:pt idx="0">
                  <c:v>Total crimes </c:v>
                </c:pt>
              </c:strCache>
            </c:strRef>
          </c:tx>
          <c:spPr>
            <a:ln w="12700" cap="rnd" cmpd="sng" algn="ctr">
              <a:solidFill>
                <a:schemeClr val="accent5"/>
              </a:solidFill>
              <a:prstDash val="solid"/>
              <a:round/>
            </a:ln>
          </c:spPr>
          <c:marker>
            <c:symbol val="none"/>
          </c:marker>
          <c:cat>
            <c:strRef>
              <c:f>'Serious Crime rate '!$E$51:$AF$51</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'Serious Crime rate '!$E$56:$AF$56</c:f>
              <c:numCache>
                <c:formatCode>0.00</c:formatCode>
                <c:ptCount val="28"/>
                <c:pt idx="0">
                  <c:v>100</c:v>
                </c:pt>
                <c:pt idx="1">
                  <c:v>100.10621668203135</c:v>
                </c:pt>
                <c:pt idx="2">
                  <c:v>95.883602549200347</c:v>
                </c:pt>
                <c:pt idx="3">
                  <c:v>97.178243616978634</c:v>
                </c:pt>
                <c:pt idx="4">
                  <c:v>101.15635897230351</c:v>
                </c:pt>
                <c:pt idx="5">
                  <c:v>105.57336967413522</c:v>
                </c:pt>
                <c:pt idx="6">
                  <c:v>110.55352919956711</c:v>
                </c:pt>
                <c:pt idx="7">
                  <c:v>108.43921600064131</c:v>
                </c:pt>
                <c:pt idx="8">
                  <c:v>111.48743436610687</c:v>
                </c:pt>
                <c:pt idx="9">
                  <c:v>105.97218325383784</c:v>
                </c:pt>
                <c:pt idx="10">
                  <c:v>97.234358090504628</c:v>
                </c:pt>
                <c:pt idx="11">
                  <c:v>86.767004689566718</c:v>
                </c:pt>
                <c:pt idx="12">
                  <c:v>83.356046334522432</c:v>
                </c:pt>
                <c:pt idx="13">
                  <c:v>78.993146017876455</c:v>
                </c:pt>
                <c:pt idx="14">
                  <c:v>78.614373321575997</c:v>
                </c:pt>
                <c:pt idx="15">
                  <c:v>77.590284179726638</c:v>
                </c:pt>
                <c:pt idx="16">
                  <c:v>73.748446831536327</c:v>
                </c:pt>
                <c:pt idx="17">
                  <c:v>72.323540021644149</c:v>
                </c:pt>
                <c:pt idx="18">
                  <c:v>70.307427151388822</c:v>
                </c:pt>
                <c:pt idx="19">
                  <c:v>69.104994279837058</c:v>
                </c:pt>
                <c:pt idx="20">
                  <c:v>65.27315724077117</c:v>
                </c:pt>
                <c:pt idx="21">
                  <c:v>64.567718145015832</c:v>
                </c:pt>
                <c:pt idx="22">
                  <c:v>62.332839550723172</c:v>
                </c:pt>
                <c:pt idx="23">
                  <c:v>58.717758580620362</c:v>
                </c:pt>
                <c:pt idx="24">
                  <c:v>58.144125775015155</c:v>
                </c:pt>
                <c:pt idx="25">
                  <c:v>55.588492017627111</c:v>
                </c:pt>
                <c:pt idx="26">
                  <c:v>47.68049610736665</c:v>
                </c:pt>
                <c:pt idx="27">
                  <c:v>51.155136059792113</c:v>
                </c:pt>
              </c:numCache>
            </c:numRef>
          </c:val>
          <c:smooth val="0"/>
          <c:extLst>
            <c:ext xmlns:c16="http://schemas.microsoft.com/office/drawing/2014/chart" uri="{C3380CC4-5D6E-409C-BE32-E72D297353CC}">
              <c16:uniqueId val="{00000004-698A-4B04-B10B-72A6F89AF624}"/>
            </c:ext>
          </c:extLst>
        </c:ser>
        <c:dLbls>
          <c:showLegendKey val="0"/>
          <c:showVal val="0"/>
          <c:showCatName val="0"/>
          <c:showSerName val="0"/>
          <c:showPercent val="0"/>
          <c:showBubbleSize val="0"/>
        </c:dLbls>
        <c:smooth val="0"/>
        <c:axId val="566569776"/>
        <c:axId val="566570336"/>
      </c:lineChart>
      <c:catAx>
        <c:axId val="566569776"/>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800" b="0" i="0" u="none" strike="noStrike" kern="1200" baseline="0">
                <a:solidFill>
                  <a:srgbClr val="000000"/>
                </a:solidFill>
                <a:latin typeface="Arial Narrow" panose="020B0606020202030204" pitchFamily="34" charset="0"/>
                <a:ea typeface="Calibri" panose="020F0502020204030204"/>
                <a:cs typeface="Calibri" panose="020F0502020204030204"/>
              </a:defRPr>
            </a:pPr>
            <a:endParaRPr lang="en-US"/>
          </a:p>
        </c:txPr>
        <c:crossAx val="566570336"/>
        <c:crosses val="autoZero"/>
        <c:auto val="1"/>
        <c:lblAlgn val="ctr"/>
        <c:lblOffset val="100"/>
        <c:noMultiLvlLbl val="0"/>
      </c:catAx>
      <c:valAx>
        <c:axId val="566570336"/>
        <c:scaling>
          <c:orientation val="minMax"/>
        </c:scaling>
        <c:delete val="0"/>
        <c:axPos val="l"/>
        <c:majorGridlines>
          <c:spPr>
            <a:ln w="6350" cap="flat" cmpd="sng" algn="ctr">
              <a:solidFill>
                <a:schemeClr val="tx1">
                  <a:tint val="75000"/>
                </a:schemeClr>
              </a:solidFill>
              <a:prstDash val="sysDash"/>
              <a:round/>
            </a:ln>
          </c:spPr>
        </c:majorGridlines>
        <c:numFmt formatCode="#\,###\,###" sourceLinked="0"/>
        <c:majorTickMark val="out"/>
        <c:minorTickMark val="none"/>
        <c:tickLblPos val="nextTo"/>
        <c:txPr>
          <a:bodyPr rot="0" spcFirstLastPara="0" vertOverflow="ellipsis" vert="horz" wrap="square" anchor="ctr" anchorCtr="1"/>
          <a:lstStyle/>
          <a:p>
            <a:pPr>
              <a:defRPr lang="en-US" sz="800" b="0" i="0" u="none" strike="noStrike" kern="1200" baseline="0">
                <a:solidFill>
                  <a:srgbClr val="000000"/>
                </a:solidFill>
                <a:latin typeface="Arial Narrow" panose="020B0606020202030204" pitchFamily="34" charset="0"/>
                <a:ea typeface="Calibri" panose="020F0502020204030204"/>
                <a:cs typeface="Calibri" panose="020F0502020204030204"/>
              </a:defRPr>
            </a:pPr>
            <a:endParaRPr lang="en-US"/>
          </a:p>
        </c:txPr>
        <c:crossAx val="566569776"/>
        <c:crosses val="autoZero"/>
        <c:crossBetween val="midCat"/>
        <c:majorUnit val="25"/>
      </c:valAx>
      <c:spPr>
        <a:solidFill>
          <a:srgbClr val="FFFFFF"/>
        </a:solidFill>
        <a:ln>
          <a:noFill/>
          <a:prstDash val="sysDash"/>
        </a:ln>
      </c:spPr>
    </c:plotArea>
    <c:legend>
      <c:legendPos val="r"/>
      <c:layout>
        <c:manualLayout>
          <c:xMode val="edge"/>
          <c:yMode val="edge"/>
          <c:x val="7.0154457132648992E-2"/>
          <c:y val="0.75299618475525609"/>
          <c:w val="0.89700762345040996"/>
          <c:h val="8.9491653010378799E-2"/>
        </c:manualLayout>
      </c:layout>
      <c:overlay val="0"/>
      <c:txPr>
        <a:bodyPr rot="0" spcFirstLastPara="0" vertOverflow="ellipsis" vert="horz" wrap="square" anchor="ctr" anchorCtr="1"/>
        <a:lstStyle/>
        <a:p>
          <a:pPr>
            <a:defRPr lang="en-US" sz="900" b="0" i="0" u="none" strike="noStrike" kern="1200" baseline="0">
              <a:solidFill>
                <a:srgbClr val="000000"/>
              </a:solidFill>
              <a:latin typeface="Arial Narrow" panose="020B0606020202030204" pitchFamily="34" charset="0"/>
              <a:ea typeface="Calibri" panose="020F0502020204030204"/>
              <a:cs typeface="Calibri" panose="020F0502020204030204"/>
            </a:defRPr>
          </a:pPr>
          <a:endParaRPr lang="en-US"/>
        </a:p>
      </c:txPr>
    </c:legend>
    <c:plotVisOnly val="1"/>
    <c:dispBlanksAs val="gap"/>
    <c:showDLblsOverMax val="0"/>
  </c:chart>
  <c:txPr>
    <a:bodyPr/>
    <a:lstStyle/>
    <a:p>
      <a:pPr>
        <a:defRPr lang="en-US" sz="800" b="0" i="0" u="none" strike="noStrike" baseline="0">
          <a:solidFill>
            <a:srgbClr val="000000"/>
          </a:solidFill>
          <a:latin typeface="Arial Narrow" panose="020B0606020202030204" pitchFamily="34" charset="0"/>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2273058684119E-2"/>
          <c:y val="7.30132852177338E-2"/>
          <c:w val="0.94777269413158804"/>
          <c:h val="0.57923811606882503"/>
        </c:manualLayout>
      </c:layout>
      <c:lineChart>
        <c:grouping val="standard"/>
        <c:varyColors val="0"/>
        <c:ser>
          <c:idx val="0"/>
          <c:order val="0"/>
          <c:tx>
            <c:strRef>
              <c:f>'Serious Crime rate '!$D$52</c:f>
              <c:strCache>
                <c:ptCount val="1"/>
                <c:pt idx="0">
                  <c:v>Property Crimes</c:v>
                </c:pt>
              </c:strCache>
            </c:strRef>
          </c:tx>
          <c:spPr>
            <a:ln w="28575" cap="rnd">
              <a:solidFill>
                <a:schemeClr val="accent1"/>
              </a:solidFill>
              <a:round/>
            </a:ln>
            <a:effectLst/>
          </c:spPr>
          <c:marker>
            <c:symbol val="none"/>
          </c:marker>
          <c:cat>
            <c:strRef>
              <c:f>'Serious Crime rate '!$E$51:$AF$51</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'Serious Crime rate '!$E$52:$AF$52</c:f>
              <c:numCache>
                <c:formatCode>0.00</c:formatCode>
                <c:ptCount val="28"/>
                <c:pt idx="0">
                  <c:v>100</c:v>
                </c:pt>
                <c:pt idx="1">
                  <c:v>100.25457344147772</c:v>
                </c:pt>
                <c:pt idx="2">
                  <c:v>94.209934284530235</c:v>
                </c:pt>
                <c:pt idx="3">
                  <c:v>95.666331182286442</c:v>
                </c:pt>
                <c:pt idx="4">
                  <c:v>99.745426558522283</c:v>
                </c:pt>
                <c:pt idx="5">
                  <c:v>99.402048428157002</c:v>
                </c:pt>
                <c:pt idx="6">
                  <c:v>99.840151560002383</c:v>
                </c:pt>
                <c:pt idx="7">
                  <c:v>96.104434314131794</c:v>
                </c:pt>
                <c:pt idx="8">
                  <c:v>95.044698360073426</c:v>
                </c:pt>
                <c:pt idx="9">
                  <c:v>84.915043514297565</c:v>
                </c:pt>
                <c:pt idx="10">
                  <c:v>75.898407435912617</c:v>
                </c:pt>
                <c:pt idx="11">
                  <c:v>72.05612456337694</c:v>
                </c:pt>
                <c:pt idx="12">
                  <c:v>68.361849505653907</c:v>
                </c:pt>
                <c:pt idx="13">
                  <c:v>64.531407258303247</c:v>
                </c:pt>
                <c:pt idx="14">
                  <c:v>64.709016636078388</c:v>
                </c:pt>
                <c:pt idx="15">
                  <c:v>66.425907287904806</c:v>
                </c:pt>
                <c:pt idx="16">
                  <c:v>63.288141613877215</c:v>
                </c:pt>
                <c:pt idx="17">
                  <c:v>62.743472855366768</c:v>
                </c:pt>
                <c:pt idx="18">
                  <c:v>63.844650997572685</c:v>
                </c:pt>
                <c:pt idx="19">
                  <c:v>62.879699518992958</c:v>
                </c:pt>
                <c:pt idx="20">
                  <c:v>60.677283760582569</c:v>
                </c:pt>
                <c:pt idx="21">
                  <c:v>58.55189153987331</c:v>
                </c:pt>
                <c:pt idx="22">
                  <c:v>57.249772206681151</c:v>
                </c:pt>
                <c:pt idx="23">
                  <c:v>52.990211290655587</c:v>
                </c:pt>
                <c:pt idx="24">
                  <c:v>50.807426069238424</c:v>
                </c:pt>
                <c:pt idx="25">
                  <c:v>47.221917692521941</c:v>
                </c:pt>
                <c:pt idx="26">
                  <c:v>38.922983412125745</c:v>
                </c:pt>
                <c:pt idx="27">
                  <c:v>37.144677072362065</c:v>
                </c:pt>
              </c:numCache>
            </c:numRef>
          </c:val>
          <c:smooth val="0"/>
          <c:extLst>
            <c:ext xmlns:c16="http://schemas.microsoft.com/office/drawing/2014/chart" uri="{C3380CC4-5D6E-409C-BE32-E72D297353CC}">
              <c16:uniqueId val="{00000000-EE6C-41DE-A266-98EDD37DBC33}"/>
            </c:ext>
          </c:extLst>
        </c:ser>
        <c:ser>
          <c:idx val="1"/>
          <c:order val="1"/>
          <c:tx>
            <c:strRef>
              <c:f>'Serious Crime rate '!$D$53</c:f>
              <c:strCache>
                <c:ptCount val="1"/>
                <c:pt idx="0">
                  <c:v>Contact Crimes</c:v>
                </c:pt>
              </c:strCache>
            </c:strRef>
          </c:tx>
          <c:spPr>
            <a:ln w="28575" cap="rnd">
              <a:solidFill>
                <a:schemeClr val="accent2"/>
              </a:solidFill>
              <a:round/>
            </a:ln>
            <a:effectLst/>
          </c:spPr>
          <c:marker>
            <c:symbol val="none"/>
          </c:marker>
          <c:cat>
            <c:strRef>
              <c:f>'Serious Crime rate '!$E$51:$AF$51</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'Serious Crime rate '!$E$53:$AF$53</c:f>
              <c:numCache>
                <c:formatCode>0.00</c:formatCode>
                <c:ptCount val="28"/>
                <c:pt idx="0">
                  <c:v>100</c:v>
                </c:pt>
                <c:pt idx="1">
                  <c:v>101.87599950793455</c:v>
                </c:pt>
                <c:pt idx="2">
                  <c:v>99.55099028170747</c:v>
                </c:pt>
                <c:pt idx="3">
                  <c:v>99.913888547176782</c:v>
                </c:pt>
                <c:pt idx="4">
                  <c:v>103.03235330298929</c:v>
                </c:pt>
                <c:pt idx="5">
                  <c:v>110.14269897896421</c:v>
                </c:pt>
                <c:pt idx="6">
                  <c:v>116.98240866035184</c:v>
                </c:pt>
                <c:pt idx="7">
                  <c:v>115.26017960388732</c:v>
                </c:pt>
                <c:pt idx="8">
                  <c:v>120.04551605363514</c:v>
                </c:pt>
                <c:pt idx="9">
                  <c:v>117.51137901340878</c:v>
                </c:pt>
                <c:pt idx="10">
                  <c:v>111.8710788534875</c:v>
                </c:pt>
                <c:pt idx="11">
                  <c:v>99.188092016238159</c:v>
                </c:pt>
                <c:pt idx="12">
                  <c:v>94.790257104194851</c:v>
                </c:pt>
                <c:pt idx="13">
                  <c:v>89.026940583097556</c:v>
                </c:pt>
                <c:pt idx="14">
                  <c:v>86.437446180341979</c:v>
                </c:pt>
                <c:pt idx="15">
                  <c:v>84.352318858408182</c:v>
                </c:pt>
                <c:pt idx="16">
                  <c:v>78.558248247016863</c:v>
                </c:pt>
                <c:pt idx="17">
                  <c:v>75.808832574732449</c:v>
                </c:pt>
                <c:pt idx="18">
                  <c:v>72.628859638331903</c:v>
                </c:pt>
                <c:pt idx="19">
                  <c:v>72.019928650510522</c:v>
                </c:pt>
                <c:pt idx="20">
                  <c:v>70.273096321810797</c:v>
                </c:pt>
                <c:pt idx="21">
                  <c:v>69.750276786812648</c:v>
                </c:pt>
                <c:pt idx="22">
                  <c:v>66.920900479763816</c:v>
                </c:pt>
                <c:pt idx="23">
                  <c:v>65.174907767951922</c:v>
                </c:pt>
                <c:pt idx="24">
                  <c:v>65.796373780275346</c:v>
                </c:pt>
                <c:pt idx="25">
                  <c:v>63.925293003996586</c:v>
                </c:pt>
                <c:pt idx="26">
                  <c:v>55.395319271781105</c:v>
                </c:pt>
                <c:pt idx="27">
                  <c:v>61.92788087013642</c:v>
                </c:pt>
              </c:numCache>
            </c:numRef>
          </c:val>
          <c:smooth val="0"/>
          <c:extLst>
            <c:ext xmlns:c16="http://schemas.microsoft.com/office/drawing/2014/chart" uri="{C3380CC4-5D6E-409C-BE32-E72D297353CC}">
              <c16:uniqueId val="{00000001-EE6C-41DE-A266-98EDD37DBC33}"/>
            </c:ext>
          </c:extLst>
        </c:ser>
        <c:ser>
          <c:idx val="2"/>
          <c:order val="2"/>
          <c:tx>
            <c:strRef>
              <c:f>'Serious Crime rate '!$D$54</c:f>
              <c:strCache>
                <c:ptCount val="1"/>
                <c:pt idx="0">
                  <c:v>Theft and commercial crime</c:v>
                </c:pt>
              </c:strCache>
            </c:strRef>
          </c:tx>
          <c:spPr>
            <a:ln w="28575" cap="rnd">
              <a:solidFill>
                <a:schemeClr val="accent3"/>
              </a:solidFill>
              <a:round/>
            </a:ln>
            <a:effectLst/>
          </c:spPr>
          <c:marker>
            <c:symbol val="none"/>
          </c:marker>
          <c:cat>
            <c:strRef>
              <c:f>'Serious Crime rate '!$E$51:$AF$51</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'Serious Crime rate '!$E$54:$AE$54</c:f>
              <c:numCache>
                <c:formatCode>0.00</c:formatCode>
                <c:ptCount val="27"/>
                <c:pt idx="0">
                  <c:v>100</c:v>
                </c:pt>
                <c:pt idx="1">
                  <c:v>97.328617653698544</c:v>
                </c:pt>
                <c:pt idx="2">
                  <c:v>92.550229513131171</c:v>
                </c:pt>
                <c:pt idx="3">
                  <c:v>96.117089321995635</c:v>
                </c:pt>
                <c:pt idx="4">
                  <c:v>102.04680562871546</c:v>
                </c:pt>
                <c:pt idx="5">
                  <c:v>110.15877793663932</c:v>
                </c:pt>
                <c:pt idx="6">
                  <c:v>119.52742870042891</c:v>
                </c:pt>
                <c:pt idx="7">
                  <c:v>118.12024983068703</c:v>
                </c:pt>
                <c:pt idx="8">
                  <c:v>123.41786439912707</c:v>
                </c:pt>
                <c:pt idx="9">
                  <c:v>119.10602754157573</c:v>
                </c:pt>
                <c:pt idx="10">
                  <c:v>106.08021672059597</c:v>
                </c:pt>
                <c:pt idx="11">
                  <c:v>88.479193317781608</c:v>
                </c:pt>
                <c:pt idx="12">
                  <c:v>86.116336819926261</c:v>
                </c:pt>
                <c:pt idx="13">
                  <c:v>82.963353149221149</c:v>
                </c:pt>
                <c:pt idx="14">
                  <c:v>85.371359771239369</c:v>
                </c:pt>
                <c:pt idx="15">
                  <c:v>82.526901948980353</c:v>
                </c:pt>
                <c:pt idx="16">
                  <c:v>80.510196403040112</c:v>
                </c:pt>
                <c:pt idx="17">
                  <c:v>79.930769809616976</c:v>
                </c:pt>
                <c:pt idx="18">
                  <c:v>75.679133117616075</c:v>
                </c:pt>
                <c:pt idx="19">
                  <c:v>73.609752426819171</c:v>
                </c:pt>
                <c:pt idx="20">
                  <c:v>69.629016479795311</c:v>
                </c:pt>
                <c:pt idx="21">
                  <c:v>65.595605387914816</c:v>
                </c:pt>
                <c:pt idx="22">
                  <c:v>63.160644090626548</c:v>
                </c:pt>
                <c:pt idx="23">
                  <c:v>58.090151987491865</c:v>
                </c:pt>
                <c:pt idx="24">
                  <c:v>57.964727978491723</c:v>
                </c:pt>
                <c:pt idx="25">
                  <c:v>56.205574609769691</c:v>
                </c:pt>
                <c:pt idx="26">
                  <c:v>48.292886087841289</c:v>
                </c:pt>
              </c:numCache>
            </c:numRef>
          </c:val>
          <c:smooth val="0"/>
          <c:extLst>
            <c:ext xmlns:c16="http://schemas.microsoft.com/office/drawing/2014/chart" uri="{C3380CC4-5D6E-409C-BE32-E72D297353CC}">
              <c16:uniqueId val="{00000002-EE6C-41DE-A266-98EDD37DBC33}"/>
            </c:ext>
          </c:extLst>
        </c:ser>
        <c:ser>
          <c:idx val="3"/>
          <c:order val="3"/>
          <c:tx>
            <c:strRef>
              <c:f>'Serious Crime rate '!$D$55</c:f>
              <c:strCache>
                <c:ptCount val="1"/>
                <c:pt idx="0">
                  <c:v>Damage to property and arson</c:v>
                </c:pt>
              </c:strCache>
            </c:strRef>
          </c:tx>
          <c:spPr>
            <a:ln w="28575" cap="rnd">
              <a:solidFill>
                <a:schemeClr val="accent4"/>
              </a:solidFill>
              <a:round/>
            </a:ln>
            <a:effectLst/>
          </c:spPr>
          <c:marker>
            <c:symbol val="none"/>
          </c:marker>
          <c:cat>
            <c:strRef>
              <c:f>'Serious Crime rate '!$E$51:$AF$51</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'Serious Crime rate '!$E$55:$AF$55</c:f>
              <c:numCache>
                <c:formatCode>0.00</c:formatCode>
                <c:ptCount val="28"/>
                <c:pt idx="0">
                  <c:v>100</c:v>
                </c:pt>
                <c:pt idx="1">
                  <c:v>101.73410404624276</c:v>
                </c:pt>
                <c:pt idx="2">
                  <c:v>97.92613636363636</c:v>
                </c:pt>
                <c:pt idx="3">
                  <c:v>95.780346820809243</c:v>
                </c:pt>
                <c:pt idx="4">
                  <c:v>95.809248554913296</c:v>
                </c:pt>
                <c:pt idx="5">
                  <c:v>96.618497109826592</c:v>
                </c:pt>
                <c:pt idx="6">
                  <c:v>98.179190751445077</c:v>
                </c:pt>
                <c:pt idx="7">
                  <c:v>99.421965317919074</c:v>
                </c:pt>
                <c:pt idx="8">
                  <c:v>105.72254335260116</c:v>
                </c:pt>
                <c:pt idx="9">
                  <c:v>104.10404624277456</c:v>
                </c:pt>
                <c:pt idx="10">
                  <c:v>98.641618497109832</c:v>
                </c:pt>
                <c:pt idx="11">
                  <c:v>93.641618497109818</c:v>
                </c:pt>
                <c:pt idx="12">
                  <c:v>92.225433526011571</c:v>
                </c:pt>
                <c:pt idx="13">
                  <c:v>87.196531791907518</c:v>
                </c:pt>
                <c:pt idx="14">
                  <c:v>83.786127167630056</c:v>
                </c:pt>
                <c:pt idx="15">
                  <c:v>81.358381502890182</c:v>
                </c:pt>
                <c:pt idx="16">
                  <c:v>76.242774566473997</c:v>
                </c:pt>
                <c:pt idx="17">
                  <c:v>73.497109826589607</c:v>
                </c:pt>
                <c:pt idx="18">
                  <c:v>70.317919075144502</c:v>
                </c:pt>
                <c:pt idx="19">
                  <c:v>68.497109826589593</c:v>
                </c:pt>
                <c:pt idx="20">
                  <c:v>67.312138728323703</c:v>
                </c:pt>
                <c:pt idx="21">
                  <c:v>65.635838150289018</c:v>
                </c:pt>
                <c:pt idx="22">
                  <c:v>62.409342843525359</c:v>
                </c:pt>
                <c:pt idx="23">
                  <c:v>58.747797252077895</c:v>
                </c:pt>
                <c:pt idx="24">
                  <c:v>58.692670277545346</c:v>
                </c:pt>
                <c:pt idx="25">
                  <c:v>54.342977425956995</c:v>
                </c:pt>
                <c:pt idx="26">
                  <c:v>49.700253065145155</c:v>
                </c:pt>
                <c:pt idx="27">
                  <c:v>58.745924718448371</c:v>
                </c:pt>
              </c:numCache>
            </c:numRef>
          </c:val>
          <c:smooth val="0"/>
          <c:extLst>
            <c:ext xmlns:c16="http://schemas.microsoft.com/office/drawing/2014/chart" uri="{C3380CC4-5D6E-409C-BE32-E72D297353CC}">
              <c16:uniqueId val="{00000003-EE6C-41DE-A266-98EDD37DBC33}"/>
            </c:ext>
          </c:extLst>
        </c:ser>
        <c:ser>
          <c:idx val="4"/>
          <c:order val="4"/>
          <c:tx>
            <c:strRef>
              <c:f>'Serious Crime rate '!$D$56</c:f>
              <c:strCache>
                <c:ptCount val="1"/>
                <c:pt idx="0">
                  <c:v>Total crimes </c:v>
                </c:pt>
              </c:strCache>
            </c:strRef>
          </c:tx>
          <c:spPr>
            <a:ln w="28575" cap="rnd">
              <a:solidFill>
                <a:schemeClr val="accent5"/>
              </a:solidFill>
              <a:round/>
            </a:ln>
            <a:effectLst/>
          </c:spPr>
          <c:marker>
            <c:symbol val="none"/>
          </c:marker>
          <c:cat>
            <c:strRef>
              <c:f>'Serious Crime rate '!$E$51:$AF$51</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'Serious Crime rate '!$E$56:$AF$56</c:f>
              <c:numCache>
                <c:formatCode>0.00</c:formatCode>
                <c:ptCount val="28"/>
                <c:pt idx="0">
                  <c:v>100</c:v>
                </c:pt>
                <c:pt idx="1">
                  <c:v>100.10621668203135</c:v>
                </c:pt>
                <c:pt idx="2">
                  <c:v>95.883602549200347</c:v>
                </c:pt>
                <c:pt idx="3">
                  <c:v>97.178243616978634</c:v>
                </c:pt>
                <c:pt idx="4">
                  <c:v>101.15635897230351</c:v>
                </c:pt>
                <c:pt idx="5">
                  <c:v>105.57336967413522</c:v>
                </c:pt>
                <c:pt idx="6">
                  <c:v>110.55352919956711</c:v>
                </c:pt>
                <c:pt idx="7">
                  <c:v>108.43921600064131</c:v>
                </c:pt>
                <c:pt idx="8">
                  <c:v>111.48743436610687</c:v>
                </c:pt>
                <c:pt idx="9">
                  <c:v>105.97218325383784</c:v>
                </c:pt>
                <c:pt idx="10">
                  <c:v>97.234358090504628</c:v>
                </c:pt>
                <c:pt idx="11">
                  <c:v>86.767004689566718</c:v>
                </c:pt>
                <c:pt idx="12">
                  <c:v>83.356046334522432</c:v>
                </c:pt>
                <c:pt idx="13">
                  <c:v>78.993146017876455</c:v>
                </c:pt>
                <c:pt idx="14">
                  <c:v>78.614373321575997</c:v>
                </c:pt>
                <c:pt idx="15">
                  <c:v>77.590284179726638</c:v>
                </c:pt>
                <c:pt idx="16">
                  <c:v>73.748446831536327</c:v>
                </c:pt>
                <c:pt idx="17">
                  <c:v>72.323540021644149</c:v>
                </c:pt>
                <c:pt idx="18">
                  <c:v>70.307427151388822</c:v>
                </c:pt>
                <c:pt idx="19">
                  <c:v>69.104994279837058</c:v>
                </c:pt>
                <c:pt idx="20">
                  <c:v>65.27315724077117</c:v>
                </c:pt>
                <c:pt idx="21">
                  <c:v>64.567718145015832</c:v>
                </c:pt>
                <c:pt idx="22">
                  <c:v>62.332839550723172</c:v>
                </c:pt>
                <c:pt idx="23">
                  <c:v>58.717758580620362</c:v>
                </c:pt>
                <c:pt idx="24">
                  <c:v>58.144125775015155</c:v>
                </c:pt>
                <c:pt idx="25">
                  <c:v>55.588492017627111</c:v>
                </c:pt>
                <c:pt idx="26">
                  <c:v>47.68049610736665</c:v>
                </c:pt>
                <c:pt idx="27">
                  <c:v>51.155136059792113</c:v>
                </c:pt>
              </c:numCache>
            </c:numRef>
          </c:val>
          <c:smooth val="0"/>
          <c:extLst>
            <c:ext xmlns:c16="http://schemas.microsoft.com/office/drawing/2014/chart" uri="{C3380CC4-5D6E-409C-BE32-E72D297353CC}">
              <c16:uniqueId val="{00000004-EE6C-41DE-A266-98EDD37DBC33}"/>
            </c:ext>
          </c:extLst>
        </c:ser>
        <c:dLbls>
          <c:showLegendKey val="0"/>
          <c:showVal val="0"/>
          <c:showCatName val="0"/>
          <c:showSerName val="0"/>
          <c:showPercent val="0"/>
          <c:showBubbleSize val="0"/>
        </c:dLbls>
        <c:smooth val="0"/>
        <c:axId val="489047376"/>
        <c:axId val="576913024"/>
      </c:lineChart>
      <c:catAx>
        <c:axId val="4890473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en-US" sz="870" b="0" i="0" u="none" strike="noStrike" kern="1200" baseline="0">
                <a:solidFill>
                  <a:schemeClr val="tx1"/>
                </a:solidFill>
                <a:latin typeface="Arial" panose="020B0604020202020204" pitchFamily="7" charset="0"/>
                <a:ea typeface="+mn-ea"/>
                <a:cs typeface="Arial" panose="020B0604020202020204" pitchFamily="7" charset="0"/>
              </a:defRPr>
            </a:pPr>
            <a:endParaRPr lang="en-US"/>
          </a:p>
        </c:txPr>
        <c:crossAx val="576913024"/>
        <c:crosses val="autoZero"/>
        <c:auto val="1"/>
        <c:lblAlgn val="ctr"/>
        <c:lblOffset val="100"/>
        <c:noMultiLvlLbl val="0"/>
      </c:catAx>
      <c:valAx>
        <c:axId val="576913024"/>
        <c:scaling>
          <c:orientation val="minMax"/>
          <c:max val="15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solidFill>
            <a:schemeClr val="bg1"/>
          </a:solidFill>
          <a:ln>
            <a:solidFill>
              <a:schemeClr val="tx1"/>
            </a:solidFill>
          </a:ln>
          <a:effectLst/>
        </c:spPr>
        <c:txPr>
          <a:bodyPr rot="-60000000" spcFirstLastPara="1" vertOverflow="ellipsis" vert="horz" wrap="square" anchor="ctr" anchorCtr="1"/>
          <a:lstStyle/>
          <a:p>
            <a:pPr>
              <a:defRPr lang="en-US" sz="1050" b="0" i="0" u="none" strike="noStrike" kern="1200" baseline="0">
                <a:solidFill>
                  <a:schemeClr val="tx1"/>
                </a:solidFill>
                <a:latin typeface="Arial" panose="020B0604020202020204" pitchFamily="7" charset="0"/>
                <a:ea typeface="+mn-ea"/>
                <a:cs typeface="Arial" panose="020B0604020202020204" pitchFamily="7" charset="0"/>
              </a:defRPr>
            </a:pPr>
            <a:endParaRPr lang="en-US"/>
          </a:p>
        </c:txPr>
        <c:crossAx val="489047376"/>
        <c:crosses val="autoZero"/>
        <c:crossBetween val="between"/>
        <c:majorUnit val="25"/>
        <c:minorUnit val="5"/>
      </c:valAx>
      <c:spPr>
        <a:noFill/>
        <a:ln>
          <a:noFill/>
        </a:ln>
        <a:effectLst/>
      </c:spPr>
    </c:plotArea>
    <c:legend>
      <c:legendPos val="b"/>
      <c:layout>
        <c:manualLayout>
          <c:xMode val="edge"/>
          <c:yMode val="edge"/>
          <c:x val="0.122070633403785"/>
          <c:y val="0.91112634176541896"/>
          <c:w val="0.76468875603489905"/>
          <c:h val="7.5584621689730597E-2"/>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tx1"/>
              </a:solidFill>
              <a:latin typeface="Arial" panose="020B0604020202020204" pitchFamily="7" charset="0"/>
              <a:ea typeface="+mn-ea"/>
              <a:cs typeface="Arial" panose="020B0604020202020204" pitchFamily="7"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n-ZA" sz="1200">
                <a:solidFill>
                  <a:sysClr val="windowText" lastClr="000000"/>
                </a:solidFill>
              </a:rPr>
              <a:t>Serious Crime rate</a:t>
            </a:r>
          </a:p>
        </c:rich>
      </c:tx>
      <c:layout>
        <c:manualLayout>
          <c:xMode val="edge"/>
          <c:yMode val="edge"/>
          <c:x val="0.46693874642826994"/>
          <c:y val="8.970471613078744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1967682573420225E-2"/>
          <c:y val="4.5186939045206764E-2"/>
          <c:w val="0.92511658666523799"/>
          <c:h val="0.79321371541843999"/>
        </c:manualLayout>
      </c:layout>
      <c:lineChart>
        <c:grouping val="standard"/>
        <c:varyColors val="0"/>
        <c:ser>
          <c:idx val="0"/>
          <c:order val="0"/>
          <c:tx>
            <c:strRef>
              <c:f>'Serious Crime rate '!$D$9</c:f>
              <c:strCache>
                <c:ptCount val="1"/>
                <c:pt idx="0">
                  <c:v>Property Crimes</c:v>
                </c:pt>
              </c:strCache>
            </c:strRef>
          </c:tx>
          <c:spPr>
            <a:ln w="31750" cap="rnd">
              <a:solidFill>
                <a:schemeClr val="accent1"/>
              </a:solidFill>
              <a:round/>
            </a:ln>
            <a:effectLst/>
          </c:spPr>
          <c:marker>
            <c:symbol val="none"/>
          </c:marker>
          <c:cat>
            <c:strRef>
              <c:f>'Serious Crime rate '!$E$8:$AF$8</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'Serious Crime rate '!$E$9:$AF$9</c:f>
              <c:numCache>
                <c:formatCode>#\ ##0.0</c:formatCode>
                <c:ptCount val="28"/>
                <c:pt idx="0">
                  <c:v>1689.1</c:v>
                </c:pt>
                <c:pt idx="1">
                  <c:v>1693.4</c:v>
                </c:pt>
                <c:pt idx="2">
                  <c:v>1591.3</c:v>
                </c:pt>
                <c:pt idx="3">
                  <c:v>1615.9</c:v>
                </c:pt>
                <c:pt idx="4">
                  <c:v>1684.8</c:v>
                </c:pt>
                <c:pt idx="5">
                  <c:v>1679</c:v>
                </c:pt>
                <c:pt idx="6">
                  <c:v>1686.4</c:v>
                </c:pt>
                <c:pt idx="7">
                  <c:v>1623.3</c:v>
                </c:pt>
                <c:pt idx="8">
                  <c:v>1605.4</c:v>
                </c:pt>
                <c:pt idx="9">
                  <c:v>1434.3</c:v>
                </c:pt>
                <c:pt idx="10">
                  <c:v>1282</c:v>
                </c:pt>
                <c:pt idx="11">
                  <c:v>1217.0999999999999</c:v>
                </c:pt>
                <c:pt idx="12">
                  <c:v>1154.7</c:v>
                </c:pt>
                <c:pt idx="13">
                  <c:v>1090</c:v>
                </c:pt>
                <c:pt idx="14">
                  <c:v>1093</c:v>
                </c:pt>
                <c:pt idx="15">
                  <c:v>1122</c:v>
                </c:pt>
                <c:pt idx="16">
                  <c:v>1036.566554075453</c:v>
                </c:pt>
                <c:pt idx="17">
                  <c:v>1025.1712464395266</c:v>
                </c:pt>
                <c:pt idx="18">
                  <c:v>1063.1315814488632</c:v>
                </c:pt>
                <c:pt idx="19">
                  <c:v>1047.2432727854061</c:v>
                </c:pt>
                <c:pt idx="20">
                  <c:v>1022.6974665732379</c:v>
                </c:pt>
                <c:pt idx="21">
                  <c:v>988.84965708173593</c:v>
                </c:pt>
                <c:pt idx="22">
                  <c:v>968.1659237388975</c:v>
                </c:pt>
                <c:pt idx="23">
                  <c:v>895.05766064527529</c:v>
                </c:pt>
                <c:pt idx="24">
                  <c:v>858.18823373550617</c:v>
                </c:pt>
                <c:pt idx="25">
                  <c:v>799.65595761211966</c:v>
                </c:pt>
                <c:pt idx="26">
                  <c:v>619.38143503715696</c:v>
                </c:pt>
                <c:pt idx="27">
                  <c:v>600.22083681229867</c:v>
                </c:pt>
              </c:numCache>
            </c:numRef>
          </c:val>
          <c:smooth val="0"/>
          <c:extLst>
            <c:ext xmlns:c16="http://schemas.microsoft.com/office/drawing/2014/chart" uri="{C3380CC4-5D6E-409C-BE32-E72D297353CC}">
              <c16:uniqueId val="{00000000-A58E-4B70-85FE-F0320777F62F}"/>
            </c:ext>
          </c:extLst>
        </c:ser>
        <c:ser>
          <c:idx val="1"/>
          <c:order val="1"/>
          <c:tx>
            <c:strRef>
              <c:f>'Serious Crime rate '!$D$10</c:f>
              <c:strCache>
                <c:ptCount val="1"/>
                <c:pt idx="0">
                  <c:v>Contact Crimes</c:v>
                </c:pt>
              </c:strCache>
            </c:strRef>
          </c:tx>
          <c:spPr>
            <a:ln w="31750" cap="rnd">
              <a:solidFill>
                <a:schemeClr val="accent2"/>
              </a:solidFill>
              <a:round/>
            </a:ln>
            <a:effectLst/>
          </c:spPr>
          <c:marker>
            <c:symbol val="none"/>
          </c:marker>
          <c:cat>
            <c:strRef>
              <c:f>'Serious Crime rate '!$E$8:$AF$8</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'Serious Crime rate '!$E$10:$AF$10</c:f>
              <c:numCache>
                <c:formatCode>#\ ##0.0</c:formatCode>
                <c:ptCount val="28"/>
                <c:pt idx="0">
                  <c:v>1625.8</c:v>
                </c:pt>
                <c:pt idx="1">
                  <c:v>1656.3</c:v>
                </c:pt>
                <c:pt idx="2">
                  <c:v>1618.5</c:v>
                </c:pt>
                <c:pt idx="3">
                  <c:v>1624.4</c:v>
                </c:pt>
                <c:pt idx="4">
                  <c:v>1675.1</c:v>
                </c:pt>
                <c:pt idx="5">
                  <c:v>1790.7</c:v>
                </c:pt>
                <c:pt idx="6">
                  <c:v>1901.9</c:v>
                </c:pt>
                <c:pt idx="7">
                  <c:v>1873.9</c:v>
                </c:pt>
                <c:pt idx="8">
                  <c:v>1951.7</c:v>
                </c:pt>
                <c:pt idx="9">
                  <c:v>1910.5</c:v>
                </c:pt>
                <c:pt idx="10">
                  <c:v>1818.8</c:v>
                </c:pt>
                <c:pt idx="11">
                  <c:v>1612.6</c:v>
                </c:pt>
                <c:pt idx="12">
                  <c:v>1541.1</c:v>
                </c:pt>
                <c:pt idx="13">
                  <c:v>1447.4</c:v>
                </c:pt>
                <c:pt idx="14">
                  <c:v>1405.3</c:v>
                </c:pt>
                <c:pt idx="15">
                  <c:v>1371.4</c:v>
                </c:pt>
                <c:pt idx="16">
                  <c:v>1240.9004246169177</c:v>
                </c:pt>
                <c:pt idx="17">
                  <c:v>1189.993011389854</c:v>
                </c:pt>
                <c:pt idx="18">
                  <c:v>1159.0798854912612</c:v>
                </c:pt>
                <c:pt idx="19">
                  <c:v>1147.3210897885128</c:v>
                </c:pt>
                <c:pt idx="20">
                  <c:v>1140.0027896664064</c:v>
                </c:pt>
                <c:pt idx="21">
                  <c:v>1133.8484590109188</c:v>
                </c:pt>
                <c:pt idx="22">
                  <c:v>1089.3413388897682</c:v>
                </c:pt>
                <c:pt idx="23">
                  <c:v>1059.6136525451186</c:v>
                </c:pt>
                <c:pt idx="24">
                  <c:v>1069.7174389869783</c:v>
                </c:pt>
                <c:pt idx="25">
                  <c:v>1058.7946325362147</c:v>
                </c:pt>
                <c:pt idx="26">
                  <c:v>896.57324241377728</c:v>
                </c:pt>
                <c:pt idx="27">
                  <c:v>1005.9564968544961</c:v>
                </c:pt>
              </c:numCache>
            </c:numRef>
          </c:val>
          <c:smooth val="0"/>
          <c:extLst>
            <c:ext xmlns:c16="http://schemas.microsoft.com/office/drawing/2014/chart" uri="{C3380CC4-5D6E-409C-BE32-E72D297353CC}">
              <c16:uniqueId val="{00000001-A58E-4B70-85FE-F0320777F62F}"/>
            </c:ext>
          </c:extLst>
        </c:ser>
        <c:ser>
          <c:idx val="2"/>
          <c:order val="2"/>
          <c:tx>
            <c:strRef>
              <c:f>'Serious Crime rate '!$D$11</c:f>
              <c:strCache>
                <c:ptCount val="1"/>
                <c:pt idx="0">
                  <c:v>Theft and commercial crime</c:v>
                </c:pt>
              </c:strCache>
            </c:strRef>
          </c:tx>
          <c:spPr>
            <a:ln w="31750" cap="rnd">
              <a:solidFill>
                <a:schemeClr val="accent3"/>
              </a:solidFill>
              <a:round/>
            </a:ln>
            <a:effectLst/>
          </c:spPr>
          <c:marker>
            <c:symbol val="none"/>
          </c:marker>
          <c:cat>
            <c:strRef>
              <c:f>'Serious Crime rate '!$E$8:$AF$8</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'Serious Crime rate '!$E$11:$AF$11</c:f>
              <c:numCache>
                <c:formatCode>#\ ##0.0</c:formatCode>
                <c:ptCount val="28"/>
                <c:pt idx="0">
                  <c:v>1328.9</c:v>
                </c:pt>
                <c:pt idx="1">
                  <c:v>1293.4000000000001</c:v>
                </c:pt>
                <c:pt idx="2">
                  <c:v>1229.9000000000001</c:v>
                </c:pt>
                <c:pt idx="3">
                  <c:v>1277.3</c:v>
                </c:pt>
                <c:pt idx="4">
                  <c:v>1356.1</c:v>
                </c:pt>
                <c:pt idx="5">
                  <c:v>1463.9</c:v>
                </c:pt>
                <c:pt idx="6">
                  <c:v>1588.4</c:v>
                </c:pt>
                <c:pt idx="7">
                  <c:v>1569.7</c:v>
                </c:pt>
                <c:pt idx="8">
                  <c:v>1640.1</c:v>
                </c:pt>
                <c:pt idx="9">
                  <c:v>1582.8</c:v>
                </c:pt>
                <c:pt idx="10">
                  <c:v>1409.7</c:v>
                </c:pt>
                <c:pt idx="11">
                  <c:v>1175.8</c:v>
                </c:pt>
                <c:pt idx="12">
                  <c:v>1144.4000000000001</c:v>
                </c:pt>
                <c:pt idx="13">
                  <c:v>1102.5</c:v>
                </c:pt>
                <c:pt idx="14">
                  <c:v>1134.5</c:v>
                </c:pt>
                <c:pt idx="15">
                  <c:v>1096.7</c:v>
                </c:pt>
                <c:pt idx="16">
                  <c:v>1029.192419801805</c:v>
                </c:pt>
                <c:pt idx="17">
                  <c:v>1020.6735255265803</c:v>
                </c:pt>
                <c:pt idx="18">
                  <c:v>984.90677044132599</c:v>
                </c:pt>
                <c:pt idx="19">
                  <c:v>958.17015106479892</c:v>
                </c:pt>
                <c:pt idx="20">
                  <c:v>923.30963265932871</c:v>
                </c:pt>
                <c:pt idx="21">
                  <c:v>871.595641529045</c:v>
                </c:pt>
                <c:pt idx="22">
                  <c:v>840.34867471094196</c:v>
                </c:pt>
                <c:pt idx="23">
                  <c:v>771.96003125800189</c:v>
                </c:pt>
                <c:pt idx="24">
                  <c:v>770.29326583406873</c:v>
                </c:pt>
                <c:pt idx="25">
                  <c:v>726.96290510000392</c:v>
                </c:pt>
                <c:pt idx="26">
                  <c:v>593.95420599436</c:v>
                </c:pt>
                <c:pt idx="27">
                  <c:v>652.48836564107921</c:v>
                </c:pt>
              </c:numCache>
            </c:numRef>
          </c:val>
          <c:smooth val="0"/>
          <c:extLst>
            <c:ext xmlns:c16="http://schemas.microsoft.com/office/drawing/2014/chart" uri="{C3380CC4-5D6E-409C-BE32-E72D297353CC}">
              <c16:uniqueId val="{00000002-A58E-4B70-85FE-F0320777F62F}"/>
            </c:ext>
          </c:extLst>
        </c:ser>
        <c:ser>
          <c:idx val="3"/>
          <c:order val="3"/>
          <c:tx>
            <c:strRef>
              <c:f>'Serious Crime rate '!$D$12</c:f>
              <c:strCache>
                <c:ptCount val="1"/>
                <c:pt idx="0">
                  <c:v>Damage to property and arson</c:v>
                </c:pt>
              </c:strCache>
            </c:strRef>
          </c:tx>
          <c:spPr>
            <a:ln w="31750" cap="rnd">
              <a:solidFill>
                <a:schemeClr val="accent4"/>
              </a:solidFill>
              <a:round/>
            </a:ln>
            <a:effectLst/>
          </c:spPr>
          <c:marker>
            <c:symbol val="none"/>
          </c:marker>
          <c:cat>
            <c:strRef>
              <c:f>'Serious Crime rate '!$E$8:$AF$8</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'Serious Crime rate '!$E$12:$AF$12</c:f>
              <c:numCache>
                <c:formatCode>#\ ##0.0</c:formatCode>
                <c:ptCount val="28"/>
                <c:pt idx="0">
                  <c:v>346</c:v>
                </c:pt>
                <c:pt idx="1">
                  <c:v>352</c:v>
                </c:pt>
                <c:pt idx="2">
                  <c:v>344.7</c:v>
                </c:pt>
                <c:pt idx="3">
                  <c:v>331.4</c:v>
                </c:pt>
                <c:pt idx="4">
                  <c:v>331.5</c:v>
                </c:pt>
                <c:pt idx="5">
                  <c:v>334.3</c:v>
                </c:pt>
                <c:pt idx="6">
                  <c:v>339.7</c:v>
                </c:pt>
                <c:pt idx="7">
                  <c:v>344</c:v>
                </c:pt>
                <c:pt idx="8">
                  <c:v>365.8</c:v>
                </c:pt>
                <c:pt idx="9">
                  <c:v>360.2</c:v>
                </c:pt>
                <c:pt idx="10">
                  <c:v>341.3</c:v>
                </c:pt>
                <c:pt idx="11">
                  <c:v>324</c:v>
                </c:pt>
                <c:pt idx="12">
                  <c:v>319.10000000000002</c:v>
                </c:pt>
                <c:pt idx="13">
                  <c:v>301.7</c:v>
                </c:pt>
                <c:pt idx="14" formatCode="General">
                  <c:v>289.89999999999998</c:v>
                </c:pt>
                <c:pt idx="15" formatCode="General">
                  <c:v>281.5</c:v>
                </c:pt>
                <c:pt idx="16">
                  <c:v>252.73703731241906</c:v>
                </c:pt>
                <c:pt idx="17" formatCode="General">
                  <c:v>243.2459433430748</c:v>
                </c:pt>
                <c:pt idx="18" formatCode="General">
                  <c:v>237.42587774063585</c:v>
                </c:pt>
                <c:pt idx="19" formatCode="General">
                  <c:v>231.57698437896937</c:v>
                </c:pt>
                <c:pt idx="20" formatCode="0.0">
                  <c:v>232.42477532946759</c:v>
                </c:pt>
                <c:pt idx="21" formatCode="0.0">
                  <c:v>227.05969304470264</c:v>
                </c:pt>
                <c:pt idx="22">
                  <c:v>216.19536370462589</c:v>
                </c:pt>
                <c:pt idx="23">
                  <c:v>203.26737888616489</c:v>
                </c:pt>
                <c:pt idx="24">
                  <c:v>203.0766380340277</c:v>
                </c:pt>
                <c:pt idx="25">
                  <c:v>191.28728135435261</c:v>
                </c:pt>
                <c:pt idx="26">
                  <c:v>171.31677231555534</c:v>
                </c:pt>
                <c:pt idx="27">
                  <c:v>194.6839945169379</c:v>
                </c:pt>
              </c:numCache>
            </c:numRef>
          </c:val>
          <c:smooth val="0"/>
          <c:extLst>
            <c:ext xmlns:c16="http://schemas.microsoft.com/office/drawing/2014/chart" uri="{C3380CC4-5D6E-409C-BE32-E72D297353CC}">
              <c16:uniqueId val="{00000003-A58E-4B70-85FE-F0320777F62F}"/>
            </c:ext>
          </c:extLst>
        </c:ser>
        <c:dLbls>
          <c:showLegendKey val="0"/>
          <c:showVal val="0"/>
          <c:showCatName val="0"/>
          <c:showSerName val="0"/>
          <c:showPercent val="0"/>
          <c:showBubbleSize val="0"/>
        </c:dLbls>
        <c:marker val="1"/>
        <c:smooth val="0"/>
        <c:axId val="1794049104"/>
        <c:axId val="1749773376"/>
      </c:lineChart>
      <c:lineChart>
        <c:grouping val="standard"/>
        <c:varyColors val="0"/>
        <c:ser>
          <c:idx val="4"/>
          <c:order val="4"/>
          <c:tx>
            <c:strRef>
              <c:f>'Serious Crime rate '!$D$13</c:f>
              <c:strCache>
                <c:ptCount val="1"/>
                <c:pt idx="0">
                  <c:v>Total crimes </c:v>
                </c:pt>
              </c:strCache>
            </c:strRef>
          </c:tx>
          <c:spPr>
            <a:ln w="31750" cap="rnd">
              <a:solidFill>
                <a:schemeClr val="accent5"/>
              </a:solidFill>
              <a:round/>
            </a:ln>
            <a:effectLst/>
          </c:spPr>
          <c:marker>
            <c:symbol val="none"/>
          </c:marker>
          <c:cat>
            <c:strRef>
              <c:f>'Serious Crime rate '!$E$8:$AF$8</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'Serious Crime rate '!$E$13:$AF$13</c:f>
              <c:numCache>
                <c:formatCode>#\ ##0.0</c:formatCode>
                <c:ptCount val="28"/>
                <c:pt idx="0">
                  <c:v>4989.8</c:v>
                </c:pt>
                <c:pt idx="1">
                  <c:v>4995.1000000000004</c:v>
                </c:pt>
                <c:pt idx="2">
                  <c:v>4784.3999999999996</c:v>
                </c:pt>
                <c:pt idx="3">
                  <c:v>4849</c:v>
                </c:pt>
                <c:pt idx="4">
                  <c:v>5047.5</c:v>
                </c:pt>
                <c:pt idx="5">
                  <c:v>5267.9</c:v>
                </c:pt>
                <c:pt idx="6">
                  <c:v>5516.4</c:v>
                </c:pt>
                <c:pt idx="7">
                  <c:v>5410.9</c:v>
                </c:pt>
                <c:pt idx="8">
                  <c:v>5563</c:v>
                </c:pt>
                <c:pt idx="9">
                  <c:v>5287.8</c:v>
                </c:pt>
                <c:pt idx="10">
                  <c:v>4851.8</c:v>
                </c:pt>
                <c:pt idx="11">
                  <c:v>4329.5</c:v>
                </c:pt>
                <c:pt idx="12">
                  <c:v>4159.3</c:v>
                </c:pt>
                <c:pt idx="13">
                  <c:v>3941.6</c:v>
                </c:pt>
                <c:pt idx="14">
                  <c:v>3922.7</c:v>
                </c:pt>
                <c:pt idx="15">
                  <c:v>3871.6</c:v>
                </c:pt>
                <c:pt idx="16">
                  <c:v>3559.3964358065946</c:v>
                </c:pt>
                <c:pt idx="17">
                  <c:v>3479.0837266990357</c:v>
                </c:pt>
                <c:pt idx="18">
                  <c:v>3444.5441151220862</c:v>
                </c:pt>
                <c:pt idx="19">
                  <c:v>3369.2208452982145</c:v>
                </c:pt>
                <c:pt idx="20">
                  <c:v>3271.6481587620056</c:v>
                </c:pt>
                <c:pt idx="21">
                  <c:v>3221.3534506664028</c:v>
                </c:pt>
                <c:pt idx="22">
                  <c:v>3114.0513010442337</c:v>
                </c:pt>
                <c:pt idx="23">
                  <c:v>2929.8987233345611</c:v>
                </c:pt>
                <c:pt idx="24">
                  <c:v>2901.2755718310004</c:v>
                </c:pt>
                <c:pt idx="25">
                  <c:v>2776.7007766026909</c:v>
                </c:pt>
                <c:pt idx="26">
                  <c:v>2281.2256557608498</c:v>
                </c:pt>
                <c:pt idx="27">
                  <c:v>2453.3496938248122</c:v>
                </c:pt>
              </c:numCache>
            </c:numRef>
          </c:val>
          <c:smooth val="0"/>
          <c:extLst>
            <c:ext xmlns:c16="http://schemas.microsoft.com/office/drawing/2014/chart" uri="{C3380CC4-5D6E-409C-BE32-E72D297353CC}">
              <c16:uniqueId val="{00000004-A58E-4B70-85FE-F0320777F62F}"/>
            </c:ext>
          </c:extLst>
        </c:ser>
        <c:dLbls>
          <c:showLegendKey val="0"/>
          <c:showVal val="0"/>
          <c:showCatName val="0"/>
          <c:showSerName val="0"/>
          <c:showPercent val="0"/>
          <c:showBubbleSize val="0"/>
        </c:dLbls>
        <c:marker val="1"/>
        <c:smooth val="0"/>
        <c:axId val="1786195072"/>
        <c:axId val="1224760400"/>
      </c:lineChart>
      <c:catAx>
        <c:axId val="1794049104"/>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49773376"/>
        <c:crossesAt val="0"/>
        <c:auto val="1"/>
        <c:lblAlgn val="ctr"/>
        <c:lblOffset val="100"/>
        <c:noMultiLvlLbl val="0"/>
      </c:catAx>
      <c:valAx>
        <c:axId val="1749773376"/>
        <c:scaling>
          <c:orientation val="minMax"/>
        </c:scaling>
        <c:delete val="0"/>
        <c:axPos val="l"/>
        <c:majorGridlines>
          <c:spPr>
            <a:ln w="9525" cap="flat" cmpd="sng" algn="ctr">
              <a:solidFill>
                <a:schemeClr val="tx2">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94049104"/>
        <c:crosses val="autoZero"/>
        <c:crossBetween val="between"/>
      </c:valAx>
      <c:valAx>
        <c:axId val="1224760400"/>
        <c:scaling>
          <c:orientation val="minMax"/>
        </c:scaling>
        <c:delete val="0"/>
        <c:axPos val="r"/>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86195072"/>
        <c:crosses val="max"/>
        <c:crossBetween val="between"/>
      </c:valAx>
      <c:catAx>
        <c:axId val="1786195072"/>
        <c:scaling>
          <c:orientation val="minMax"/>
        </c:scaling>
        <c:delete val="1"/>
        <c:axPos val="b"/>
        <c:numFmt formatCode="General" sourceLinked="1"/>
        <c:majorTickMark val="out"/>
        <c:minorTickMark val="none"/>
        <c:tickLblPos val="nextTo"/>
        <c:crossAx val="1224760400"/>
        <c:crosses val="autoZero"/>
        <c:auto val="1"/>
        <c:lblAlgn val="ctr"/>
        <c:lblOffset val="100"/>
        <c:noMultiLvlLbl val="0"/>
      </c:catAx>
      <c:spPr>
        <a:noFill/>
        <a:ln>
          <a:noFill/>
        </a:ln>
        <a:effectLst/>
      </c:spPr>
    </c:plotArea>
    <c:legend>
      <c:legendPos val="b"/>
      <c:layout>
        <c:manualLayout>
          <c:xMode val="edge"/>
          <c:yMode val="edge"/>
          <c:x val="8.5373690258523566E-2"/>
          <c:y val="0.92532101986151705"/>
          <c:w val="0.80054535059465515"/>
          <c:h val="6.280954763443144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303719571536743E-2"/>
          <c:y val="2.5893901952292398E-2"/>
          <c:w val="0.91370134643712697"/>
          <c:h val="0.73962233444223702"/>
        </c:manualLayout>
      </c:layout>
      <c:lineChart>
        <c:grouping val="standard"/>
        <c:varyColors val="0"/>
        <c:ser>
          <c:idx val="0"/>
          <c:order val="0"/>
          <c:tx>
            <c:strRef>
              <c:f>'Property crime Cases'!$D$50</c:f>
              <c:strCache>
                <c:ptCount val="1"/>
                <c:pt idx="0">
                  <c:v>Residential burglary </c:v>
                </c:pt>
              </c:strCache>
            </c:strRef>
          </c:tx>
          <c:spPr>
            <a:ln w="25400" cap="rnd" cmpd="sng" algn="ctr">
              <a:solidFill>
                <a:srgbClr val="FF6600"/>
              </a:solidFill>
              <a:prstDash val="solid"/>
              <a:round/>
            </a:ln>
          </c:spPr>
          <c:marker>
            <c:symbol val="none"/>
          </c:marker>
          <c:cat>
            <c:strRef>
              <c:f>'Property crime Cases'!$E$49:$AD$49</c:f>
              <c:strCache>
                <c:ptCount val="17"/>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strCache>
            </c:strRef>
          </c:cat>
          <c:val>
            <c:numRef>
              <c:f>'Property crime Cases'!$E$50:$AD$50</c:f>
              <c:numCache>
                <c:formatCode>0.0</c:formatCode>
                <c:ptCount val="17"/>
                <c:pt idx="0">
                  <c:v>108.22129560390637</c:v>
                </c:pt>
                <c:pt idx="1">
                  <c:v>99.427335480106365</c:v>
                </c:pt>
                <c:pt idx="2">
                  <c:v>93.909185450930423</c:v>
                </c:pt>
                <c:pt idx="3">
                  <c:v>88.357490436774683</c:v>
                </c:pt>
                <c:pt idx="4">
                  <c:v>83.37606016727544</c:v>
                </c:pt>
                <c:pt idx="5">
                  <c:v>84.952674461325699</c:v>
                </c:pt>
                <c:pt idx="6">
                  <c:v>87.250505932441527</c:v>
                </c:pt>
                <c:pt idx="7">
                  <c:v>83.074155302457299</c:v>
                </c:pt>
                <c:pt idx="8">
                  <c:v>81.413678545957538</c:v>
                </c:pt>
                <c:pt idx="9">
                  <c:v>84.097277344340981</c:v>
                </c:pt>
                <c:pt idx="10">
                  <c:v>82.453741572649392</c:v>
                </c:pt>
                <c:pt idx="11">
                  <c:v>78.801772701902195</c:v>
                </c:pt>
                <c:pt idx="12">
                  <c:v>76.482565753927972</c:v>
                </c:pt>
                <c:pt idx="13">
                  <c:v>73.993961055319772</c:v>
                </c:pt>
                <c:pt idx="14">
                  <c:v>67.409350327434538</c:v>
                </c:pt>
                <c:pt idx="15">
                  <c:v>60.867678369867605</c:v>
                </c:pt>
                <c:pt idx="16">
                  <c:v>58.221335813904616</c:v>
                </c:pt>
              </c:numCache>
            </c:numRef>
          </c:val>
          <c:smooth val="0"/>
          <c:extLst>
            <c:ext xmlns:c16="http://schemas.microsoft.com/office/drawing/2014/chart" uri="{C3380CC4-5D6E-409C-BE32-E72D297353CC}">
              <c16:uniqueId val="{00000000-EF07-4044-9BF1-F816851FBC45}"/>
            </c:ext>
          </c:extLst>
        </c:ser>
        <c:ser>
          <c:idx val="1"/>
          <c:order val="1"/>
          <c:tx>
            <c:strRef>
              <c:f>'Property crime Cases'!$D$51</c:f>
              <c:strCache>
                <c:ptCount val="1"/>
                <c:pt idx="0">
                  <c:v>Non-residential burglary</c:v>
                </c:pt>
              </c:strCache>
            </c:strRef>
          </c:tx>
          <c:spPr>
            <a:ln w="25400" cap="rnd" cmpd="sng" algn="ctr">
              <a:solidFill>
                <a:srgbClr val="BE4B48"/>
              </a:solidFill>
              <a:prstDash val="solid"/>
              <a:round/>
            </a:ln>
          </c:spPr>
          <c:marker>
            <c:symbol val="none"/>
          </c:marker>
          <c:cat>
            <c:strRef>
              <c:f>'Property crime Cases'!$E$49:$AD$49</c:f>
              <c:strCache>
                <c:ptCount val="17"/>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strCache>
            </c:strRef>
          </c:cat>
          <c:val>
            <c:numRef>
              <c:f>'Property crime Cases'!$E$51:$AD$51</c:f>
              <c:numCache>
                <c:formatCode>0.0</c:formatCode>
                <c:ptCount val="17"/>
                <c:pt idx="0">
                  <c:v>61.719548797771949</c:v>
                </c:pt>
                <c:pt idx="1">
                  <c:v>53.28905479452046</c:v>
                </c:pt>
                <c:pt idx="2">
                  <c:v>51.384292237442843</c:v>
                </c:pt>
                <c:pt idx="3">
                  <c:v>54.6179589041095</c:v>
                </c:pt>
                <c:pt idx="4">
                  <c:v>58.338890410958797</c:v>
                </c:pt>
                <c:pt idx="5">
                  <c:v>63.698803652967939</c:v>
                </c:pt>
                <c:pt idx="6">
                  <c:v>64.451849315068387</c:v>
                </c:pt>
                <c:pt idx="7">
                  <c:v>61.218182648401722</c:v>
                </c:pt>
                <c:pt idx="8">
                  <c:v>61.35107305936063</c:v>
                </c:pt>
                <c:pt idx="9">
                  <c:v>62.414196347031869</c:v>
                </c:pt>
                <c:pt idx="10">
                  <c:v>61.528260273972499</c:v>
                </c:pt>
                <c:pt idx="11">
                  <c:v>60.994491533165309</c:v>
                </c:pt>
                <c:pt idx="12">
                  <c:v>60.465136986301275</c:v>
                </c:pt>
                <c:pt idx="13">
                  <c:v>59.911209061529803</c:v>
                </c:pt>
                <c:pt idx="14">
                  <c:v>55.568741125485985</c:v>
                </c:pt>
                <c:pt idx="15">
                  <c:v>55.913824558102043</c:v>
                </c:pt>
                <c:pt idx="16">
                  <c:v>55.32286580540211</c:v>
                </c:pt>
              </c:numCache>
            </c:numRef>
          </c:val>
          <c:smooth val="0"/>
          <c:extLst>
            <c:ext xmlns:c16="http://schemas.microsoft.com/office/drawing/2014/chart" uri="{C3380CC4-5D6E-409C-BE32-E72D297353CC}">
              <c16:uniqueId val="{00000001-EF07-4044-9BF1-F816851FBC45}"/>
            </c:ext>
          </c:extLst>
        </c:ser>
        <c:ser>
          <c:idx val="2"/>
          <c:order val="2"/>
          <c:tx>
            <c:strRef>
              <c:f>'Property crime Cases'!$D$52</c:f>
              <c:strCache>
                <c:ptCount val="1"/>
                <c:pt idx="0">
                  <c:v>Theft of motot vehicle</c:v>
                </c:pt>
              </c:strCache>
            </c:strRef>
          </c:tx>
          <c:spPr>
            <a:ln w="25400" cap="rnd" cmpd="sng" algn="ctr">
              <a:solidFill>
                <a:srgbClr val="FFC600"/>
              </a:solidFill>
              <a:prstDash val="solid"/>
              <a:round/>
            </a:ln>
          </c:spPr>
          <c:marker>
            <c:symbol val="none"/>
          </c:marker>
          <c:cat>
            <c:strRef>
              <c:f>'Property crime Cases'!$E$49:$AD$49</c:f>
              <c:strCache>
                <c:ptCount val="17"/>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strCache>
            </c:strRef>
          </c:cat>
          <c:val>
            <c:numRef>
              <c:f>'Property crime Cases'!$E$52:$AD$52</c:f>
              <c:numCache>
                <c:formatCode>0.0</c:formatCode>
                <c:ptCount val="17"/>
                <c:pt idx="0">
                  <c:v>69.651674382855205</c:v>
                </c:pt>
                <c:pt idx="1">
                  <c:v>65.976366573153143</c:v>
                </c:pt>
                <c:pt idx="2">
                  <c:v>67.185933293660966</c:v>
                </c:pt>
                <c:pt idx="3">
                  <c:v>66.746090849839931</c:v>
                </c:pt>
                <c:pt idx="4">
                  <c:v>61.467981523987682</c:v>
                </c:pt>
                <c:pt idx="5">
                  <c:v>57.179517696732731</c:v>
                </c:pt>
                <c:pt idx="6">
                  <c:v>53.330896313298794</c:v>
                </c:pt>
                <c:pt idx="7">
                  <c:v>47.283062710759758</c:v>
                </c:pt>
                <c:pt idx="8">
                  <c:v>42.811331198579374</c:v>
                </c:pt>
                <c:pt idx="9">
                  <c:v>40.942000812340041</c:v>
                </c:pt>
                <c:pt idx="10">
                  <c:v>39.329245184996289</c:v>
                </c:pt>
                <c:pt idx="11">
                  <c:v>37.392042378843307</c:v>
                </c:pt>
                <c:pt idx="12">
                  <c:v>35.883812708398303</c:v>
                </c:pt>
                <c:pt idx="13">
                  <c:v>34.947059489607049</c:v>
                </c:pt>
                <c:pt idx="14">
                  <c:v>32.720163599842614</c:v>
                </c:pt>
                <c:pt idx="15">
                  <c:v>33.594804458872282</c:v>
                </c:pt>
                <c:pt idx="16">
                  <c:v>33.341478148681347</c:v>
                </c:pt>
              </c:numCache>
            </c:numRef>
          </c:val>
          <c:smooth val="0"/>
          <c:extLst>
            <c:ext xmlns:c16="http://schemas.microsoft.com/office/drawing/2014/chart" uri="{C3380CC4-5D6E-409C-BE32-E72D297353CC}">
              <c16:uniqueId val="{00000002-EF07-4044-9BF1-F816851FBC45}"/>
            </c:ext>
          </c:extLst>
        </c:ser>
        <c:ser>
          <c:idx val="3"/>
          <c:order val="3"/>
          <c:tx>
            <c:strRef>
              <c:f>'Property crime Cases'!$D$53</c:f>
              <c:strCache>
                <c:ptCount val="1"/>
                <c:pt idx="0">
                  <c:v>Theft out of or from motor vehicle</c:v>
                </c:pt>
              </c:strCache>
            </c:strRef>
          </c:tx>
          <c:spPr>
            <a:ln w="25400" cap="rnd" cmpd="sng" algn="ctr">
              <a:solidFill>
                <a:srgbClr val="00B050"/>
              </a:solidFill>
              <a:prstDash val="solid"/>
              <a:round/>
            </a:ln>
          </c:spPr>
          <c:marker>
            <c:symbol val="none"/>
          </c:marker>
          <c:cat>
            <c:strRef>
              <c:f>'Property crime Cases'!$E$49:$AD$49</c:f>
              <c:strCache>
                <c:ptCount val="17"/>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strCache>
            </c:strRef>
          </c:cat>
          <c:val>
            <c:numRef>
              <c:f>'Property crime Cases'!$E$53:$AD$53</c:f>
              <c:numCache>
                <c:formatCode>0.0</c:formatCode>
                <c:ptCount val="17"/>
                <c:pt idx="0">
                  <c:v>78.462334910649602</c:v>
                </c:pt>
                <c:pt idx="1">
                  <c:v>67.464239476023451</c:v>
                </c:pt>
                <c:pt idx="2">
                  <c:v>62.766290553916413</c:v>
                </c:pt>
                <c:pt idx="3">
                  <c:v>55.380776257450862</c:v>
                </c:pt>
                <c:pt idx="4">
                  <c:v>49.391949478368481</c:v>
                </c:pt>
                <c:pt idx="5">
                  <c:v>47.614347183517168</c:v>
                </c:pt>
                <c:pt idx="6">
                  <c:v>51.867895531911365</c:v>
                </c:pt>
                <c:pt idx="7">
                  <c:v>52.100676784808563</c:v>
                </c:pt>
                <c:pt idx="8">
                  <c:v>54.576622838351454</c:v>
                </c:pt>
                <c:pt idx="9">
                  <c:v>56.544682521936828</c:v>
                </c:pt>
                <c:pt idx="10">
                  <c:v>57.433483669362481</c:v>
                </c:pt>
                <c:pt idx="11">
                  <c:v>56.961941108869084</c:v>
                </c:pt>
                <c:pt idx="12">
                  <c:v>53.66665975884424</c:v>
                </c:pt>
                <c:pt idx="13">
                  <c:v>52.298094787582691</c:v>
                </c:pt>
                <c:pt idx="14">
                  <c:v>48.165835541303913</c:v>
                </c:pt>
                <c:pt idx="15">
                  <c:v>44.723999488691227</c:v>
                </c:pt>
                <c:pt idx="16">
                  <c:v>46.806667837889769</c:v>
                </c:pt>
              </c:numCache>
            </c:numRef>
          </c:val>
          <c:smooth val="0"/>
          <c:extLst>
            <c:ext xmlns:c16="http://schemas.microsoft.com/office/drawing/2014/chart" uri="{C3380CC4-5D6E-409C-BE32-E72D297353CC}">
              <c16:uniqueId val="{00000003-EF07-4044-9BF1-F816851FBC45}"/>
            </c:ext>
          </c:extLst>
        </c:ser>
        <c:ser>
          <c:idx val="4"/>
          <c:order val="4"/>
          <c:tx>
            <c:strRef>
              <c:f>'Property crime Cases'!$D$54</c:f>
              <c:strCache>
                <c:ptCount val="1"/>
                <c:pt idx="0">
                  <c:v>Stock theft</c:v>
                </c:pt>
              </c:strCache>
            </c:strRef>
          </c:tx>
          <c:spPr>
            <a:ln w="25400" cap="rnd" cmpd="sng" algn="ctr">
              <a:solidFill>
                <a:srgbClr val="3D96AE"/>
              </a:solidFill>
              <a:prstDash val="solid"/>
              <a:round/>
            </a:ln>
          </c:spPr>
          <c:marker>
            <c:symbol val="none"/>
          </c:marker>
          <c:cat>
            <c:strRef>
              <c:f>'Property crime Cases'!$E$49:$AD$49</c:f>
              <c:strCache>
                <c:ptCount val="17"/>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strCache>
            </c:strRef>
          </c:cat>
          <c:val>
            <c:numRef>
              <c:f>'Property crime Cases'!$E$54:$AD$54</c:f>
              <c:numCache>
                <c:formatCode>0.0</c:formatCode>
                <c:ptCount val="17"/>
                <c:pt idx="0">
                  <c:v>73.016949953651178</c:v>
                </c:pt>
                <c:pt idx="1">
                  <c:v>57.524486645378289</c:v>
                </c:pt>
                <c:pt idx="2">
                  <c:v>50.30315308647203</c:v>
                </c:pt>
                <c:pt idx="3">
                  <c:v>49.892850043352361</c:v>
                </c:pt>
                <c:pt idx="4">
                  <c:v>49.318425782984818</c:v>
                </c:pt>
                <c:pt idx="5">
                  <c:v>50.631395520967779</c:v>
                </c:pt>
                <c:pt idx="6">
                  <c:v>53.91381986592517</c:v>
                </c:pt>
                <c:pt idx="7">
                  <c:v>49.482547000232685</c:v>
                </c:pt>
                <c:pt idx="8">
                  <c:v>50.221092477848103</c:v>
                </c:pt>
                <c:pt idx="9">
                  <c:v>46.938668132890712</c:v>
                </c:pt>
                <c:pt idx="10">
                  <c:v>43.410061962061512</c:v>
                </c:pt>
                <c:pt idx="11">
                  <c:v>37.936462341650305</c:v>
                </c:pt>
                <c:pt idx="12">
                  <c:v>36.927273880770663</c:v>
                </c:pt>
                <c:pt idx="13">
                  <c:v>39.484787930622325</c:v>
                </c:pt>
                <c:pt idx="14">
                  <c:v>41.713263756182876</c:v>
                </c:pt>
                <c:pt idx="15">
                  <c:v>46.865899790666546</c:v>
                </c:pt>
                <c:pt idx="16">
                  <c:v>43.3338749900811</c:v>
                </c:pt>
              </c:numCache>
            </c:numRef>
          </c:val>
          <c:smooth val="0"/>
          <c:extLst>
            <c:ext xmlns:c16="http://schemas.microsoft.com/office/drawing/2014/chart" uri="{C3380CC4-5D6E-409C-BE32-E72D297353CC}">
              <c16:uniqueId val="{00000004-EF07-4044-9BF1-F816851FBC45}"/>
            </c:ext>
          </c:extLst>
        </c:ser>
        <c:dLbls>
          <c:showLegendKey val="0"/>
          <c:showVal val="0"/>
          <c:showCatName val="0"/>
          <c:showSerName val="0"/>
          <c:showPercent val="0"/>
          <c:showBubbleSize val="0"/>
        </c:dLbls>
        <c:smooth val="0"/>
        <c:axId val="268361488"/>
        <c:axId val="268360928"/>
      </c:lineChart>
      <c:catAx>
        <c:axId val="268361488"/>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9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268360928"/>
        <c:crosses val="autoZero"/>
        <c:auto val="1"/>
        <c:lblAlgn val="ctr"/>
        <c:lblOffset val="100"/>
        <c:noMultiLvlLbl val="0"/>
      </c:catAx>
      <c:valAx>
        <c:axId val="268360928"/>
        <c:scaling>
          <c:orientation val="minMax"/>
          <c:min val="0.4"/>
        </c:scaling>
        <c:delete val="0"/>
        <c:axPos val="l"/>
        <c:majorGridlines>
          <c:spPr>
            <a:ln w="6350" cap="flat" cmpd="sng" algn="ctr">
              <a:solidFill>
                <a:schemeClr val="tx1">
                  <a:tint val="75000"/>
                </a:schemeClr>
              </a:solidFill>
              <a:prstDash val="sysDash"/>
              <a:round/>
            </a:ln>
          </c:spPr>
        </c:majorGridlines>
        <c:numFmt formatCode="#,##0" sourceLinked="0"/>
        <c:majorTickMark val="out"/>
        <c:minorTickMark val="none"/>
        <c:tickLblPos val="nextTo"/>
        <c:txPr>
          <a:bodyPr rot="0" spcFirstLastPara="0" vertOverflow="ellipsis" vert="horz" wrap="square" anchor="ctr" anchorCtr="1"/>
          <a:lstStyle/>
          <a:p>
            <a:pPr>
              <a:defRPr lang="en-US" sz="9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268361488"/>
        <c:crosses val="autoZero"/>
        <c:crossBetween val="midCat"/>
      </c:valAx>
      <c:spPr>
        <a:ln>
          <a:noFill/>
        </a:ln>
      </c:spPr>
    </c:plotArea>
    <c:legend>
      <c:legendPos val="b"/>
      <c:overlay val="0"/>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9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50540708290902E-2"/>
          <c:y val="1.9097952755905499E-2"/>
          <c:w val="0.88293443876349298"/>
          <c:h val="0.85382912190782201"/>
        </c:manualLayout>
      </c:layout>
      <c:lineChart>
        <c:grouping val="standard"/>
        <c:varyColors val="0"/>
        <c:ser>
          <c:idx val="0"/>
          <c:order val="0"/>
          <c:tx>
            <c:strRef>
              <c:f>'Property crime Cases'!$D$50</c:f>
              <c:strCache>
                <c:ptCount val="1"/>
                <c:pt idx="0">
                  <c:v>Residential burglary </c:v>
                </c:pt>
              </c:strCache>
            </c:strRef>
          </c:tx>
          <c:spPr>
            <a:ln w="3175" cap="rnd" cmpd="sng" algn="ctr">
              <a:solidFill>
                <a:schemeClr val="accent1"/>
              </a:solidFill>
              <a:prstDash val="solid"/>
              <a:round/>
            </a:ln>
          </c:spPr>
          <c:marker>
            <c:symbol val="none"/>
          </c:marker>
          <c:cat>
            <c:strRef>
              <c:f>'Property crime Cases'!$E$49:$AE$49</c:f>
              <c:strCache>
                <c:ptCount val="18"/>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pt idx="17">
                  <c:v>2020/21</c:v>
                </c:pt>
              </c:strCache>
            </c:strRef>
          </c:cat>
          <c:val>
            <c:numRef>
              <c:f>'Property crime Cases'!$E$50:$AE$50</c:f>
              <c:numCache>
                <c:formatCode>0.0</c:formatCode>
                <c:ptCount val="18"/>
                <c:pt idx="0">
                  <c:v>108.22129560390637</c:v>
                </c:pt>
                <c:pt idx="1">
                  <c:v>99.427335480106365</c:v>
                </c:pt>
                <c:pt idx="2">
                  <c:v>93.909185450930423</c:v>
                </c:pt>
                <c:pt idx="3">
                  <c:v>88.357490436774683</c:v>
                </c:pt>
                <c:pt idx="4">
                  <c:v>83.37606016727544</c:v>
                </c:pt>
                <c:pt idx="5">
                  <c:v>84.952674461325699</c:v>
                </c:pt>
                <c:pt idx="6">
                  <c:v>87.250505932441527</c:v>
                </c:pt>
                <c:pt idx="7">
                  <c:v>83.074155302457299</c:v>
                </c:pt>
                <c:pt idx="8">
                  <c:v>81.413678545957538</c:v>
                </c:pt>
                <c:pt idx="9">
                  <c:v>84.097277344340981</c:v>
                </c:pt>
                <c:pt idx="10">
                  <c:v>82.453741572649392</c:v>
                </c:pt>
                <c:pt idx="11">
                  <c:v>78.801772701902195</c:v>
                </c:pt>
                <c:pt idx="12">
                  <c:v>76.482565753927972</c:v>
                </c:pt>
                <c:pt idx="13">
                  <c:v>73.993961055319772</c:v>
                </c:pt>
                <c:pt idx="14">
                  <c:v>67.409350327434538</c:v>
                </c:pt>
                <c:pt idx="15">
                  <c:v>60.867678369867605</c:v>
                </c:pt>
                <c:pt idx="16">
                  <c:v>58.221335813904616</c:v>
                </c:pt>
                <c:pt idx="17">
                  <c:v>43.782774286379571</c:v>
                </c:pt>
              </c:numCache>
            </c:numRef>
          </c:val>
          <c:smooth val="0"/>
          <c:extLst>
            <c:ext xmlns:c16="http://schemas.microsoft.com/office/drawing/2014/chart" uri="{C3380CC4-5D6E-409C-BE32-E72D297353CC}">
              <c16:uniqueId val="{00000000-794D-43EA-A0A9-92536CCE4F59}"/>
            </c:ext>
          </c:extLst>
        </c:ser>
        <c:ser>
          <c:idx val="1"/>
          <c:order val="1"/>
          <c:tx>
            <c:strRef>
              <c:f>'Property crime Cases'!$D$51</c:f>
              <c:strCache>
                <c:ptCount val="1"/>
                <c:pt idx="0">
                  <c:v>Non-residential burglary</c:v>
                </c:pt>
              </c:strCache>
            </c:strRef>
          </c:tx>
          <c:spPr>
            <a:ln w="3175" cap="rnd" cmpd="sng" algn="ctr">
              <a:solidFill>
                <a:schemeClr val="accent2"/>
              </a:solidFill>
              <a:prstDash val="solid"/>
              <a:round/>
            </a:ln>
          </c:spPr>
          <c:marker>
            <c:symbol val="none"/>
          </c:marker>
          <c:cat>
            <c:strRef>
              <c:f>'Property crime Cases'!$E$49:$AE$49</c:f>
              <c:strCache>
                <c:ptCount val="18"/>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pt idx="17">
                  <c:v>2020/21</c:v>
                </c:pt>
              </c:strCache>
            </c:strRef>
          </c:cat>
          <c:val>
            <c:numRef>
              <c:f>'Property crime Cases'!$E$51:$AE$51</c:f>
              <c:numCache>
                <c:formatCode>0.0</c:formatCode>
                <c:ptCount val="18"/>
                <c:pt idx="0">
                  <c:v>61.719548797771949</c:v>
                </c:pt>
                <c:pt idx="1">
                  <c:v>53.28905479452046</c:v>
                </c:pt>
                <c:pt idx="2">
                  <c:v>51.384292237442843</c:v>
                </c:pt>
                <c:pt idx="3">
                  <c:v>54.6179589041095</c:v>
                </c:pt>
                <c:pt idx="4">
                  <c:v>58.338890410958797</c:v>
                </c:pt>
                <c:pt idx="5">
                  <c:v>63.698803652967939</c:v>
                </c:pt>
                <c:pt idx="6">
                  <c:v>64.451849315068387</c:v>
                </c:pt>
                <c:pt idx="7">
                  <c:v>61.218182648401722</c:v>
                </c:pt>
                <c:pt idx="8">
                  <c:v>61.35107305936063</c:v>
                </c:pt>
                <c:pt idx="9">
                  <c:v>62.414196347031869</c:v>
                </c:pt>
                <c:pt idx="10">
                  <c:v>61.528260273972499</c:v>
                </c:pt>
                <c:pt idx="11">
                  <c:v>60.994491533165309</c:v>
                </c:pt>
                <c:pt idx="12">
                  <c:v>60.465136986301275</c:v>
                </c:pt>
                <c:pt idx="13">
                  <c:v>59.911209061529803</c:v>
                </c:pt>
                <c:pt idx="14">
                  <c:v>55.568741125485985</c:v>
                </c:pt>
                <c:pt idx="15">
                  <c:v>55.913824558102043</c:v>
                </c:pt>
                <c:pt idx="16">
                  <c:v>55.32286580540211</c:v>
                </c:pt>
                <c:pt idx="17">
                  <c:v>50.032371745428748</c:v>
                </c:pt>
              </c:numCache>
            </c:numRef>
          </c:val>
          <c:smooth val="0"/>
          <c:extLst>
            <c:ext xmlns:c16="http://schemas.microsoft.com/office/drawing/2014/chart" uri="{C3380CC4-5D6E-409C-BE32-E72D297353CC}">
              <c16:uniqueId val="{00000001-794D-43EA-A0A9-92536CCE4F59}"/>
            </c:ext>
          </c:extLst>
        </c:ser>
        <c:ser>
          <c:idx val="2"/>
          <c:order val="2"/>
          <c:tx>
            <c:strRef>
              <c:f>'Property crime Cases'!$D$52</c:f>
              <c:strCache>
                <c:ptCount val="1"/>
                <c:pt idx="0">
                  <c:v>Theft of motot vehicle</c:v>
                </c:pt>
              </c:strCache>
            </c:strRef>
          </c:tx>
          <c:spPr>
            <a:ln w="3175" cap="rnd" cmpd="sng" algn="ctr">
              <a:solidFill>
                <a:schemeClr val="accent3"/>
              </a:solidFill>
              <a:prstDash val="solid"/>
              <a:round/>
            </a:ln>
          </c:spPr>
          <c:marker>
            <c:symbol val="none"/>
          </c:marker>
          <c:cat>
            <c:strRef>
              <c:f>'Property crime Cases'!$E$49:$AE$49</c:f>
              <c:strCache>
                <c:ptCount val="18"/>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pt idx="17">
                  <c:v>2020/21</c:v>
                </c:pt>
              </c:strCache>
            </c:strRef>
          </c:cat>
          <c:val>
            <c:numRef>
              <c:f>'Property crime Cases'!$E$52:$AE$52</c:f>
              <c:numCache>
                <c:formatCode>0.0</c:formatCode>
                <c:ptCount val="18"/>
                <c:pt idx="0">
                  <c:v>69.651674382855205</c:v>
                </c:pt>
                <c:pt idx="1">
                  <c:v>65.976366573153143</c:v>
                </c:pt>
                <c:pt idx="2">
                  <c:v>67.185933293660966</c:v>
                </c:pt>
                <c:pt idx="3">
                  <c:v>66.746090849839931</c:v>
                </c:pt>
                <c:pt idx="4">
                  <c:v>61.467981523987682</c:v>
                </c:pt>
                <c:pt idx="5">
                  <c:v>57.179517696732731</c:v>
                </c:pt>
                <c:pt idx="6">
                  <c:v>53.330896313298794</c:v>
                </c:pt>
                <c:pt idx="7">
                  <c:v>47.283062710759758</c:v>
                </c:pt>
                <c:pt idx="8">
                  <c:v>42.811331198579374</c:v>
                </c:pt>
                <c:pt idx="9">
                  <c:v>40.942000812340041</c:v>
                </c:pt>
                <c:pt idx="10">
                  <c:v>39.329245184996289</c:v>
                </c:pt>
                <c:pt idx="11">
                  <c:v>37.392042378843307</c:v>
                </c:pt>
                <c:pt idx="12">
                  <c:v>35.883812708398303</c:v>
                </c:pt>
                <c:pt idx="13">
                  <c:v>34.947059489607049</c:v>
                </c:pt>
                <c:pt idx="14">
                  <c:v>32.720163599842614</c:v>
                </c:pt>
                <c:pt idx="15">
                  <c:v>33.594804458872282</c:v>
                </c:pt>
                <c:pt idx="16">
                  <c:v>33.341478148681347</c:v>
                </c:pt>
                <c:pt idx="17">
                  <c:v>23.547477874376099</c:v>
                </c:pt>
              </c:numCache>
            </c:numRef>
          </c:val>
          <c:smooth val="0"/>
          <c:extLst>
            <c:ext xmlns:c16="http://schemas.microsoft.com/office/drawing/2014/chart" uri="{C3380CC4-5D6E-409C-BE32-E72D297353CC}">
              <c16:uniqueId val="{00000002-794D-43EA-A0A9-92536CCE4F59}"/>
            </c:ext>
          </c:extLst>
        </c:ser>
        <c:ser>
          <c:idx val="3"/>
          <c:order val="3"/>
          <c:tx>
            <c:strRef>
              <c:f>'Property crime Cases'!$D$53</c:f>
              <c:strCache>
                <c:ptCount val="1"/>
                <c:pt idx="0">
                  <c:v>Theft out of or from motor vehicle</c:v>
                </c:pt>
              </c:strCache>
            </c:strRef>
          </c:tx>
          <c:spPr>
            <a:ln w="3175" cap="rnd" cmpd="sng" algn="ctr">
              <a:solidFill>
                <a:schemeClr val="accent4"/>
              </a:solidFill>
              <a:prstDash val="solid"/>
              <a:round/>
            </a:ln>
          </c:spPr>
          <c:marker>
            <c:symbol val="none"/>
          </c:marker>
          <c:cat>
            <c:strRef>
              <c:f>'Property crime Cases'!$E$49:$AE$49</c:f>
              <c:strCache>
                <c:ptCount val="18"/>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pt idx="17">
                  <c:v>2020/21</c:v>
                </c:pt>
              </c:strCache>
            </c:strRef>
          </c:cat>
          <c:val>
            <c:numRef>
              <c:f>'Property crime Cases'!$E$53:$AE$53</c:f>
              <c:numCache>
                <c:formatCode>0.0</c:formatCode>
                <c:ptCount val="18"/>
                <c:pt idx="0">
                  <c:v>78.462334910649602</c:v>
                </c:pt>
                <c:pt idx="1">
                  <c:v>67.464239476023451</c:v>
                </c:pt>
                <c:pt idx="2">
                  <c:v>62.766290553916413</c:v>
                </c:pt>
                <c:pt idx="3">
                  <c:v>55.380776257450862</c:v>
                </c:pt>
                <c:pt idx="4">
                  <c:v>49.391949478368481</c:v>
                </c:pt>
                <c:pt idx="5">
                  <c:v>47.614347183517168</c:v>
                </c:pt>
                <c:pt idx="6">
                  <c:v>51.867895531911365</c:v>
                </c:pt>
                <c:pt idx="7">
                  <c:v>52.100676784808563</c:v>
                </c:pt>
                <c:pt idx="8">
                  <c:v>54.576622838351454</c:v>
                </c:pt>
                <c:pt idx="9">
                  <c:v>56.544682521936828</c:v>
                </c:pt>
                <c:pt idx="10">
                  <c:v>57.433483669362481</c:v>
                </c:pt>
                <c:pt idx="11">
                  <c:v>56.961941108869084</c:v>
                </c:pt>
                <c:pt idx="12">
                  <c:v>53.66665975884424</c:v>
                </c:pt>
                <c:pt idx="13">
                  <c:v>52.298094787582691</c:v>
                </c:pt>
                <c:pt idx="14">
                  <c:v>48.165835541303913</c:v>
                </c:pt>
                <c:pt idx="15">
                  <c:v>44.723999488691227</c:v>
                </c:pt>
                <c:pt idx="16">
                  <c:v>46.806667837889769</c:v>
                </c:pt>
                <c:pt idx="17">
                  <c:v>31.243850126507787</c:v>
                </c:pt>
              </c:numCache>
            </c:numRef>
          </c:val>
          <c:smooth val="0"/>
          <c:extLst>
            <c:ext xmlns:c16="http://schemas.microsoft.com/office/drawing/2014/chart" uri="{C3380CC4-5D6E-409C-BE32-E72D297353CC}">
              <c16:uniqueId val="{00000003-794D-43EA-A0A9-92536CCE4F59}"/>
            </c:ext>
          </c:extLst>
        </c:ser>
        <c:ser>
          <c:idx val="4"/>
          <c:order val="4"/>
          <c:tx>
            <c:strRef>
              <c:f>'Property crime Cases'!$D$54</c:f>
              <c:strCache>
                <c:ptCount val="1"/>
                <c:pt idx="0">
                  <c:v>Stock theft</c:v>
                </c:pt>
              </c:strCache>
            </c:strRef>
          </c:tx>
          <c:spPr>
            <a:ln w="3175" cap="rnd" cmpd="sng" algn="ctr">
              <a:solidFill>
                <a:schemeClr val="accent5"/>
              </a:solidFill>
              <a:prstDash val="solid"/>
              <a:round/>
            </a:ln>
          </c:spPr>
          <c:marker>
            <c:symbol val="none"/>
          </c:marker>
          <c:cat>
            <c:strRef>
              <c:f>'Property crime Cases'!$E$49:$AE$49</c:f>
              <c:strCache>
                <c:ptCount val="18"/>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pt idx="17">
                  <c:v>2020/21</c:v>
                </c:pt>
              </c:strCache>
            </c:strRef>
          </c:cat>
          <c:val>
            <c:numRef>
              <c:f>'Property crime Cases'!$E$54:$AE$54</c:f>
              <c:numCache>
                <c:formatCode>0.0</c:formatCode>
                <c:ptCount val="18"/>
                <c:pt idx="0">
                  <c:v>73.016949953651178</c:v>
                </c:pt>
                <c:pt idx="1">
                  <c:v>57.524486645378289</c:v>
                </c:pt>
                <c:pt idx="2">
                  <c:v>50.30315308647203</c:v>
                </c:pt>
                <c:pt idx="3">
                  <c:v>49.892850043352361</c:v>
                </c:pt>
                <c:pt idx="4">
                  <c:v>49.318425782984818</c:v>
                </c:pt>
                <c:pt idx="5">
                  <c:v>50.631395520967779</c:v>
                </c:pt>
                <c:pt idx="6">
                  <c:v>53.91381986592517</c:v>
                </c:pt>
                <c:pt idx="7">
                  <c:v>49.482547000232685</c:v>
                </c:pt>
                <c:pt idx="8">
                  <c:v>50.221092477848103</c:v>
                </c:pt>
                <c:pt idx="9">
                  <c:v>46.938668132890712</c:v>
                </c:pt>
                <c:pt idx="10">
                  <c:v>43.410061962061512</c:v>
                </c:pt>
                <c:pt idx="11">
                  <c:v>37.936462341650305</c:v>
                </c:pt>
                <c:pt idx="12">
                  <c:v>36.927273880770663</c:v>
                </c:pt>
                <c:pt idx="13">
                  <c:v>39.484787930622325</c:v>
                </c:pt>
                <c:pt idx="14">
                  <c:v>41.713263756182876</c:v>
                </c:pt>
                <c:pt idx="15">
                  <c:v>46.865899790666546</c:v>
                </c:pt>
                <c:pt idx="16">
                  <c:v>43.3338749900811</c:v>
                </c:pt>
                <c:pt idx="17">
                  <c:v>43.644058153769606</c:v>
                </c:pt>
              </c:numCache>
            </c:numRef>
          </c:val>
          <c:smooth val="0"/>
          <c:extLst>
            <c:ext xmlns:c16="http://schemas.microsoft.com/office/drawing/2014/chart" uri="{C3380CC4-5D6E-409C-BE32-E72D297353CC}">
              <c16:uniqueId val="{00000004-794D-43EA-A0A9-92536CCE4F59}"/>
            </c:ext>
          </c:extLst>
        </c:ser>
        <c:dLbls>
          <c:showLegendKey val="0"/>
          <c:showVal val="0"/>
          <c:showCatName val="0"/>
          <c:showSerName val="0"/>
          <c:showPercent val="0"/>
          <c:showBubbleSize val="0"/>
        </c:dLbls>
        <c:smooth val="0"/>
        <c:axId val="40205568"/>
        <c:axId val="266876592"/>
      </c:lineChart>
      <c:catAx>
        <c:axId val="40205568"/>
        <c:scaling>
          <c:orientation val="minMax"/>
        </c:scaling>
        <c:delete val="0"/>
        <c:axPos val="b"/>
        <c:numFmt formatCode="General" sourceLinked="1"/>
        <c:majorTickMark val="out"/>
        <c:minorTickMark val="none"/>
        <c:tickLblPos val="nextTo"/>
        <c:txPr>
          <a:bodyPr rot="5400000" spcFirstLastPara="0" vertOverflow="ellipsis" vert="horz" wrap="square" anchor="ctr" anchorCtr="1"/>
          <a:lstStyle/>
          <a:p>
            <a:pPr>
              <a:defRPr lang="en-US" sz="800" b="0" i="0" u="none" strike="noStrike" kern="1200" baseline="0">
                <a:solidFill>
                  <a:srgbClr val="000000"/>
                </a:solidFill>
                <a:latin typeface="Arial Narrow" panose="020B0606020202030204" pitchFamily="34" charset="0"/>
                <a:ea typeface="Calibri" panose="020F0502020204030204"/>
                <a:cs typeface="Calibri" panose="020F0502020204030204"/>
              </a:defRPr>
            </a:pPr>
            <a:endParaRPr lang="en-US"/>
          </a:p>
        </c:txPr>
        <c:crossAx val="266876592"/>
        <c:crosses val="autoZero"/>
        <c:auto val="1"/>
        <c:lblAlgn val="ctr"/>
        <c:lblOffset val="100"/>
        <c:noMultiLvlLbl val="0"/>
      </c:catAx>
      <c:valAx>
        <c:axId val="266876592"/>
        <c:scaling>
          <c:orientation val="minMax"/>
        </c:scaling>
        <c:delete val="0"/>
        <c:axPos val="l"/>
        <c:majorGridlines>
          <c:spPr>
            <a:ln w="6350" cap="flat" cmpd="sng" algn="ctr">
              <a:solidFill>
                <a:schemeClr val="tx1">
                  <a:tint val="75000"/>
                </a:schemeClr>
              </a:solidFill>
              <a:prstDash val="sysDash"/>
              <a:round/>
            </a:ln>
          </c:spPr>
        </c:majorGridlines>
        <c:numFmt formatCode="0" sourceLinked="0"/>
        <c:majorTickMark val="out"/>
        <c:minorTickMark val="none"/>
        <c:tickLblPos val="nextTo"/>
        <c:txPr>
          <a:bodyPr rot="0" spcFirstLastPara="0" vertOverflow="ellipsis" vert="horz" wrap="square" anchor="ctr" anchorCtr="1"/>
          <a:lstStyle/>
          <a:p>
            <a:pPr>
              <a:defRPr lang="en-US" sz="800" b="0" i="0" u="none" strike="noStrike" kern="1200" baseline="0">
                <a:solidFill>
                  <a:srgbClr val="000000"/>
                </a:solidFill>
                <a:latin typeface="Arial Narrow" panose="020B0606020202030204" pitchFamily="34" charset="0"/>
                <a:ea typeface="Calibri" panose="020F0502020204030204"/>
                <a:cs typeface="Calibri" panose="020F0502020204030204"/>
              </a:defRPr>
            </a:pPr>
            <a:endParaRPr lang="en-US"/>
          </a:p>
        </c:txPr>
        <c:crossAx val="40205568"/>
        <c:crosses val="autoZero"/>
        <c:crossBetween val="midCat"/>
      </c:valAx>
      <c:spPr>
        <a:ln>
          <a:noFill/>
        </a:ln>
      </c:spPr>
    </c:plotArea>
    <c:legend>
      <c:legendPos val="r"/>
      <c:layout>
        <c:manualLayout>
          <c:xMode val="edge"/>
          <c:yMode val="edge"/>
          <c:x val="7.0789259560618406E-2"/>
          <c:y val="5.8679881737689399E-2"/>
          <c:w val="0.82017900732303495"/>
          <c:h val="6.3569871882497006E-2"/>
        </c:manualLayout>
      </c:layout>
      <c:overlay val="0"/>
      <c:txPr>
        <a:bodyPr rot="0" spcFirstLastPara="0" vertOverflow="ellipsis" vert="horz" wrap="square" anchor="ctr" anchorCtr="1"/>
        <a:lstStyle/>
        <a:p>
          <a:pPr>
            <a:defRPr lang="en-US" sz="800" b="0" i="0" u="none" strike="noStrike" kern="1200" baseline="0">
              <a:solidFill>
                <a:srgbClr val="000000"/>
              </a:solidFill>
              <a:latin typeface="Arial Narrow" panose="020B0606020202030204" pitchFamily="34" charset="0"/>
              <a:ea typeface="Calibri" panose="020F0502020204030204"/>
              <a:cs typeface="Calibri" panose="020F0502020204030204"/>
            </a:defRPr>
          </a:pPr>
          <a:endParaRPr lang="en-US"/>
        </a:p>
      </c:txPr>
    </c:legend>
    <c:plotVisOnly val="1"/>
    <c:dispBlanksAs val="gap"/>
    <c:showDLblsOverMax val="0"/>
  </c:chart>
  <c:txPr>
    <a:bodyPr/>
    <a:lstStyle/>
    <a:p>
      <a:pPr>
        <a:defRPr lang="en-US" sz="800" b="0" i="0" u="none" strike="noStrike" baseline="0">
          <a:solidFill>
            <a:srgbClr val="000000"/>
          </a:solidFill>
          <a:latin typeface="Arial Narrow" panose="020B0606020202030204" pitchFamily="34" charset="0"/>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75" b="0" i="0" u="none" strike="noStrike" baseline="0">
              <a:solidFill>
                <a:srgbClr val="000000"/>
              </a:solidFill>
              <a:latin typeface="Arial"/>
              <a:ea typeface="Arial"/>
              <a:cs typeface="Arial"/>
            </a:defRPr>
          </a:pPr>
          <a:endParaRPr lang="en-US"/>
        </a:p>
      </c:txPr>
    </c:title>
    <c:autoTitleDeleted val="0"/>
    <c:plotArea>
      <c:layout/>
      <c:lineChart>
        <c:grouping val="standard"/>
        <c:varyColors val="0"/>
        <c:ser>
          <c:idx val="0"/>
          <c:order val="0"/>
          <c:tx>
            <c:strRef>
              <c:f>'[4]GDP Capita'!$D$9</c:f>
              <c:strCache>
                <c:ptCount val="1"/>
                <c:pt idx="0">
                  <c:v>Per Capita GDP</c:v>
                </c:pt>
              </c:strCache>
            </c:strRef>
          </c:tx>
          <c:spPr>
            <a:ln w="12700">
              <a:solidFill>
                <a:srgbClr val="000080"/>
              </a:solidFill>
              <a:prstDash val="solid"/>
            </a:ln>
          </c:spPr>
          <c:marker>
            <c:symbol val="none"/>
          </c:marker>
          <c:cat>
            <c:strRef>
              <c:f>'[4]GDP Capita'!$E$8:$Q$8</c:f>
              <c:strCache>
                <c:ptCount val="13"/>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strCache>
            </c:strRef>
          </c:cat>
          <c:val>
            <c:numRef>
              <c:f>'[4]GDP Capita'!$E$9:$Q$9</c:f>
              <c:numCache>
                <c:formatCode>General</c:formatCode>
                <c:ptCount val="13"/>
                <c:pt idx="0">
                  <c:v>1.1000000000000001</c:v>
                </c:pt>
                <c:pt idx="1">
                  <c:v>1</c:v>
                </c:pt>
                <c:pt idx="2">
                  <c:v>2.1</c:v>
                </c:pt>
                <c:pt idx="3">
                  <c:v>0.5</c:v>
                </c:pt>
                <c:pt idx="4">
                  <c:v>-1.6</c:v>
                </c:pt>
                <c:pt idx="5">
                  <c:v>0.2</c:v>
                </c:pt>
                <c:pt idx="6">
                  <c:v>2.1</c:v>
                </c:pt>
                <c:pt idx="7">
                  <c:v>0.8</c:v>
                </c:pt>
                <c:pt idx="8">
                  <c:v>1.9</c:v>
                </c:pt>
                <c:pt idx="9">
                  <c:v>1.5</c:v>
                </c:pt>
                <c:pt idx="10">
                  <c:v>3.4</c:v>
                </c:pt>
                <c:pt idx="11">
                  <c:v>3.6</c:v>
                </c:pt>
                <c:pt idx="12">
                  <c:v>4</c:v>
                </c:pt>
              </c:numCache>
            </c:numRef>
          </c:val>
          <c:smooth val="0"/>
          <c:extLst>
            <c:ext xmlns:c16="http://schemas.microsoft.com/office/drawing/2014/chart" uri="{C3380CC4-5D6E-409C-BE32-E72D297353CC}">
              <c16:uniqueId val="{00000000-9065-4B83-A2A3-FB65E77159E0}"/>
            </c:ext>
          </c:extLst>
        </c:ser>
        <c:dLbls>
          <c:showLegendKey val="0"/>
          <c:showVal val="0"/>
          <c:showCatName val="0"/>
          <c:showSerName val="0"/>
          <c:showPercent val="0"/>
          <c:showBubbleSize val="0"/>
        </c:dLbls>
        <c:smooth val="0"/>
        <c:axId val="397412112"/>
        <c:axId val="399074184"/>
      </c:lineChart>
      <c:catAx>
        <c:axId val="397412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399074184"/>
        <c:crosses val="autoZero"/>
        <c:auto val="1"/>
        <c:lblAlgn val="ctr"/>
        <c:lblOffset val="100"/>
        <c:tickLblSkip val="1"/>
        <c:tickMarkSkip val="1"/>
        <c:noMultiLvlLbl val="0"/>
      </c:catAx>
      <c:valAx>
        <c:axId val="399074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397412112"/>
        <c:crosses val="autoZero"/>
        <c:crossBetween val="between"/>
      </c:valAx>
      <c:dTable>
        <c:showHorzBorder val="1"/>
        <c:showVertBorder val="1"/>
        <c:showOutline val="1"/>
        <c:showKeys val="1"/>
        <c:spPr>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dTable>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1695349607234722E-2"/>
          <c:y val="5.0438767488577618E-2"/>
          <c:w val="0.93545213662231341"/>
          <c:h val="0.77202992654289204"/>
        </c:manualLayout>
      </c:layout>
      <c:lineChart>
        <c:grouping val="standard"/>
        <c:varyColors val="0"/>
        <c:ser>
          <c:idx val="0"/>
          <c:order val="0"/>
          <c:tx>
            <c:strRef>
              <c:f>'Property crime Cases'!$D$9</c:f>
              <c:strCache>
                <c:ptCount val="1"/>
                <c:pt idx="0">
                  <c:v>Residential burglary </c:v>
                </c:pt>
              </c:strCache>
            </c:strRef>
          </c:tx>
          <c:spPr>
            <a:ln w="28575" cap="rnd">
              <a:solidFill>
                <a:schemeClr val="accent1"/>
              </a:solidFill>
              <a:round/>
            </a:ln>
            <a:effectLst/>
          </c:spPr>
          <c:marker>
            <c:symbol val="none"/>
          </c:marker>
          <c:cat>
            <c:strRef>
              <c:f>'Property crime Cases'!$E$8:$AF$8</c:f>
              <c:strCache>
                <c:ptCount val="19"/>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pt idx="17">
                  <c:v>2020/21</c:v>
                </c:pt>
                <c:pt idx="18">
                  <c:v>2021/22</c:v>
                </c:pt>
              </c:strCache>
            </c:strRef>
          </c:cat>
          <c:val>
            <c:numRef>
              <c:f>'Property crime Cases'!$E$9:$AF$9</c:f>
              <c:numCache>
                <c:formatCode>#,##0</c:formatCode>
                <c:ptCount val="19"/>
                <c:pt idx="0">
                  <c:v>299290</c:v>
                </c:pt>
                <c:pt idx="1">
                  <c:v>276164</c:v>
                </c:pt>
                <c:pt idx="2">
                  <c:v>262535</c:v>
                </c:pt>
                <c:pt idx="3">
                  <c:v>248462</c:v>
                </c:pt>
                <c:pt idx="4">
                  <c:v>236638</c:v>
                </c:pt>
                <c:pt idx="5">
                  <c:v>245465</c:v>
                </c:pt>
                <c:pt idx="6">
                  <c:v>255278</c:v>
                </c:pt>
                <c:pt idx="7">
                  <c:v>246612</c:v>
                </c:pt>
                <c:pt idx="8">
                  <c:v>244667</c:v>
                </c:pt>
                <c:pt idx="9">
                  <c:v>261319</c:v>
                </c:pt>
                <c:pt idx="10">
                  <c:v>259784</c:v>
                </c:pt>
                <c:pt idx="11">
                  <c:v>253716</c:v>
                </c:pt>
                <c:pt idx="12">
                  <c:v>250606</c:v>
                </c:pt>
                <c:pt idx="13">
                  <c:v>246654</c:v>
                </c:pt>
                <c:pt idx="14">
                  <c:v>228094</c:v>
                </c:pt>
                <c:pt idx="15">
                  <c:v>220865</c:v>
                </c:pt>
                <c:pt idx="16">
                  <c:v>205959</c:v>
                </c:pt>
                <c:pt idx="17">
                  <c:v>159721</c:v>
                </c:pt>
                <c:pt idx="18">
                  <c:v>156170</c:v>
                </c:pt>
              </c:numCache>
            </c:numRef>
          </c:val>
          <c:smooth val="0"/>
          <c:extLst>
            <c:ext xmlns:c16="http://schemas.microsoft.com/office/drawing/2014/chart" uri="{C3380CC4-5D6E-409C-BE32-E72D297353CC}">
              <c16:uniqueId val="{00000000-255E-4090-A48A-A5821695C3AA}"/>
            </c:ext>
          </c:extLst>
        </c:ser>
        <c:ser>
          <c:idx val="1"/>
          <c:order val="1"/>
          <c:tx>
            <c:strRef>
              <c:f>'Property crime Cases'!$D$10</c:f>
              <c:strCache>
                <c:ptCount val="1"/>
                <c:pt idx="0">
                  <c:v>Non-residential burglary</c:v>
                </c:pt>
              </c:strCache>
            </c:strRef>
          </c:tx>
          <c:spPr>
            <a:ln w="28575" cap="rnd">
              <a:solidFill>
                <a:schemeClr val="accent2"/>
              </a:solidFill>
              <a:round/>
            </a:ln>
            <a:effectLst/>
          </c:spPr>
          <c:marker>
            <c:symbol val="none"/>
          </c:marker>
          <c:cat>
            <c:strRef>
              <c:f>'Property crime Cases'!$E$8:$AF$8</c:f>
              <c:strCache>
                <c:ptCount val="19"/>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pt idx="17">
                  <c:v>2020/21</c:v>
                </c:pt>
                <c:pt idx="18">
                  <c:v>2021/22</c:v>
                </c:pt>
              </c:strCache>
            </c:strRef>
          </c:cat>
          <c:val>
            <c:numRef>
              <c:f>'Property crime Cases'!$E$10:$AF$10</c:f>
              <c:numCache>
                <c:formatCode>#,##0</c:formatCode>
                <c:ptCount val="19"/>
                <c:pt idx="0">
                  <c:v>64629</c:v>
                </c:pt>
                <c:pt idx="1">
                  <c:v>56048</c:v>
                </c:pt>
                <c:pt idx="2">
                  <c:v>54367</c:v>
                </c:pt>
                <c:pt idx="3">
                  <c:v>58240</c:v>
                </c:pt>
                <c:pt idx="4">
                  <c:v>62756</c:v>
                </c:pt>
                <c:pt idx="5">
                  <c:v>69829</c:v>
                </c:pt>
                <c:pt idx="6">
                  <c:v>71544</c:v>
                </c:pt>
                <c:pt idx="7">
                  <c:v>68907</c:v>
                </c:pt>
                <c:pt idx="8">
                  <c:v>69902</c:v>
                </c:pt>
                <c:pt idx="9">
                  <c:v>73492</c:v>
                </c:pt>
                <c:pt idx="10">
                  <c:v>73464</c:v>
                </c:pt>
                <c:pt idx="11">
                  <c:v>74358</c:v>
                </c:pt>
                <c:pt idx="12">
                  <c:v>75008</c:v>
                </c:pt>
                <c:pt idx="13">
                  <c:v>75618</c:v>
                </c:pt>
                <c:pt idx="14">
                  <c:v>71195</c:v>
                </c:pt>
                <c:pt idx="15">
                  <c:v>71224</c:v>
                </c:pt>
                <c:pt idx="16">
                  <c:v>69713</c:v>
                </c:pt>
                <c:pt idx="17">
                  <c:v>65508</c:v>
                </c:pt>
                <c:pt idx="18">
                  <c:v>62197</c:v>
                </c:pt>
              </c:numCache>
            </c:numRef>
          </c:val>
          <c:smooth val="0"/>
          <c:extLst>
            <c:ext xmlns:c16="http://schemas.microsoft.com/office/drawing/2014/chart" uri="{C3380CC4-5D6E-409C-BE32-E72D297353CC}">
              <c16:uniqueId val="{00000001-255E-4090-A48A-A5821695C3AA}"/>
            </c:ext>
          </c:extLst>
        </c:ser>
        <c:ser>
          <c:idx val="2"/>
          <c:order val="2"/>
          <c:tx>
            <c:strRef>
              <c:f>'Property crime Cases'!$D$11</c:f>
              <c:strCache>
                <c:ptCount val="1"/>
                <c:pt idx="0">
                  <c:v>Theft of motor vehicle</c:v>
                </c:pt>
              </c:strCache>
            </c:strRef>
          </c:tx>
          <c:spPr>
            <a:ln w="28575" cap="rnd">
              <a:solidFill>
                <a:schemeClr val="accent3"/>
              </a:solidFill>
              <a:round/>
            </a:ln>
            <a:effectLst/>
          </c:spPr>
          <c:marker>
            <c:symbol val="none"/>
          </c:marker>
          <c:cat>
            <c:strRef>
              <c:f>'Property crime Cases'!$E$8:$AF$8</c:f>
              <c:strCache>
                <c:ptCount val="19"/>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pt idx="17">
                  <c:v>2020/21</c:v>
                </c:pt>
                <c:pt idx="18">
                  <c:v>2021/22</c:v>
                </c:pt>
              </c:strCache>
            </c:strRef>
          </c:cat>
          <c:val>
            <c:numRef>
              <c:f>'Property crime Cases'!$E$11:$AF$11</c:f>
              <c:numCache>
                <c:formatCode>#,##0</c:formatCode>
                <c:ptCount val="19"/>
                <c:pt idx="0">
                  <c:v>88144</c:v>
                </c:pt>
                <c:pt idx="1">
                  <c:v>83857</c:v>
                </c:pt>
                <c:pt idx="2">
                  <c:v>85964</c:v>
                </c:pt>
                <c:pt idx="3">
                  <c:v>85979</c:v>
                </c:pt>
                <c:pt idx="4">
                  <c:v>79970</c:v>
                </c:pt>
                <c:pt idx="5">
                  <c:v>75630</c:v>
                </c:pt>
                <c:pt idx="6">
                  <c:v>71449</c:v>
                </c:pt>
                <c:pt idx="7">
                  <c:v>64162</c:v>
                </c:pt>
                <c:pt idx="8">
                  <c:v>58800</c:v>
                </c:pt>
                <c:pt idx="9">
                  <c:v>58102</c:v>
                </c:pt>
                <c:pt idx="10">
                  <c:v>56645</c:v>
                </c:pt>
                <c:pt idx="11">
                  <c:v>55090</c:v>
                </c:pt>
                <c:pt idx="12">
                  <c:v>53809</c:v>
                </c:pt>
                <c:pt idx="13">
                  <c:v>53307</c:v>
                </c:pt>
                <c:pt idx="14">
                  <c:v>50663</c:v>
                </c:pt>
                <c:pt idx="15">
                  <c:v>48324</c:v>
                </c:pt>
                <c:pt idx="16">
                  <c:v>46921</c:v>
                </c:pt>
                <c:pt idx="17">
                  <c:v>35023</c:v>
                </c:pt>
                <c:pt idx="18">
                  <c:v>37402</c:v>
                </c:pt>
              </c:numCache>
            </c:numRef>
          </c:val>
          <c:smooth val="0"/>
          <c:extLst>
            <c:ext xmlns:c16="http://schemas.microsoft.com/office/drawing/2014/chart" uri="{C3380CC4-5D6E-409C-BE32-E72D297353CC}">
              <c16:uniqueId val="{00000002-255E-4090-A48A-A5821695C3AA}"/>
            </c:ext>
          </c:extLst>
        </c:ser>
        <c:ser>
          <c:idx val="3"/>
          <c:order val="3"/>
          <c:tx>
            <c:strRef>
              <c:f>'Property crime Cases'!$D$12</c:f>
              <c:strCache>
                <c:ptCount val="1"/>
                <c:pt idx="0">
                  <c:v>Theft out of or from motor vehicle</c:v>
                </c:pt>
              </c:strCache>
            </c:strRef>
          </c:tx>
          <c:spPr>
            <a:ln w="28575" cap="rnd">
              <a:solidFill>
                <a:schemeClr val="accent4"/>
              </a:solidFill>
              <a:round/>
            </a:ln>
            <a:effectLst/>
          </c:spPr>
          <c:marker>
            <c:symbol val="none"/>
          </c:marker>
          <c:cat>
            <c:strRef>
              <c:f>'Property crime Cases'!$E$8:$AF$8</c:f>
              <c:strCache>
                <c:ptCount val="19"/>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pt idx="17">
                  <c:v>2020/21</c:v>
                </c:pt>
                <c:pt idx="18">
                  <c:v>2021/22</c:v>
                </c:pt>
              </c:strCache>
            </c:strRef>
          </c:cat>
          <c:val>
            <c:numRef>
              <c:f>'Property crime Cases'!$E$12:$AF$12</c:f>
              <c:numCache>
                <c:formatCode>#,##0</c:formatCode>
                <c:ptCount val="19"/>
                <c:pt idx="0">
                  <c:v>171982</c:v>
                </c:pt>
                <c:pt idx="1">
                  <c:v>148512</c:v>
                </c:pt>
                <c:pt idx="2">
                  <c:v>139090</c:v>
                </c:pt>
                <c:pt idx="3">
                  <c:v>123361</c:v>
                </c:pt>
                <c:pt idx="4">
                  <c:v>110988</c:v>
                </c:pt>
                <c:pt idx="5">
                  <c:v>108909</c:v>
                </c:pt>
                <c:pt idx="6">
                  <c:v>120054</c:v>
                </c:pt>
                <c:pt idx="7">
                  <c:v>122334</c:v>
                </c:pt>
                <c:pt idx="8">
                  <c:v>129644</c:v>
                </c:pt>
                <c:pt idx="9">
                  <c:v>138956</c:v>
                </c:pt>
                <c:pt idx="10">
                  <c:v>143801</c:v>
                </c:pt>
                <c:pt idx="11">
                  <c:v>145358</c:v>
                </c:pt>
                <c:pt idx="12">
                  <c:v>139386</c:v>
                </c:pt>
                <c:pt idx="13">
                  <c:v>138172</c:v>
                </c:pt>
                <c:pt idx="14">
                  <c:v>129174</c:v>
                </c:pt>
                <c:pt idx="15">
                  <c:v>125076</c:v>
                </c:pt>
                <c:pt idx="16">
                  <c:v>118213</c:v>
                </c:pt>
                <c:pt idx="17">
                  <c:v>83183</c:v>
                </c:pt>
                <c:pt idx="18">
                  <c:v>81504</c:v>
                </c:pt>
              </c:numCache>
            </c:numRef>
          </c:val>
          <c:smooth val="0"/>
          <c:extLst>
            <c:ext xmlns:c16="http://schemas.microsoft.com/office/drawing/2014/chart" uri="{C3380CC4-5D6E-409C-BE32-E72D297353CC}">
              <c16:uniqueId val="{00000003-255E-4090-A48A-A5821695C3AA}"/>
            </c:ext>
          </c:extLst>
        </c:ser>
        <c:ser>
          <c:idx val="4"/>
          <c:order val="4"/>
          <c:tx>
            <c:strRef>
              <c:f>'Property crime Cases'!$D$13</c:f>
              <c:strCache>
                <c:ptCount val="1"/>
                <c:pt idx="0">
                  <c:v>Stock theft</c:v>
                </c:pt>
              </c:strCache>
            </c:strRef>
          </c:tx>
          <c:spPr>
            <a:ln w="28575" cap="rnd">
              <a:solidFill>
                <a:schemeClr val="accent5"/>
              </a:solidFill>
              <a:round/>
            </a:ln>
            <a:effectLst/>
          </c:spPr>
          <c:marker>
            <c:symbol val="none"/>
          </c:marker>
          <c:cat>
            <c:strRef>
              <c:f>'Property crime Cases'!$E$8:$AF$8</c:f>
              <c:strCache>
                <c:ptCount val="19"/>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pt idx="17">
                  <c:v>2020/21</c:v>
                </c:pt>
                <c:pt idx="18">
                  <c:v>2021/22</c:v>
                </c:pt>
              </c:strCache>
            </c:strRef>
          </c:cat>
          <c:val>
            <c:numRef>
              <c:f>'Property crime Cases'!$E$13:$AF$13</c:f>
              <c:numCache>
                <c:formatCode>#,##0</c:formatCode>
                <c:ptCount val="19"/>
                <c:pt idx="0">
                  <c:v>41273</c:v>
                </c:pt>
                <c:pt idx="1">
                  <c:v>32675</c:v>
                </c:pt>
                <c:pt idx="2">
                  <c:v>28742</c:v>
                </c:pt>
                <c:pt idx="3">
                  <c:v>26155</c:v>
                </c:pt>
                <c:pt idx="4">
                  <c:v>26053</c:v>
                </c:pt>
                <c:pt idx="5">
                  <c:v>27255</c:v>
                </c:pt>
                <c:pt idx="6">
                  <c:v>29428</c:v>
                </c:pt>
                <c:pt idx="7">
                  <c:v>26942</c:v>
                </c:pt>
                <c:pt idx="8">
                  <c:v>27611</c:v>
                </c:pt>
                <c:pt idx="9">
                  <c:v>26465</c:v>
                </c:pt>
                <c:pt idx="10">
                  <c:v>24534</c:v>
                </c:pt>
                <c:pt idx="11">
                  <c:v>24965</c:v>
                </c:pt>
                <c:pt idx="12">
                  <c:v>24715</c:v>
                </c:pt>
                <c:pt idx="13">
                  <c:v>26902</c:v>
                </c:pt>
                <c:pt idx="14">
                  <c:v>28849</c:v>
                </c:pt>
                <c:pt idx="15">
                  <c:v>29672</c:v>
                </c:pt>
                <c:pt idx="16">
                  <c:v>28418</c:v>
                </c:pt>
                <c:pt idx="17">
                  <c:v>26310</c:v>
                </c:pt>
                <c:pt idx="18">
                  <c:v>25001</c:v>
                </c:pt>
              </c:numCache>
            </c:numRef>
          </c:val>
          <c:smooth val="0"/>
          <c:extLst>
            <c:ext xmlns:c16="http://schemas.microsoft.com/office/drawing/2014/chart" uri="{C3380CC4-5D6E-409C-BE32-E72D297353CC}">
              <c16:uniqueId val="{00000004-255E-4090-A48A-A5821695C3AA}"/>
            </c:ext>
          </c:extLst>
        </c:ser>
        <c:dLbls>
          <c:showLegendKey val="0"/>
          <c:showVal val="0"/>
          <c:showCatName val="0"/>
          <c:showSerName val="0"/>
          <c:showPercent val="0"/>
          <c:showBubbleSize val="0"/>
        </c:dLbls>
        <c:smooth val="0"/>
        <c:axId val="62249183"/>
        <c:axId val="66799119"/>
      </c:lineChart>
      <c:catAx>
        <c:axId val="62249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799119"/>
        <c:crosses val="autoZero"/>
        <c:auto val="1"/>
        <c:lblAlgn val="ctr"/>
        <c:lblOffset val="100"/>
        <c:noMultiLvlLbl val="0"/>
      </c:catAx>
      <c:valAx>
        <c:axId val="667991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49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032663883278103E-2"/>
          <c:y val="4.931757508513071E-2"/>
          <c:w val="0.91370130086852941"/>
          <c:h val="0.73962233444223702"/>
        </c:manualLayout>
      </c:layout>
      <c:lineChart>
        <c:grouping val="standard"/>
        <c:varyColors val="0"/>
        <c:ser>
          <c:idx val="0"/>
          <c:order val="0"/>
          <c:tx>
            <c:strRef>
              <c:f>'Property crimes Ratio'!$D$50</c:f>
              <c:strCache>
                <c:ptCount val="1"/>
                <c:pt idx="0">
                  <c:v>Residential burglary </c:v>
                </c:pt>
              </c:strCache>
            </c:strRef>
          </c:tx>
          <c:spPr>
            <a:ln w="25400" cap="rnd" cmpd="sng" algn="ctr">
              <a:solidFill>
                <a:srgbClr val="FF6600"/>
              </a:solidFill>
              <a:prstDash val="solid"/>
              <a:round/>
            </a:ln>
          </c:spPr>
          <c:marker>
            <c:symbol val="none"/>
          </c:marker>
          <c:cat>
            <c:strRef>
              <c:f>'Property crimes Ratio'!$E$49:$AF$49</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'Property crimes Ratio'!$E$50:$AF$50</c:f>
              <c:numCache>
                <c:formatCode>0.0</c:formatCode>
                <c:ptCount val="28"/>
                <c:pt idx="0" formatCode="General">
                  <c:v>100</c:v>
                </c:pt>
                <c:pt idx="1">
                  <c:v>105.48091612038768</c:v>
                </c:pt>
                <c:pt idx="2">
                  <c:v>101.11583509516342</c:v>
                </c:pt>
                <c:pt idx="3">
                  <c:v>102.49725243188085</c:v>
                </c:pt>
                <c:pt idx="4">
                  <c:v>109.47374533538098</c:v>
                </c:pt>
                <c:pt idx="5">
                  <c:v>112.94335303465178</c:v>
                </c:pt>
                <c:pt idx="6">
                  <c:v>116.39466655259423</c:v>
                </c:pt>
                <c:pt idx="7">
                  <c:v>113.26054001237134</c:v>
                </c:pt>
                <c:pt idx="8">
                  <c:v>118.0761668615129</c:v>
                </c:pt>
                <c:pt idx="9">
                  <c:v>108.22129560390637</c:v>
                </c:pt>
                <c:pt idx="10">
                  <c:v>99.427335480106365</c:v>
                </c:pt>
                <c:pt idx="11">
                  <c:v>93.909185450930423</c:v>
                </c:pt>
                <c:pt idx="12">
                  <c:v>88.357490436774683</c:v>
                </c:pt>
                <c:pt idx="13">
                  <c:v>83.37606016727544</c:v>
                </c:pt>
                <c:pt idx="14">
                  <c:v>84.952674461325699</c:v>
                </c:pt>
                <c:pt idx="15">
                  <c:v>87.250505932441527</c:v>
                </c:pt>
                <c:pt idx="16">
                  <c:v>83.074155302457299</c:v>
                </c:pt>
                <c:pt idx="17">
                  <c:v>81.413678545957538</c:v>
                </c:pt>
                <c:pt idx="18">
                  <c:v>84.097277344340981</c:v>
                </c:pt>
                <c:pt idx="19">
                  <c:v>82.453741572649392</c:v>
                </c:pt>
                <c:pt idx="20">
                  <c:v>78.801772701902195</c:v>
                </c:pt>
                <c:pt idx="21">
                  <c:v>76.482565753927972</c:v>
                </c:pt>
                <c:pt idx="22">
                  <c:v>73.993961055319772</c:v>
                </c:pt>
                <c:pt idx="23">
                  <c:v>67.409350327434538</c:v>
                </c:pt>
                <c:pt idx="24">
                  <c:v>60.867678369867605</c:v>
                </c:pt>
                <c:pt idx="25">
                  <c:v>58.221335813904616</c:v>
                </c:pt>
                <c:pt idx="26">
                  <c:v>43.782774286379571</c:v>
                </c:pt>
                <c:pt idx="27">
                  <c:v>39.642327178386132</c:v>
                </c:pt>
              </c:numCache>
            </c:numRef>
          </c:val>
          <c:smooth val="0"/>
          <c:extLst>
            <c:ext xmlns:c16="http://schemas.microsoft.com/office/drawing/2014/chart" uri="{C3380CC4-5D6E-409C-BE32-E72D297353CC}">
              <c16:uniqueId val="{00000000-33C0-4BC5-B994-C3639D1D2670}"/>
            </c:ext>
          </c:extLst>
        </c:ser>
        <c:ser>
          <c:idx val="1"/>
          <c:order val="1"/>
          <c:tx>
            <c:strRef>
              <c:f>'Property crimes Ratio'!$D$51</c:f>
              <c:strCache>
                <c:ptCount val="1"/>
                <c:pt idx="0">
                  <c:v>Non-residential burglary</c:v>
                </c:pt>
              </c:strCache>
            </c:strRef>
          </c:tx>
          <c:spPr>
            <a:ln w="25400" cap="rnd" cmpd="sng" algn="ctr">
              <a:solidFill>
                <a:srgbClr val="BE4B48"/>
              </a:solidFill>
              <a:prstDash val="solid"/>
              <a:round/>
            </a:ln>
          </c:spPr>
          <c:marker>
            <c:symbol val="none"/>
          </c:marker>
          <c:cat>
            <c:strRef>
              <c:f>'Property crimes Ratio'!$E$49:$AF$49</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'Property crimes Ratio'!$E$51:$AF$51</c:f>
              <c:numCache>
                <c:formatCode>0.0</c:formatCode>
                <c:ptCount val="28"/>
                <c:pt idx="0" formatCode="General">
                  <c:v>100</c:v>
                </c:pt>
                <c:pt idx="1">
                  <c:v>97.794780251285459</c:v>
                </c:pt>
                <c:pt idx="2">
                  <c:v>95.127142422061127</c:v>
                </c:pt>
                <c:pt idx="3">
                  <c:v>97.156422197849849</c:v>
                </c:pt>
                <c:pt idx="4">
                  <c:v>99.44733689217594</c:v>
                </c:pt>
                <c:pt idx="5">
                  <c:v>95.763092728615931</c:v>
                </c:pt>
                <c:pt idx="6">
                  <c:v>92.724193563794188</c:v>
                </c:pt>
                <c:pt idx="7">
                  <c:v>86.097520461271444</c:v>
                </c:pt>
                <c:pt idx="8">
                  <c:v>72.093106633233432</c:v>
                </c:pt>
                <c:pt idx="9">
                  <c:v>61.719548797771949</c:v>
                </c:pt>
                <c:pt idx="10">
                  <c:v>53.28905479452046</c:v>
                </c:pt>
                <c:pt idx="11">
                  <c:v>51.384292237442843</c:v>
                </c:pt>
                <c:pt idx="12">
                  <c:v>54.6179589041095</c:v>
                </c:pt>
                <c:pt idx="13">
                  <c:v>58.338890410958797</c:v>
                </c:pt>
                <c:pt idx="14">
                  <c:v>63.698803652967939</c:v>
                </c:pt>
                <c:pt idx="15">
                  <c:v>64.451849315068387</c:v>
                </c:pt>
                <c:pt idx="16">
                  <c:v>61.218182648401722</c:v>
                </c:pt>
                <c:pt idx="17">
                  <c:v>61.35107305936063</c:v>
                </c:pt>
                <c:pt idx="18">
                  <c:v>62.414196347031869</c:v>
                </c:pt>
                <c:pt idx="19">
                  <c:v>61.528260273972499</c:v>
                </c:pt>
                <c:pt idx="20">
                  <c:v>60.994491533165309</c:v>
                </c:pt>
                <c:pt idx="21">
                  <c:v>60.465136986301275</c:v>
                </c:pt>
                <c:pt idx="22">
                  <c:v>59.911209061529803</c:v>
                </c:pt>
                <c:pt idx="23">
                  <c:v>55.568741125485985</c:v>
                </c:pt>
                <c:pt idx="24">
                  <c:v>55.913824558102043</c:v>
                </c:pt>
                <c:pt idx="25">
                  <c:v>55.32286580540211</c:v>
                </c:pt>
                <c:pt idx="26">
                  <c:v>50.032371745428748</c:v>
                </c:pt>
                <c:pt idx="27">
                  <c:v>45.901044825540772</c:v>
                </c:pt>
              </c:numCache>
            </c:numRef>
          </c:val>
          <c:smooth val="0"/>
          <c:extLst>
            <c:ext xmlns:c16="http://schemas.microsoft.com/office/drawing/2014/chart" uri="{C3380CC4-5D6E-409C-BE32-E72D297353CC}">
              <c16:uniqueId val="{00000001-33C0-4BC5-B994-C3639D1D2670}"/>
            </c:ext>
          </c:extLst>
        </c:ser>
        <c:ser>
          <c:idx val="2"/>
          <c:order val="2"/>
          <c:tx>
            <c:strRef>
              <c:f>'Property crimes Ratio'!$D$52</c:f>
              <c:strCache>
                <c:ptCount val="1"/>
                <c:pt idx="0">
                  <c:v>Theft of motot vehicle</c:v>
                </c:pt>
              </c:strCache>
            </c:strRef>
          </c:tx>
          <c:spPr>
            <a:ln w="25400" cap="rnd" cmpd="sng" algn="ctr">
              <a:solidFill>
                <a:srgbClr val="FFC600"/>
              </a:solidFill>
              <a:prstDash val="solid"/>
              <a:round/>
            </a:ln>
          </c:spPr>
          <c:marker>
            <c:symbol val="none"/>
          </c:marker>
          <c:cat>
            <c:strRef>
              <c:f>'Property crimes Ratio'!$E$49:$AF$49</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'Property crimes Ratio'!$E$52:$AF$52</c:f>
              <c:numCache>
                <c:formatCode>0.0</c:formatCode>
                <c:ptCount val="28"/>
                <c:pt idx="0" formatCode="General">
                  <c:v>100</c:v>
                </c:pt>
                <c:pt idx="1">
                  <c:v>91.37823641369836</c:v>
                </c:pt>
                <c:pt idx="2">
                  <c:v>87.906554256134513</c:v>
                </c:pt>
                <c:pt idx="3">
                  <c:v>91.323113634307163</c:v>
                </c:pt>
                <c:pt idx="4">
                  <c:v>93.788084444023326</c:v>
                </c:pt>
                <c:pt idx="5">
                  <c:v>87.72216690144748</c:v>
                </c:pt>
                <c:pt idx="6">
                  <c:v>83.927999060243124</c:v>
                </c:pt>
                <c:pt idx="7">
                  <c:v>79.211122795796769</c:v>
                </c:pt>
                <c:pt idx="8">
                  <c:v>75.102753361132557</c:v>
                </c:pt>
                <c:pt idx="9">
                  <c:v>69.651674382855205</c:v>
                </c:pt>
                <c:pt idx="10">
                  <c:v>65.976366573153143</c:v>
                </c:pt>
                <c:pt idx="11">
                  <c:v>67.185933293660966</c:v>
                </c:pt>
                <c:pt idx="12">
                  <c:v>66.746090849839931</c:v>
                </c:pt>
                <c:pt idx="13">
                  <c:v>61.467981523987682</c:v>
                </c:pt>
                <c:pt idx="14">
                  <c:v>57.179517696732731</c:v>
                </c:pt>
                <c:pt idx="15">
                  <c:v>53.330896313298794</c:v>
                </c:pt>
                <c:pt idx="16">
                  <c:v>47.283062710759758</c:v>
                </c:pt>
                <c:pt idx="17">
                  <c:v>42.811331198579374</c:v>
                </c:pt>
                <c:pt idx="18">
                  <c:v>40.942000812340041</c:v>
                </c:pt>
                <c:pt idx="19">
                  <c:v>39.329245184996289</c:v>
                </c:pt>
                <c:pt idx="20">
                  <c:v>37.392042378843307</c:v>
                </c:pt>
                <c:pt idx="21">
                  <c:v>35.883812708398303</c:v>
                </c:pt>
                <c:pt idx="22">
                  <c:v>34.947059489607049</c:v>
                </c:pt>
                <c:pt idx="23">
                  <c:v>32.720163599842614</c:v>
                </c:pt>
                <c:pt idx="24">
                  <c:v>33.594804458872282</c:v>
                </c:pt>
                <c:pt idx="25">
                  <c:v>33.341478148681347</c:v>
                </c:pt>
                <c:pt idx="26">
                  <c:v>23.547477874376099</c:v>
                </c:pt>
                <c:pt idx="27">
                  <c:v>24.217926188380982</c:v>
                </c:pt>
              </c:numCache>
            </c:numRef>
          </c:val>
          <c:smooth val="0"/>
          <c:extLst>
            <c:ext xmlns:c16="http://schemas.microsoft.com/office/drawing/2014/chart" uri="{C3380CC4-5D6E-409C-BE32-E72D297353CC}">
              <c16:uniqueId val="{00000002-33C0-4BC5-B994-C3639D1D2670}"/>
            </c:ext>
          </c:extLst>
        </c:ser>
        <c:ser>
          <c:idx val="3"/>
          <c:order val="3"/>
          <c:tx>
            <c:strRef>
              <c:f>'Property crimes Ratio'!$D$53</c:f>
              <c:strCache>
                <c:ptCount val="1"/>
                <c:pt idx="0">
                  <c:v>Theft out of or from motor vehicle</c:v>
                </c:pt>
              </c:strCache>
            </c:strRef>
          </c:tx>
          <c:spPr>
            <a:ln w="25400" cap="rnd" cmpd="sng" algn="ctr">
              <a:solidFill>
                <a:srgbClr val="00B050"/>
              </a:solidFill>
              <a:prstDash val="solid"/>
              <a:round/>
            </a:ln>
          </c:spPr>
          <c:marker>
            <c:symbol val="none"/>
          </c:marker>
          <c:cat>
            <c:strRef>
              <c:f>'Property crimes Ratio'!$E$49:$AF$49</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'Property crimes Ratio'!$E$53:$AF$53</c:f>
              <c:numCache>
                <c:formatCode>0.0</c:formatCode>
                <c:ptCount val="28"/>
                <c:pt idx="0" formatCode="General">
                  <c:v>100</c:v>
                </c:pt>
                <c:pt idx="1">
                  <c:v>102.57104747593398</c:v>
                </c:pt>
                <c:pt idx="2">
                  <c:v>91.082677376559445</c:v>
                </c:pt>
                <c:pt idx="3">
                  <c:v>92.111051584419684</c:v>
                </c:pt>
                <c:pt idx="4">
                  <c:v>95.764394829091529</c:v>
                </c:pt>
                <c:pt idx="5">
                  <c:v>96.047866012344556</c:v>
                </c:pt>
                <c:pt idx="6">
                  <c:v>97.140360834790016</c:v>
                </c:pt>
                <c:pt idx="7">
                  <c:v>94.092214135421997</c:v>
                </c:pt>
                <c:pt idx="8">
                  <c:v>91.204708866796693</c:v>
                </c:pt>
                <c:pt idx="9">
                  <c:v>78.462334910649602</c:v>
                </c:pt>
                <c:pt idx="10">
                  <c:v>67.464239476023451</c:v>
                </c:pt>
                <c:pt idx="11">
                  <c:v>62.766290553916413</c:v>
                </c:pt>
                <c:pt idx="12">
                  <c:v>55.380776257450862</c:v>
                </c:pt>
                <c:pt idx="13">
                  <c:v>49.391949478368481</c:v>
                </c:pt>
                <c:pt idx="14">
                  <c:v>47.614347183517168</c:v>
                </c:pt>
                <c:pt idx="15">
                  <c:v>51.867895531911365</c:v>
                </c:pt>
                <c:pt idx="16">
                  <c:v>52.100676784808563</c:v>
                </c:pt>
                <c:pt idx="17">
                  <c:v>54.576622838351454</c:v>
                </c:pt>
                <c:pt idx="18">
                  <c:v>56.544682521936828</c:v>
                </c:pt>
                <c:pt idx="19">
                  <c:v>57.433483669362481</c:v>
                </c:pt>
                <c:pt idx="20">
                  <c:v>56.961941108869084</c:v>
                </c:pt>
                <c:pt idx="21">
                  <c:v>53.66665975884424</c:v>
                </c:pt>
                <c:pt idx="22">
                  <c:v>52.298094787582691</c:v>
                </c:pt>
                <c:pt idx="23">
                  <c:v>48.165835541303913</c:v>
                </c:pt>
                <c:pt idx="24">
                  <c:v>44.723999488691227</c:v>
                </c:pt>
                <c:pt idx="25">
                  <c:v>46.806667837889769</c:v>
                </c:pt>
                <c:pt idx="26">
                  <c:v>31.243850126507787</c:v>
                </c:pt>
                <c:pt idx="27">
                  <c:v>29.840360986858975</c:v>
                </c:pt>
              </c:numCache>
            </c:numRef>
          </c:val>
          <c:smooth val="0"/>
          <c:extLst>
            <c:ext xmlns:c16="http://schemas.microsoft.com/office/drawing/2014/chart" uri="{C3380CC4-5D6E-409C-BE32-E72D297353CC}">
              <c16:uniqueId val="{00000003-33C0-4BC5-B994-C3639D1D2670}"/>
            </c:ext>
          </c:extLst>
        </c:ser>
        <c:ser>
          <c:idx val="4"/>
          <c:order val="4"/>
          <c:tx>
            <c:strRef>
              <c:f>'Property crimes Ratio'!$D$54</c:f>
              <c:strCache>
                <c:ptCount val="1"/>
                <c:pt idx="0">
                  <c:v>Stock theft</c:v>
                </c:pt>
              </c:strCache>
            </c:strRef>
          </c:tx>
          <c:spPr>
            <a:ln w="25400" cap="rnd" cmpd="sng" algn="ctr">
              <a:solidFill>
                <a:srgbClr val="3D96AE"/>
              </a:solidFill>
              <a:prstDash val="solid"/>
              <a:round/>
            </a:ln>
          </c:spPr>
          <c:marker>
            <c:symbol val="none"/>
          </c:marker>
          <c:cat>
            <c:strRef>
              <c:f>'Property crimes Ratio'!$E$49:$AF$49</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'Property crimes Ratio'!$E$54:$AF$54</c:f>
              <c:numCache>
                <c:formatCode>0.0</c:formatCode>
                <c:ptCount val="28"/>
                <c:pt idx="0" formatCode="General">
                  <c:v>100</c:v>
                </c:pt>
                <c:pt idx="1">
                  <c:v>90.045231490445715</c:v>
                </c:pt>
                <c:pt idx="2">
                  <c:v>84.908469674078788</c:v>
                </c:pt>
                <c:pt idx="3">
                  <c:v>82.867899395716123</c:v>
                </c:pt>
                <c:pt idx="4">
                  <c:v>81.083510502579145</c:v>
                </c:pt>
                <c:pt idx="5">
                  <c:v>78.962807476636272</c:v>
                </c:pt>
                <c:pt idx="6">
                  <c:v>78.02254554296492</c:v>
                </c:pt>
                <c:pt idx="7">
                  <c:v>76.229593106363126</c:v>
                </c:pt>
                <c:pt idx="8">
                  <c:v>84.275620348399087</c:v>
                </c:pt>
                <c:pt idx="9">
                  <c:v>73.016949953651178</c:v>
                </c:pt>
                <c:pt idx="10">
                  <c:v>57.524486645378289</c:v>
                </c:pt>
                <c:pt idx="11">
                  <c:v>50.30315308647203</c:v>
                </c:pt>
                <c:pt idx="12">
                  <c:v>49.892850043352361</c:v>
                </c:pt>
                <c:pt idx="13">
                  <c:v>49.318425782984818</c:v>
                </c:pt>
                <c:pt idx="14">
                  <c:v>50.631395520967779</c:v>
                </c:pt>
                <c:pt idx="15">
                  <c:v>53.91381986592517</c:v>
                </c:pt>
                <c:pt idx="16">
                  <c:v>49.482547000232685</c:v>
                </c:pt>
                <c:pt idx="17">
                  <c:v>50.221092477848103</c:v>
                </c:pt>
                <c:pt idx="18">
                  <c:v>46.938668132890712</c:v>
                </c:pt>
                <c:pt idx="19">
                  <c:v>43.410061962061512</c:v>
                </c:pt>
                <c:pt idx="20">
                  <c:v>37.936462341650305</c:v>
                </c:pt>
                <c:pt idx="21">
                  <c:v>36.927273880770663</c:v>
                </c:pt>
                <c:pt idx="22">
                  <c:v>39.484787930622325</c:v>
                </c:pt>
                <c:pt idx="23">
                  <c:v>41.713263756182876</c:v>
                </c:pt>
                <c:pt idx="24">
                  <c:v>46.865899790666546</c:v>
                </c:pt>
                <c:pt idx="25">
                  <c:v>43.3338749900811</c:v>
                </c:pt>
                <c:pt idx="26">
                  <c:v>43.644058153769606</c:v>
                </c:pt>
                <c:pt idx="27">
                  <c:v>41.921177452655286</c:v>
                </c:pt>
              </c:numCache>
            </c:numRef>
          </c:val>
          <c:smooth val="0"/>
          <c:extLst>
            <c:ext xmlns:c16="http://schemas.microsoft.com/office/drawing/2014/chart" uri="{C3380CC4-5D6E-409C-BE32-E72D297353CC}">
              <c16:uniqueId val="{00000004-33C0-4BC5-B994-C3639D1D2670}"/>
            </c:ext>
          </c:extLst>
        </c:ser>
        <c:dLbls>
          <c:showLegendKey val="0"/>
          <c:showVal val="0"/>
          <c:showCatName val="0"/>
          <c:showSerName val="0"/>
          <c:showPercent val="0"/>
          <c:showBubbleSize val="0"/>
        </c:dLbls>
        <c:smooth val="0"/>
        <c:axId val="268361488"/>
        <c:axId val="268360928"/>
      </c:lineChart>
      <c:catAx>
        <c:axId val="268361488"/>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9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268360928"/>
        <c:crosses val="autoZero"/>
        <c:auto val="1"/>
        <c:lblAlgn val="ctr"/>
        <c:lblOffset val="100"/>
        <c:noMultiLvlLbl val="0"/>
      </c:catAx>
      <c:valAx>
        <c:axId val="268360928"/>
        <c:scaling>
          <c:orientation val="minMax"/>
          <c:min val="0.4"/>
        </c:scaling>
        <c:delete val="0"/>
        <c:axPos val="l"/>
        <c:majorGridlines>
          <c:spPr>
            <a:ln w="6350" cap="flat" cmpd="sng" algn="ctr">
              <a:solidFill>
                <a:schemeClr val="tx1">
                  <a:tint val="75000"/>
                </a:schemeClr>
              </a:solidFill>
              <a:prstDash val="sysDash"/>
              <a:round/>
            </a:ln>
          </c:spPr>
        </c:majorGridlines>
        <c:numFmt formatCode="#,##0" sourceLinked="0"/>
        <c:majorTickMark val="out"/>
        <c:minorTickMark val="none"/>
        <c:tickLblPos val="nextTo"/>
        <c:txPr>
          <a:bodyPr rot="0" spcFirstLastPara="0" vertOverflow="ellipsis" vert="horz" wrap="square" anchor="ctr" anchorCtr="1"/>
          <a:lstStyle/>
          <a:p>
            <a:pPr>
              <a:defRPr lang="en-US" sz="9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268361488"/>
        <c:crosses val="autoZero"/>
        <c:crossBetween val="midCat"/>
      </c:valAx>
      <c:spPr>
        <a:ln>
          <a:noFill/>
        </a:ln>
      </c:spPr>
    </c:plotArea>
    <c:legend>
      <c:legendPos val="b"/>
      <c:layout>
        <c:manualLayout>
          <c:xMode val="edge"/>
          <c:yMode val="edge"/>
          <c:x val="0.13129837280368606"/>
          <c:y val="0.89008031554410649"/>
          <c:w val="0.6393452107884795"/>
          <c:h val="8.7689228731551203E-2"/>
        </c:manualLayout>
      </c:layout>
      <c:overlay val="0"/>
      <c:txPr>
        <a:bodyPr rot="0" spcFirstLastPara="0" vertOverflow="ellipsis" vert="horz" wrap="square" anchor="ctr" anchorCtr="1"/>
        <a:lstStyle/>
        <a:p>
          <a:pPr>
            <a:defRPr lang="en-US" sz="900"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9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50540708290902E-2"/>
          <c:y val="1.9097952755905499E-2"/>
          <c:w val="0.90342941026911561"/>
          <c:h val="0.85382912190782201"/>
        </c:manualLayout>
      </c:layout>
      <c:lineChart>
        <c:grouping val="standard"/>
        <c:varyColors val="0"/>
        <c:ser>
          <c:idx val="0"/>
          <c:order val="0"/>
          <c:tx>
            <c:strRef>
              <c:f>'Property crimes Ratio'!$D$50</c:f>
              <c:strCache>
                <c:ptCount val="1"/>
                <c:pt idx="0">
                  <c:v>Residential burglary </c:v>
                </c:pt>
              </c:strCache>
            </c:strRef>
          </c:tx>
          <c:spPr>
            <a:ln w="3175" cap="rnd" cmpd="sng" algn="ctr">
              <a:solidFill>
                <a:schemeClr val="accent1"/>
              </a:solidFill>
              <a:prstDash val="solid"/>
              <a:round/>
            </a:ln>
          </c:spPr>
          <c:marker>
            <c:symbol val="none"/>
          </c:marker>
          <c:cat>
            <c:strRef>
              <c:f>'Property crimes Ratio'!$E$49:$AE$49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strCache>
            </c:strRef>
          </c:cat>
          <c:val>
            <c:numRef>
              <c:f>'Property crimes Ratio'!$E$50:$AE$50</c:f>
              <c:numCache>
                <c:formatCode>0.0</c:formatCode>
                <c:ptCount val="27"/>
                <c:pt idx="0" formatCode="General">
                  <c:v>100</c:v>
                </c:pt>
                <c:pt idx="1">
                  <c:v>105.48091612038768</c:v>
                </c:pt>
                <c:pt idx="2">
                  <c:v>101.11583509516342</c:v>
                </c:pt>
                <c:pt idx="3">
                  <c:v>102.49725243188085</c:v>
                </c:pt>
                <c:pt idx="4">
                  <c:v>109.47374533538098</c:v>
                </c:pt>
                <c:pt idx="5">
                  <c:v>112.94335303465178</c:v>
                </c:pt>
                <c:pt idx="6">
                  <c:v>116.39466655259423</c:v>
                </c:pt>
                <c:pt idx="7">
                  <c:v>113.26054001237134</c:v>
                </c:pt>
                <c:pt idx="8">
                  <c:v>118.0761668615129</c:v>
                </c:pt>
                <c:pt idx="9">
                  <c:v>108.22129560390637</c:v>
                </c:pt>
                <c:pt idx="10">
                  <c:v>99.427335480106365</c:v>
                </c:pt>
                <c:pt idx="11">
                  <c:v>93.909185450930423</c:v>
                </c:pt>
                <c:pt idx="12">
                  <c:v>88.357490436774683</c:v>
                </c:pt>
                <c:pt idx="13">
                  <c:v>83.37606016727544</c:v>
                </c:pt>
                <c:pt idx="14">
                  <c:v>84.952674461325699</c:v>
                </c:pt>
                <c:pt idx="15">
                  <c:v>87.250505932441527</c:v>
                </c:pt>
                <c:pt idx="16">
                  <c:v>83.074155302457299</c:v>
                </c:pt>
                <c:pt idx="17">
                  <c:v>81.413678545957538</c:v>
                </c:pt>
                <c:pt idx="18">
                  <c:v>84.097277344340981</c:v>
                </c:pt>
                <c:pt idx="19">
                  <c:v>82.453741572649392</c:v>
                </c:pt>
                <c:pt idx="20">
                  <c:v>78.801772701902195</c:v>
                </c:pt>
                <c:pt idx="21">
                  <c:v>76.482565753927972</c:v>
                </c:pt>
                <c:pt idx="22">
                  <c:v>73.993961055319772</c:v>
                </c:pt>
                <c:pt idx="23">
                  <c:v>67.409350327434538</c:v>
                </c:pt>
                <c:pt idx="24">
                  <c:v>60.867678369867605</c:v>
                </c:pt>
                <c:pt idx="25">
                  <c:v>58.221335813904616</c:v>
                </c:pt>
                <c:pt idx="26">
                  <c:v>43.782774286379571</c:v>
                </c:pt>
              </c:numCache>
            </c:numRef>
          </c:val>
          <c:smooth val="0"/>
          <c:extLst>
            <c:ext xmlns:c16="http://schemas.microsoft.com/office/drawing/2014/chart" uri="{C3380CC4-5D6E-409C-BE32-E72D297353CC}">
              <c16:uniqueId val="{00000000-5364-4B9A-ADEE-11A4B20970C1}"/>
            </c:ext>
          </c:extLst>
        </c:ser>
        <c:ser>
          <c:idx val="1"/>
          <c:order val="1"/>
          <c:tx>
            <c:strRef>
              <c:f>'Property crimes Ratio'!$D$51</c:f>
              <c:strCache>
                <c:ptCount val="1"/>
                <c:pt idx="0">
                  <c:v>Non-residential burglary</c:v>
                </c:pt>
              </c:strCache>
            </c:strRef>
          </c:tx>
          <c:spPr>
            <a:ln w="3175" cap="rnd" cmpd="sng" algn="ctr">
              <a:solidFill>
                <a:schemeClr val="accent2"/>
              </a:solidFill>
              <a:prstDash val="solid"/>
              <a:round/>
            </a:ln>
          </c:spPr>
          <c:marker>
            <c:symbol val="none"/>
          </c:marker>
          <c:cat>
            <c:strRef>
              <c:f>'Property crimes Ratio'!$E$49:$AE$49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strCache>
            </c:strRef>
          </c:cat>
          <c:val>
            <c:numRef>
              <c:f>'Property crimes Ratio'!$E$51:$AE$51</c:f>
              <c:numCache>
                <c:formatCode>0.0</c:formatCode>
                <c:ptCount val="27"/>
                <c:pt idx="0" formatCode="General">
                  <c:v>100</c:v>
                </c:pt>
                <c:pt idx="1">
                  <c:v>97.794780251285459</c:v>
                </c:pt>
                <c:pt idx="2">
                  <c:v>95.127142422061127</c:v>
                </c:pt>
                <c:pt idx="3">
                  <c:v>97.156422197849849</c:v>
                </c:pt>
                <c:pt idx="4">
                  <c:v>99.44733689217594</c:v>
                </c:pt>
                <c:pt idx="5">
                  <c:v>95.763092728615931</c:v>
                </c:pt>
                <c:pt idx="6">
                  <c:v>92.724193563794188</c:v>
                </c:pt>
                <c:pt idx="7">
                  <c:v>86.097520461271444</c:v>
                </c:pt>
                <c:pt idx="8">
                  <c:v>72.093106633233432</c:v>
                </c:pt>
                <c:pt idx="9">
                  <c:v>61.719548797771949</c:v>
                </c:pt>
                <c:pt idx="10">
                  <c:v>53.28905479452046</c:v>
                </c:pt>
                <c:pt idx="11">
                  <c:v>51.384292237442843</c:v>
                </c:pt>
                <c:pt idx="12">
                  <c:v>54.6179589041095</c:v>
                </c:pt>
                <c:pt idx="13">
                  <c:v>58.338890410958797</c:v>
                </c:pt>
                <c:pt idx="14">
                  <c:v>63.698803652967939</c:v>
                </c:pt>
                <c:pt idx="15">
                  <c:v>64.451849315068387</c:v>
                </c:pt>
                <c:pt idx="16">
                  <c:v>61.218182648401722</c:v>
                </c:pt>
                <c:pt idx="17">
                  <c:v>61.35107305936063</c:v>
                </c:pt>
                <c:pt idx="18">
                  <c:v>62.414196347031869</c:v>
                </c:pt>
                <c:pt idx="19">
                  <c:v>61.528260273972499</c:v>
                </c:pt>
                <c:pt idx="20">
                  <c:v>60.994491533165309</c:v>
                </c:pt>
                <c:pt idx="21">
                  <c:v>60.465136986301275</c:v>
                </c:pt>
                <c:pt idx="22">
                  <c:v>59.911209061529803</c:v>
                </c:pt>
                <c:pt idx="23">
                  <c:v>55.568741125485985</c:v>
                </c:pt>
                <c:pt idx="24">
                  <c:v>55.913824558102043</c:v>
                </c:pt>
                <c:pt idx="25">
                  <c:v>55.32286580540211</c:v>
                </c:pt>
                <c:pt idx="26">
                  <c:v>50.032371745428748</c:v>
                </c:pt>
              </c:numCache>
            </c:numRef>
          </c:val>
          <c:smooth val="0"/>
          <c:extLst>
            <c:ext xmlns:c16="http://schemas.microsoft.com/office/drawing/2014/chart" uri="{C3380CC4-5D6E-409C-BE32-E72D297353CC}">
              <c16:uniqueId val="{00000001-5364-4B9A-ADEE-11A4B20970C1}"/>
            </c:ext>
          </c:extLst>
        </c:ser>
        <c:ser>
          <c:idx val="2"/>
          <c:order val="2"/>
          <c:tx>
            <c:strRef>
              <c:f>'Property crimes Ratio'!$D$52</c:f>
              <c:strCache>
                <c:ptCount val="1"/>
                <c:pt idx="0">
                  <c:v>Theft of motot vehicle</c:v>
                </c:pt>
              </c:strCache>
            </c:strRef>
          </c:tx>
          <c:spPr>
            <a:ln w="3175" cap="rnd" cmpd="sng" algn="ctr">
              <a:solidFill>
                <a:schemeClr val="accent3"/>
              </a:solidFill>
              <a:prstDash val="solid"/>
              <a:round/>
            </a:ln>
          </c:spPr>
          <c:marker>
            <c:symbol val="none"/>
          </c:marker>
          <c:cat>
            <c:strRef>
              <c:f>'Property crimes Ratio'!$E$49:$AE$49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strCache>
            </c:strRef>
          </c:cat>
          <c:val>
            <c:numRef>
              <c:f>'Property crimes Ratio'!$E$52:$AE$52</c:f>
              <c:numCache>
                <c:formatCode>0.0</c:formatCode>
                <c:ptCount val="27"/>
                <c:pt idx="0" formatCode="General">
                  <c:v>100</c:v>
                </c:pt>
                <c:pt idx="1">
                  <c:v>91.37823641369836</c:v>
                </c:pt>
                <c:pt idx="2">
                  <c:v>87.906554256134513</c:v>
                </c:pt>
                <c:pt idx="3">
                  <c:v>91.323113634307163</c:v>
                </c:pt>
                <c:pt idx="4">
                  <c:v>93.788084444023326</c:v>
                </c:pt>
                <c:pt idx="5">
                  <c:v>87.72216690144748</c:v>
                </c:pt>
                <c:pt idx="6">
                  <c:v>83.927999060243124</c:v>
                </c:pt>
                <c:pt idx="7">
                  <c:v>79.211122795796769</c:v>
                </c:pt>
                <c:pt idx="8">
                  <c:v>75.102753361132557</c:v>
                </c:pt>
                <c:pt idx="9">
                  <c:v>69.651674382855205</c:v>
                </c:pt>
                <c:pt idx="10">
                  <c:v>65.976366573153143</c:v>
                </c:pt>
                <c:pt idx="11">
                  <c:v>67.185933293660966</c:v>
                </c:pt>
                <c:pt idx="12">
                  <c:v>66.746090849839931</c:v>
                </c:pt>
                <c:pt idx="13">
                  <c:v>61.467981523987682</c:v>
                </c:pt>
                <c:pt idx="14">
                  <c:v>57.179517696732731</c:v>
                </c:pt>
                <c:pt idx="15">
                  <c:v>53.330896313298794</c:v>
                </c:pt>
                <c:pt idx="16">
                  <c:v>47.283062710759758</c:v>
                </c:pt>
                <c:pt idx="17">
                  <c:v>42.811331198579374</c:v>
                </c:pt>
                <c:pt idx="18">
                  <c:v>40.942000812340041</c:v>
                </c:pt>
                <c:pt idx="19">
                  <c:v>39.329245184996289</c:v>
                </c:pt>
                <c:pt idx="20">
                  <c:v>37.392042378843307</c:v>
                </c:pt>
                <c:pt idx="21">
                  <c:v>35.883812708398303</c:v>
                </c:pt>
                <c:pt idx="22">
                  <c:v>34.947059489607049</c:v>
                </c:pt>
                <c:pt idx="23">
                  <c:v>32.720163599842614</c:v>
                </c:pt>
                <c:pt idx="24">
                  <c:v>33.594804458872282</c:v>
                </c:pt>
                <c:pt idx="25">
                  <c:v>33.341478148681347</c:v>
                </c:pt>
                <c:pt idx="26">
                  <c:v>23.547477874376099</c:v>
                </c:pt>
              </c:numCache>
            </c:numRef>
          </c:val>
          <c:smooth val="0"/>
          <c:extLst>
            <c:ext xmlns:c16="http://schemas.microsoft.com/office/drawing/2014/chart" uri="{C3380CC4-5D6E-409C-BE32-E72D297353CC}">
              <c16:uniqueId val="{00000002-5364-4B9A-ADEE-11A4B20970C1}"/>
            </c:ext>
          </c:extLst>
        </c:ser>
        <c:ser>
          <c:idx val="3"/>
          <c:order val="3"/>
          <c:tx>
            <c:strRef>
              <c:f>'Property crimes Ratio'!$D$53</c:f>
              <c:strCache>
                <c:ptCount val="1"/>
                <c:pt idx="0">
                  <c:v>Theft out of or from motor vehicle</c:v>
                </c:pt>
              </c:strCache>
            </c:strRef>
          </c:tx>
          <c:spPr>
            <a:ln w="3175" cap="rnd" cmpd="sng" algn="ctr">
              <a:solidFill>
                <a:schemeClr val="accent4"/>
              </a:solidFill>
              <a:prstDash val="solid"/>
              <a:round/>
            </a:ln>
          </c:spPr>
          <c:marker>
            <c:symbol val="none"/>
          </c:marker>
          <c:cat>
            <c:strRef>
              <c:f>'Property crimes Ratio'!$E$49:$AE$49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strCache>
            </c:strRef>
          </c:cat>
          <c:val>
            <c:numRef>
              <c:f>'Property crimes Ratio'!$E$53:$AE$53</c:f>
              <c:numCache>
                <c:formatCode>0.0</c:formatCode>
                <c:ptCount val="27"/>
                <c:pt idx="0" formatCode="General">
                  <c:v>100</c:v>
                </c:pt>
                <c:pt idx="1">
                  <c:v>102.57104747593398</c:v>
                </c:pt>
                <c:pt idx="2">
                  <c:v>91.082677376559445</c:v>
                </c:pt>
                <c:pt idx="3">
                  <c:v>92.111051584419684</c:v>
                </c:pt>
                <c:pt idx="4">
                  <c:v>95.764394829091529</c:v>
                </c:pt>
                <c:pt idx="5">
                  <c:v>96.047866012344556</c:v>
                </c:pt>
                <c:pt idx="6">
                  <c:v>97.140360834790016</c:v>
                </c:pt>
                <c:pt idx="7">
                  <c:v>94.092214135421997</c:v>
                </c:pt>
                <c:pt idx="8">
                  <c:v>91.204708866796693</c:v>
                </c:pt>
                <c:pt idx="9">
                  <c:v>78.462334910649602</c:v>
                </c:pt>
                <c:pt idx="10">
                  <c:v>67.464239476023451</c:v>
                </c:pt>
                <c:pt idx="11">
                  <c:v>62.766290553916413</c:v>
                </c:pt>
                <c:pt idx="12">
                  <c:v>55.380776257450862</c:v>
                </c:pt>
                <c:pt idx="13">
                  <c:v>49.391949478368481</c:v>
                </c:pt>
                <c:pt idx="14">
                  <c:v>47.614347183517168</c:v>
                </c:pt>
                <c:pt idx="15">
                  <c:v>51.867895531911365</c:v>
                </c:pt>
                <c:pt idx="16">
                  <c:v>52.100676784808563</c:v>
                </c:pt>
                <c:pt idx="17">
                  <c:v>54.576622838351454</c:v>
                </c:pt>
                <c:pt idx="18">
                  <c:v>56.544682521936828</c:v>
                </c:pt>
                <c:pt idx="19">
                  <c:v>57.433483669362481</c:v>
                </c:pt>
                <c:pt idx="20">
                  <c:v>56.961941108869084</c:v>
                </c:pt>
                <c:pt idx="21">
                  <c:v>53.66665975884424</c:v>
                </c:pt>
                <c:pt idx="22">
                  <c:v>52.298094787582691</c:v>
                </c:pt>
                <c:pt idx="23">
                  <c:v>48.165835541303913</c:v>
                </c:pt>
                <c:pt idx="24">
                  <c:v>44.723999488691227</c:v>
                </c:pt>
                <c:pt idx="25">
                  <c:v>46.806667837889769</c:v>
                </c:pt>
                <c:pt idx="26">
                  <c:v>31.243850126507787</c:v>
                </c:pt>
              </c:numCache>
            </c:numRef>
          </c:val>
          <c:smooth val="0"/>
          <c:extLst>
            <c:ext xmlns:c16="http://schemas.microsoft.com/office/drawing/2014/chart" uri="{C3380CC4-5D6E-409C-BE32-E72D297353CC}">
              <c16:uniqueId val="{00000003-5364-4B9A-ADEE-11A4B20970C1}"/>
            </c:ext>
          </c:extLst>
        </c:ser>
        <c:ser>
          <c:idx val="4"/>
          <c:order val="4"/>
          <c:tx>
            <c:strRef>
              <c:f>'Property crimes Ratio'!$D$54</c:f>
              <c:strCache>
                <c:ptCount val="1"/>
                <c:pt idx="0">
                  <c:v>Stock theft</c:v>
                </c:pt>
              </c:strCache>
            </c:strRef>
          </c:tx>
          <c:spPr>
            <a:ln w="3175" cap="rnd" cmpd="sng" algn="ctr">
              <a:solidFill>
                <a:schemeClr val="accent5"/>
              </a:solidFill>
              <a:prstDash val="solid"/>
              <a:round/>
            </a:ln>
          </c:spPr>
          <c:marker>
            <c:symbol val="none"/>
          </c:marker>
          <c:cat>
            <c:strRef>
              <c:f>'Property crimes Ratio'!$E$49:$AE$49</c:f>
              <c:strCache>
                <c:ptCount val="27"/>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strCache>
            </c:strRef>
          </c:cat>
          <c:val>
            <c:numRef>
              <c:f>'Property crimes Ratio'!$E$54:$AE$54</c:f>
              <c:numCache>
                <c:formatCode>0.0</c:formatCode>
                <c:ptCount val="27"/>
                <c:pt idx="0" formatCode="General">
                  <c:v>100</c:v>
                </c:pt>
                <c:pt idx="1">
                  <c:v>90.045231490445715</c:v>
                </c:pt>
                <c:pt idx="2">
                  <c:v>84.908469674078788</c:v>
                </c:pt>
                <c:pt idx="3">
                  <c:v>82.867899395716123</c:v>
                </c:pt>
                <c:pt idx="4">
                  <c:v>81.083510502579145</c:v>
                </c:pt>
                <c:pt idx="5">
                  <c:v>78.962807476636272</c:v>
                </c:pt>
                <c:pt idx="6">
                  <c:v>78.02254554296492</c:v>
                </c:pt>
                <c:pt idx="7">
                  <c:v>76.229593106363126</c:v>
                </c:pt>
                <c:pt idx="8">
                  <c:v>84.275620348399087</c:v>
                </c:pt>
                <c:pt idx="9">
                  <c:v>73.016949953651178</c:v>
                </c:pt>
                <c:pt idx="10">
                  <c:v>57.524486645378289</c:v>
                </c:pt>
                <c:pt idx="11">
                  <c:v>50.30315308647203</c:v>
                </c:pt>
                <c:pt idx="12">
                  <c:v>49.892850043352361</c:v>
                </c:pt>
                <c:pt idx="13">
                  <c:v>49.318425782984818</c:v>
                </c:pt>
                <c:pt idx="14">
                  <c:v>50.631395520967779</c:v>
                </c:pt>
                <c:pt idx="15">
                  <c:v>53.91381986592517</c:v>
                </c:pt>
                <c:pt idx="16">
                  <c:v>49.482547000232685</c:v>
                </c:pt>
                <c:pt idx="17">
                  <c:v>50.221092477848103</c:v>
                </c:pt>
                <c:pt idx="18">
                  <c:v>46.938668132890712</c:v>
                </c:pt>
                <c:pt idx="19">
                  <c:v>43.410061962061512</c:v>
                </c:pt>
                <c:pt idx="20">
                  <c:v>37.936462341650305</c:v>
                </c:pt>
                <c:pt idx="21">
                  <c:v>36.927273880770663</c:v>
                </c:pt>
                <c:pt idx="22">
                  <c:v>39.484787930622325</c:v>
                </c:pt>
                <c:pt idx="23">
                  <c:v>41.713263756182876</c:v>
                </c:pt>
                <c:pt idx="24">
                  <c:v>46.865899790666546</c:v>
                </c:pt>
                <c:pt idx="25">
                  <c:v>43.3338749900811</c:v>
                </c:pt>
                <c:pt idx="26">
                  <c:v>43.644058153769606</c:v>
                </c:pt>
              </c:numCache>
            </c:numRef>
          </c:val>
          <c:smooth val="0"/>
          <c:extLst>
            <c:ext xmlns:c16="http://schemas.microsoft.com/office/drawing/2014/chart" uri="{C3380CC4-5D6E-409C-BE32-E72D297353CC}">
              <c16:uniqueId val="{00000004-5364-4B9A-ADEE-11A4B20970C1}"/>
            </c:ext>
          </c:extLst>
        </c:ser>
        <c:dLbls>
          <c:showLegendKey val="0"/>
          <c:showVal val="0"/>
          <c:showCatName val="0"/>
          <c:showSerName val="0"/>
          <c:showPercent val="0"/>
          <c:showBubbleSize val="0"/>
        </c:dLbls>
        <c:smooth val="0"/>
        <c:axId val="40205568"/>
        <c:axId val="266876592"/>
      </c:lineChart>
      <c:catAx>
        <c:axId val="40205568"/>
        <c:scaling>
          <c:orientation val="minMax"/>
        </c:scaling>
        <c:delete val="0"/>
        <c:axPos val="b"/>
        <c:numFmt formatCode="General" sourceLinked="1"/>
        <c:majorTickMark val="out"/>
        <c:minorTickMark val="none"/>
        <c:tickLblPos val="nextTo"/>
        <c:txPr>
          <a:bodyPr rot="5400000" spcFirstLastPara="0" vertOverflow="ellipsis" vert="horz" wrap="square" anchor="ctr" anchorCtr="1"/>
          <a:lstStyle/>
          <a:p>
            <a:pPr>
              <a:defRPr lang="en-US" sz="800" b="0" i="0" u="none" strike="noStrike" kern="1200" baseline="0">
                <a:solidFill>
                  <a:srgbClr val="000000"/>
                </a:solidFill>
                <a:latin typeface="Arial Narrow" panose="020B0606020202030204" pitchFamily="34" charset="0"/>
                <a:ea typeface="Calibri" panose="020F0502020204030204"/>
                <a:cs typeface="Calibri" panose="020F0502020204030204"/>
              </a:defRPr>
            </a:pPr>
            <a:endParaRPr lang="en-US"/>
          </a:p>
        </c:txPr>
        <c:crossAx val="266876592"/>
        <c:crosses val="autoZero"/>
        <c:auto val="1"/>
        <c:lblAlgn val="ctr"/>
        <c:lblOffset val="100"/>
        <c:noMultiLvlLbl val="0"/>
      </c:catAx>
      <c:valAx>
        <c:axId val="266876592"/>
        <c:scaling>
          <c:orientation val="minMax"/>
        </c:scaling>
        <c:delete val="0"/>
        <c:axPos val="l"/>
        <c:majorGridlines>
          <c:spPr>
            <a:ln w="6350" cap="flat" cmpd="sng" algn="ctr">
              <a:solidFill>
                <a:schemeClr val="tx1">
                  <a:tint val="75000"/>
                </a:schemeClr>
              </a:solidFill>
              <a:prstDash val="sysDash"/>
              <a:round/>
            </a:ln>
          </c:spPr>
        </c:majorGridlines>
        <c:numFmt formatCode="0" sourceLinked="0"/>
        <c:majorTickMark val="out"/>
        <c:minorTickMark val="none"/>
        <c:tickLblPos val="nextTo"/>
        <c:txPr>
          <a:bodyPr rot="0" spcFirstLastPara="0" vertOverflow="ellipsis" vert="horz" wrap="square" anchor="ctr" anchorCtr="1"/>
          <a:lstStyle/>
          <a:p>
            <a:pPr>
              <a:defRPr lang="en-US" sz="800" b="0" i="0" u="none" strike="noStrike" kern="1200" baseline="0">
                <a:solidFill>
                  <a:srgbClr val="000000"/>
                </a:solidFill>
                <a:latin typeface="Arial Narrow" panose="020B0606020202030204" pitchFamily="34" charset="0"/>
                <a:ea typeface="Calibri" panose="020F0502020204030204"/>
                <a:cs typeface="Calibri" panose="020F0502020204030204"/>
              </a:defRPr>
            </a:pPr>
            <a:endParaRPr lang="en-US"/>
          </a:p>
        </c:txPr>
        <c:crossAx val="40205568"/>
        <c:crosses val="autoZero"/>
        <c:crossBetween val="midCat"/>
      </c:valAx>
      <c:spPr>
        <a:ln>
          <a:noFill/>
        </a:ln>
      </c:spPr>
    </c:plotArea>
    <c:legend>
      <c:legendPos val="r"/>
      <c:layout>
        <c:manualLayout>
          <c:xMode val="edge"/>
          <c:yMode val="edge"/>
          <c:x val="7.0789259560618406E-2"/>
          <c:y val="5.8679881737689399E-2"/>
          <c:w val="0.82017900732303495"/>
          <c:h val="6.3569871882497006E-2"/>
        </c:manualLayout>
      </c:layout>
      <c:overlay val="0"/>
      <c:txPr>
        <a:bodyPr rot="0" spcFirstLastPara="0" vertOverflow="ellipsis" vert="horz" wrap="square" anchor="ctr" anchorCtr="1"/>
        <a:lstStyle/>
        <a:p>
          <a:pPr>
            <a:defRPr lang="en-US" sz="800" b="0" i="0" u="none" strike="noStrike" kern="1200" baseline="0">
              <a:solidFill>
                <a:srgbClr val="000000"/>
              </a:solidFill>
              <a:latin typeface="Arial Narrow" panose="020B0606020202030204" pitchFamily="34" charset="0"/>
              <a:ea typeface="Calibri" panose="020F0502020204030204"/>
              <a:cs typeface="Calibri" panose="020F0502020204030204"/>
            </a:defRPr>
          </a:pPr>
          <a:endParaRPr lang="en-US"/>
        </a:p>
      </c:txPr>
    </c:legend>
    <c:plotVisOnly val="1"/>
    <c:dispBlanksAs val="gap"/>
    <c:showDLblsOverMax val="0"/>
  </c:chart>
  <c:txPr>
    <a:bodyPr/>
    <a:lstStyle/>
    <a:p>
      <a:pPr>
        <a:defRPr lang="en-US" sz="800" b="0" i="0" u="none" strike="noStrike" baseline="0">
          <a:solidFill>
            <a:srgbClr val="000000"/>
          </a:solidFill>
          <a:latin typeface="Arial Narrow" panose="020B0606020202030204" pitchFamily="34" charset="0"/>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800" b="1" i="0" u="none" strike="noStrike" kern="1200" baseline="0">
                <a:solidFill>
                  <a:srgbClr val="000000"/>
                </a:solidFill>
                <a:latin typeface="Arial" panose="020B0604020202020204"/>
                <a:ea typeface="Arial" panose="020B0604020202020204"/>
                <a:cs typeface="Arial" panose="020B0604020202020204"/>
              </a:defRPr>
            </a:pPr>
            <a:r>
              <a:rPr lang="en-ZA"/>
              <a:t>Contact crime</a:t>
            </a:r>
          </a:p>
        </c:rich>
      </c:tx>
      <c:layout>
        <c:manualLayout>
          <c:xMode val="edge"/>
          <c:yMode val="edge"/>
          <c:x val="0.463002336124478"/>
          <c:y val="3.8610038610038602E-2"/>
        </c:manualLayout>
      </c:layout>
      <c:overlay val="0"/>
      <c:spPr>
        <a:noFill/>
        <a:ln w="25400">
          <a:noFill/>
        </a:ln>
      </c:spPr>
    </c:title>
    <c:autoTitleDeleted val="0"/>
    <c:plotArea>
      <c:layout/>
      <c:lineChart>
        <c:grouping val="standard"/>
        <c:varyColors val="0"/>
        <c:ser>
          <c:idx val="0"/>
          <c:order val="0"/>
          <c:tx>
            <c:strRef>
              <c:f>'[17]Contact Crime'!$A$171</c:f>
              <c:strCache>
                <c:ptCount val="1"/>
                <c:pt idx="0">
                  <c:v>Murder</c:v>
                </c:pt>
              </c:strCache>
            </c:strRef>
          </c:tx>
          <c:spPr>
            <a:ln w="25400" cap="rnd" cmpd="sng" algn="ctr">
              <a:solidFill>
                <a:srgbClr val="000080"/>
              </a:solidFill>
              <a:prstDash val="solid"/>
              <a:round/>
            </a:ln>
          </c:spPr>
          <c:marker>
            <c:symbol val="none"/>
          </c:marker>
          <c:cat>
            <c:strRef>
              <c:f>'[17]Contact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'[17]Contact Crime'!$B$171:$N$171</c:f>
              <c:numCache>
                <c:formatCode>General</c:formatCode>
                <c:ptCount val="13"/>
                <c:pt idx="0">
                  <c:v>100</c:v>
                </c:pt>
                <c:pt idx="1">
                  <c:v>101.48809863178425</c:v>
                </c:pt>
                <c:pt idx="2">
                  <c:v>93.792224016122006</c:v>
                </c:pt>
                <c:pt idx="3">
                  <c:v>88.88863667337769</c:v>
                </c:pt>
                <c:pt idx="4">
                  <c:v>89.425679533944773</c:v>
                </c:pt>
                <c:pt idx="5">
                  <c:v>78.461546575609759</c:v>
                </c:pt>
                <c:pt idx="6">
                  <c:v>74.433399137940413</c:v>
                </c:pt>
                <c:pt idx="7">
                  <c:v>71.372958646877066</c:v>
                </c:pt>
                <c:pt idx="8">
                  <c:v>70.865078875843395</c:v>
                </c:pt>
                <c:pt idx="9">
                  <c:v>63.87080275468464</c:v>
                </c:pt>
                <c:pt idx="10">
                  <c:v>60.227275178124387</c:v>
                </c:pt>
                <c:pt idx="11">
                  <c:v>59.031696514538801</c:v>
                </c:pt>
                <c:pt idx="12">
                  <c:v>58.1661271719314</c:v>
                </c:pt>
              </c:numCache>
            </c:numRef>
          </c:val>
          <c:smooth val="0"/>
          <c:extLst>
            <c:ext xmlns:c16="http://schemas.microsoft.com/office/drawing/2014/chart" uri="{C3380CC4-5D6E-409C-BE32-E72D297353CC}">
              <c16:uniqueId val="{00000000-60F3-42FD-90A4-49B7D1B7FBDF}"/>
            </c:ext>
          </c:extLst>
        </c:ser>
        <c:ser>
          <c:idx val="1"/>
          <c:order val="1"/>
          <c:tx>
            <c:strRef>
              <c:f>'[17]Contact Crime'!$A$172</c:f>
              <c:strCache>
                <c:ptCount val="1"/>
                <c:pt idx="0">
                  <c:v>Attempted Murder</c:v>
                </c:pt>
              </c:strCache>
            </c:strRef>
          </c:tx>
          <c:spPr>
            <a:ln w="25400" cap="rnd" cmpd="sng" algn="ctr">
              <a:solidFill>
                <a:srgbClr val="FF00FF"/>
              </a:solidFill>
              <a:prstDash val="solid"/>
              <a:round/>
            </a:ln>
          </c:spPr>
          <c:marker>
            <c:symbol val="none"/>
          </c:marker>
          <c:cat>
            <c:strRef>
              <c:f>'[17]Contact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'[17]Contact Crime'!$B$172:$N$172</c:f>
              <c:numCache>
                <c:formatCode>General</c:formatCode>
                <c:ptCount val="13"/>
                <c:pt idx="0">
                  <c:v>100</c:v>
                </c:pt>
                <c:pt idx="1">
                  <c:v>98.300396799455157</c:v>
                </c:pt>
                <c:pt idx="2">
                  <c:v>101.92850161180844</c:v>
                </c:pt>
                <c:pt idx="3">
                  <c:v>98.965988480689745</c:v>
                </c:pt>
                <c:pt idx="4">
                  <c:v>101.85020728590619</c:v>
                </c:pt>
                <c:pt idx="5">
                  <c:v>94.744379636660454</c:v>
                </c:pt>
                <c:pt idx="6">
                  <c:v>93.206037906338395</c:v>
                </c:pt>
                <c:pt idx="7">
                  <c:v>101.06993390949953</c:v>
                </c:pt>
                <c:pt idx="8">
                  <c:v>114.20976962200314</c:v>
                </c:pt>
                <c:pt idx="9">
                  <c:v>93.861496756907187</c:v>
                </c:pt>
                <c:pt idx="10">
                  <c:v>76.143042602402446</c:v>
                </c:pt>
                <c:pt idx="11">
                  <c:v>63.549041259419525</c:v>
                </c:pt>
                <c:pt idx="12">
                  <c:v>64.647797291263586</c:v>
                </c:pt>
              </c:numCache>
            </c:numRef>
          </c:val>
          <c:smooth val="0"/>
          <c:extLst>
            <c:ext xmlns:c16="http://schemas.microsoft.com/office/drawing/2014/chart" uri="{C3380CC4-5D6E-409C-BE32-E72D297353CC}">
              <c16:uniqueId val="{00000001-60F3-42FD-90A4-49B7D1B7FBDF}"/>
            </c:ext>
          </c:extLst>
        </c:ser>
        <c:ser>
          <c:idx val="2"/>
          <c:order val="2"/>
          <c:tx>
            <c:strRef>
              <c:f>'[17]Contact Crime'!$A$173</c:f>
              <c:strCache>
                <c:ptCount val="1"/>
                <c:pt idx="0">
                  <c:v>Common Assault</c:v>
                </c:pt>
              </c:strCache>
            </c:strRef>
          </c:tx>
          <c:spPr>
            <a:ln w="25400" cap="rnd" cmpd="sng" algn="ctr">
              <a:solidFill>
                <a:srgbClr val="FFFF00"/>
              </a:solidFill>
              <a:prstDash val="solid"/>
              <a:round/>
            </a:ln>
          </c:spPr>
          <c:marker>
            <c:symbol val="none"/>
          </c:marker>
          <c:cat>
            <c:strRef>
              <c:f>'[17]Contact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'[17]Contact Crime'!$B$173:$N$173</c:f>
              <c:numCache>
                <c:formatCode>General</c:formatCode>
                <c:ptCount val="13"/>
                <c:pt idx="0">
                  <c:v>100</c:v>
                </c:pt>
                <c:pt idx="1">
                  <c:v>100.86356963047767</c:v>
                </c:pt>
                <c:pt idx="2">
                  <c:v>96.940056766335076</c:v>
                </c:pt>
                <c:pt idx="3">
                  <c:v>94.760859194917018</c:v>
                </c:pt>
                <c:pt idx="4">
                  <c:v>93.990913545732539</c:v>
                </c:pt>
                <c:pt idx="5">
                  <c:v>104.42984058536841</c:v>
                </c:pt>
                <c:pt idx="6">
                  <c:v>110.38945943236611</c:v>
                </c:pt>
                <c:pt idx="7">
                  <c:v>113.22723186957828</c:v>
                </c:pt>
                <c:pt idx="8">
                  <c:v>120.44897440470879</c:v>
                </c:pt>
                <c:pt idx="9">
                  <c:v>117.36751111526502</c:v>
                </c:pt>
                <c:pt idx="10">
                  <c:v>111.42333506452</c:v>
                </c:pt>
                <c:pt idx="11">
                  <c:v>94.04129479445487</c:v>
                </c:pt>
                <c:pt idx="12">
                  <c:v>93.236135840703653</c:v>
                </c:pt>
              </c:numCache>
            </c:numRef>
          </c:val>
          <c:smooth val="0"/>
          <c:extLst>
            <c:ext xmlns:c16="http://schemas.microsoft.com/office/drawing/2014/chart" uri="{C3380CC4-5D6E-409C-BE32-E72D297353CC}">
              <c16:uniqueId val="{00000002-60F3-42FD-90A4-49B7D1B7FBDF}"/>
            </c:ext>
          </c:extLst>
        </c:ser>
        <c:ser>
          <c:idx val="3"/>
          <c:order val="3"/>
          <c:tx>
            <c:strRef>
              <c:f>'[17]Contact Crime'!$A$174</c:f>
              <c:strCache>
                <c:ptCount val="1"/>
                <c:pt idx="0">
                  <c:v>Assault GBH</c:v>
                </c:pt>
              </c:strCache>
            </c:strRef>
          </c:tx>
          <c:spPr>
            <a:ln w="25400" cap="rnd" cmpd="sng" algn="ctr">
              <a:solidFill>
                <a:srgbClr val="00FFFF"/>
              </a:solidFill>
              <a:prstDash val="solid"/>
              <a:round/>
            </a:ln>
          </c:spPr>
          <c:marker>
            <c:symbol val="none"/>
          </c:marker>
          <c:cat>
            <c:strRef>
              <c:f>'[17]Contact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'[17]Contact Crime'!$B$174:$N$174</c:f>
              <c:numCache>
                <c:formatCode>General</c:formatCode>
                <c:ptCount val="13"/>
                <c:pt idx="0">
                  <c:v>100</c:v>
                </c:pt>
                <c:pt idx="1">
                  <c:v>101.42023909693563</c:v>
                </c:pt>
                <c:pt idx="2">
                  <c:v>102.63130030166299</c:v>
                </c:pt>
                <c:pt idx="3">
                  <c:v>102.62619076688368</c:v>
                </c:pt>
                <c:pt idx="4">
                  <c:v>101.89735397608868</c:v>
                </c:pt>
                <c:pt idx="5">
                  <c:v>109.40682585435466</c:v>
                </c:pt>
                <c:pt idx="6">
                  <c:v>113.37944140371015</c:v>
                </c:pt>
                <c:pt idx="7">
                  <c:v>105.98361038677584</c:v>
                </c:pt>
                <c:pt idx="8">
                  <c:v>105.42085488670978</c:v>
                </c:pt>
                <c:pt idx="9">
                  <c:v>100.88299258504389</c:v>
                </c:pt>
                <c:pt idx="10">
                  <c:v>96.312351683814683</c:v>
                </c:pt>
                <c:pt idx="11">
                  <c:v>87.082343013200656</c:v>
                </c:pt>
                <c:pt idx="12">
                  <c:v>85.862884754165208</c:v>
                </c:pt>
              </c:numCache>
            </c:numRef>
          </c:val>
          <c:smooth val="0"/>
          <c:extLst>
            <c:ext xmlns:c16="http://schemas.microsoft.com/office/drawing/2014/chart" uri="{C3380CC4-5D6E-409C-BE32-E72D297353CC}">
              <c16:uniqueId val="{00000003-60F3-42FD-90A4-49B7D1B7FBDF}"/>
            </c:ext>
          </c:extLst>
        </c:ser>
        <c:ser>
          <c:idx val="4"/>
          <c:order val="4"/>
          <c:tx>
            <c:strRef>
              <c:f>'[17]Contact Crime'!$A$175</c:f>
              <c:strCache>
                <c:ptCount val="1"/>
                <c:pt idx="0">
                  <c:v>Rape</c:v>
                </c:pt>
              </c:strCache>
            </c:strRef>
          </c:tx>
          <c:spPr>
            <a:ln w="25400" cap="rnd" cmpd="sng" algn="ctr">
              <a:solidFill>
                <a:srgbClr val="800080"/>
              </a:solidFill>
              <a:prstDash val="solid"/>
              <a:round/>
            </a:ln>
          </c:spPr>
          <c:marker>
            <c:symbol val="none"/>
          </c:marker>
          <c:cat>
            <c:strRef>
              <c:f>'[17]Contact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'[17]Contact Crime'!$B$175:$N$175</c:f>
              <c:numCache>
                <c:formatCode>General</c:formatCode>
                <c:ptCount val="13"/>
                <c:pt idx="0">
                  <c:v>100</c:v>
                </c:pt>
                <c:pt idx="1">
                  <c:v>109.13463626136526</c:v>
                </c:pt>
                <c:pt idx="2">
                  <c:v>109.89608362935093</c:v>
                </c:pt>
                <c:pt idx="3">
                  <c:v>109.43966794611318</c:v>
                </c:pt>
                <c:pt idx="4">
                  <c:v>102.58409629960279</c:v>
                </c:pt>
                <c:pt idx="5">
                  <c:v>106.521905451002</c:v>
                </c:pt>
                <c:pt idx="6">
                  <c:v>104.94462529245878</c:v>
                </c:pt>
                <c:pt idx="7">
                  <c:v>105.03834975306225</c:v>
                </c:pt>
                <c:pt idx="8">
                  <c:v>100.01118371738772</c:v>
                </c:pt>
                <c:pt idx="9">
                  <c:v>98.577805820101432</c:v>
                </c:pt>
                <c:pt idx="10">
                  <c:v>102.57900829031755</c:v>
                </c:pt>
                <c:pt idx="11">
                  <c:v>101.5384773524614</c:v>
                </c:pt>
                <c:pt idx="12">
                  <c:v>93.039644269568171</c:v>
                </c:pt>
              </c:numCache>
            </c:numRef>
          </c:val>
          <c:smooth val="0"/>
          <c:extLst>
            <c:ext xmlns:c16="http://schemas.microsoft.com/office/drawing/2014/chart" uri="{C3380CC4-5D6E-409C-BE32-E72D297353CC}">
              <c16:uniqueId val="{00000004-60F3-42FD-90A4-49B7D1B7FBDF}"/>
            </c:ext>
          </c:extLst>
        </c:ser>
        <c:ser>
          <c:idx val="5"/>
          <c:order val="5"/>
          <c:tx>
            <c:strRef>
              <c:f>'[17]Contact Crime'!$A$176</c:f>
              <c:strCache>
                <c:ptCount val="1"/>
                <c:pt idx="0">
                  <c:v>Aggravated Robbery</c:v>
                </c:pt>
              </c:strCache>
            </c:strRef>
          </c:tx>
          <c:spPr>
            <a:ln w="25400" cap="rnd" cmpd="sng" algn="ctr">
              <a:solidFill>
                <a:srgbClr val="800000"/>
              </a:solidFill>
              <a:prstDash val="solid"/>
              <a:round/>
            </a:ln>
          </c:spPr>
          <c:marker>
            <c:symbol val="none"/>
          </c:marker>
          <c:cat>
            <c:strRef>
              <c:f>'[17]Contact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'[17]Contact Crime'!$B$176:$N$176</c:f>
              <c:numCache>
                <c:formatCode>General</c:formatCode>
                <c:ptCount val="13"/>
                <c:pt idx="0">
                  <c:v>100</c:v>
                </c:pt>
                <c:pt idx="1">
                  <c:v>89.235003265699802</c:v>
                </c:pt>
                <c:pt idx="2">
                  <c:v>74.61435352574199</c:v>
                </c:pt>
                <c:pt idx="3">
                  <c:v>81.214908237866752</c:v>
                </c:pt>
                <c:pt idx="4">
                  <c:v>100.95842708080112</c:v>
                </c:pt>
                <c:pt idx="5">
                  <c:v>105.04005802956391</c:v>
                </c:pt>
                <c:pt idx="6">
                  <c:v>119.13510643002132</c:v>
                </c:pt>
                <c:pt idx="7">
                  <c:v>119.20448020355859</c:v>
                </c:pt>
                <c:pt idx="8">
                  <c:v>127.78285341991094</c:v>
                </c:pt>
                <c:pt idx="9">
                  <c:v>131.8789091649472</c:v>
                </c:pt>
                <c:pt idx="10">
                  <c:v>124.57921566314796</c:v>
                </c:pt>
                <c:pt idx="11">
                  <c:v>116.84450315503922</c:v>
                </c:pt>
                <c:pt idx="12">
                  <c:v>130.94021278525798</c:v>
                </c:pt>
              </c:numCache>
            </c:numRef>
          </c:val>
          <c:smooth val="0"/>
          <c:extLst>
            <c:ext xmlns:c16="http://schemas.microsoft.com/office/drawing/2014/chart" uri="{C3380CC4-5D6E-409C-BE32-E72D297353CC}">
              <c16:uniqueId val="{00000005-60F3-42FD-90A4-49B7D1B7FBDF}"/>
            </c:ext>
          </c:extLst>
        </c:ser>
        <c:ser>
          <c:idx val="6"/>
          <c:order val="6"/>
          <c:tx>
            <c:strRef>
              <c:f>'[17]Contact Crime'!$A$177</c:f>
              <c:strCache>
                <c:ptCount val="1"/>
                <c:pt idx="0">
                  <c:v>Common Robbery</c:v>
                </c:pt>
              </c:strCache>
            </c:strRef>
          </c:tx>
          <c:spPr>
            <a:ln w="25400" cap="rnd" cmpd="sng" algn="ctr">
              <a:solidFill>
                <a:srgbClr val="008080"/>
              </a:solidFill>
              <a:prstDash val="solid"/>
              <a:round/>
            </a:ln>
          </c:spPr>
          <c:marker>
            <c:symbol val="none"/>
          </c:marker>
          <c:cat>
            <c:strRef>
              <c:f>'[17]Contact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'[17]Contact Crime'!$B$177:$N$177</c:f>
              <c:numCache>
                <c:formatCode>General</c:formatCode>
                <c:ptCount val="13"/>
                <c:pt idx="0">
                  <c:v>100</c:v>
                </c:pt>
                <c:pt idx="1">
                  <c:v>137.14323363080365</c:v>
                </c:pt>
                <c:pt idx="2">
                  <c:v>148.36301853422606</c:v>
                </c:pt>
                <c:pt idx="3">
                  <c:v>158.54014668552037</c:v>
                </c:pt>
                <c:pt idx="4">
                  <c:v>183.85413131696907</c:v>
                </c:pt>
                <c:pt idx="5">
                  <c:v>206.17763770597759</c:v>
                </c:pt>
                <c:pt idx="6">
                  <c:v>245.36526242085023</c:v>
                </c:pt>
                <c:pt idx="7">
                  <c:v>239.13025278191299</c:v>
                </c:pt>
                <c:pt idx="8">
                  <c:v>265.42041125464038</c:v>
                </c:pt>
                <c:pt idx="9">
                  <c:v>244.75510917078935</c:v>
                </c:pt>
                <c:pt idx="10">
                  <c:v>231.69049879053247</c:v>
                </c:pt>
                <c:pt idx="11">
                  <c:v>189.39213080620962</c:v>
                </c:pt>
                <c:pt idx="12">
                  <c:v>138.09804960269682</c:v>
                </c:pt>
              </c:numCache>
            </c:numRef>
          </c:val>
          <c:smooth val="0"/>
          <c:extLst>
            <c:ext xmlns:c16="http://schemas.microsoft.com/office/drawing/2014/chart" uri="{C3380CC4-5D6E-409C-BE32-E72D297353CC}">
              <c16:uniqueId val="{00000006-60F3-42FD-90A4-49B7D1B7FBDF}"/>
            </c:ext>
          </c:extLst>
        </c:ser>
        <c:dLbls>
          <c:showLegendKey val="0"/>
          <c:showVal val="0"/>
          <c:showCatName val="0"/>
          <c:showSerName val="0"/>
          <c:showPercent val="0"/>
          <c:showBubbleSize val="0"/>
        </c:dLbls>
        <c:smooth val="0"/>
        <c:axId val="339083440"/>
        <c:axId val="339084000"/>
      </c:lineChart>
      <c:catAx>
        <c:axId val="339083440"/>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endParaRPr lang="en-US"/>
          </a:p>
        </c:txPr>
        <c:crossAx val="339084000"/>
        <c:crosses val="autoZero"/>
        <c:auto val="1"/>
        <c:lblAlgn val="ctr"/>
        <c:lblOffset val="100"/>
        <c:tickLblSkip val="1"/>
        <c:noMultiLvlLbl val="0"/>
      </c:catAx>
      <c:valAx>
        <c:axId val="339084000"/>
        <c:scaling>
          <c:orientation val="minMax"/>
          <c:min val="50"/>
        </c:scaling>
        <c:delete val="0"/>
        <c:axPos val="l"/>
        <c:majorGridlines>
          <c:spPr>
            <a:ln w="12700" cap="flat" cmpd="sng" algn="ctr">
              <a:solidFill>
                <a:srgbClr val="000000"/>
              </a:solidFill>
              <a:prstDash val="solid"/>
              <a:round/>
            </a:ln>
          </c:spPr>
        </c:majorGridlines>
        <c:title>
          <c:tx>
            <c:rich>
              <a:bodyPr rot="-5400000" spcFirstLastPara="0" vertOverflow="ellipsis" vert="horz" wrap="square"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r>
                  <a:rPr lang="en-ZA"/>
                  <a:t>%</a:t>
                </a:r>
              </a:p>
            </c:rich>
          </c:tx>
          <c:overlay val="0"/>
          <c:spPr>
            <a:noFill/>
            <a:ln w="25400">
              <a:noFill/>
            </a:ln>
          </c:spPr>
        </c:title>
        <c:numFmt formatCode="#\,##0" sourceLinked="0"/>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endParaRPr lang="en-US"/>
          </a:p>
        </c:txPr>
        <c:crossAx val="339083440"/>
        <c:crosses val="autoZero"/>
        <c:crossBetween val="midCat"/>
      </c:valAx>
      <c:spPr>
        <a:solidFill>
          <a:srgbClr val="C0C0C0"/>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rot="0" spcFirstLastPara="0" vertOverflow="ellipsis" vert="horz" wrap="square" anchor="ctr" anchorCtr="1"/>
        <a:lstStyle/>
        <a:p>
          <a:pPr>
            <a:defRPr lang="en-US" sz="475" b="0" i="0" u="none" strike="noStrike" kern="1200" baseline="0">
              <a:solidFill>
                <a:srgbClr val="000000"/>
              </a:solidFill>
              <a:latin typeface="Arial" panose="020B0604020202020204"/>
              <a:ea typeface="Arial" panose="020B0604020202020204"/>
              <a:cs typeface="Arial" panose="020B0604020202020204"/>
            </a:defRPr>
          </a:pPr>
          <a:endParaRPr lang="en-US"/>
        </a:p>
      </c:txPr>
    </c:legend>
    <c:plotVisOnly val="1"/>
    <c:dispBlanksAs val="gap"/>
    <c:showDLblsOverMax val="0"/>
  </c:chart>
  <c:spPr>
    <a:solidFill>
      <a:srgbClr val="FFFFFF"/>
    </a:solidFill>
    <a:ln w="3175" cap="flat" cmpd="sng" algn="ctr">
      <a:solidFill>
        <a:srgbClr val="000000"/>
      </a:solidFill>
      <a:prstDash val="solid"/>
      <a:round/>
    </a:ln>
  </c:spPr>
  <c:txPr>
    <a:bodyPr/>
    <a:lstStyle/>
    <a:p>
      <a:pPr>
        <a:defRPr lang="en-US" sz="800" b="0" i="0" u="none" strike="noStrike" baseline="0">
          <a:solidFill>
            <a:srgbClr val="000000"/>
          </a:solidFill>
          <a:latin typeface="Arial" panose="020B0604020202020204"/>
          <a:ea typeface="Arial" panose="020B0604020202020204"/>
          <a:cs typeface="Arial" panose="020B0604020202020204"/>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t>Contact crimes per 100 000 of population</a:t>
            </a:r>
          </a:p>
        </c:rich>
      </c:tx>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6.7801636811691809E-2"/>
          <c:y val="0.12286471141987698"/>
          <c:w val="0.92485134877488584"/>
          <c:h val="0.64812329876745023"/>
        </c:manualLayout>
      </c:layout>
      <c:lineChart>
        <c:grouping val="standard"/>
        <c:varyColors val="0"/>
        <c:ser>
          <c:idx val="0"/>
          <c:order val="0"/>
          <c:tx>
            <c:strRef>
              <c:f>'Contact crime rate'!$D$8</c:f>
              <c:strCache>
                <c:ptCount val="1"/>
                <c:pt idx="0">
                  <c:v>Social Contact crimes</c:v>
                </c:pt>
              </c:strCache>
            </c:strRef>
          </c:tx>
          <c:spPr>
            <a:ln w="28575" cap="rnd" cmpd="sng" algn="ctr">
              <a:solidFill>
                <a:schemeClr val="accent1">
                  <a:shade val="95000"/>
                  <a:satMod val="105000"/>
                </a:schemeClr>
              </a:solidFill>
              <a:prstDash val="solid"/>
              <a:round/>
            </a:ln>
            <a:effectLst/>
          </c:spPr>
          <c:marker>
            <c:symbol val="none"/>
          </c:marker>
          <c:cat>
            <c:strRef>
              <c:f>'Contact crime rate'!$E$7:$AE$7</c:f>
              <c:strCache>
                <c:ptCount val="27"/>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pt idx="25">
                  <c:v>2020/21</c:v>
                </c:pt>
                <c:pt idx="26">
                  <c:v>2021/22</c:v>
                </c:pt>
              </c:strCache>
            </c:strRef>
          </c:cat>
          <c:val>
            <c:numRef>
              <c:f>'Contact crime rate'!$E$8:$X$8</c:f>
              <c:numCache>
                <c:formatCode>General</c:formatCode>
                <c:ptCount val="20"/>
              </c:numCache>
            </c:numRef>
          </c:val>
          <c:smooth val="0"/>
          <c:extLst>
            <c:ext xmlns:c16="http://schemas.microsoft.com/office/drawing/2014/chart" uri="{C3380CC4-5D6E-409C-BE32-E72D297353CC}">
              <c16:uniqueId val="{00000000-00C3-4A73-A940-109FDC547DD2}"/>
            </c:ext>
          </c:extLst>
        </c:ser>
        <c:ser>
          <c:idx val="1"/>
          <c:order val="1"/>
          <c:tx>
            <c:strRef>
              <c:f>'Contact crime rate'!$D$9</c:f>
              <c:strCache>
                <c:ptCount val="1"/>
                <c:pt idx="0">
                  <c:v>Murder</c:v>
                </c:pt>
              </c:strCache>
            </c:strRef>
          </c:tx>
          <c:spPr>
            <a:ln w="28575" cap="rnd" cmpd="sng" algn="ctr">
              <a:solidFill>
                <a:schemeClr val="accent2">
                  <a:shade val="95000"/>
                  <a:satMod val="105000"/>
                </a:schemeClr>
              </a:solidFill>
              <a:prstDash val="solid"/>
              <a:round/>
            </a:ln>
            <a:effectLst/>
          </c:spPr>
          <c:marker>
            <c:symbol val="none"/>
          </c:marker>
          <c:cat>
            <c:strRef>
              <c:f>'Contact crime rate'!$E$7:$AE$7</c:f>
              <c:strCache>
                <c:ptCount val="27"/>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pt idx="25">
                  <c:v>2020/21</c:v>
                </c:pt>
                <c:pt idx="26">
                  <c:v>2021/22</c:v>
                </c:pt>
              </c:strCache>
            </c:strRef>
          </c:cat>
          <c:val>
            <c:numRef>
              <c:f>'Contact crime rate'!$E$9</c:f>
              <c:numCache>
                <c:formatCode>#\ ##0.0</c:formatCode>
                <c:ptCount val="1"/>
                <c:pt idx="0">
                  <c:v>67.908939309717496</c:v>
                </c:pt>
              </c:numCache>
            </c:numRef>
          </c:val>
          <c:smooth val="0"/>
          <c:extLst>
            <c:ext xmlns:c16="http://schemas.microsoft.com/office/drawing/2014/chart" uri="{C3380CC4-5D6E-409C-BE32-E72D297353CC}">
              <c16:uniqueId val="{00000001-00C3-4A73-A940-109FDC547DD2}"/>
            </c:ext>
          </c:extLst>
        </c:ser>
        <c:ser>
          <c:idx val="2"/>
          <c:order val="2"/>
          <c:tx>
            <c:strRef>
              <c:f>'Contact crime rate'!$D$10</c:f>
              <c:strCache>
                <c:ptCount val="1"/>
                <c:pt idx="0">
                  <c:v>Attempted Murder</c:v>
                </c:pt>
              </c:strCache>
            </c:strRef>
          </c:tx>
          <c:spPr>
            <a:ln w="28575" cap="rnd" cmpd="sng" algn="ctr">
              <a:solidFill>
                <a:schemeClr val="accent3">
                  <a:shade val="95000"/>
                  <a:satMod val="105000"/>
                </a:schemeClr>
              </a:solidFill>
              <a:prstDash val="solid"/>
              <a:round/>
            </a:ln>
            <a:effectLst/>
          </c:spPr>
          <c:marker>
            <c:symbol val="none"/>
          </c:marker>
          <c:cat>
            <c:strRef>
              <c:f>'Contact crime rate'!$E$7:$AE$7</c:f>
              <c:strCache>
                <c:ptCount val="27"/>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pt idx="25">
                  <c:v>2020/21</c:v>
                </c:pt>
                <c:pt idx="26">
                  <c:v>2021/22</c:v>
                </c:pt>
              </c:strCache>
            </c:strRef>
          </c:cat>
          <c:val>
            <c:numRef>
              <c:f>'Contact crime rate'!$E$10:$AE$10</c:f>
              <c:numCache>
                <c:formatCode>#\ ##0.0</c:formatCode>
                <c:ptCount val="27"/>
                <c:pt idx="0">
                  <c:v>67.906412653494399</c:v>
                </c:pt>
                <c:pt idx="1">
                  <c:v>70.412725858317103</c:v>
                </c:pt>
                <c:pt idx="2">
                  <c:v>68.366206762534006</c:v>
                </c:pt>
                <c:pt idx="3">
                  <c:v>70.358639740903001</c:v>
                </c:pt>
                <c:pt idx="4">
                  <c:v>65.449897962589404</c:v>
                </c:pt>
                <c:pt idx="5">
                  <c:v>64.387203693364299</c:v>
                </c:pt>
                <c:pt idx="6">
                  <c:v>69.819622935213999</c:v>
                </c:pt>
                <c:pt idx="7">
                  <c:v>78.896688085955503</c:v>
                </c:pt>
                <c:pt idx="8">
                  <c:v>64.839997991589897</c:v>
                </c:pt>
                <c:pt idx="9">
                  <c:v>52.6</c:v>
                </c:pt>
                <c:pt idx="10">
                  <c:v>43.8</c:v>
                </c:pt>
                <c:pt idx="11">
                  <c:v>42.5</c:v>
                </c:pt>
                <c:pt idx="12">
                  <c:v>39.299999999999997</c:v>
                </c:pt>
                <c:pt idx="13">
                  <c:v>37.6</c:v>
                </c:pt>
                <c:pt idx="14">
                  <c:v>35.299999999999997</c:v>
                </c:pt>
                <c:pt idx="15">
                  <c:v>30.100106947443656</c:v>
                </c:pt>
                <c:pt idx="16">
                  <c:v>28.458517632173116</c:v>
                </c:pt>
                <c:pt idx="17">
                  <c:v>30.915194769445783</c:v>
                </c:pt>
                <c:pt idx="18">
                  <c:v>31.871593616499467</c:v>
                </c:pt>
                <c:pt idx="19">
                  <c:v>32.403733911175642</c:v>
                </c:pt>
                <c:pt idx="20">
                  <c:v>32.978999517814536</c:v>
                </c:pt>
                <c:pt idx="21">
                  <c:v>32.600319690571638</c:v>
                </c:pt>
                <c:pt idx="22">
                  <c:v>32.126750975038746</c:v>
                </c:pt>
                <c:pt idx="23">
                  <c:v>32.895184770131479</c:v>
                </c:pt>
                <c:pt idx="24">
                  <c:v>31.757942411517416</c:v>
                </c:pt>
                <c:pt idx="25">
                  <c:v>31.33718780575828</c:v>
                </c:pt>
                <c:pt idx="26">
                  <c:v>36.607317636285629</c:v>
                </c:pt>
              </c:numCache>
            </c:numRef>
          </c:val>
          <c:smooth val="0"/>
          <c:extLst>
            <c:ext xmlns:c16="http://schemas.microsoft.com/office/drawing/2014/chart" uri="{C3380CC4-5D6E-409C-BE32-E72D297353CC}">
              <c16:uniqueId val="{00000002-00C3-4A73-A940-109FDC547DD2}"/>
            </c:ext>
          </c:extLst>
        </c:ser>
        <c:ser>
          <c:idx val="3"/>
          <c:order val="3"/>
          <c:tx>
            <c:strRef>
              <c:f>'Contact crime rate'!$D$11</c:f>
              <c:strCache>
                <c:ptCount val="1"/>
                <c:pt idx="0">
                  <c:v>Common Assault</c:v>
                </c:pt>
              </c:strCache>
            </c:strRef>
          </c:tx>
          <c:spPr>
            <a:ln w="28575" cap="rnd" cmpd="sng" algn="ctr">
              <a:solidFill>
                <a:schemeClr val="accent4">
                  <a:shade val="95000"/>
                  <a:satMod val="105000"/>
                </a:schemeClr>
              </a:solidFill>
              <a:prstDash val="solid"/>
              <a:round/>
            </a:ln>
            <a:effectLst/>
          </c:spPr>
          <c:marker>
            <c:symbol val="none"/>
          </c:marker>
          <c:cat>
            <c:strRef>
              <c:f>'Contact crime rate'!$E$7:$AE$7</c:f>
              <c:strCache>
                <c:ptCount val="27"/>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pt idx="25">
                  <c:v>2020/21</c:v>
                </c:pt>
                <c:pt idx="26">
                  <c:v>2021/22</c:v>
                </c:pt>
              </c:strCache>
            </c:strRef>
          </c:cat>
          <c:val>
            <c:numRef>
              <c:f>'Contact crime rate'!$E$11:$AE$11</c:f>
              <c:numCache>
                <c:formatCode>#\ ##0.0</c:formatCode>
                <c:ptCount val="27"/>
                <c:pt idx="0">
                  <c:v>520.50634190712003</c:v>
                </c:pt>
                <c:pt idx="1">
                  <c:v>500.25905801837598</c:v>
                </c:pt>
                <c:pt idx="2">
                  <c:v>489.01331130975501</c:v>
                </c:pt>
                <c:pt idx="3">
                  <c:v>485.04000762049901</c:v>
                </c:pt>
                <c:pt idx="4">
                  <c:v>538.91007930983506</c:v>
                </c:pt>
                <c:pt idx="5">
                  <c:v>569.66468591929799</c:v>
                </c:pt>
                <c:pt idx="6">
                  <c:v>584.30900751003298</c:v>
                </c:pt>
                <c:pt idx="7">
                  <c:v>621.576802046029</c:v>
                </c:pt>
                <c:pt idx="8">
                  <c:v>605.67491407611601</c:v>
                </c:pt>
                <c:pt idx="9">
                  <c:v>575</c:v>
                </c:pt>
                <c:pt idx="10">
                  <c:v>485.3</c:v>
                </c:pt>
                <c:pt idx="11">
                  <c:v>443.2</c:v>
                </c:pt>
                <c:pt idx="12">
                  <c:v>413.9</c:v>
                </c:pt>
                <c:pt idx="13">
                  <c:v>396.1</c:v>
                </c:pt>
                <c:pt idx="14">
                  <c:v>400</c:v>
                </c:pt>
                <c:pt idx="15">
                  <c:v>360.7760409729961</c:v>
                </c:pt>
                <c:pt idx="16">
                  <c:v>348.08070802447179</c:v>
                </c:pt>
                <c:pt idx="17">
                  <c:v>326.84687901944301</c:v>
                </c:pt>
                <c:pt idx="18">
                  <c:v>311.5702006840807</c:v>
                </c:pt>
                <c:pt idx="19">
                  <c:v>298.38338224212293</c:v>
                </c:pt>
                <c:pt idx="20">
                  <c:v>300.11308007169691</c:v>
                </c:pt>
                <c:pt idx="21">
                  <c:v>280.16039635209739</c:v>
                </c:pt>
                <c:pt idx="22">
                  <c:v>275.30192248083029</c:v>
                </c:pt>
                <c:pt idx="23">
                  <c:v>280.79107876599267</c:v>
                </c:pt>
                <c:pt idx="24">
                  <c:v>282.03643259735247</c:v>
                </c:pt>
                <c:pt idx="25">
                  <c:v>250.3390185528481</c:v>
                </c:pt>
                <c:pt idx="26">
                  <c:v>281.59717254654964</c:v>
                </c:pt>
              </c:numCache>
            </c:numRef>
          </c:val>
          <c:smooth val="0"/>
          <c:extLst>
            <c:ext xmlns:c16="http://schemas.microsoft.com/office/drawing/2014/chart" uri="{C3380CC4-5D6E-409C-BE32-E72D297353CC}">
              <c16:uniqueId val="{00000003-00C3-4A73-A940-109FDC547DD2}"/>
            </c:ext>
          </c:extLst>
        </c:ser>
        <c:ser>
          <c:idx val="4"/>
          <c:order val="4"/>
          <c:tx>
            <c:strRef>
              <c:f>'Contact crime rate'!$D$12</c:f>
              <c:strCache>
                <c:ptCount val="1"/>
                <c:pt idx="0">
                  <c:v>Assault Grievous Body Harm</c:v>
                </c:pt>
              </c:strCache>
            </c:strRef>
          </c:tx>
          <c:spPr>
            <a:ln w="28575" cap="rnd" cmpd="sng" algn="ctr">
              <a:solidFill>
                <a:schemeClr val="accent5">
                  <a:shade val="95000"/>
                  <a:satMod val="105000"/>
                </a:schemeClr>
              </a:solidFill>
              <a:prstDash val="solid"/>
              <a:round/>
            </a:ln>
            <a:effectLst/>
          </c:spPr>
          <c:marker>
            <c:symbol val="none"/>
          </c:marker>
          <c:cat>
            <c:strRef>
              <c:f>'Contact crime rate'!$E$7:$AE$7</c:f>
              <c:strCache>
                <c:ptCount val="27"/>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pt idx="25">
                  <c:v>2020/21</c:v>
                </c:pt>
                <c:pt idx="26">
                  <c:v>2021/22</c:v>
                </c:pt>
              </c:strCache>
            </c:strRef>
          </c:cat>
          <c:val>
            <c:numRef>
              <c:f>'Contact crime rate'!$E$12:$AE$12</c:f>
              <c:numCache>
                <c:formatCode>#\ ##0.0</c:formatCode>
                <c:ptCount val="27"/>
                <c:pt idx="0">
                  <c:v>563.68942341704997</c:v>
                </c:pt>
                <c:pt idx="1">
                  <c:v>570.42045065869399</c:v>
                </c:pt>
                <c:pt idx="2">
                  <c:v>570.39205207928501</c:v>
                </c:pt>
                <c:pt idx="3">
                  <c:v>566.34120784911397</c:v>
                </c:pt>
                <c:pt idx="4">
                  <c:v>608.07853671875398</c:v>
                </c:pt>
                <c:pt idx="5">
                  <c:v>630.15816686371397</c:v>
                </c:pt>
                <c:pt idx="6">
                  <c:v>589.05244912190301</c:v>
                </c:pt>
                <c:pt idx="7">
                  <c:v>585.92467772063696</c:v>
                </c:pt>
                <c:pt idx="8">
                  <c:v>560.70342989921198</c:v>
                </c:pt>
                <c:pt idx="9">
                  <c:v>535.29999999999995</c:v>
                </c:pt>
                <c:pt idx="10">
                  <c:v>484</c:v>
                </c:pt>
                <c:pt idx="11">
                  <c:v>460.1</c:v>
                </c:pt>
                <c:pt idx="12">
                  <c:v>439.1</c:v>
                </c:pt>
                <c:pt idx="13">
                  <c:v>418.5</c:v>
                </c:pt>
                <c:pt idx="14">
                  <c:v>416.2</c:v>
                </c:pt>
                <c:pt idx="15">
                  <c:v>386.97058065831379</c:v>
                </c:pt>
                <c:pt idx="16">
                  <c:v>370.19643452382587</c:v>
                </c:pt>
                <c:pt idx="17">
                  <c:v>352.35629416641672</c:v>
                </c:pt>
                <c:pt idx="18">
                  <c:v>342.05917233958428</c:v>
                </c:pt>
                <c:pt idx="19">
                  <c:v>337.31516495914815</c:v>
                </c:pt>
                <c:pt idx="20">
                  <c:v>332.81554139087359</c:v>
                </c:pt>
                <c:pt idx="21">
                  <c:v>305.52793981469767</c:v>
                </c:pt>
                <c:pt idx="22">
                  <c:v>294.87610536799667</c:v>
                </c:pt>
                <c:pt idx="23">
                  <c:v>296.33223376250317</c:v>
                </c:pt>
                <c:pt idx="24">
                  <c:v>284.12579333770771</c:v>
                </c:pt>
                <c:pt idx="25">
                  <c:v>240.20598551510653</c:v>
                </c:pt>
                <c:pt idx="26">
                  <c:v>269.79899608635549</c:v>
                </c:pt>
              </c:numCache>
            </c:numRef>
          </c:val>
          <c:smooth val="0"/>
          <c:extLst>
            <c:ext xmlns:c16="http://schemas.microsoft.com/office/drawing/2014/chart" uri="{C3380CC4-5D6E-409C-BE32-E72D297353CC}">
              <c16:uniqueId val="{00000004-00C3-4A73-A940-109FDC547DD2}"/>
            </c:ext>
          </c:extLst>
        </c:ser>
        <c:ser>
          <c:idx val="5"/>
          <c:order val="5"/>
          <c:tx>
            <c:strRef>
              <c:f>'Contact crime rate'!$D$13</c:f>
              <c:strCache>
                <c:ptCount val="1"/>
                <c:pt idx="0">
                  <c:v>Sexual Offences</c:v>
                </c:pt>
              </c:strCache>
            </c:strRef>
          </c:tx>
          <c:spPr>
            <a:ln w="28575" cap="rnd" cmpd="sng" algn="ctr">
              <a:solidFill>
                <a:schemeClr val="accent6">
                  <a:shade val="95000"/>
                  <a:satMod val="105000"/>
                </a:schemeClr>
              </a:solidFill>
              <a:prstDash val="solid"/>
              <a:round/>
            </a:ln>
            <a:effectLst/>
          </c:spPr>
          <c:marker>
            <c:symbol val="none"/>
          </c:marker>
          <c:cat>
            <c:strRef>
              <c:f>'Contact crime rate'!$E$7:$AE$7</c:f>
              <c:strCache>
                <c:ptCount val="27"/>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pt idx="25">
                  <c:v>2020/21</c:v>
                </c:pt>
                <c:pt idx="26">
                  <c:v>2021/22</c:v>
                </c:pt>
              </c:strCache>
            </c:strRef>
          </c:cat>
          <c:val>
            <c:numRef>
              <c:f>'Contact crime rate'!$E$13:$AE$13</c:f>
              <c:numCache>
                <c:formatCode>#\ ##0.0</c:formatCode>
                <c:ptCount val="27"/>
                <c:pt idx="8">
                  <c:v>142.5</c:v>
                </c:pt>
                <c:pt idx="9">
                  <c:v>148.4</c:v>
                </c:pt>
                <c:pt idx="10">
                  <c:v>145.19999999999999</c:v>
                </c:pt>
                <c:pt idx="11">
                  <c:v>137.6</c:v>
                </c:pt>
                <c:pt idx="12">
                  <c:v>133.4</c:v>
                </c:pt>
                <c:pt idx="13">
                  <c:v>144.80000000000001</c:v>
                </c:pt>
                <c:pt idx="14">
                  <c:v>138.5</c:v>
                </c:pt>
                <c:pt idx="15">
                  <c:v>127.22194291243424</c:v>
                </c:pt>
                <c:pt idx="16">
                  <c:v>116.96199585431964</c:v>
                </c:pt>
                <c:pt idx="17">
                  <c:v>115.93769272739682</c:v>
                </c:pt>
                <c:pt idx="18">
                  <c:v>106.33244606411147</c:v>
                </c:pt>
                <c:pt idx="19">
                  <c:v>99.070023442749857</c:v>
                </c:pt>
                <c:pt idx="20">
                  <c:v>94.414143541511848</c:v>
                </c:pt>
                <c:pt idx="21">
                  <c:v>88.927870136434379</c:v>
                </c:pt>
                <c:pt idx="22">
                  <c:v>88.290859313181656</c:v>
                </c:pt>
                <c:pt idx="23">
                  <c:v>90.851716841427404</c:v>
                </c:pt>
                <c:pt idx="24">
                  <c:v>90.822432247759465</c:v>
                </c:pt>
                <c:pt idx="25">
                  <c:v>77.415769351329089</c:v>
                </c:pt>
                <c:pt idx="26">
                  <c:v>87.304186265057027</c:v>
                </c:pt>
              </c:numCache>
            </c:numRef>
          </c:val>
          <c:smooth val="0"/>
          <c:extLst>
            <c:ext xmlns:c16="http://schemas.microsoft.com/office/drawing/2014/chart" uri="{C3380CC4-5D6E-409C-BE32-E72D297353CC}">
              <c16:uniqueId val="{00000005-00C3-4A73-A940-109FDC547DD2}"/>
            </c:ext>
          </c:extLst>
        </c:ser>
        <c:ser>
          <c:idx val="6"/>
          <c:order val="6"/>
          <c:tx>
            <c:strRef>
              <c:f>'Contact crime rate'!$D$14</c:f>
              <c:strCache>
                <c:ptCount val="1"/>
                <c:pt idx="0">
                  <c:v>Aggravated Robbery</c:v>
                </c:pt>
              </c:strCache>
            </c:strRef>
          </c:tx>
          <c:spPr>
            <a:ln w="28575" cap="rnd" cmpd="sng" algn="ctr">
              <a:solidFill>
                <a:schemeClr val="accent1">
                  <a:lumMod val="60000"/>
                  <a:shade val="95000"/>
                  <a:satMod val="105000"/>
                </a:schemeClr>
              </a:solidFill>
              <a:prstDash val="solid"/>
              <a:round/>
            </a:ln>
            <a:effectLst/>
          </c:spPr>
          <c:marker>
            <c:symbol val="none"/>
          </c:marker>
          <c:cat>
            <c:strRef>
              <c:f>'Contact crime rate'!$E$7:$AE$7</c:f>
              <c:strCache>
                <c:ptCount val="27"/>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pt idx="25">
                  <c:v>2020/21</c:v>
                </c:pt>
                <c:pt idx="26">
                  <c:v>2021/22</c:v>
                </c:pt>
              </c:strCache>
            </c:strRef>
          </c:cat>
          <c:val>
            <c:numRef>
              <c:f>'Contact crime rate'!$E$14:$AE$14</c:f>
              <c:numCache>
                <c:formatCode>#\ ##0.0</c:formatCode>
                <c:ptCount val="27"/>
                <c:pt idx="0">
                  <c:v>194.97448077214599</c:v>
                </c:pt>
                <c:pt idx="1">
                  <c:v>163.02901669106399</c:v>
                </c:pt>
                <c:pt idx="2">
                  <c:v>177.45093276331099</c:v>
                </c:pt>
                <c:pt idx="3">
                  <c:v>220.589636121166</c:v>
                </c:pt>
                <c:pt idx="4">
                  <c:v>229.50781672086799</c:v>
                </c:pt>
                <c:pt idx="5">
                  <c:v>260.30486544349401</c:v>
                </c:pt>
                <c:pt idx="6">
                  <c:v>260.45644402790202</c:v>
                </c:pt>
                <c:pt idx="7">
                  <c:v>279.199804845046</c:v>
                </c:pt>
                <c:pt idx="8">
                  <c:v>288.14950297778699</c:v>
                </c:pt>
                <c:pt idx="9">
                  <c:v>272.2</c:v>
                </c:pt>
                <c:pt idx="10">
                  <c:v>255.3</c:v>
                </c:pt>
                <c:pt idx="11">
                  <c:v>267.10000000000002</c:v>
                </c:pt>
                <c:pt idx="12">
                  <c:v>247.3</c:v>
                </c:pt>
                <c:pt idx="13">
                  <c:v>249.3</c:v>
                </c:pt>
                <c:pt idx="14">
                  <c:v>230.6</c:v>
                </c:pt>
                <c:pt idx="15">
                  <c:v>198.00030637127344</c:v>
                </c:pt>
                <c:pt idx="16">
                  <c:v>194.68678637314682</c:v>
                </c:pt>
                <c:pt idx="17">
                  <c:v>200.86117675777882</c:v>
                </c:pt>
                <c:pt idx="18">
                  <c:v>223.17619585612019</c:v>
                </c:pt>
                <c:pt idx="19">
                  <c:v>238.44100145792675</c:v>
                </c:pt>
                <c:pt idx="20">
                  <c:v>241.11038059785989</c:v>
                </c:pt>
                <c:pt idx="21">
                  <c:v>252.41475761077817</c:v>
                </c:pt>
                <c:pt idx="22">
                  <c:v>243.7989234854528</c:v>
                </c:pt>
                <c:pt idx="23">
                  <c:v>242.6964443483167</c:v>
                </c:pt>
                <c:pt idx="24">
                  <c:v>245.38911337989765</c:v>
                </c:pt>
                <c:pt idx="25">
                  <c:v>200.75265536055372</c:v>
                </c:pt>
                <c:pt idx="26">
                  <c:v>220.00509139113359</c:v>
                </c:pt>
              </c:numCache>
            </c:numRef>
          </c:val>
          <c:smooth val="0"/>
          <c:extLst>
            <c:ext xmlns:c16="http://schemas.microsoft.com/office/drawing/2014/chart" uri="{C3380CC4-5D6E-409C-BE32-E72D297353CC}">
              <c16:uniqueId val="{00000006-00C3-4A73-A940-109FDC547DD2}"/>
            </c:ext>
          </c:extLst>
        </c:ser>
        <c:ser>
          <c:idx val="7"/>
          <c:order val="7"/>
          <c:tx>
            <c:strRef>
              <c:f>'Contact crime rate'!$D$15</c:f>
              <c:strCache>
                <c:ptCount val="1"/>
                <c:pt idx="0">
                  <c:v>Common Robbery</c:v>
                </c:pt>
              </c:strCache>
            </c:strRef>
          </c:tx>
          <c:spPr>
            <a:ln w="28575" cap="rnd" cmpd="sng" algn="ctr">
              <a:solidFill>
                <a:schemeClr val="accent2">
                  <a:lumMod val="60000"/>
                  <a:shade val="95000"/>
                  <a:satMod val="105000"/>
                </a:schemeClr>
              </a:solidFill>
              <a:prstDash val="solid"/>
              <a:round/>
            </a:ln>
            <a:effectLst/>
          </c:spPr>
          <c:marker>
            <c:symbol val="none"/>
          </c:marker>
          <c:cat>
            <c:strRef>
              <c:f>'Contact crime rate'!$E$7:$AE$7</c:f>
              <c:strCache>
                <c:ptCount val="27"/>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pt idx="25">
                  <c:v>2020/21</c:v>
                </c:pt>
                <c:pt idx="26">
                  <c:v>2021/22</c:v>
                </c:pt>
              </c:strCache>
            </c:strRef>
          </c:cat>
          <c:val>
            <c:numRef>
              <c:f>'Contact crime rate'!$E$15:$AE$15</c:f>
              <c:numCache>
                <c:formatCode>#\ ##0.0</c:formatCode>
                <c:ptCount val="27"/>
                <c:pt idx="0">
                  <c:v>115.425236242357</c:v>
                </c:pt>
                <c:pt idx="1">
                  <c:v>124.868256424835</c:v>
                </c:pt>
                <c:pt idx="2">
                  <c:v>133.43373493975901</c:v>
                </c:pt>
                <c:pt idx="3">
                  <c:v>154.738997904363</c:v>
                </c:pt>
                <c:pt idx="4">
                  <c:v>173.52735465002399</c:v>
                </c:pt>
                <c:pt idx="5">
                  <c:v>206.509228569285</c:v>
                </c:pt>
                <c:pt idx="6">
                  <c:v>201.261594825392</c:v>
                </c:pt>
                <c:pt idx="7">
                  <c:v>223.38844477799501</c:v>
                </c:pt>
                <c:pt idx="8">
                  <c:v>205.99569916526201</c:v>
                </c:pt>
                <c:pt idx="9">
                  <c:v>195</c:v>
                </c:pt>
                <c:pt idx="10">
                  <c:v>159.4</c:v>
                </c:pt>
                <c:pt idx="11">
                  <c:v>150.1</c:v>
                </c:pt>
                <c:pt idx="12">
                  <c:v>135.80000000000001</c:v>
                </c:pt>
                <c:pt idx="13">
                  <c:v>121.7</c:v>
                </c:pt>
                <c:pt idx="14">
                  <c:v>116.7</c:v>
                </c:pt>
                <c:pt idx="15">
                  <c:v>106.68685041879738</c:v>
                </c:pt>
                <c:pt idx="16">
                  <c:v>101.55807453175913</c:v>
                </c:pt>
                <c:pt idx="17">
                  <c:v>101.29124790314349</c:v>
                </c:pt>
                <c:pt idx="18">
                  <c:v>100.37610315208687</c:v>
                </c:pt>
                <c:pt idx="19">
                  <c:v>101.49055668239406</c:v>
                </c:pt>
                <c:pt idx="20">
                  <c:v>98.443960054556442</c:v>
                </c:pt>
                <c:pt idx="21">
                  <c:v>95.657449998953908</c:v>
                </c:pt>
                <c:pt idx="22">
                  <c:v>89.38683030569382</c:v>
                </c:pt>
                <c:pt idx="23">
                  <c:v>89.716503668380184</c:v>
                </c:pt>
                <c:pt idx="24">
                  <c:v>88.320652829454801</c:v>
                </c:pt>
                <c:pt idx="25">
                  <c:v>63.066362672325212</c:v>
                </c:pt>
                <c:pt idx="26">
                  <c:v>68.923485570015032</c:v>
                </c:pt>
              </c:numCache>
            </c:numRef>
          </c:val>
          <c:smooth val="0"/>
          <c:extLst>
            <c:ext xmlns:c16="http://schemas.microsoft.com/office/drawing/2014/chart" uri="{C3380CC4-5D6E-409C-BE32-E72D297353CC}">
              <c16:uniqueId val="{00000007-00C3-4A73-A940-109FDC547DD2}"/>
            </c:ext>
          </c:extLst>
        </c:ser>
        <c:dLbls>
          <c:showLegendKey val="0"/>
          <c:showVal val="0"/>
          <c:showCatName val="0"/>
          <c:showSerName val="0"/>
          <c:showPercent val="0"/>
          <c:showBubbleSize val="0"/>
        </c:dLbls>
        <c:smooth val="0"/>
        <c:axId val="339090720"/>
        <c:axId val="339091280"/>
      </c:lineChart>
      <c:catAx>
        <c:axId val="33909072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lang="en-US" sz="800" b="0" i="0" u="none" strike="noStrike" kern="1200" baseline="0">
                <a:solidFill>
                  <a:schemeClr val="tx1"/>
                </a:solidFill>
                <a:latin typeface="+mn-lt"/>
                <a:ea typeface="+mn-ea"/>
                <a:cs typeface="+mn-cs"/>
              </a:defRPr>
            </a:pPr>
            <a:endParaRPr lang="en-US"/>
          </a:p>
        </c:txPr>
        <c:crossAx val="339091280"/>
        <c:crosses val="autoZero"/>
        <c:auto val="1"/>
        <c:lblAlgn val="ctr"/>
        <c:lblOffset val="100"/>
        <c:noMultiLvlLbl val="0"/>
      </c:catAx>
      <c:valAx>
        <c:axId val="33909128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lang="en-US" sz="1000" b="1" i="0" u="none" strike="noStrike" kern="1200" baseline="0">
                    <a:solidFill>
                      <a:schemeClr val="tx1"/>
                    </a:solidFill>
                    <a:latin typeface="+mn-lt"/>
                    <a:ea typeface="+mn-ea"/>
                    <a:cs typeface="+mn-cs"/>
                  </a:defRPr>
                </a:pPr>
                <a:r>
                  <a:rPr lang="en-US"/>
                  <a:t>Number per 100 000 of population</a:t>
                </a:r>
              </a:p>
            </c:rich>
          </c:tx>
          <c:layout>
            <c:manualLayout>
              <c:xMode val="edge"/>
              <c:yMode val="edge"/>
              <c:x val="2.33333347252049E-2"/>
              <c:y val="0.19296579491392299"/>
            </c:manualLayout>
          </c:layout>
          <c:overlay val="0"/>
          <c:spPr>
            <a:noFill/>
            <a:ln>
              <a:noFill/>
            </a:ln>
            <a:effectLst/>
          </c:spPr>
          <c:txPr>
            <a:bodyPr rot="-5400000" spcFirstLastPara="1" vertOverflow="ellipsis" vert="horz" wrap="square" anchor="ctr" anchorCtr="1"/>
            <a:lstStyle/>
            <a:p>
              <a:pPr>
                <a:defRPr lang="en-US"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339090720"/>
        <c:crosses val="autoZero"/>
        <c:crossBetween val="between"/>
      </c:valAx>
      <c:spPr>
        <a:solidFill>
          <a:schemeClr val="bg1"/>
        </a:solidFill>
        <a:ln>
          <a:noFill/>
        </a:ln>
        <a:effectLst/>
      </c:spPr>
    </c:plotArea>
    <c:legend>
      <c:legendPos val="b"/>
      <c:layout>
        <c:manualLayout>
          <c:xMode val="edge"/>
          <c:yMode val="edge"/>
          <c:x val="9.4052065765103929E-2"/>
          <c:y val="0.88927551220276568"/>
          <c:w val="0.80284148799119048"/>
          <c:h val="8.8361342891840014E-2"/>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lang="en-US"/>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87558185354E-2"/>
          <c:y val="2.1594126521586401E-2"/>
          <c:w val="0.94328429862533503"/>
          <c:h val="0.633029629258126"/>
        </c:manualLayout>
      </c:layout>
      <c:lineChart>
        <c:grouping val="standard"/>
        <c:varyColors val="0"/>
        <c:ser>
          <c:idx val="0"/>
          <c:order val="0"/>
          <c:tx>
            <c:strRef>
              <c:f>'Serious robberies'!$D$59</c:f>
              <c:strCache>
                <c:ptCount val="1"/>
                <c:pt idx="0">
                  <c:v>Carjacking</c:v>
                </c:pt>
              </c:strCache>
            </c:strRef>
          </c:tx>
          <c:marker>
            <c:symbol val="none"/>
          </c:marker>
          <c:cat>
            <c:multiLvlStrRef>
              <c:f>'Serious robberies'!$E$57:$V$58</c:f>
              <c:multiLvlStrCache>
                <c:ptCount val="18"/>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lvl>
                <c:lvl>
                  <c:pt idx="0">
                    <c:v>Selected aggravated robberies - reported cases</c:v>
                  </c:pt>
                </c:lvl>
              </c:multiLvlStrCache>
            </c:multiLvlStrRef>
          </c:cat>
          <c:val>
            <c:numRef>
              <c:f>'Serious robberies'!$E$59:$V$59</c:f>
              <c:numCache>
                <c:formatCode>0.0</c:formatCode>
                <c:ptCount val="18"/>
                <c:pt idx="0">
                  <c:v>100</c:v>
                </c:pt>
                <c:pt idx="1">
                  <c:v>103.1446035065144</c:v>
                </c:pt>
                <c:pt idx="2">
                  <c:v>109.3694708058549</c:v>
                </c:pt>
                <c:pt idx="3">
                  <c:v>114.21103426089753</c:v>
                </c:pt>
                <c:pt idx="4">
                  <c:v>119.953353707576</c:v>
                </c:pt>
                <c:pt idx="5">
                  <c:v>111.80633746179829</c:v>
                </c:pt>
                <c:pt idx="6">
                  <c:v>85.467267170661088</c:v>
                </c:pt>
                <c:pt idx="7">
                  <c:v>76.202348399549621</c:v>
                </c:pt>
                <c:pt idx="8">
                  <c:v>80.344217468232273</c:v>
                </c:pt>
                <c:pt idx="9">
                  <c:v>90.244490912015436</c:v>
                </c:pt>
                <c:pt idx="10">
                  <c:v>102.72639536754062</c:v>
                </c:pt>
                <c:pt idx="11">
                  <c:v>117.43606240952226</c:v>
                </c:pt>
                <c:pt idx="12">
                  <c:v>134.44587421585973</c:v>
                </c:pt>
                <c:pt idx="13">
                  <c:v>131.29322824513432</c:v>
                </c:pt>
                <c:pt idx="14">
                  <c:v>128.88853144603507</c:v>
                </c:pt>
                <c:pt idx="15">
                  <c:v>146.06723500080426</c:v>
                </c:pt>
                <c:pt idx="16">
                  <c:v>134.55846871481424</c:v>
                </c:pt>
                <c:pt idx="17">
                  <c:v>168.27247868746983</c:v>
                </c:pt>
              </c:numCache>
            </c:numRef>
          </c:val>
          <c:smooth val="0"/>
          <c:extLst>
            <c:ext xmlns:c16="http://schemas.microsoft.com/office/drawing/2014/chart" uri="{C3380CC4-5D6E-409C-BE32-E72D297353CC}">
              <c16:uniqueId val="{00000000-E89A-4D98-875B-088903205E48}"/>
            </c:ext>
          </c:extLst>
        </c:ser>
        <c:ser>
          <c:idx val="1"/>
          <c:order val="1"/>
          <c:tx>
            <c:strRef>
              <c:f>'Serious robberies'!$D$60</c:f>
              <c:strCache>
                <c:ptCount val="1"/>
                <c:pt idx="0">
                  <c:v>Truck jacking</c:v>
                </c:pt>
              </c:strCache>
            </c:strRef>
          </c:tx>
          <c:marker>
            <c:symbol val="none"/>
          </c:marker>
          <c:cat>
            <c:multiLvlStrRef>
              <c:f>'Serious robberies'!$E$57:$V$58</c:f>
              <c:multiLvlStrCache>
                <c:ptCount val="18"/>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lvl>
                <c:lvl>
                  <c:pt idx="0">
                    <c:v>Selected aggravated robberies - reported cases</c:v>
                  </c:pt>
                </c:lvl>
              </c:multiLvlStrCache>
            </c:multiLvlStrRef>
          </c:cat>
          <c:val>
            <c:numRef>
              <c:f>'Serious robberies'!$E$60:$V$60</c:f>
              <c:numCache>
                <c:formatCode>0.0</c:formatCode>
                <c:ptCount val="18"/>
                <c:pt idx="0">
                  <c:v>100</c:v>
                </c:pt>
                <c:pt idx="1">
                  <c:v>89.13978494623656</c:v>
                </c:pt>
                <c:pt idx="2">
                  <c:v>95.913978494623649</c:v>
                </c:pt>
                <c:pt idx="3">
                  <c:v>133.87096774193549</c:v>
                </c:pt>
                <c:pt idx="4">
                  <c:v>154.51612903225808</c:v>
                </c:pt>
                <c:pt idx="5">
                  <c:v>151.82795698924733</c:v>
                </c:pt>
                <c:pt idx="6">
                  <c:v>107.41935483870968</c:v>
                </c:pt>
                <c:pt idx="7">
                  <c:v>88.27956989247312</c:v>
                </c:pt>
                <c:pt idx="8">
                  <c:v>101.39784946236558</c:v>
                </c:pt>
                <c:pt idx="9">
                  <c:v>106.55913978494624</c:v>
                </c:pt>
                <c:pt idx="10">
                  <c:v>137.52688172043011</c:v>
                </c:pt>
                <c:pt idx="11">
                  <c:v>127.31182795698925</c:v>
                </c:pt>
                <c:pt idx="12">
                  <c:v>127.20430107526882</c:v>
                </c:pt>
                <c:pt idx="13">
                  <c:v>129.24731182795699</c:v>
                </c:pt>
                <c:pt idx="14">
                  <c:v>127.09677419354838</c:v>
                </c:pt>
                <c:pt idx="15">
                  <c:v>129.24731182795699</c:v>
                </c:pt>
                <c:pt idx="16">
                  <c:v>150.21505376344086</c:v>
                </c:pt>
                <c:pt idx="17">
                  <c:v>187.20430107526883</c:v>
                </c:pt>
              </c:numCache>
            </c:numRef>
          </c:val>
          <c:smooth val="0"/>
          <c:extLst>
            <c:ext xmlns:c16="http://schemas.microsoft.com/office/drawing/2014/chart" uri="{C3380CC4-5D6E-409C-BE32-E72D297353CC}">
              <c16:uniqueId val="{00000001-E89A-4D98-875B-088903205E48}"/>
            </c:ext>
          </c:extLst>
        </c:ser>
        <c:ser>
          <c:idx val="2"/>
          <c:order val="2"/>
          <c:tx>
            <c:strRef>
              <c:f>'Serious robberies'!$D$61</c:f>
              <c:strCache>
                <c:ptCount val="1"/>
                <c:pt idx="0">
                  <c:v>Robbery of cash in transit</c:v>
                </c:pt>
              </c:strCache>
            </c:strRef>
          </c:tx>
          <c:marker>
            <c:symbol val="none"/>
          </c:marker>
          <c:cat>
            <c:multiLvlStrRef>
              <c:f>'Serious robberies'!$E$57:$V$58</c:f>
              <c:multiLvlStrCache>
                <c:ptCount val="18"/>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lvl>
                <c:lvl>
                  <c:pt idx="0">
                    <c:v>Selected aggravated robberies - reported cases</c:v>
                  </c:pt>
                </c:lvl>
              </c:multiLvlStrCache>
            </c:multiLvlStrRef>
          </c:cat>
          <c:val>
            <c:numRef>
              <c:f>'Serious robberies'!$E$61:$V$61</c:f>
              <c:numCache>
                <c:formatCode>0.0</c:formatCode>
                <c:ptCount val="18"/>
                <c:pt idx="0">
                  <c:v>100</c:v>
                </c:pt>
                <c:pt idx="1">
                  <c:v>174.09090909090909</c:v>
                </c:pt>
                <c:pt idx="2">
                  <c:v>212.27272727272725</c:v>
                </c:pt>
                <c:pt idx="3">
                  <c:v>179.54545454545453</c:v>
                </c:pt>
                <c:pt idx="4">
                  <c:v>175.45454545454547</c:v>
                </c:pt>
                <c:pt idx="5">
                  <c:v>162.72727272727272</c:v>
                </c:pt>
                <c:pt idx="6">
                  <c:v>132.27272727272728</c:v>
                </c:pt>
                <c:pt idx="7">
                  <c:v>82.727272727272734</c:v>
                </c:pt>
                <c:pt idx="8">
                  <c:v>65.909090909090907</c:v>
                </c:pt>
                <c:pt idx="9">
                  <c:v>65.909090909090907</c:v>
                </c:pt>
                <c:pt idx="10">
                  <c:v>54.090909090909086</c:v>
                </c:pt>
                <c:pt idx="11">
                  <c:v>62.272727272727266</c:v>
                </c:pt>
                <c:pt idx="12">
                  <c:v>69.090909090909093</c:v>
                </c:pt>
                <c:pt idx="13">
                  <c:v>108.18181818181817</c:v>
                </c:pt>
                <c:pt idx="14">
                  <c:v>83.181818181818173</c:v>
                </c:pt>
                <c:pt idx="15">
                  <c:v>74.545454545454547</c:v>
                </c:pt>
                <c:pt idx="16">
                  <c:v>88.63636363636364</c:v>
                </c:pt>
                <c:pt idx="17">
                  <c:v>108.18181818181817</c:v>
                </c:pt>
              </c:numCache>
            </c:numRef>
          </c:val>
          <c:smooth val="0"/>
          <c:extLst>
            <c:ext xmlns:c16="http://schemas.microsoft.com/office/drawing/2014/chart" uri="{C3380CC4-5D6E-409C-BE32-E72D297353CC}">
              <c16:uniqueId val="{00000002-E89A-4D98-875B-088903205E48}"/>
            </c:ext>
          </c:extLst>
        </c:ser>
        <c:ser>
          <c:idx val="3"/>
          <c:order val="3"/>
          <c:tx>
            <c:strRef>
              <c:f>'Serious robberies'!$D$62</c:f>
              <c:strCache>
                <c:ptCount val="1"/>
                <c:pt idx="0">
                  <c:v>Common Robberies</c:v>
                </c:pt>
              </c:strCache>
            </c:strRef>
          </c:tx>
          <c:marker>
            <c:symbol val="none"/>
          </c:marker>
          <c:cat>
            <c:multiLvlStrRef>
              <c:f>'Serious robberies'!$E$57:$V$58</c:f>
              <c:multiLvlStrCache>
                <c:ptCount val="18"/>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lvl>
                <c:lvl>
                  <c:pt idx="0">
                    <c:v>Selected aggravated robberies - reported cases</c:v>
                  </c:pt>
                </c:lvl>
              </c:multiLvlStrCache>
            </c:multiLvlStrRef>
          </c:cat>
          <c:val>
            <c:numRef>
              <c:f>'Serious robberies'!$E$62:$V$62</c:f>
              <c:numCache>
                <c:formatCode>0.0</c:formatCode>
                <c:ptCount val="18"/>
                <c:pt idx="0">
                  <c:v>100</c:v>
                </c:pt>
                <c:pt idx="1">
                  <c:v>90.674658488988015</c:v>
                </c:pt>
                <c:pt idx="2">
                  <c:v>91.621530128639122</c:v>
                </c:pt>
                <c:pt idx="3">
                  <c:v>77.645465769246087</c:v>
                </c:pt>
                <c:pt idx="4">
                  <c:v>71.880600581464819</c:v>
                </c:pt>
                <c:pt idx="5">
                  <c:v>67.376239595364211</c:v>
                </c:pt>
                <c:pt idx="6">
                  <c:v>57.699430483093714</c:v>
                </c:pt>
                <c:pt idx="7">
                  <c:v>57.721334979489427</c:v>
                </c:pt>
                <c:pt idx="8">
                  <c:v>60.213469273965515</c:v>
                </c:pt>
                <c:pt idx="9">
                  <c:v>68.939424110876573</c:v>
                </c:pt>
                <c:pt idx="10">
                  <c:v>54.688557887610024</c:v>
                </c:pt>
                <c:pt idx="11">
                  <c:v>53.875104544187344</c:v>
                </c:pt>
                <c:pt idx="12">
                  <c:v>53.186108566649402</c:v>
                </c:pt>
                <c:pt idx="13">
                  <c:v>50.509777370663912</c:v>
                </c:pt>
                <c:pt idx="14">
                  <c:v>51.540284360189567</c:v>
                </c:pt>
                <c:pt idx="15">
                  <c:v>51.600023895814253</c:v>
                </c:pt>
                <c:pt idx="16">
                  <c:v>37.484567286630295</c:v>
                </c:pt>
                <c:pt idx="17">
                  <c:v>41.419411366442311</c:v>
                </c:pt>
              </c:numCache>
            </c:numRef>
          </c:val>
          <c:smooth val="0"/>
          <c:extLst>
            <c:ext xmlns:c16="http://schemas.microsoft.com/office/drawing/2014/chart" uri="{C3380CC4-5D6E-409C-BE32-E72D297353CC}">
              <c16:uniqueId val="{00000003-E89A-4D98-875B-088903205E48}"/>
            </c:ext>
          </c:extLst>
        </c:ser>
        <c:ser>
          <c:idx val="4"/>
          <c:order val="4"/>
          <c:tx>
            <c:strRef>
              <c:f>'Serious robberies'!$D$63</c:f>
              <c:strCache>
                <c:ptCount val="1"/>
                <c:pt idx="0">
                  <c:v>Bank robbery</c:v>
                </c:pt>
              </c:strCache>
            </c:strRef>
          </c:tx>
          <c:marker>
            <c:symbol val="none"/>
          </c:marker>
          <c:cat>
            <c:multiLvlStrRef>
              <c:f>'Serious robberies'!$E$57:$V$58</c:f>
              <c:multiLvlStrCache>
                <c:ptCount val="18"/>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lvl>
                <c:lvl>
                  <c:pt idx="0">
                    <c:v>Selected aggravated robberies - reported cases</c:v>
                  </c:pt>
                </c:lvl>
              </c:multiLvlStrCache>
            </c:multiLvlStrRef>
          </c:cat>
          <c:val>
            <c:numRef>
              <c:f>'Serious robberies'!$E$63:$V$63</c:f>
              <c:numCache>
                <c:formatCode>0.0</c:formatCode>
                <c:ptCount val="18"/>
                <c:pt idx="0">
                  <c:v>100</c:v>
                </c:pt>
                <c:pt idx="1">
                  <c:v>101.72413793103448</c:v>
                </c:pt>
                <c:pt idx="2">
                  <c:v>222.41379310344826</c:v>
                </c:pt>
                <c:pt idx="3">
                  <c:v>248.27586206896552</c:v>
                </c:pt>
                <c:pt idx="4">
                  <c:v>175.86206896551724</c:v>
                </c:pt>
                <c:pt idx="5">
                  <c:v>160.34482758620689</c:v>
                </c:pt>
                <c:pt idx="6">
                  <c:v>67.241379310344826</c:v>
                </c:pt>
                <c:pt idx="7">
                  <c:v>60.344827586206897</c:v>
                </c:pt>
                <c:pt idx="8">
                  <c:v>12.068965517241379</c:v>
                </c:pt>
                <c:pt idx="9">
                  <c:v>36.206896551724135</c:v>
                </c:pt>
                <c:pt idx="10">
                  <c:v>29.310344827586203</c:v>
                </c:pt>
                <c:pt idx="11">
                  <c:v>10.344827586206897</c:v>
                </c:pt>
                <c:pt idx="12">
                  <c:v>5.1724137931034484</c:v>
                </c:pt>
                <c:pt idx="13">
                  <c:v>22.413793103448278</c:v>
                </c:pt>
                <c:pt idx="14">
                  <c:v>6.8965517241379306</c:v>
                </c:pt>
                <c:pt idx="15">
                  <c:v>0</c:v>
                </c:pt>
                <c:pt idx="16">
                  <c:v>3.4482758620689653</c:v>
                </c:pt>
                <c:pt idx="17">
                  <c:v>22.413793103448278</c:v>
                </c:pt>
              </c:numCache>
            </c:numRef>
          </c:val>
          <c:smooth val="0"/>
          <c:extLst>
            <c:ext xmlns:c16="http://schemas.microsoft.com/office/drawing/2014/chart" uri="{C3380CC4-5D6E-409C-BE32-E72D297353CC}">
              <c16:uniqueId val="{00000004-E89A-4D98-875B-088903205E48}"/>
            </c:ext>
          </c:extLst>
        </c:ser>
        <c:ser>
          <c:idx val="5"/>
          <c:order val="5"/>
          <c:tx>
            <c:strRef>
              <c:f>'Serious robberies'!$D$64</c:f>
              <c:strCache>
                <c:ptCount val="1"/>
                <c:pt idx="0">
                  <c:v>Robbery at residential premises</c:v>
                </c:pt>
              </c:strCache>
            </c:strRef>
          </c:tx>
          <c:marker>
            <c:symbol val="none"/>
          </c:marker>
          <c:cat>
            <c:multiLvlStrRef>
              <c:f>'Serious robberies'!$E$57:$V$58</c:f>
              <c:multiLvlStrCache>
                <c:ptCount val="18"/>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lvl>
                <c:lvl>
                  <c:pt idx="0">
                    <c:v>Selected aggravated robberies - reported cases</c:v>
                  </c:pt>
                </c:lvl>
              </c:multiLvlStrCache>
            </c:multiLvlStrRef>
          </c:cat>
          <c:val>
            <c:numRef>
              <c:f>'Serious robberies'!$E$64:$V$64</c:f>
              <c:numCache>
                <c:formatCode>0.0</c:formatCode>
                <c:ptCount val="18"/>
                <c:pt idx="0">
                  <c:v>100</c:v>
                </c:pt>
                <c:pt idx="1">
                  <c:v>108.32712171227772</c:v>
                </c:pt>
                <c:pt idx="2">
                  <c:v>135.88542221275691</c:v>
                </c:pt>
                <c:pt idx="4">
                  <c:v>196.33691832605686</c:v>
                </c:pt>
                <c:pt idx="5">
                  <c:v>200.04259397295283</c:v>
                </c:pt>
                <c:pt idx="6">
                  <c:v>179.84240230007453</c:v>
                </c:pt>
                <c:pt idx="7">
                  <c:v>178.53263763177509</c:v>
                </c:pt>
                <c:pt idx="8">
                  <c:v>191.14045362581194</c:v>
                </c:pt>
                <c:pt idx="9">
                  <c:v>205.34554360557982</c:v>
                </c:pt>
                <c:pt idx="10">
                  <c:v>215.96209136407199</c:v>
                </c:pt>
                <c:pt idx="11">
                  <c:v>221.70162921946545</c:v>
                </c:pt>
                <c:pt idx="12">
                  <c:v>237.91928442125442</c:v>
                </c:pt>
                <c:pt idx="13">
                  <c:v>237.04610797572144</c:v>
                </c:pt>
                <c:pt idx="14">
                  <c:v>238.85635182621661</c:v>
                </c:pt>
                <c:pt idx="15">
                  <c:v>225.00266212330956</c:v>
                </c:pt>
                <c:pt idx="16">
                  <c:v>222.23405388137581</c:v>
                </c:pt>
                <c:pt idx="17">
                  <c:v>232.47790437653072</c:v>
                </c:pt>
              </c:numCache>
            </c:numRef>
          </c:val>
          <c:smooth val="0"/>
          <c:extLst>
            <c:ext xmlns:c16="http://schemas.microsoft.com/office/drawing/2014/chart" uri="{C3380CC4-5D6E-409C-BE32-E72D297353CC}">
              <c16:uniqueId val="{00000005-E89A-4D98-875B-088903205E48}"/>
            </c:ext>
          </c:extLst>
        </c:ser>
        <c:ser>
          <c:idx val="6"/>
          <c:order val="6"/>
          <c:tx>
            <c:strRef>
              <c:f>'Serious robberies'!$D$65</c:f>
              <c:strCache>
                <c:ptCount val="1"/>
                <c:pt idx="0">
                  <c:v>Robbery at non-residential premises</c:v>
                </c:pt>
              </c:strCache>
            </c:strRef>
          </c:tx>
          <c:marker>
            <c:symbol val="none"/>
          </c:marker>
          <c:cat>
            <c:multiLvlStrRef>
              <c:f>'Serious robberies'!$E$57:$V$58</c:f>
              <c:multiLvlStrCache>
                <c:ptCount val="18"/>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lvl>
                <c:lvl>
                  <c:pt idx="0">
                    <c:v>Selected aggravated robberies - reported cases</c:v>
                  </c:pt>
                </c:lvl>
              </c:multiLvlStrCache>
            </c:multiLvlStrRef>
          </c:cat>
          <c:val>
            <c:numRef>
              <c:f>'Serious robberies'!$E$65:$V$65</c:f>
              <c:numCache>
                <c:formatCode>0.0</c:formatCode>
                <c:ptCount val="18"/>
                <c:pt idx="0">
                  <c:v>100</c:v>
                </c:pt>
                <c:pt idx="1">
                  <c:v>132.13855421686748</c:v>
                </c:pt>
                <c:pt idx="2">
                  <c:v>201.47590361445782</c:v>
                </c:pt>
                <c:pt idx="3">
                  <c:v>297.0481927710843</c:v>
                </c:pt>
                <c:pt idx="4">
                  <c:v>419.2771084337349</c:v>
                </c:pt>
                <c:pt idx="5">
                  <c:v>437.77108433734941</c:v>
                </c:pt>
                <c:pt idx="6">
                  <c:v>441.77710843373495</c:v>
                </c:pt>
                <c:pt idx="7">
                  <c:v>480.4518072289157</c:v>
                </c:pt>
                <c:pt idx="8">
                  <c:v>493.2831325301205</c:v>
                </c:pt>
                <c:pt idx="9">
                  <c:v>560.69277108433732</c:v>
                </c:pt>
                <c:pt idx="10">
                  <c:v>577.40963855421694</c:v>
                </c:pt>
                <c:pt idx="11">
                  <c:v>593.31325301204822</c:v>
                </c:pt>
                <c:pt idx="12">
                  <c:v>622.89156626506031</c:v>
                </c:pt>
                <c:pt idx="13">
                  <c:v>603.82530120481931</c:v>
                </c:pt>
                <c:pt idx="14">
                  <c:v>602.13855421686753</c:v>
                </c:pt>
                <c:pt idx="15">
                  <c:v>622.01807228915663</c:v>
                </c:pt>
                <c:pt idx="16">
                  <c:v>549.12650602409633</c:v>
                </c:pt>
                <c:pt idx="17">
                  <c:v>602.77108433734941</c:v>
                </c:pt>
              </c:numCache>
            </c:numRef>
          </c:val>
          <c:smooth val="0"/>
          <c:extLst>
            <c:ext xmlns:c16="http://schemas.microsoft.com/office/drawing/2014/chart" uri="{C3380CC4-5D6E-409C-BE32-E72D297353CC}">
              <c16:uniqueId val="{00000006-E89A-4D98-875B-088903205E48}"/>
            </c:ext>
          </c:extLst>
        </c:ser>
        <c:dLbls>
          <c:showLegendKey val="0"/>
          <c:showVal val="0"/>
          <c:showCatName val="0"/>
          <c:showSerName val="0"/>
          <c:showPercent val="0"/>
          <c:showBubbleSize val="0"/>
        </c:dLbls>
        <c:smooth val="0"/>
        <c:axId val="339097440"/>
        <c:axId val="339098000"/>
      </c:lineChart>
      <c:catAx>
        <c:axId val="339097440"/>
        <c:scaling>
          <c:orientation val="minMax"/>
        </c:scaling>
        <c:delete val="0"/>
        <c:axPos val="b"/>
        <c:numFmt formatCode="General" sourceLinked="0"/>
        <c:majorTickMark val="out"/>
        <c:minorTickMark val="out"/>
        <c:tickLblPos val="nextTo"/>
        <c:txPr>
          <a:bodyPr rot="-60000000" spcFirstLastPara="0"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crossAx val="339098000"/>
        <c:crosses val="autoZero"/>
        <c:auto val="1"/>
        <c:lblAlgn val="ctr"/>
        <c:lblOffset val="100"/>
        <c:noMultiLvlLbl val="0"/>
      </c:catAx>
      <c:valAx>
        <c:axId val="339098000"/>
        <c:scaling>
          <c:orientation val="minMax"/>
        </c:scaling>
        <c:delete val="0"/>
        <c:axPos val="l"/>
        <c:majorGridlines/>
        <c:numFmt formatCode="0" sourceLinked="0"/>
        <c:majorTickMark val="out"/>
        <c:minorTickMark val="none"/>
        <c:tickLblPos val="nextTo"/>
        <c:txPr>
          <a:bodyPr rot="-60000000" spcFirstLastPara="0" vertOverflow="ellipsis" vert="horz" wrap="square" anchor="ctr" anchorCtr="1"/>
          <a:lstStyle/>
          <a:p>
            <a:pPr>
              <a:defRPr lang="en-US" sz="800" b="0" i="0" u="none" strike="noStrike" kern="1200" baseline="0">
                <a:solidFill>
                  <a:schemeClr val="tx1"/>
                </a:solidFill>
                <a:latin typeface="+mn-lt"/>
                <a:ea typeface="+mn-ea"/>
                <a:cs typeface="+mn-cs"/>
              </a:defRPr>
            </a:pPr>
            <a:endParaRPr lang="en-US"/>
          </a:p>
        </c:txPr>
        <c:crossAx val="339097440"/>
        <c:crosses val="autoZero"/>
        <c:crossBetween val="between"/>
      </c:valAx>
    </c:plotArea>
    <c:legend>
      <c:legendPos val="b"/>
      <c:layout>
        <c:manualLayout>
          <c:xMode val="edge"/>
          <c:yMode val="edge"/>
          <c:x val="2.2662914952224899E-2"/>
          <c:y val="0.79860318887304405"/>
          <c:w val="0.94533980492027603"/>
          <c:h val="0.14047497261661199"/>
        </c:manualLayout>
      </c:layout>
      <c:overlay val="0"/>
      <c:txPr>
        <a:bodyPr rot="0" spcFirstLastPara="0"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en-US" sz="800"/>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61990042658897E-2"/>
          <c:y val="1.82423275521932E-2"/>
          <c:w val="0.94328429862533503"/>
          <c:h val="0.633029629258126"/>
        </c:manualLayout>
      </c:layout>
      <c:lineChart>
        <c:grouping val="standard"/>
        <c:varyColors val="0"/>
        <c:ser>
          <c:idx val="0"/>
          <c:order val="0"/>
          <c:tx>
            <c:strRef>
              <c:f>'Serious robberies'!$D$59</c:f>
              <c:strCache>
                <c:ptCount val="1"/>
                <c:pt idx="0">
                  <c:v>Carjacking</c:v>
                </c:pt>
              </c:strCache>
            </c:strRef>
          </c:tx>
          <c:spPr>
            <a:ln w="25400" cap="rnd" cmpd="sng" algn="ctr">
              <a:solidFill>
                <a:srgbClr val="FF6600"/>
              </a:solidFill>
              <a:prstDash val="solid"/>
              <a:round/>
            </a:ln>
          </c:spPr>
          <c:marker>
            <c:symbol val="none"/>
          </c:marker>
          <c:cat>
            <c:multiLvlStrRef>
              <c:f>'Serious robberies'!$E$57:$V$58</c:f>
              <c:multiLvlStrCache>
                <c:ptCount val="18"/>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lvl>
                <c:lvl>
                  <c:pt idx="0">
                    <c:v>Selected aggravated robberies - reported cases</c:v>
                  </c:pt>
                </c:lvl>
              </c:multiLvlStrCache>
            </c:multiLvlStrRef>
          </c:cat>
          <c:val>
            <c:numRef>
              <c:f>'Serious robberies'!$E$59:$V$59</c:f>
              <c:numCache>
                <c:formatCode>0.0</c:formatCode>
                <c:ptCount val="18"/>
                <c:pt idx="0">
                  <c:v>100</c:v>
                </c:pt>
                <c:pt idx="1">
                  <c:v>103.1446035065144</c:v>
                </c:pt>
                <c:pt idx="2">
                  <c:v>109.3694708058549</c:v>
                </c:pt>
                <c:pt idx="3">
                  <c:v>114.21103426089753</c:v>
                </c:pt>
                <c:pt idx="4">
                  <c:v>119.953353707576</c:v>
                </c:pt>
                <c:pt idx="5">
                  <c:v>111.80633746179829</c:v>
                </c:pt>
                <c:pt idx="6">
                  <c:v>85.467267170661088</c:v>
                </c:pt>
                <c:pt idx="7">
                  <c:v>76.202348399549621</c:v>
                </c:pt>
                <c:pt idx="8">
                  <c:v>80.344217468232273</c:v>
                </c:pt>
                <c:pt idx="9">
                  <c:v>90.244490912015436</c:v>
                </c:pt>
                <c:pt idx="10">
                  <c:v>102.72639536754062</c:v>
                </c:pt>
                <c:pt idx="11">
                  <c:v>117.43606240952226</c:v>
                </c:pt>
                <c:pt idx="12">
                  <c:v>134.44587421585973</c:v>
                </c:pt>
                <c:pt idx="13">
                  <c:v>131.29322824513432</c:v>
                </c:pt>
                <c:pt idx="14">
                  <c:v>128.88853144603507</c:v>
                </c:pt>
                <c:pt idx="15">
                  <c:v>146.06723500080426</c:v>
                </c:pt>
                <c:pt idx="16">
                  <c:v>134.55846871481424</c:v>
                </c:pt>
                <c:pt idx="17">
                  <c:v>168.27247868746983</c:v>
                </c:pt>
              </c:numCache>
            </c:numRef>
          </c:val>
          <c:smooth val="0"/>
          <c:extLst>
            <c:ext xmlns:c16="http://schemas.microsoft.com/office/drawing/2014/chart" uri="{C3380CC4-5D6E-409C-BE32-E72D297353CC}">
              <c16:uniqueId val="{00000000-1994-416F-BE55-6F704EFE0DD5}"/>
            </c:ext>
          </c:extLst>
        </c:ser>
        <c:ser>
          <c:idx val="1"/>
          <c:order val="1"/>
          <c:tx>
            <c:strRef>
              <c:f>'Serious robberies'!$D$60</c:f>
              <c:strCache>
                <c:ptCount val="1"/>
                <c:pt idx="0">
                  <c:v>Truck jacking</c:v>
                </c:pt>
              </c:strCache>
            </c:strRef>
          </c:tx>
          <c:spPr>
            <a:ln w="25400" cap="rnd" cmpd="sng" algn="ctr">
              <a:solidFill>
                <a:srgbClr val="3D96AE"/>
              </a:solidFill>
              <a:prstDash val="solid"/>
              <a:round/>
            </a:ln>
          </c:spPr>
          <c:marker>
            <c:symbol val="none"/>
          </c:marker>
          <c:cat>
            <c:multiLvlStrRef>
              <c:f>'Serious robberies'!$E$57:$V$58</c:f>
              <c:multiLvlStrCache>
                <c:ptCount val="18"/>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lvl>
                <c:lvl>
                  <c:pt idx="0">
                    <c:v>Selected aggravated robberies - reported cases</c:v>
                  </c:pt>
                </c:lvl>
              </c:multiLvlStrCache>
            </c:multiLvlStrRef>
          </c:cat>
          <c:val>
            <c:numRef>
              <c:f>'Serious robberies'!$E$60:$V$60</c:f>
              <c:numCache>
                <c:formatCode>0.0</c:formatCode>
                <c:ptCount val="18"/>
                <c:pt idx="0">
                  <c:v>100</c:v>
                </c:pt>
                <c:pt idx="1">
                  <c:v>89.13978494623656</c:v>
                </c:pt>
                <c:pt idx="2">
                  <c:v>95.913978494623649</c:v>
                </c:pt>
                <c:pt idx="3">
                  <c:v>133.87096774193549</c:v>
                </c:pt>
                <c:pt idx="4">
                  <c:v>154.51612903225808</c:v>
                </c:pt>
                <c:pt idx="5">
                  <c:v>151.82795698924733</c:v>
                </c:pt>
                <c:pt idx="6">
                  <c:v>107.41935483870968</c:v>
                </c:pt>
                <c:pt idx="7">
                  <c:v>88.27956989247312</c:v>
                </c:pt>
                <c:pt idx="8">
                  <c:v>101.39784946236558</c:v>
                </c:pt>
                <c:pt idx="9">
                  <c:v>106.55913978494624</c:v>
                </c:pt>
                <c:pt idx="10">
                  <c:v>137.52688172043011</c:v>
                </c:pt>
                <c:pt idx="11">
                  <c:v>127.31182795698925</c:v>
                </c:pt>
                <c:pt idx="12">
                  <c:v>127.20430107526882</c:v>
                </c:pt>
                <c:pt idx="13">
                  <c:v>129.24731182795699</c:v>
                </c:pt>
                <c:pt idx="14">
                  <c:v>127.09677419354838</c:v>
                </c:pt>
                <c:pt idx="15">
                  <c:v>129.24731182795699</c:v>
                </c:pt>
                <c:pt idx="16">
                  <c:v>150.21505376344086</c:v>
                </c:pt>
                <c:pt idx="17">
                  <c:v>187.20430107526883</c:v>
                </c:pt>
              </c:numCache>
            </c:numRef>
          </c:val>
          <c:smooth val="0"/>
          <c:extLst>
            <c:ext xmlns:c16="http://schemas.microsoft.com/office/drawing/2014/chart" uri="{C3380CC4-5D6E-409C-BE32-E72D297353CC}">
              <c16:uniqueId val="{00000001-1994-416F-BE55-6F704EFE0DD5}"/>
            </c:ext>
          </c:extLst>
        </c:ser>
        <c:ser>
          <c:idx val="2"/>
          <c:order val="2"/>
          <c:tx>
            <c:strRef>
              <c:f>'Serious robberies'!$D$61</c:f>
              <c:strCache>
                <c:ptCount val="1"/>
                <c:pt idx="0">
                  <c:v>Robbery of cash in transit</c:v>
                </c:pt>
              </c:strCache>
            </c:strRef>
          </c:tx>
          <c:spPr>
            <a:ln w="25400" cap="rnd" cmpd="sng" algn="ctr">
              <a:solidFill>
                <a:srgbClr val="BE4B48"/>
              </a:solidFill>
              <a:prstDash val="solid"/>
              <a:round/>
            </a:ln>
          </c:spPr>
          <c:marker>
            <c:symbol val="none"/>
          </c:marker>
          <c:cat>
            <c:multiLvlStrRef>
              <c:f>'Serious robberies'!$E$57:$V$58</c:f>
              <c:multiLvlStrCache>
                <c:ptCount val="18"/>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lvl>
                <c:lvl>
                  <c:pt idx="0">
                    <c:v>Selected aggravated robberies - reported cases</c:v>
                  </c:pt>
                </c:lvl>
              </c:multiLvlStrCache>
            </c:multiLvlStrRef>
          </c:cat>
          <c:val>
            <c:numRef>
              <c:f>'Serious robberies'!$E$61:$V$61</c:f>
              <c:numCache>
                <c:formatCode>0.0</c:formatCode>
                <c:ptCount val="18"/>
                <c:pt idx="0">
                  <c:v>100</c:v>
                </c:pt>
                <c:pt idx="1">
                  <c:v>174.09090909090909</c:v>
                </c:pt>
                <c:pt idx="2">
                  <c:v>212.27272727272725</c:v>
                </c:pt>
                <c:pt idx="3">
                  <c:v>179.54545454545453</c:v>
                </c:pt>
                <c:pt idx="4">
                  <c:v>175.45454545454547</c:v>
                </c:pt>
                <c:pt idx="5">
                  <c:v>162.72727272727272</c:v>
                </c:pt>
                <c:pt idx="6">
                  <c:v>132.27272727272728</c:v>
                </c:pt>
                <c:pt idx="7">
                  <c:v>82.727272727272734</c:v>
                </c:pt>
                <c:pt idx="8">
                  <c:v>65.909090909090907</c:v>
                </c:pt>
                <c:pt idx="9">
                  <c:v>65.909090909090907</c:v>
                </c:pt>
                <c:pt idx="10">
                  <c:v>54.090909090909086</c:v>
                </c:pt>
                <c:pt idx="11">
                  <c:v>62.272727272727266</c:v>
                </c:pt>
                <c:pt idx="12">
                  <c:v>69.090909090909093</c:v>
                </c:pt>
                <c:pt idx="13">
                  <c:v>108.18181818181817</c:v>
                </c:pt>
                <c:pt idx="14">
                  <c:v>83.181818181818173</c:v>
                </c:pt>
                <c:pt idx="15">
                  <c:v>74.545454545454547</c:v>
                </c:pt>
                <c:pt idx="16">
                  <c:v>88.63636363636364</c:v>
                </c:pt>
                <c:pt idx="17">
                  <c:v>108.18181818181817</c:v>
                </c:pt>
              </c:numCache>
            </c:numRef>
          </c:val>
          <c:smooth val="0"/>
          <c:extLst>
            <c:ext xmlns:c16="http://schemas.microsoft.com/office/drawing/2014/chart" uri="{C3380CC4-5D6E-409C-BE32-E72D297353CC}">
              <c16:uniqueId val="{00000002-1994-416F-BE55-6F704EFE0DD5}"/>
            </c:ext>
          </c:extLst>
        </c:ser>
        <c:ser>
          <c:idx val="3"/>
          <c:order val="3"/>
          <c:tx>
            <c:strRef>
              <c:f>'Serious robberies'!$D$62</c:f>
              <c:strCache>
                <c:ptCount val="1"/>
                <c:pt idx="0">
                  <c:v>Common Robberies</c:v>
                </c:pt>
              </c:strCache>
            </c:strRef>
          </c:tx>
          <c:spPr>
            <a:ln w="25400" cap="rnd" cmpd="sng" algn="ctr">
              <a:solidFill>
                <a:srgbClr val="000AFF"/>
              </a:solidFill>
              <a:prstDash val="solid"/>
              <a:round/>
            </a:ln>
          </c:spPr>
          <c:marker>
            <c:symbol val="none"/>
          </c:marker>
          <c:cat>
            <c:multiLvlStrRef>
              <c:f>'Serious robberies'!$E$57:$V$58</c:f>
              <c:multiLvlStrCache>
                <c:ptCount val="18"/>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lvl>
                <c:lvl>
                  <c:pt idx="0">
                    <c:v>Selected aggravated robberies - reported cases</c:v>
                  </c:pt>
                </c:lvl>
              </c:multiLvlStrCache>
            </c:multiLvlStrRef>
          </c:cat>
          <c:val>
            <c:numRef>
              <c:f>'Serious robberies'!$E$62:$V$62</c:f>
              <c:numCache>
                <c:formatCode>0.0</c:formatCode>
                <c:ptCount val="18"/>
                <c:pt idx="0">
                  <c:v>100</c:v>
                </c:pt>
                <c:pt idx="1">
                  <c:v>90.674658488988015</c:v>
                </c:pt>
                <c:pt idx="2">
                  <c:v>91.621530128639122</c:v>
                </c:pt>
                <c:pt idx="3">
                  <c:v>77.645465769246087</c:v>
                </c:pt>
                <c:pt idx="4">
                  <c:v>71.880600581464819</c:v>
                </c:pt>
                <c:pt idx="5">
                  <c:v>67.376239595364211</c:v>
                </c:pt>
                <c:pt idx="6">
                  <c:v>57.699430483093714</c:v>
                </c:pt>
                <c:pt idx="7">
                  <c:v>57.721334979489427</c:v>
                </c:pt>
                <c:pt idx="8">
                  <c:v>60.213469273965515</c:v>
                </c:pt>
                <c:pt idx="9">
                  <c:v>68.939424110876573</c:v>
                </c:pt>
                <c:pt idx="10">
                  <c:v>54.688557887610024</c:v>
                </c:pt>
                <c:pt idx="11">
                  <c:v>53.875104544187344</c:v>
                </c:pt>
                <c:pt idx="12">
                  <c:v>53.186108566649402</c:v>
                </c:pt>
                <c:pt idx="13">
                  <c:v>50.509777370663912</c:v>
                </c:pt>
                <c:pt idx="14">
                  <c:v>51.540284360189567</c:v>
                </c:pt>
                <c:pt idx="15">
                  <c:v>51.600023895814253</c:v>
                </c:pt>
                <c:pt idx="16">
                  <c:v>37.484567286630295</c:v>
                </c:pt>
                <c:pt idx="17">
                  <c:v>41.419411366442311</c:v>
                </c:pt>
              </c:numCache>
            </c:numRef>
          </c:val>
          <c:smooth val="0"/>
          <c:extLst>
            <c:ext xmlns:c16="http://schemas.microsoft.com/office/drawing/2014/chart" uri="{C3380CC4-5D6E-409C-BE32-E72D297353CC}">
              <c16:uniqueId val="{00000003-1994-416F-BE55-6F704EFE0DD5}"/>
            </c:ext>
          </c:extLst>
        </c:ser>
        <c:ser>
          <c:idx val="4"/>
          <c:order val="4"/>
          <c:tx>
            <c:strRef>
              <c:f>'Serious robberies'!$D$63</c:f>
              <c:strCache>
                <c:ptCount val="1"/>
                <c:pt idx="0">
                  <c:v>Bank robbery</c:v>
                </c:pt>
              </c:strCache>
            </c:strRef>
          </c:tx>
          <c:spPr>
            <a:ln w="25400" cap="rnd" cmpd="sng" algn="ctr">
              <a:solidFill>
                <a:srgbClr val="FFC000"/>
              </a:solidFill>
              <a:prstDash val="solid"/>
              <a:round/>
            </a:ln>
          </c:spPr>
          <c:marker>
            <c:symbol val="none"/>
          </c:marker>
          <c:cat>
            <c:multiLvlStrRef>
              <c:f>'Serious robberies'!$E$57:$V$58</c:f>
              <c:multiLvlStrCache>
                <c:ptCount val="18"/>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lvl>
                <c:lvl>
                  <c:pt idx="0">
                    <c:v>Selected aggravated robberies - reported cases</c:v>
                  </c:pt>
                </c:lvl>
              </c:multiLvlStrCache>
            </c:multiLvlStrRef>
          </c:cat>
          <c:val>
            <c:numRef>
              <c:f>'Serious robberies'!$E$63:$V$63</c:f>
              <c:numCache>
                <c:formatCode>0.0</c:formatCode>
                <c:ptCount val="18"/>
                <c:pt idx="0">
                  <c:v>100</c:v>
                </c:pt>
                <c:pt idx="1">
                  <c:v>101.72413793103448</c:v>
                </c:pt>
                <c:pt idx="2">
                  <c:v>222.41379310344826</c:v>
                </c:pt>
                <c:pt idx="3">
                  <c:v>248.27586206896552</c:v>
                </c:pt>
                <c:pt idx="4">
                  <c:v>175.86206896551724</c:v>
                </c:pt>
                <c:pt idx="5">
                  <c:v>160.34482758620689</c:v>
                </c:pt>
                <c:pt idx="6">
                  <c:v>67.241379310344826</c:v>
                </c:pt>
                <c:pt idx="7">
                  <c:v>60.344827586206897</c:v>
                </c:pt>
                <c:pt idx="8">
                  <c:v>12.068965517241379</c:v>
                </c:pt>
                <c:pt idx="9">
                  <c:v>36.206896551724135</c:v>
                </c:pt>
                <c:pt idx="10">
                  <c:v>29.310344827586203</c:v>
                </c:pt>
                <c:pt idx="11">
                  <c:v>10.344827586206897</c:v>
                </c:pt>
                <c:pt idx="12">
                  <c:v>5.1724137931034484</c:v>
                </c:pt>
                <c:pt idx="13">
                  <c:v>22.413793103448278</c:v>
                </c:pt>
                <c:pt idx="14">
                  <c:v>6.8965517241379306</c:v>
                </c:pt>
                <c:pt idx="15">
                  <c:v>0</c:v>
                </c:pt>
                <c:pt idx="16">
                  <c:v>3.4482758620689653</c:v>
                </c:pt>
                <c:pt idx="17">
                  <c:v>22.413793103448278</c:v>
                </c:pt>
              </c:numCache>
            </c:numRef>
          </c:val>
          <c:smooth val="0"/>
          <c:extLst>
            <c:ext xmlns:c16="http://schemas.microsoft.com/office/drawing/2014/chart" uri="{C3380CC4-5D6E-409C-BE32-E72D297353CC}">
              <c16:uniqueId val="{00000004-1994-416F-BE55-6F704EFE0DD5}"/>
            </c:ext>
          </c:extLst>
        </c:ser>
        <c:ser>
          <c:idx val="5"/>
          <c:order val="5"/>
          <c:tx>
            <c:strRef>
              <c:f>'Serious robberies'!$D$64</c:f>
              <c:strCache>
                <c:ptCount val="1"/>
                <c:pt idx="0">
                  <c:v>Robbery at residential premises</c:v>
                </c:pt>
              </c:strCache>
            </c:strRef>
          </c:tx>
          <c:spPr>
            <a:ln w="25400" cap="rnd" cmpd="sng" algn="ctr">
              <a:solidFill>
                <a:srgbClr val="F30DE3"/>
              </a:solidFill>
              <a:prstDash val="solid"/>
              <a:round/>
            </a:ln>
          </c:spPr>
          <c:marker>
            <c:symbol val="none"/>
          </c:marker>
          <c:cat>
            <c:multiLvlStrRef>
              <c:f>'Serious robberies'!$E$57:$V$58</c:f>
              <c:multiLvlStrCache>
                <c:ptCount val="18"/>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lvl>
                <c:lvl>
                  <c:pt idx="0">
                    <c:v>Selected aggravated robberies - reported cases</c:v>
                  </c:pt>
                </c:lvl>
              </c:multiLvlStrCache>
            </c:multiLvlStrRef>
          </c:cat>
          <c:val>
            <c:numRef>
              <c:f>'Serious robberies'!$E$64:$V$64</c:f>
              <c:numCache>
                <c:formatCode>0.0</c:formatCode>
                <c:ptCount val="18"/>
                <c:pt idx="0">
                  <c:v>100</c:v>
                </c:pt>
                <c:pt idx="1">
                  <c:v>108.32712171227772</c:v>
                </c:pt>
                <c:pt idx="2">
                  <c:v>135.88542221275691</c:v>
                </c:pt>
                <c:pt idx="4">
                  <c:v>196.33691832605686</c:v>
                </c:pt>
                <c:pt idx="5">
                  <c:v>200.04259397295283</c:v>
                </c:pt>
                <c:pt idx="6">
                  <c:v>179.84240230007453</c:v>
                </c:pt>
                <c:pt idx="7">
                  <c:v>178.53263763177509</c:v>
                </c:pt>
                <c:pt idx="8">
                  <c:v>191.14045362581194</c:v>
                </c:pt>
                <c:pt idx="9">
                  <c:v>205.34554360557982</c:v>
                </c:pt>
                <c:pt idx="10">
                  <c:v>215.96209136407199</c:v>
                </c:pt>
                <c:pt idx="11">
                  <c:v>221.70162921946545</c:v>
                </c:pt>
                <c:pt idx="12">
                  <c:v>237.91928442125442</c:v>
                </c:pt>
                <c:pt idx="13">
                  <c:v>237.04610797572144</c:v>
                </c:pt>
                <c:pt idx="14">
                  <c:v>238.85635182621661</c:v>
                </c:pt>
                <c:pt idx="15">
                  <c:v>225.00266212330956</c:v>
                </c:pt>
                <c:pt idx="16">
                  <c:v>222.23405388137581</c:v>
                </c:pt>
                <c:pt idx="17">
                  <c:v>232.47790437653072</c:v>
                </c:pt>
              </c:numCache>
            </c:numRef>
          </c:val>
          <c:smooth val="0"/>
          <c:extLst>
            <c:ext xmlns:c16="http://schemas.microsoft.com/office/drawing/2014/chart" uri="{C3380CC4-5D6E-409C-BE32-E72D297353CC}">
              <c16:uniqueId val="{00000005-1994-416F-BE55-6F704EFE0DD5}"/>
            </c:ext>
          </c:extLst>
        </c:ser>
        <c:ser>
          <c:idx val="6"/>
          <c:order val="6"/>
          <c:tx>
            <c:strRef>
              <c:f>'Serious robberies'!$D$65</c:f>
              <c:strCache>
                <c:ptCount val="1"/>
                <c:pt idx="0">
                  <c:v>Robbery at non-residential premises</c:v>
                </c:pt>
              </c:strCache>
            </c:strRef>
          </c:tx>
          <c:spPr>
            <a:ln w="25400" cap="rnd" cmpd="sng" algn="ctr">
              <a:solidFill>
                <a:srgbClr val="00B050"/>
              </a:solidFill>
              <a:prstDash val="solid"/>
              <a:round/>
            </a:ln>
          </c:spPr>
          <c:marker>
            <c:symbol val="none"/>
          </c:marker>
          <c:cat>
            <c:multiLvlStrRef>
              <c:f>'Serious robberies'!$E$57:$V$58</c:f>
              <c:multiLvlStrCache>
                <c:ptCount val="18"/>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lvl>
                <c:lvl>
                  <c:pt idx="0">
                    <c:v>Selected aggravated robberies - reported cases</c:v>
                  </c:pt>
                </c:lvl>
              </c:multiLvlStrCache>
            </c:multiLvlStrRef>
          </c:cat>
          <c:val>
            <c:numRef>
              <c:f>'Serious robberies'!$E$65:$V$65</c:f>
              <c:numCache>
                <c:formatCode>0.0</c:formatCode>
                <c:ptCount val="18"/>
                <c:pt idx="0">
                  <c:v>100</c:v>
                </c:pt>
                <c:pt idx="1">
                  <c:v>132.13855421686748</c:v>
                </c:pt>
                <c:pt idx="2">
                  <c:v>201.47590361445782</c:v>
                </c:pt>
                <c:pt idx="3">
                  <c:v>297.0481927710843</c:v>
                </c:pt>
                <c:pt idx="4">
                  <c:v>419.2771084337349</c:v>
                </c:pt>
                <c:pt idx="5">
                  <c:v>437.77108433734941</c:v>
                </c:pt>
                <c:pt idx="6">
                  <c:v>441.77710843373495</c:v>
                </c:pt>
                <c:pt idx="7">
                  <c:v>480.4518072289157</c:v>
                </c:pt>
                <c:pt idx="8">
                  <c:v>493.2831325301205</c:v>
                </c:pt>
                <c:pt idx="9">
                  <c:v>560.69277108433732</c:v>
                </c:pt>
                <c:pt idx="10">
                  <c:v>577.40963855421694</c:v>
                </c:pt>
                <c:pt idx="11">
                  <c:v>593.31325301204822</c:v>
                </c:pt>
                <c:pt idx="12">
                  <c:v>622.89156626506031</c:v>
                </c:pt>
                <c:pt idx="13">
                  <c:v>603.82530120481931</c:v>
                </c:pt>
                <c:pt idx="14">
                  <c:v>602.13855421686753</c:v>
                </c:pt>
                <c:pt idx="15">
                  <c:v>622.01807228915663</c:v>
                </c:pt>
                <c:pt idx="16">
                  <c:v>549.12650602409633</c:v>
                </c:pt>
                <c:pt idx="17">
                  <c:v>602.77108433734941</c:v>
                </c:pt>
              </c:numCache>
            </c:numRef>
          </c:val>
          <c:smooth val="0"/>
          <c:extLst>
            <c:ext xmlns:c16="http://schemas.microsoft.com/office/drawing/2014/chart" uri="{C3380CC4-5D6E-409C-BE32-E72D297353CC}">
              <c16:uniqueId val="{00000006-1994-416F-BE55-6F704EFE0DD5}"/>
            </c:ext>
          </c:extLst>
        </c:ser>
        <c:dLbls>
          <c:showLegendKey val="0"/>
          <c:showVal val="0"/>
          <c:showCatName val="0"/>
          <c:showSerName val="0"/>
          <c:showPercent val="0"/>
          <c:showBubbleSize val="0"/>
        </c:dLbls>
        <c:smooth val="0"/>
        <c:axId val="282612064"/>
        <c:axId val="282612624"/>
      </c:lineChart>
      <c:catAx>
        <c:axId val="282612064"/>
        <c:scaling>
          <c:orientation val="minMax"/>
        </c:scaling>
        <c:delete val="0"/>
        <c:axPos val="b"/>
        <c:numFmt formatCode="General" sourceLinked="0"/>
        <c:majorTickMark val="out"/>
        <c:minorTickMark val="out"/>
        <c:tickLblPos val="nextTo"/>
        <c:txPr>
          <a:bodyPr rot="-60000000" spcFirstLastPara="0" vertOverflow="ellipsis" vert="horz" wrap="square" anchor="ctr" anchorCtr="1"/>
          <a:lstStyle/>
          <a:p>
            <a:pPr>
              <a:defRPr lang="en-US" sz="800" b="0" i="0" u="none" strike="noStrike" kern="1200" baseline="0">
                <a:solidFill>
                  <a:schemeClr val="tx1"/>
                </a:solidFill>
                <a:latin typeface="+mn-lt"/>
                <a:ea typeface="+mn-ea"/>
                <a:cs typeface="+mn-cs"/>
              </a:defRPr>
            </a:pPr>
            <a:endParaRPr lang="en-US"/>
          </a:p>
        </c:txPr>
        <c:crossAx val="282612624"/>
        <c:crosses val="autoZero"/>
        <c:auto val="1"/>
        <c:lblAlgn val="ctr"/>
        <c:lblOffset val="100"/>
        <c:noMultiLvlLbl val="0"/>
      </c:catAx>
      <c:valAx>
        <c:axId val="282612624"/>
        <c:scaling>
          <c:orientation val="minMax"/>
        </c:scaling>
        <c:delete val="0"/>
        <c:axPos val="l"/>
        <c:majorGridlines/>
        <c:numFmt formatCode="0.0" sourceLinked="1"/>
        <c:majorTickMark val="out"/>
        <c:minorTickMark val="none"/>
        <c:tickLblPos val="nextTo"/>
        <c:txPr>
          <a:bodyPr rot="-60000000" spcFirstLastPara="0" vertOverflow="ellipsis" vert="horz" wrap="square" anchor="ctr" anchorCtr="1"/>
          <a:lstStyle/>
          <a:p>
            <a:pPr>
              <a:defRPr lang="en-US" sz="800" b="0" i="0" u="none" strike="noStrike" kern="1200" baseline="0">
                <a:solidFill>
                  <a:schemeClr val="tx1"/>
                </a:solidFill>
                <a:latin typeface="+mn-lt"/>
                <a:ea typeface="+mn-ea"/>
                <a:cs typeface="+mn-cs"/>
              </a:defRPr>
            </a:pPr>
            <a:endParaRPr lang="en-US"/>
          </a:p>
        </c:txPr>
        <c:crossAx val="282612064"/>
        <c:crosses val="autoZero"/>
        <c:crossBetween val="between"/>
      </c:valAx>
    </c:plotArea>
    <c:legend>
      <c:legendPos val="b"/>
      <c:layout>
        <c:manualLayout>
          <c:xMode val="edge"/>
          <c:yMode val="edge"/>
          <c:x val="8.0172720603536779E-2"/>
          <c:y val="0.78353232362135605"/>
          <c:w val="0.91589734310408999"/>
          <c:h val="0.213282047903008"/>
        </c:manualLayout>
      </c:layout>
      <c:overlay val="0"/>
      <c:txPr>
        <a:bodyPr rot="0" spcFirstLastPara="0"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en-US" sz="800"/>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132768407380799E-2"/>
          <c:y val="2.1594195630004798E-2"/>
          <c:w val="0.94328429862533503"/>
          <c:h val="0.633029629258126"/>
        </c:manualLayout>
      </c:layout>
      <c:lineChart>
        <c:grouping val="standard"/>
        <c:varyColors val="0"/>
        <c:ser>
          <c:idx val="0"/>
          <c:order val="0"/>
          <c:tx>
            <c:strRef>
              <c:f>'Serious robberies'!$D$59</c:f>
              <c:strCache>
                <c:ptCount val="1"/>
                <c:pt idx="0">
                  <c:v>Carjacking</c:v>
                </c:pt>
              </c:strCache>
            </c:strRef>
          </c:tx>
          <c:marker>
            <c:symbol val="none"/>
          </c:marker>
          <c:cat>
            <c:strRef>
              <c:f>'Serious robberies'!$E$58:$V$58</c:f>
              <c:strCache>
                <c:ptCount val="18"/>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strCache>
            </c:strRef>
          </c:cat>
          <c:val>
            <c:numRef>
              <c:f>'Serious robberies'!$E$59:$V$59</c:f>
              <c:numCache>
                <c:formatCode>0.0</c:formatCode>
                <c:ptCount val="18"/>
                <c:pt idx="0">
                  <c:v>100</c:v>
                </c:pt>
                <c:pt idx="1">
                  <c:v>103.1446035065144</c:v>
                </c:pt>
                <c:pt idx="2">
                  <c:v>109.3694708058549</c:v>
                </c:pt>
                <c:pt idx="3">
                  <c:v>114.21103426089753</c:v>
                </c:pt>
                <c:pt idx="4">
                  <c:v>119.953353707576</c:v>
                </c:pt>
                <c:pt idx="5">
                  <c:v>111.80633746179829</c:v>
                </c:pt>
                <c:pt idx="6">
                  <c:v>85.467267170661088</c:v>
                </c:pt>
                <c:pt idx="7">
                  <c:v>76.202348399549621</c:v>
                </c:pt>
                <c:pt idx="8">
                  <c:v>80.344217468232273</c:v>
                </c:pt>
                <c:pt idx="9">
                  <c:v>90.244490912015436</c:v>
                </c:pt>
                <c:pt idx="10">
                  <c:v>102.72639536754062</c:v>
                </c:pt>
                <c:pt idx="11">
                  <c:v>117.43606240952226</c:v>
                </c:pt>
                <c:pt idx="12">
                  <c:v>134.44587421585973</c:v>
                </c:pt>
                <c:pt idx="13">
                  <c:v>131.29322824513432</c:v>
                </c:pt>
                <c:pt idx="14">
                  <c:v>128.88853144603507</c:v>
                </c:pt>
                <c:pt idx="15">
                  <c:v>146.06723500080426</c:v>
                </c:pt>
                <c:pt idx="16">
                  <c:v>134.55846871481424</c:v>
                </c:pt>
                <c:pt idx="17">
                  <c:v>168.27247868746983</c:v>
                </c:pt>
              </c:numCache>
            </c:numRef>
          </c:val>
          <c:smooth val="0"/>
          <c:extLst>
            <c:ext xmlns:c16="http://schemas.microsoft.com/office/drawing/2014/chart" uri="{C3380CC4-5D6E-409C-BE32-E72D297353CC}">
              <c16:uniqueId val="{00000000-6DE2-4B93-99BD-064F5A88E4D2}"/>
            </c:ext>
          </c:extLst>
        </c:ser>
        <c:ser>
          <c:idx val="1"/>
          <c:order val="1"/>
          <c:tx>
            <c:strRef>
              <c:f>'Serious robberies'!$D$60</c:f>
              <c:strCache>
                <c:ptCount val="1"/>
                <c:pt idx="0">
                  <c:v>Truck jacking</c:v>
                </c:pt>
              </c:strCache>
            </c:strRef>
          </c:tx>
          <c:marker>
            <c:symbol val="none"/>
          </c:marker>
          <c:cat>
            <c:strRef>
              <c:f>'Serious robberies'!$E$58:$V$58</c:f>
              <c:strCache>
                <c:ptCount val="18"/>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strCache>
            </c:strRef>
          </c:cat>
          <c:val>
            <c:numRef>
              <c:f>'Serious robberies'!$E$60:$V$60</c:f>
              <c:numCache>
                <c:formatCode>0.0</c:formatCode>
                <c:ptCount val="18"/>
                <c:pt idx="0">
                  <c:v>100</c:v>
                </c:pt>
                <c:pt idx="1">
                  <c:v>89.13978494623656</c:v>
                </c:pt>
                <c:pt idx="2">
                  <c:v>95.913978494623649</c:v>
                </c:pt>
                <c:pt idx="3">
                  <c:v>133.87096774193549</c:v>
                </c:pt>
                <c:pt idx="4">
                  <c:v>154.51612903225808</c:v>
                </c:pt>
                <c:pt idx="5">
                  <c:v>151.82795698924733</c:v>
                </c:pt>
                <c:pt idx="6">
                  <c:v>107.41935483870968</c:v>
                </c:pt>
                <c:pt idx="7">
                  <c:v>88.27956989247312</c:v>
                </c:pt>
                <c:pt idx="8">
                  <c:v>101.39784946236558</c:v>
                </c:pt>
                <c:pt idx="9">
                  <c:v>106.55913978494624</c:v>
                </c:pt>
                <c:pt idx="10">
                  <c:v>137.52688172043011</c:v>
                </c:pt>
                <c:pt idx="11">
                  <c:v>127.31182795698925</c:v>
                </c:pt>
                <c:pt idx="12">
                  <c:v>127.20430107526882</c:v>
                </c:pt>
                <c:pt idx="13">
                  <c:v>129.24731182795699</c:v>
                </c:pt>
                <c:pt idx="14">
                  <c:v>127.09677419354838</c:v>
                </c:pt>
                <c:pt idx="15">
                  <c:v>129.24731182795699</c:v>
                </c:pt>
                <c:pt idx="16">
                  <c:v>150.21505376344086</c:v>
                </c:pt>
                <c:pt idx="17">
                  <c:v>187.20430107526883</c:v>
                </c:pt>
              </c:numCache>
            </c:numRef>
          </c:val>
          <c:smooth val="0"/>
          <c:extLst>
            <c:ext xmlns:c16="http://schemas.microsoft.com/office/drawing/2014/chart" uri="{C3380CC4-5D6E-409C-BE32-E72D297353CC}">
              <c16:uniqueId val="{00000001-6DE2-4B93-99BD-064F5A88E4D2}"/>
            </c:ext>
          </c:extLst>
        </c:ser>
        <c:ser>
          <c:idx val="2"/>
          <c:order val="2"/>
          <c:tx>
            <c:strRef>
              <c:f>'Serious robberies'!$D$61</c:f>
              <c:strCache>
                <c:ptCount val="1"/>
                <c:pt idx="0">
                  <c:v>Robbery of cash in transit</c:v>
                </c:pt>
              </c:strCache>
            </c:strRef>
          </c:tx>
          <c:marker>
            <c:symbol val="none"/>
          </c:marker>
          <c:cat>
            <c:strRef>
              <c:f>'Serious robberies'!$E$58:$V$58</c:f>
              <c:strCache>
                <c:ptCount val="18"/>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strCache>
            </c:strRef>
          </c:cat>
          <c:val>
            <c:numRef>
              <c:f>'Serious robberies'!$E$61:$V$61</c:f>
              <c:numCache>
                <c:formatCode>0.0</c:formatCode>
                <c:ptCount val="18"/>
                <c:pt idx="0">
                  <c:v>100</c:v>
                </c:pt>
                <c:pt idx="1">
                  <c:v>174.09090909090909</c:v>
                </c:pt>
                <c:pt idx="2">
                  <c:v>212.27272727272725</c:v>
                </c:pt>
                <c:pt idx="3">
                  <c:v>179.54545454545453</c:v>
                </c:pt>
                <c:pt idx="4">
                  <c:v>175.45454545454547</c:v>
                </c:pt>
                <c:pt idx="5">
                  <c:v>162.72727272727272</c:v>
                </c:pt>
                <c:pt idx="6">
                  <c:v>132.27272727272728</c:v>
                </c:pt>
                <c:pt idx="7">
                  <c:v>82.727272727272734</c:v>
                </c:pt>
                <c:pt idx="8">
                  <c:v>65.909090909090907</c:v>
                </c:pt>
                <c:pt idx="9">
                  <c:v>65.909090909090907</c:v>
                </c:pt>
                <c:pt idx="10">
                  <c:v>54.090909090909086</c:v>
                </c:pt>
                <c:pt idx="11">
                  <c:v>62.272727272727266</c:v>
                </c:pt>
                <c:pt idx="12">
                  <c:v>69.090909090909093</c:v>
                </c:pt>
                <c:pt idx="13">
                  <c:v>108.18181818181817</c:v>
                </c:pt>
                <c:pt idx="14">
                  <c:v>83.181818181818173</c:v>
                </c:pt>
                <c:pt idx="15">
                  <c:v>74.545454545454547</c:v>
                </c:pt>
                <c:pt idx="16">
                  <c:v>88.63636363636364</c:v>
                </c:pt>
                <c:pt idx="17">
                  <c:v>108.18181818181817</c:v>
                </c:pt>
              </c:numCache>
            </c:numRef>
          </c:val>
          <c:smooth val="0"/>
          <c:extLst>
            <c:ext xmlns:c16="http://schemas.microsoft.com/office/drawing/2014/chart" uri="{C3380CC4-5D6E-409C-BE32-E72D297353CC}">
              <c16:uniqueId val="{00000002-6DE2-4B93-99BD-064F5A88E4D2}"/>
            </c:ext>
          </c:extLst>
        </c:ser>
        <c:ser>
          <c:idx val="3"/>
          <c:order val="3"/>
          <c:tx>
            <c:strRef>
              <c:f>'Serious robberies'!$D$62</c:f>
              <c:strCache>
                <c:ptCount val="1"/>
                <c:pt idx="0">
                  <c:v>Common Robberies</c:v>
                </c:pt>
              </c:strCache>
            </c:strRef>
          </c:tx>
          <c:marker>
            <c:symbol val="none"/>
          </c:marker>
          <c:cat>
            <c:strRef>
              <c:f>'Serious robberies'!$E$58:$V$58</c:f>
              <c:strCache>
                <c:ptCount val="18"/>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strCache>
            </c:strRef>
          </c:cat>
          <c:val>
            <c:numRef>
              <c:f>'Serious robberies'!$E$62:$V$62</c:f>
              <c:numCache>
                <c:formatCode>0.0</c:formatCode>
                <c:ptCount val="18"/>
                <c:pt idx="0">
                  <c:v>100</c:v>
                </c:pt>
                <c:pt idx="1">
                  <c:v>90.674658488988015</c:v>
                </c:pt>
                <c:pt idx="2">
                  <c:v>91.621530128639122</c:v>
                </c:pt>
                <c:pt idx="3">
                  <c:v>77.645465769246087</c:v>
                </c:pt>
                <c:pt idx="4">
                  <c:v>71.880600581464819</c:v>
                </c:pt>
                <c:pt idx="5">
                  <c:v>67.376239595364211</c:v>
                </c:pt>
                <c:pt idx="6">
                  <c:v>57.699430483093714</c:v>
                </c:pt>
                <c:pt idx="7">
                  <c:v>57.721334979489427</c:v>
                </c:pt>
                <c:pt idx="8">
                  <c:v>60.213469273965515</c:v>
                </c:pt>
                <c:pt idx="9">
                  <c:v>68.939424110876573</c:v>
                </c:pt>
                <c:pt idx="10">
                  <c:v>54.688557887610024</c:v>
                </c:pt>
                <c:pt idx="11">
                  <c:v>53.875104544187344</c:v>
                </c:pt>
                <c:pt idx="12">
                  <c:v>53.186108566649402</c:v>
                </c:pt>
                <c:pt idx="13">
                  <c:v>50.509777370663912</c:v>
                </c:pt>
                <c:pt idx="14">
                  <c:v>51.540284360189567</c:v>
                </c:pt>
                <c:pt idx="15">
                  <c:v>51.600023895814253</c:v>
                </c:pt>
                <c:pt idx="16">
                  <c:v>37.484567286630295</c:v>
                </c:pt>
                <c:pt idx="17">
                  <c:v>41.419411366442311</c:v>
                </c:pt>
              </c:numCache>
            </c:numRef>
          </c:val>
          <c:smooth val="0"/>
          <c:extLst>
            <c:ext xmlns:c16="http://schemas.microsoft.com/office/drawing/2014/chart" uri="{C3380CC4-5D6E-409C-BE32-E72D297353CC}">
              <c16:uniqueId val="{00000003-6DE2-4B93-99BD-064F5A88E4D2}"/>
            </c:ext>
          </c:extLst>
        </c:ser>
        <c:ser>
          <c:idx val="4"/>
          <c:order val="4"/>
          <c:tx>
            <c:strRef>
              <c:f>'Serious robberies'!$D$63</c:f>
              <c:strCache>
                <c:ptCount val="1"/>
                <c:pt idx="0">
                  <c:v>Bank robbery</c:v>
                </c:pt>
              </c:strCache>
            </c:strRef>
          </c:tx>
          <c:marker>
            <c:symbol val="none"/>
          </c:marker>
          <c:cat>
            <c:strRef>
              <c:f>'Serious robberies'!$E$58:$V$58</c:f>
              <c:strCache>
                <c:ptCount val="18"/>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strCache>
            </c:strRef>
          </c:cat>
          <c:val>
            <c:numRef>
              <c:f>'Serious robberies'!$E$63:$V$63</c:f>
              <c:numCache>
                <c:formatCode>0.0</c:formatCode>
                <c:ptCount val="18"/>
                <c:pt idx="0">
                  <c:v>100</c:v>
                </c:pt>
                <c:pt idx="1">
                  <c:v>101.72413793103448</c:v>
                </c:pt>
                <c:pt idx="2">
                  <c:v>222.41379310344826</c:v>
                </c:pt>
                <c:pt idx="3">
                  <c:v>248.27586206896552</c:v>
                </c:pt>
                <c:pt idx="4">
                  <c:v>175.86206896551724</c:v>
                </c:pt>
                <c:pt idx="5">
                  <c:v>160.34482758620689</c:v>
                </c:pt>
                <c:pt idx="6">
                  <c:v>67.241379310344826</c:v>
                </c:pt>
                <c:pt idx="7">
                  <c:v>60.344827586206897</c:v>
                </c:pt>
                <c:pt idx="8">
                  <c:v>12.068965517241379</c:v>
                </c:pt>
                <c:pt idx="9">
                  <c:v>36.206896551724135</c:v>
                </c:pt>
                <c:pt idx="10">
                  <c:v>29.310344827586203</c:v>
                </c:pt>
                <c:pt idx="11">
                  <c:v>10.344827586206897</c:v>
                </c:pt>
                <c:pt idx="12">
                  <c:v>5.1724137931034484</c:v>
                </c:pt>
                <c:pt idx="13">
                  <c:v>22.413793103448278</c:v>
                </c:pt>
                <c:pt idx="14">
                  <c:v>6.8965517241379306</c:v>
                </c:pt>
                <c:pt idx="15">
                  <c:v>0</c:v>
                </c:pt>
                <c:pt idx="16">
                  <c:v>3.4482758620689653</c:v>
                </c:pt>
                <c:pt idx="17">
                  <c:v>22.413793103448278</c:v>
                </c:pt>
              </c:numCache>
            </c:numRef>
          </c:val>
          <c:smooth val="0"/>
          <c:extLst>
            <c:ext xmlns:c16="http://schemas.microsoft.com/office/drawing/2014/chart" uri="{C3380CC4-5D6E-409C-BE32-E72D297353CC}">
              <c16:uniqueId val="{00000004-6DE2-4B93-99BD-064F5A88E4D2}"/>
            </c:ext>
          </c:extLst>
        </c:ser>
        <c:ser>
          <c:idx val="5"/>
          <c:order val="5"/>
          <c:tx>
            <c:strRef>
              <c:f>'Serious robberies'!$D$64</c:f>
              <c:strCache>
                <c:ptCount val="1"/>
                <c:pt idx="0">
                  <c:v>Robbery at residential premises</c:v>
                </c:pt>
              </c:strCache>
            </c:strRef>
          </c:tx>
          <c:marker>
            <c:symbol val="none"/>
          </c:marker>
          <c:cat>
            <c:strRef>
              <c:f>'Serious robberies'!$E$58:$V$58</c:f>
              <c:strCache>
                <c:ptCount val="18"/>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strCache>
            </c:strRef>
          </c:cat>
          <c:val>
            <c:numRef>
              <c:f>'Serious robberies'!$E$64:$V$64</c:f>
              <c:numCache>
                <c:formatCode>0.0</c:formatCode>
                <c:ptCount val="18"/>
                <c:pt idx="0">
                  <c:v>100</c:v>
                </c:pt>
                <c:pt idx="1">
                  <c:v>108.32712171227772</c:v>
                </c:pt>
                <c:pt idx="2">
                  <c:v>135.88542221275691</c:v>
                </c:pt>
                <c:pt idx="4">
                  <c:v>196.33691832605686</c:v>
                </c:pt>
                <c:pt idx="5">
                  <c:v>200.04259397295283</c:v>
                </c:pt>
                <c:pt idx="6">
                  <c:v>179.84240230007453</c:v>
                </c:pt>
                <c:pt idx="7">
                  <c:v>178.53263763177509</c:v>
                </c:pt>
                <c:pt idx="8">
                  <c:v>191.14045362581194</c:v>
                </c:pt>
                <c:pt idx="9">
                  <c:v>205.34554360557982</c:v>
                </c:pt>
                <c:pt idx="10">
                  <c:v>215.96209136407199</c:v>
                </c:pt>
                <c:pt idx="11">
                  <c:v>221.70162921946545</c:v>
                </c:pt>
                <c:pt idx="12">
                  <c:v>237.91928442125442</c:v>
                </c:pt>
                <c:pt idx="13">
                  <c:v>237.04610797572144</c:v>
                </c:pt>
                <c:pt idx="14">
                  <c:v>238.85635182621661</c:v>
                </c:pt>
                <c:pt idx="15">
                  <c:v>225.00266212330956</c:v>
                </c:pt>
                <c:pt idx="16">
                  <c:v>222.23405388137581</c:v>
                </c:pt>
                <c:pt idx="17">
                  <c:v>232.47790437653072</c:v>
                </c:pt>
              </c:numCache>
            </c:numRef>
          </c:val>
          <c:smooth val="0"/>
          <c:extLst>
            <c:ext xmlns:c16="http://schemas.microsoft.com/office/drawing/2014/chart" uri="{C3380CC4-5D6E-409C-BE32-E72D297353CC}">
              <c16:uniqueId val="{00000005-6DE2-4B93-99BD-064F5A88E4D2}"/>
            </c:ext>
          </c:extLst>
        </c:ser>
        <c:ser>
          <c:idx val="6"/>
          <c:order val="6"/>
          <c:tx>
            <c:strRef>
              <c:f>'Serious robberies'!$D$65</c:f>
              <c:strCache>
                <c:ptCount val="1"/>
                <c:pt idx="0">
                  <c:v>Robbery at non-residential premises</c:v>
                </c:pt>
              </c:strCache>
            </c:strRef>
          </c:tx>
          <c:marker>
            <c:symbol val="none"/>
          </c:marker>
          <c:cat>
            <c:strRef>
              <c:f>'Serious robberies'!$E$58:$V$58</c:f>
              <c:strCache>
                <c:ptCount val="18"/>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strCache>
            </c:strRef>
          </c:cat>
          <c:val>
            <c:numRef>
              <c:f>'Serious robberies'!$E$65:$V$65</c:f>
              <c:numCache>
                <c:formatCode>0.0</c:formatCode>
                <c:ptCount val="18"/>
                <c:pt idx="0">
                  <c:v>100</c:v>
                </c:pt>
                <c:pt idx="1">
                  <c:v>132.13855421686748</c:v>
                </c:pt>
                <c:pt idx="2">
                  <c:v>201.47590361445782</c:v>
                </c:pt>
                <c:pt idx="3">
                  <c:v>297.0481927710843</c:v>
                </c:pt>
                <c:pt idx="4">
                  <c:v>419.2771084337349</c:v>
                </c:pt>
                <c:pt idx="5">
                  <c:v>437.77108433734941</c:v>
                </c:pt>
                <c:pt idx="6">
                  <c:v>441.77710843373495</c:v>
                </c:pt>
                <c:pt idx="7">
                  <c:v>480.4518072289157</c:v>
                </c:pt>
                <c:pt idx="8">
                  <c:v>493.2831325301205</c:v>
                </c:pt>
                <c:pt idx="9">
                  <c:v>560.69277108433732</c:v>
                </c:pt>
                <c:pt idx="10">
                  <c:v>577.40963855421694</c:v>
                </c:pt>
                <c:pt idx="11">
                  <c:v>593.31325301204822</c:v>
                </c:pt>
                <c:pt idx="12">
                  <c:v>622.89156626506031</c:v>
                </c:pt>
                <c:pt idx="13">
                  <c:v>603.82530120481931</c:v>
                </c:pt>
                <c:pt idx="14">
                  <c:v>602.13855421686753</c:v>
                </c:pt>
                <c:pt idx="15">
                  <c:v>622.01807228915663</c:v>
                </c:pt>
                <c:pt idx="16">
                  <c:v>549.12650602409633</c:v>
                </c:pt>
                <c:pt idx="17">
                  <c:v>602.77108433734941</c:v>
                </c:pt>
              </c:numCache>
            </c:numRef>
          </c:val>
          <c:smooth val="0"/>
          <c:extLst>
            <c:ext xmlns:c16="http://schemas.microsoft.com/office/drawing/2014/chart" uri="{C3380CC4-5D6E-409C-BE32-E72D297353CC}">
              <c16:uniqueId val="{00000006-6DE2-4B93-99BD-064F5A88E4D2}"/>
            </c:ext>
          </c:extLst>
        </c:ser>
        <c:dLbls>
          <c:showLegendKey val="0"/>
          <c:showVal val="0"/>
          <c:showCatName val="0"/>
          <c:showSerName val="0"/>
          <c:showPercent val="0"/>
          <c:showBubbleSize val="0"/>
        </c:dLbls>
        <c:smooth val="0"/>
        <c:axId val="282618784"/>
        <c:axId val="282619344"/>
      </c:lineChart>
      <c:catAx>
        <c:axId val="282618784"/>
        <c:scaling>
          <c:orientation val="minMax"/>
        </c:scaling>
        <c:delete val="0"/>
        <c:axPos val="b"/>
        <c:numFmt formatCode="General" sourceLinked="0"/>
        <c:majorTickMark val="out"/>
        <c:minorTickMark val="out"/>
        <c:tickLblPos val="nextTo"/>
        <c:txPr>
          <a:bodyPr rot="-60000000" spcFirstLastPara="0"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282619344"/>
        <c:crosses val="autoZero"/>
        <c:auto val="1"/>
        <c:lblAlgn val="ctr"/>
        <c:lblOffset val="100"/>
        <c:noMultiLvlLbl val="0"/>
      </c:catAx>
      <c:valAx>
        <c:axId val="282619344"/>
        <c:scaling>
          <c:orientation val="minMax"/>
        </c:scaling>
        <c:delete val="0"/>
        <c:axPos val="l"/>
        <c:majorGridlines>
          <c:spPr>
            <a:ln w="3175" cap="flat" cmpd="sng" algn="ctr">
              <a:solidFill>
                <a:schemeClr val="tx1">
                  <a:tint val="75000"/>
                </a:schemeClr>
              </a:solidFill>
              <a:prstDash val="sysDash"/>
              <a:round/>
            </a:ln>
          </c:spPr>
        </c:majorGridlines>
        <c:numFmt formatCode="0.0" sourceLinked="1"/>
        <c:majorTickMark val="out"/>
        <c:minorTickMark val="none"/>
        <c:tickLblPos val="nextTo"/>
        <c:txPr>
          <a:bodyPr rot="-60000000" spcFirstLastPara="0" vertOverflow="ellipsis" vert="horz" wrap="square" anchor="ctr" anchorCtr="1"/>
          <a:lstStyle/>
          <a:p>
            <a:pPr>
              <a:defRPr lang="en-US" sz="800" b="0" i="0" u="none" strike="noStrike" kern="1200" baseline="0">
                <a:solidFill>
                  <a:schemeClr val="tx1"/>
                </a:solidFill>
                <a:latin typeface="+mn-lt"/>
                <a:ea typeface="+mn-ea"/>
                <a:cs typeface="+mn-cs"/>
              </a:defRPr>
            </a:pPr>
            <a:endParaRPr lang="en-US"/>
          </a:p>
        </c:txPr>
        <c:crossAx val="282618784"/>
        <c:crosses val="autoZero"/>
        <c:crossBetween val="between"/>
      </c:valAx>
    </c:plotArea>
    <c:legend>
      <c:legendPos val="b"/>
      <c:layout>
        <c:manualLayout>
          <c:xMode val="edge"/>
          <c:yMode val="edge"/>
          <c:x val="2.2662914952224899E-2"/>
          <c:y val="0.81918141579104298"/>
          <c:w val="0.89999999155677024"/>
          <c:h val="5.989394182869999E-2"/>
        </c:manualLayout>
      </c:layout>
      <c:overlay val="0"/>
      <c:txPr>
        <a:bodyPr rot="0" spcFirstLastPara="0"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legend>
    <c:plotVisOnly val="1"/>
    <c:dispBlanksAs val="gap"/>
    <c:showDLblsOverMax val="0"/>
  </c:chart>
  <c:txPr>
    <a:bodyPr/>
    <a:lstStyle/>
    <a:p>
      <a:pPr>
        <a:defRPr lang="en-US" sz="800"/>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a:t>Serious</a:t>
            </a:r>
            <a:r>
              <a:rPr lang="en-ZA" baseline="0"/>
              <a:t> crimes </a:t>
            </a:r>
            <a:endParaRPr lang="en-ZA"/>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3833578487325164E-2"/>
          <c:y val="7.4084118667471915E-2"/>
          <c:w val="0.92528992072910932"/>
          <c:h val="0.77139772003769924"/>
        </c:manualLayout>
      </c:layout>
      <c:barChart>
        <c:barDir val="col"/>
        <c:grouping val="clustered"/>
        <c:varyColors val="0"/>
        <c:ser>
          <c:idx val="0"/>
          <c:order val="0"/>
          <c:tx>
            <c:strRef>
              <c:f>'Serious robberies'!$D$8</c:f>
              <c:strCache>
                <c:ptCount val="1"/>
                <c:pt idx="0">
                  <c:v>Carjacking</c:v>
                </c:pt>
              </c:strCache>
            </c:strRef>
          </c:tx>
          <c:spPr>
            <a:solidFill>
              <a:schemeClr val="accent2"/>
            </a:solidFill>
            <a:ln>
              <a:noFill/>
            </a:ln>
            <a:effectLst/>
          </c:spPr>
          <c:invertIfNegative val="0"/>
          <c:cat>
            <c:strRef>
              <c:f>'Serious robberies'!$E$7:$X$7</c:f>
              <c:strCache>
                <c:ptCount val="20"/>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pt idx="19">
                  <c:v>2021/22</c:v>
                </c:pt>
              </c:strCache>
            </c:strRef>
          </c:cat>
          <c:val>
            <c:numRef>
              <c:f>'Serious robberies'!$E$8:$X$8</c:f>
              <c:numCache>
                <c:formatCode>##\ ###\ ###</c:formatCode>
                <c:ptCount val="20"/>
                <c:pt idx="0">
                  <c:v>14691</c:v>
                </c:pt>
                <c:pt idx="1">
                  <c:v>13793</c:v>
                </c:pt>
                <c:pt idx="2">
                  <c:v>12434</c:v>
                </c:pt>
                <c:pt idx="3">
                  <c:v>12783</c:v>
                </c:pt>
                <c:pt idx="4">
                  <c:v>13534</c:v>
                </c:pt>
                <c:pt idx="5">
                  <c:v>14152</c:v>
                </c:pt>
                <c:pt idx="6">
                  <c:v>14855</c:v>
                </c:pt>
                <c:pt idx="7">
                  <c:v>13852</c:v>
                </c:pt>
                <c:pt idx="8">
                  <c:v>10541</c:v>
                </c:pt>
                <c:pt idx="9">
                  <c:v>9417</c:v>
                </c:pt>
                <c:pt idx="10">
                  <c:v>9931</c:v>
                </c:pt>
                <c:pt idx="11">
                  <c:v>11180</c:v>
                </c:pt>
                <c:pt idx="12">
                  <c:v>12773</c:v>
                </c:pt>
                <c:pt idx="13">
                  <c:v>14602</c:v>
                </c:pt>
                <c:pt idx="14">
                  <c:v>16717</c:v>
                </c:pt>
                <c:pt idx="15">
                  <c:v>16325</c:v>
                </c:pt>
                <c:pt idx="16">
                  <c:v>16026</c:v>
                </c:pt>
                <c:pt idx="17">
                  <c:v>18162</c:v>
                </c:pt>
                <c:pt idx="18">
                  <c:v>16731</c:v>
                </c:pt>
                <c:pt idx="19">
                  <c:v>20923</c:v>
                </c:pt>
              </c:numCache>
            </c:numRef>
          </c:val>
          <c:extLst>
            <c:ext xmlns:c16="http://schemas.microsoft.com/office/drawing/2014/chart" uri="{C3380CC4-5D6E-409C-BE32-E72D297353CC}">
              <c16:uniqueId val="{00000000-B313-4C27-A200-A802572F54C3}"/>
            </c:ext>
          </c:extLst>
        </c:ser>
        <c:ser>
          <c:idx val="1"/>
          <c:order val="1"/>
          <c:tx>
            <c:strRef>
              <c:f>'Serious robberies'!$D$9</c:f>
              <c:strCache>
                <c:ptCount val="1"/>
                <c:pt idx="0">
                  <c:v>Truck jacking</c:v>
                </c:pt>
              </c:strCache>
            </c:strRef>
          </c:tx>
          <c:spPr>
            <a:solidFill>
              <a:schemeClr val="accent4"/>
            </a:solidFill>
            <a:ln>
              <a:noFill/>
            </a:ln>
            <a:effectLst/>
          </c:spPr>
          <c:invertIfNegative val="0"/>
          <c:cat>
            <c:strRef>
              <c:f>'Serious robberies'!$E$7:$X$7</c:f>
              <c:strCache>
                <c:ptCount val="20"/>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pt idx="19">
                  <c:v>2021/22</c:v>
                </c:pt>
              </c:strCache>
            </c:strRef>
          </c:cat>
          <c:val>
            <c:numRef>
              <c:f>'Serious robberies'!$N$9:$X$9</c:f>
              <c:numCache>
                <c:formatCode>##\ ###\ ###</c:formatCode>
                <c:ptCount val="11"/>
                <c:pt idx="0">
                  <c:v>821</c:v>
                </c:pt>
                <c:pt idx="1">
                  <c:v>943</c:v>
                </c:pt>
                <c:pt idx="2">
                  <c:v>991</c:v>
                </c:pt>
                <c:pt idx="3">
                  <c:v>1279</c:v>
                </c:pt>
                <c:pt idx="4">
                  <c:v>1184</c:v>
                </c:pt>
                <c:pt idx="5">
                  <c:v>1183</c:v>
                </c:pt>
                <c:pt idx="6">
                  <c:v>1202</c:v>
                </c:pt>
                <c:pt idx="7">
                  <c:v>1182</c:v>
                </c:pt>
                <c:pt idx="8">
                  <c:v>1202</c:v>
                </c:pt>
                <c:pt idx="9">
                  <c:v>1397</c:v>
                </c:pt>
                <c:pt idx="10">
                  <c:v>1741</c:v>
                </c:pt>
              </c:numCache>
            </c:numRef>
          </c:val>
          <c:extLst>
            <c:ext xmlns:c16="http://schemas.microsoft.com/office/drawing/2014/chart" uri="{C3380CC4-5D6E-409C-BE32-E72D297353CC}">
              <c16:uniqueId val="{00000001-B313-4C27-A200-A802572F54C3}"/>
            </c:ext>
          </c:extLst>
        </c:ser>
        <c:ser>
          <c:idx val="3"/>
          <c:order val="3"/>
          <c:tx>
            <c:strRef>
              <c:f>'Serious robberies'!$D$11</c:f>
              <c:strCache>
                <c:ptCount val="1"/>
                <c:pt idx="0">
                  <c:v>Common Robberies</c:v>
                </c:pt>
              </c:strCache>
            </c:strRef>
          </c:tx>
          <c:spPr>
            <a:solidFill>
              <a:schemeClr val="accent2">
                <a:lumMod val="60000"/>
              </a:schemeClr>
            </a:solidFill>
            <a:ln>
              <a:noFill/>
            </a:ln>
            <a:effectLst/>
          </c:spPr>
          <c:invertIfNegative val="0"/>
          <c:cat>
            <c:strRef>
              <c:f>'Serious robberies'!$E$7:$X$7</c:f>
              <c:strCache>
                <c:ptCount val="20"/>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pt idx="19">
                  <c:v>2021/22</c:v>
                </c:pt>
              </c:strCache>
            </c:strRef>
          </c:cat>
          <c:val>
            <c:numRef>
              <c:f>'Serious robberies'!$E$11:$X$11</c:f>
              <c:numCache>
                <c:formatCode>##\ ###\ ###</c:formatCode>
                <c:ptCount val="20"/>
                <c:pt idx="2">
                  <c:v>100436</c:v>
                </c:pt>
                <c:pt idx="3">
                  <c:v>92021</c:v>
                </c:pt>
                <c:pt idx="4">
                  <c:v>92021</c:v>
                </c:pt>
                <c:pt idx="5">
                  <c:v>64417</c:v>
                </c:pt>
                <c:pt idx="6">
                  <c:v>58764</c:v>
                </c:pt>
                <c:pt idx="7">
                  <c:v>56993</c:v>
                </c:pt>
                <c:pt idx="8">
                  <c:v>54442</c:v>
                </c:pt>
                <c:pt idx="9">
                  <c:v>52566</c:v>
                </c:pt>
                <c:pt idx="10">
                  <c:v>53196</c:v>
                </c:pt>
                <c:pt idx="11">
                  <c:v>53505</c:v>
                </c:pt>
                <c:pt idx="12">
                  <c:v>54927</c:v>
                </c:pt>
                <c:pt idx="13">
                  <c:v>54110</c:v>
                </c:pt>
                <c:pt idx="14">
                  <c:v>53418</c:v>
                </c:pt>
                <c:pt idx="15">
                  <c:v>50730</c:v>
                </c:pt>
                <c:pt idx="16">
                  <c:v>51765</c:v>
                </c:pt>
                <c:pt idx="17">
                  <c:v>51825</c:v>
                </c:pt>
                <c:pt idx="18">
                  <c:v>37648</c:v>
                </c:pt>
                <c:pt idx="19">
                  <c:v>41600</c:v>
                </c:pt>
              </c:numCache>
            </c:numRef>
          </c:val>
          <c:extLst>
            <c:ext xmlns:c16="http://schemas.microsoft.com/office/drawing/2014/chart" uri="{C3380CC4-5D6E-409C-BE32-E72D297353CC}">
              <c16:uniqueId val="{00000003-B313-4C27-A200-A802572F54C3}"/>
            </c:ext>
          </c:extLst>
        </c:ser>
        <c:dLbls>
          <c:showLegendKey val="0"/>
          <c:showVal val="0"/>
          <c:showCatName val="0"/>
          <c:showSerName val="0"/>
          <c:showPercent val="0"/>
          <c:showBubbleSize val="0"/>
        </c:dLbls>
        <c:gapWidth val="219"/>
        <c:overlap val="-27"/>
        <c:axId val="899460784"/>
        <c:axId val="933509472"/>
      </c:barChart>
      <c:barChart>
        <c:barDir val="col"/>
        <c:grouping val="clustered"/>
        <c:varyColors val="0"/>
        <c:ser>
          <c:idx val="2"/>
          <c:order val="2"/>
          <c:tx>
            <c:strRef>
              <c:f>'Serious robberies'!$D$10</c:f>
              <c:strCache>
                <c:ptCount val="1"/>
                <c:pt idx="0">
                  <c:v>Robbery of cash in transit(CIT)</c:v>
                </c:pt>
              </c:strCache>
            </c:strRef>
          </c:tx>
          <c:spPr>
            <a:solidFill>
              <a:schemeClr val="accent4">
                <a:lumMod val="75000"/>
              </a:schemeClr>
            </a:solidFill>
            <a:ln>
              <a:noFill/>
            </a:ln>
            <a:effectLst/>
          </c:spPr>
          <c:invertIfNegative val="0"/>
          <c:cat>
            <c:strRef>
              <c:f>'Serious robberies'!$E$7:$X$7</c:f>
              <c:strCache>
                <c:ptCount val="20"/>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pt idx="19">
                  <c:v>2021/22</c:v>
                </c:pt>
              </c:strCache>
            </c:strRef>
          </c:cat>
          <c:val>
            <c:numRef>
              <c:f>'Serious robberies'!$E$10:$X$10</c:f>
              <c:numCache>
                <c:formatCode>##\ ###\ ###</c:formatCode>
                <c:ptCount val="20"/>
                <c:pt idx="0">
                  <c:v>374</c:v>
                </c:pt>
                <c:pt idx="1">
                  <c:v>192</c:v>
                </c:pt>
                <c:pt idx="2">
                  <c:v>220</c:v>
                </c:pt>
                <c:pt idx="3">
                  <c:v>383</c:v>
                </c:pt>
                <c:pt idx="4">
                  <c:v>467</c:v>
                </c:pt>
                <c:pt idx="5">
                  <c:v>394</c:v>
                </c:pt>
                <c:pt idx="6">
                  <c:v>386</c:v>
                </c:pt>
                <c:pt idx="7">
                  <c:v>358</c:v>
                </c:pt>
                <c:pt idx="8">
                  <c:v>290</c:v>
                </c:pt>
                <c:pt idx="9">
                  <c:v>182</c:v>
                </c:pt>
                <c:pt idx="10">
                  <c:v>145</c:v>
                </c:pt>
                <c:pt idx="11">
                  <c:v>145</c:v>
                </c:pt>
                <c:pt idx="12">
                  <c:v>119</c:v>
                </c:pt>
                <c:pt idx="13">
                  <c:v>137</c:v>
                </c:pt>
                <c:pt idx="14">
                  <c:v>152</c:v>
                </c:pt>
                <c:pt idx="15">
                  <c:v>238</c:v>
                </c:pt>
                <c:pt idx="16">
                  <c:v>183</c:v>
                </c:pt>
                <c:pt idx="17">
                  <c:v>164</c:v>
                </c:pt>
                <c:pt idx="18">
                  <c:v>195</c:v>
                </c:pt>
                <c:pt idx="19">
                  <c:v>238</c:v>
                </c:pt>
              </c:numCache>
            </c:numRef>
          </c:val>
          <c:extLst>
            <c:ext xmlns:c16="http://schemas.microsoft.com/office/drawing/2014/chart" uri="{C3380CC4-5D6E-409C-BE32-E72D297353CC}">
              <c16:uniqueId val="{00000002-B313-4C27-A200-A802572F54C3}"/>
            </c:ext>
          </c:extLst>
        </c:ser>
        <c:dLbls>
          <c:showLegendKey val="0"/>
          <c:showVal val="0"/>
          <c:showCatName val="0"/>
          <c:showSerName val="0"/>
          <c:showPercent val="0"/>
          <c:showBubbleSize val="0"/>
        </c:dLbls>
        <c:gapWidth val="219"/>
        <c:overlap val="-27"/>
        <c:axId val="899482384"/>
        <c:axId val="933508224"/>
      </c:barChart>
      <c:lineChart>
        <c:grouping val="standard"/>
        <c:varyColors val="0"/>
        <c:ser>
          <c:idx val="5"/>
          <c:order val="5"/>
          <c:tx>
            <c:strRef>
              <c:f>'Serious robberies'!$D$13</c:f>
              <c:strCache>
                <c:ptCount val="1"/>
                <c:pt idx="0">
                  <c:v>Robbery at residential premises</c:v>
                </c:pt>
              </c:strCache>
            </c:strRef>
          </c:tx>
          <c:spPr>
            <a:ln w="28575" cap="rnd">
              <a:solidFill>
                <a:schemeClr val="accent6">
                  <a:lumMod val="60000"/>
                </a:schemeClr>
              </a:solidFill>
              <a:round/>
            </a:ln>
            <a:effectLst/>
          </c:spPr>
          <c:marker>
            <c:symbol val="none"/>
          </c:marker>
          <c:cat>
            <c:strRef>
              <c:f>'Serious robberies'!$E$7:$X$7</c:f>
              <c:strCache>
                <c:ptCount val="20"/>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pt idx="19">
                  <c:v>2021/22</c:v>
                </c:pt>
              </c:strCache>
            </c:strRef>
          </c:cat>
          <c:val>
            <c:numRef>
              <c:f>'Serious robberies'!$E$13:$X$13</c:f>
              <c:numCache>
                <c:formatCode>##\ ###\ ###</c:formatCode>
                <c:ptCount val="20"/>
                <c:pt idx="0">
                  <c:v>9063</c:v>
                </c:pt>
                <c:pt idx="1">
                  <c:v>9351</c:v>
                </c:pt>
                <c:pt idx="2">
                  <c:v>9391</c:v>
                </c:pt>
                <c:pt idx="3">
                  <c:v>10173</c:v>
                </c:pt>
                <c:pt idx="4">
                  <c:v>12761</c:v>
                </c:pt>
                <c:pt idx="5">
                  <c:v>14481</c:v>
                </c:pt>
                <c:pt idx="6">
                  <c:v>18438</c:v>
                </c:pt>
                <c:pt idx="7">
                  <c:v>18786</c:v>
                </c:pt>
                <c:pt idx="8">
                  <c:v>16889</c:v>
                </c:pt>
                <c:pt idx="9">
                  <c:v>16766</c:v>
                </c:pt>
                <c:pt idx="10">
                  <c:v>17950</c:v>
                </c:pt>
                <c:pt idx="11">
                  <c:v>19284</c:v>
                </c:pt>
                <c:pt idx="12">
                  <c:v>20281</c:v>
                </c:pt>
                <c:pt idx="13">
                  <c:v>20820</c:v>
                </c:pt>
                <c:pt idx="14">
                  <c:v>22343</c:v>
                </c:pt>
                <c:pt idx="15">
                  <c:v>22261</c:v>
                </c:pt>
                <c:pt idx="16">
                  <c:v>22431</c:v>
                </c:pt>
                <c:pt idx="17">
                  <c:v>21130</c:v>
                </c:pt>
                <c:pt idx="18">
                  <c:v>20870</c:v>
                </c:pt>
                <c:pt idx="19">
                  <c:v>21832</c:v>
                </c:pt>
              </c:numCache>
            </c:numRef>
          </c:val>
          <c:smooth val="0"/>
          <c:extLst>
            <c:ext xmlns:c16="http://schemas.microsoft.com/office/drawing/2014/chart" uri="{C3380CC4-5D6E-409C-BE32-E72D297353CC}">
              <c16:uniqueId val="{00000005-B313-4C27-A200-A802572F54C3}"/>
            </c:ext>
          </c:extLst>
        </c:ser>
        <c:ser>
          <c:idx val="6"/>
          <c:order val="6"/>
          <c:tx>
            <c:strRef>
              <c:f>'Serious robberies'!$D$14</c:f>
              <c:strCache>
                <c:ptCount val="1"/>
                <c:pt idx="0">
                  <c:v>Robbery at non-residential premises</c:v>
                </c:pt>
              </c:strCache>
            </c:strRef>
          </c:tx>
          <c:spPr>
            <a:ln w="28575" cap="rnd">
              <a:solidFill>
                <a:schemeClr val="accent2">
                  <a:lumMod val="80000"/>
                  <a:lumOff val="20000"/>
                </a:schemeClr>
              </a:solidFill>
              <a:round/>
            </a:ln>
            <a:effectLst/>
          </c:spPr>
          <c:marker>
            <c:symbol val="none"/>
          </c:marker>
          <c:cat>
            <c:strRef>
              <c:f>'Serious robberies'!$E$7:$X$7</c:f>
              <c:strCache>
                <c:ptCount val="20"/>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pt idx="19">
                  <c:v>2021/22</c:v>
                </c:pt>
              </c:strCache>
            </c:strRef>
          </c:cat>
          <c:val>
            <c:numRef>
              <c:f>'Serious robberies'!$E$14:$X$14</c:f>
              <c:numCache>
                <c:formatCode>##\ ###\ ###</c:formatCode>
                <c:ptCount val="20"/>
                <c:pt idx="0">
                  <c:v>5498</c:v>
                </c:pt>
                <c:pt idx="1">
                  <c:v>3677</c:v>
                </c:pt>
                <c:pt idx="2">
                  <c:v>3320</c:v>
                </c:pt>
                <c:pt idx="3">
                  <c:v>4384</c:v>
                </c:pt>
                <c:pt idx="4">
                  <c:v>6675</c:v>
                </c:pt>
                <c:pt idx="5">
                  <c:v>9836</c:v>
                </c:pt>
                <c:pt idx="6">
                  <c:v>13885</c:v>
                </c:pt>
                <c:pt idx="7">
                  <c:v>14504</c:v>
                </c:pt>
                <c:pt idx="8">
                  <c:v>14637</c:v>
                </c:pt>
                <c:pt idx="9">
                  <c:v>15912</c:v>
                </c:pt>
                <c:pt idx="10">
                  <c:v>16343</c:v>
                </c:pt>
                <c:pt idx="11">
                  <c:v>18573</c:v>
                </c:pt>
                <c:pt idx="12">
                  <c:v>19170</c:v>
                </c:pt>
                <c:pt idx="13">
                  <c:v>19698</c:v>
                </c:pt>
                <c:pt idx="14">
                  <c:v>20680</c:v>
                </c:pt>
                <c:pt idx="15">
                  <c:v>20047</c:v>
                </c:pt>
                <c:pt idx="16">
                  <c:v>19991</c:v>
                </c:pt>
                <c:pt idx="17">
                  <c:v>20651</c:v>
                </c:pt>
                <c:pt idx="18">
                  <c:v>18231</c:v>
                </c:pt>
                <c:pt idx="19">
                  <c:v>20012</c:v>
                </c:pt>
              </c:numCache>
            </c:numRef>
          </c:val>
          <c:smooth val="0"/>
          <c:extLst>
            <c:ext xmlns:c16="http://schemas.microsoft.com/office/drawing/2014/chart" uri="{C3380CC4-5D6E-409C-BE32-E72D297353CC}">
              <c16:uniqueId val="{00000006-B313-4C27-A200-A802572F54C3}"/>
            </c:ext>
          </c:extLst>
        </c:ser>
        <c:dLbls>
          <c:showLegendKey val="0"/>
          <c:showVal val="0"/>
          <c:showCatName val="0"/>
          <c:showSerName val="0"/>
          <c:showPercent val="0"/>
          <c:showBubbleSize val="0"/>
        </c:dLbls>
        <c:marker val="1"/>
        <c:smooth val="0"/>
        <c:axId val="899460784"/>
        <c:axId val="933509472"/>
      </c:lineChart>
      <c:lineChart>
        <c:grouping val="standard"/>
        <c:varyColors val="0"/>
        <c:ser>
          <c:idx val="4"/>
          <c:order val="4"/>
          <c:tx>
            <c:strRef>
              <c:f>'Serious robberies'!$D$12</c:f>
              <c:strCache>
                <c:ptCount val="1"/>
                <c:pt idx="0">
                  <c:v>Bank robbery</c:v>
                </c:pt>
              </c:strCache>
            </c:strRef>
          </c:tx>
          <c:spPr>
            <a:ln w="28575" cap="rnd">
              <a:solidFill>
                <a:schemeClr val="accent4">
                  <a:lumMod val="60000"/>
                </a:schemeClr>
              </a:solidFill>
              <a:round/>
            </a:ln>
            <a:effectLst/>
          </c:spPr>
          <c:marker>
            <c:symbol val="none"/>
          </c:marker>
          <c:cat>
            <c:strRef>
              <c:f>'Serious robberies'!$E$7:$X$7</c:f>
              <c:strCache>
                <c:ptCount val="20"/>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pt idx="14">
                  <c:v>2016/17</c:v>
                </c:pt>
                <c:pt idx="15">
                  <c:v>2017/18</c:v>
                </c:pt>
                <c:pt idx="16">
                  <c:v>2018/19</c:v>
                </c:pt>
                <c:pt idx="17">
                  <c:v>2019/20</c:v>
                </c:pt>
                <c:pt idx="18">
                  <c:v>2020/21</c:v>
                </c:pt>
                <c:pt idx="19">
                  <c:v>2021/22</c:v>
                </c:pt>
              </c:strCache>
            </c:strRef>
          </c:cat>
          <c:val>
            <c:numRef>
              <c:f>'Serious robberies'!$E$12:$X$12</c:f>
              <c:numCache>
                <c:formatCode>##\ ###\ ###</c:formatCode>
                <c:ptCount val="20"/>
                <c:pt idx="0">
                  <c:v>127</c:v>
                </c:pt>
                <c:pt idx="1">
                  <c:v>54</c:v>
                </c:pt>
                <c:pt idx="2">
                  <c:v>58</c:v>
                </c:pt>
                <c:pt idx="3">
                  <c:v>59</c:v>
                </c:pt>
                <c:pt idx="4">
                  <c:v>129</c:v>
                </c:pt>
                <c:pt idx="5">
                  <c:v>144</c:v>
                </c:pt>
                <c:pt idx="6">
                  <c:v>102</c:v>
                </c:pt>
                <c:pt idx="7">
                  <c:v>93</c:v>
                </c:pt>
                <c:pt idx="8">
                  <c:v>39</c:v>
                </c:pt>
                <c:pt idx="9">
                  <c:v>35</c:v>
                </c:pt>
                <c:pt idx="10">
                  <c:v>7</c:v>
                </c:pt>
                <c:pt idx="11">
                  <c:v>21</c:v>
                </c:pt>
                <c:pt idx="12">
                  <c:v>17</c:v>
                </c:pt>
                <c:pt idx="13">
                  <c:v>6</c:v>
                </c:pt>
                <c:pt idx="14">
                  <c:v>3</c:v>
                </c:pt>
                <c:pt idx="15">
                  <c:v>13</c:v>
                </c:pt>
                <c:pt idx="16">
                  <c:v>4</c:v>
                </c:pt>
                <c:pt idx="17" formatCode="##\ ###\ ###.0">
                  <c:v>0</c:v>
                </c:pt>
                <c:pt idx="18">
                  <c:v>2</c:v>
                </c:pt>
                <c:pt idx="19">
                  <c:v>13</c:v>
                </c:pt>
              </c:numCache>
            </c:numRef>
          </c:val>
          <c:smooth val="0"/>
          <c:extLst>
            <c:ext xmlns:c16="http://schemas.microsoft.com/office/drawing/2014/chart" uri="{C3380CC4-5D6E-409C-BE32-E72D297353CC}">
              <c16:uniqueId val="{00000004-B313-4C27-A200-A802572F54C3}"/>
            </c:ext>
          </c:extLst>
        </c:ser>
        <c:dLbls>
          <c:showLegendKey val="0"/>
          <c:showVal val="0"/>
          <c:showCatName val="0"/>
          <c:showSerName val="0"/>
          <c:showPercent val="0"/>
          <c:showBubbleSize val="0"/>
        </c:dLbls>
        <c:marker val="1"/>
        <c:smooth val="0"/>
        <c:axId val="899482384"/>
        <c:axId val="933508224"/>
      </c:lineChart>
      <c:catAx>
        <c:axId val="89946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3509472"/>
        <c:crosses val="autoZero"/>
        <c:auto val="1"/>
        <c:lblAlgn val="ctr"/>
        <c:lblOffset val="100"/>
        <c:noMultiLvlLbl val="0"/>
      </c:catAx>
      <c:valAx>
        <c:axId val="933509472"/>
        <c:scaling>
          <c:orientation val="minMax"/>
        </c:scaling>
        <c:delete val="0"/>
        <c:axPos val="l"/>
        <c:majorGridlines>
          <c:spPr>
            <a:ln w="9525" cap="flat" cmpd="sng" algn="ctr">
              <a:solidFill>
                <a:schemeClr val="tx1">
                  <a:lumMod val="15000"/>
                  <a:lumOff val="85000"/>
                </a:schemeClr>
              </a:solidFill>
              <a:round/>
            </a:ln>
            <a:effectLst/>
          </c:spPr>
        </c:majorGridlines>
        <c:numFmt formatCode="##\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60784"/>
        <c:crosses val="autoZero"/>
        <c:crossBetween val="between"/>
      </c:valAx>
      <c:valAx>
        <c:axId val="933508224"/>
        <c:scaling>
          <c:orientation val="minMax"/>
        </c:scaling>
        <c:delete val="0"/>
        <c:axPos val="r"/>
        <c:numFmt formatCode="##\ ###\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82384"/>
        <c:crosses val="max"/>
        <c:crossBetween val="between"/>
      </c:valAx>
      <c:catAx>
        <c:axId val="899482384"/>
        <c:scaling>
          <c:orientation val="minMax"/>
        </c:scaling>
        <c:delete val="1"/>
        <c:axPos val="b"/>
        <c:numFmt formatCode="General" sourceLinked="1"/>
        <c:majorTickMark val="out"/>
        <c:minorTickMark val="none"/>
        <c:tickLblPos val="nextTo"/>
        <c:crossAx val="9335082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800" b="1" i="0" u="none" strike="noStrike" kern="1200" baseline="0">
                <a:solidFill>
                  <a:srgbClr val="000000"/>
                </a:solidFill>
                <a:latin typeface="Arial" panose="020B0604020202020204"/>
                <a:ea typeface="Arial" panose="020B0604020202020204"/>
                <a:cs typeface="Arial" panose="020B0604020202020204"/>
              </a:defRPr>
            </a:pPr>
            <a:r>
              <a:rPr lang="en-ZA"/>
              <a:t>Contact crime</a:t>
            </a:r>
          </a:p>
        </c:rich>
      </c:tx>
      <c:layout>
        <c:manualLayout>
          <c:xMode val="edge"/>
          <c:yMode val="edge"/>
          <c:x val="0.463002336124478"/>
          <c:y val="3.8610038610038602E-2"/>
        </c:manualLayout>
      </c:layout>
      <c:overlay val="0"/>
      <c:spPr>
        <a:noFill/>
        <a:ln w="25400">
          <a:noFill/>
        </a:ln>
      </c:spPr>
    </c:title>
    <c:autoTitleDeleted val="0"/>
    <c:plotArea>
      <c:layout/>
      <c:lineChart>
        <c:grouping val="standard"/>
        <c:varyColors val="0"/>
        <c:ser>
          <c:idx val="0"/>
          <c:order val="0"/>
          <c:tx>
            <c:strRef>
              <c:f>'[17]Contact Crime'!$A$171</c:f>
              <c:strCache>
                <c:ptCount val="1"/>
                <c:pt idx="0">
                  <c:v>Murder</c:v>
                </c:pt>
              </c:strCache>
            </c:strRef>
          </c:tx>
          <c:spPr>
            <a:ln w="25400" cap="rnd" cmpd="sng" algn="ctr">
              <a:solidFill>
                <a:srgbClr val="000080"/>
              </a:solidFill>
              <a:prstDash val="solid"/>
              <a:round/>
            </a:ln>
          </c:spPr>
          <c:marker>
            <c:symbol val="none"/>
          </c:marker>
          <c:cat>
            <c:strRef>
              <c:f>'[17]Contact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'[17]Contact Crime'!$B$171:$N$171</c:f>
              <c:numCache>
                <c:formatCode>General</c:formatCode>
                <c:ptCount val="13"/>
                <c:pt idx="0">
                  <c:v>100</c:v>
                </c:pt>
                <c:pt idx="1">
                  <c:v>101.48809863178425</c:v>
                </c:pt>
                <c:pt idx="2">
                  <c:v>93.792224016122006</c:v>
                </c:pt>
                <c:pt idx="3">
                  <c:v>88.88863667337769</c:v>
                </c:pt>
                <c:pt idx="4">
                  <c:v>89.425679533944773</c:v>
                </c:pt>
                <c:pt idx="5">
                  <c:v>78.461546575609759</c:v>
                </c:pt>
                <c:pt idx="6">
                  <c:v>74.433399137940413</c:v>
                </c:pt>
                <c:pt idx="7">
                  <c:v>71.372958646877066</c:v>
                </c:pt>
                <c:pt idx="8">
                  <c:v>70.865078875843395</c:v>
                </c:pt>
                <c:pt idx="9">
                  <c:v>63.87080275468464</c:v>
                </c:pt>
                <c:pt idx="10">
                  <c:v>60.227275178124387</c:v>
                </c:pt>
                <c:pt idx="11">
                  <c:v>59.031696514538801</c:v>
                </c:pt>
                <c:pt idx="12">
                  <c:v>58.1661271719314</c:v>
                </c:pt>
              </c:numCache>
            </c:numRef>
          </c:val>
          <c:smooth val="0"/>
          <c:extLst>
            <c:ext xmlns:c16="http://schemas.microsoft.com/office/drawing/2014/chart" uri="{C3380CC4-5D6E-409C-BE32-E72D297353CC}">
              <c16:uniqueId val="{00000000-168E-4343-9E84-F69B32B44975}"/>
            </c:ext>
          </c:extLst>
        </c:ser>
        <c:ser>
          <c:idx val="1"/>
          <c:order val="1"/>
          <c:tx>
            <c:strRef>
              <c:f>'[17]Contact Crime'!$A$172</c:f>
              <c:strCache>
                <c:ptCount val="1"/>
                <c:pt idx="0">
                  <c:v>Attempted Murder</c:v>
                </c:pt>
              </c:strCache>
            </c:strRef>
          </c:tx>
          <c:spPr>
            <a:ln w="25400" cap="rnd" cmpd="sng" algn="ctr">
              <a:solidFill>
                <a:srgbClr val="FF00FF"/>
              </a:solidFill>
              <a:prstDash val="solid"/>
              <a:round/>
            </a:ln>
          </c:spPr>
          <c:marker>
            <c:symbol val="none"/>
          </c:marker>
          <c:cat>
            <c:strRef>
              <c:f>'[17]Contact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'[17]Contact Crime'!$B$172:$N$172</c:f>
              <c:numCache>
                <c:formatCode>General</c:formatCode>
                <c:ptCount val="13"/>
                <c:pt idx="0">
                  <c:v>100</c:v>
                </c:pt>
                <c:pt idx="1">
                  <c:v>98.300396799455157</c:v>
                </c:pt>
                <c:pt idx="2">
                  <c:v>101.92850161180844</c:v>
                </c:pt>
                <c:pt idx="3">
                  <c:v>98.965988480689745</c:v>
                </c:pt>
                <c:pt idx="4">
                  <c:v>101.85020728590619</c:v>
                </c:pt>
                <c:pt idx="5">
                  <c:v>94.744379636660454</c:v>
                </c:pt>
                <c:pt idx="6">
                  <c:v>93.206037906338395</c:v>
                </c:pt>
                <c:pt idx="7">
                  <c:v>101.06993390949953</c:v>
                </c:pt>
                <c:pt idx="8">
                  <c:v>114.20976962200314</c:v>
                </c:pt>
                <c:pt idx="9">
                  <c:v>93.861496756907187</c:v>
                </c:pt>
                <c:pt idx="10">
                  <c:v>76.143042602402446</c:v>
                </c:pt>
                <c:pt idx="11">
                  <c:v>63.549041259419525</c:v>
                </c:pt>
                <c:pt idx="12">
                  <c:v>64.647797291263586</c:v>
                </c:pt>
              </c:numCache>
            </c:numRef>
          </c:val>
          <c:smooth val="0"/>
          <c:extLst>
            <c:ext xmlns:c16="http://schemas.microsoft.com/office/drawing/2014/chart" uri="{C3380CC4-5D6E-409C-BE32-E72D297353CC}">
              <c16:uniqueId val="{00000001-168E-4343-9E84-F69B32B44975}"/>
            </c:ext>
          </c:extLst>
        </c:ser>
        <c:ser>
          <c:idx val="2"/>
          <c:order val="2"/>
          <c:tx>
            <c:strRef>
              <c:f>'[17]Contact Crime'!$A$173</c:f>
              <c:strCache>
                <c:ptCount val="1"/>
                <c:pt idx="0">
                  <c:v>Common Assault</c:v>
                </c:pt>
              </c:strCache>
            </c:strRef>
          </c:tx>
          <c:spPr>
            <a:ln w="25400" cap="rnd" cmpd="sng" algn="ctr">
              <a:solidFill>
                <a:srgbClr val="FFFF00"/>
              </a:solidFill>
              <a:prstDash val="solid"/>
              <a:round/>
            </a:ln>
          </c:spPr>
          <c:marker>
            <c:symbol val="none"/>
          </c:marker>
          <c:cat>
            <c:strRef>
              <c:f>'[17]Contact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'[17]Contact Crime'!$B$173:$N$173</c:f>
              <c:numCache>
                <c:formatCode>General</c:formatCode>
                <c:ptCount val="13"/>
                <c:pt idx="0">
                  <c:v>100</c:v>
                </c:pt>
                <c:pt idx="1">
                  <c:v>100.86356963047767</c:v>
                </c:pt>
                <c:pt idx="2">
                  <c:v>96.940056766335076</c:v>
                </c:pt>
                <c:pt idx="3">
                  <c:v>94.760859194917018</c:v>
                </c:pt>
                <c:pt idx="4">
                  <c:v>93.990913545732539</c:v>
                </c:pt>
                <c:pt idx="5">
                  <c:v>104.42984058536841</c:v>
                </c:pt>
                <c:pt idx="6">
                  <c:v>110.38945943236611</c:v>
                </c:pt>
                <c:pt idx="7">
                  <c:v>113.22723186957828</c:v>
                </c:pt>
                <c:pt idx="8">
                  <c:v>120.44897440470879</c:v>
                </c:pt>
                <c:pt idx="9">
                  <c:v>117.36751111526502</c:v>
                </c:pt>
                <c:pt idx="10">
                  <c:v>111.42333506452</c:v>
                </c:pt>
                <c:pt idx="11">
                  <c:v>94.04129479445487</c:v>
                </c:pt>
                <c:pt idx="12">
                  <c:v>93.236135840703653</c:v>
                </c:pt>
              </c:numCache>
            </c:numRef>
          </c:val>
          <c:smooth val="0"/>
          <c:extLst>
            <c:ext xmlns:c16="http://schemas.microsoft.com/office/drawing/2014/chart" uri="{C3380CC4-5D6E-409C-BE32-E72D297353CC}">
              <c16:uniqueId val="{00000002-168E-4343-9E84-F69B32B44975}"/>
            </c:ext>
          </c:extLst>
        </c:ser>
        <c:ser>
          <c:idx val="3"/>
          <c:order val="3"/>
          <c:tx>
            <c:strRef>
              <c:f>'[17]Contact Crime'!$A$174</c:f>
              <c:strCache>
                <c:ptCount val="1"/>
                <c:pt idx="0">
                  <c:v>Assault GBH</c:v>
                </c:pt>
              </c:strCache>
            </c:strRef>
          </c:tx>
          <c:spPr>
            <a:ln w="25400" cap="rnd" cmpd="sng" algn="ctr">
              <a:solidFill>
                <a:srgbClr val="00FFFF"/>
              </a:solidFill>
              <a:prstDash val="solid"/>
              <a:round/>
            </a:ln>
          </c:spPr>
          <c:marker>
            <c:symbol val="none"/>
          </c:marker>
          <c:cat>
            <c:strRef>
              <c:f>'[17]Contact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'[17]Contact Crime'!$B$174:$N$174</c:f>
              <c:numCache>
                <c:formatCode>General</c:formatCode>
                <c:ptCount val="13"/>
                <c:pt idx="0">
                  <c:v>100</c:v>
                </c:pt>
                <c:pt idx="1">
                  <c:v>101.42023909693563</c:v>
                </c:pt>
                <c:pt idx="2">
                  <c:v>102.63130030166299</c:v>
                </c:pt>
                <c:pt idx="3">
                  <c:v>102.62619076688368</c:v>
                </c:pt>
                <c:pt idx="4">
                  <c:v>101.89735397608868</c:v>
                </c:pt>
                <c:pt idx="5">
                  <c:v>109.40682585435466</c:v>
                </c:pt>
                <c:pt idx="6">
                  <c:v>113.37944140371015</c:v>
                </c:pt>
                <c:pt idx="7">
                  <c:v>105.98361038677584</c:v>
                </c:pt>
                <c:pt idx="8">
                  <c:v>105.42085488670978</c:v>
                </c:pt>
                <c:pt idx="9">
                  <c:v>100.88299258504389</c:v>
                </c:pt>
                <c:pt idx="10">
                  <c:v>96.312351683814683</c:v>
                </c:pt>
                <c:pt idx="11">
                  <c:v>87.082343013200656</c:v>
                </c:pt>
                <c:pt idx="12">
                  <c:v>85.862884754165208</c:v>
                </c:pt>
              </c:numCache>
            </c:numRef>
          </c:val>
          <c:smooth val="0"/>
          <c:extLst>
            <c:ext xmlns:c16="http://schemas.microsoft.com/office/drawing/2014/chart" uri="{C3380CC4-5D6E-409C-BE32-E72D297353CC}">
              <c16:uniqueId val="{00000003-168E-4343-9E84-F69B32B44975}"/>
            </c:ext>
          </c:extLst>
        </c:ser>
        <c:ser>
          <c:idx val="4"/>
          <c:order val="4"/>
          <c:tx>
            <c:strRef>
              <c:f>'[17]Contact Crime'!$A$175</c:f>
              <c:strCache>
                <c:ptCount val="1"/>
                <c:pt idx="0">
                  <c:v>Rape</c:v>
                </c:pt>
              </c:strCache>
            </c:strRef>
          </c:tx>
          <c:spPr>
            <a:ln w="25400" cap="rnd" cmpd="sng" algn="ctr">
              <a:solidFill>
                <a:srgbClr val="800080"/>
              </a:solidFill>
              <a:prstDash val="solid"/>
              <a:round/>
            </a:ln>
          </c:spPr>
          <c:marker>
            <c:symbol val="none"/>
          </c:marker>
          <c:cat>
            <c:strRef>
              <c:f>'[17]Contact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'[17]Contact Crime'!$B$175:$N$175</c:f>
              <c:numCache>
                <c:formatCode>General</c:formatCode>
                <c:ptCount val="13"/>
                <c:pt idx="0">
                  <c:v>100</c:v>
                </c:pt>
                <c:pt idx="1">
                  <c:v>109.13463626136526</c:v>
                </c:pt>
                <c:pt idx="2">
                  <c:v>109.89608362935093</c:v>
                </c:pt>
                <c:pt idx="3">
                  <c:v>109.43966794611318</c:v>
                </c:pt>
                <c:pt idx="4">
                  <c:v>102.58409629960279</c:v>
                </c:pt>
                <c:pt idx="5">
                  <c:v>106.521905451002</c:v>
                </c:pt>
                <c:pt idx="6">
                  <c:v>104.94462529245878</c:v>
                </c:pt>
                <c:pt idx="7">
                  <c:v>105.03834975306225</c:v>
                </c:pt>
                <c:pt idx="8">
                  <c:v>100.01118371738772</c:v>
                </c:pt>
                <c:pt idx="9">
                  <c:v>98.577805820101432</c:v>
                </c:pt>
                <c:pt idx="10">
                  <c:v>102.57900829031755</c:v>
                </c:pt>
                <c:pt idx="11">
                  <c:v>101.5384773524614</c:v>
                </c:pt>
                <c:pt idx="12">
                  <c:v>93.039644269568171</c:v>
                </c:pt>
              </c:numCache>
            </c:numRef>
          </c:val>
          <c:smooth val="0"/>
          <c:extLst>
            <c:ext xmlns:c16="http://schemas.microsoft.com/office/drawing/2014/chart" uri="{C3380CC4-5D6E-409C-BE32-E72D297353CC}">
              <c16:uniqueId val="{00000004-168E-4343-9E84-F69B32B44975}"/>
            </c:ext>
          </c:extLst>
        </c:ser>
        <c:ser>
          <c:idx val="5"/>
          <c:order val="5"/>
          <c:tx>
            <c:strRef>
              <c:f>'[17]Contact Crime'!$A$176</c:f>
              <c:strCache>
                <c:ptCount val="1"/>
                <c:pt idx="0">
                  <c:v>Aggravated Robbery</c:v>
                </c:pt>
              </c:strCache>
            </c:strRef>
          </c:tx>
          <c:spPr>
            <a:ln w="25400" cap="rnd" cmpd="sng" algn="ctr">
              <a:solidFill>
                <a:srgbClr val="800000"/>
              </a:solidFill>
              <a:prstDash val="solid"/>
              <a:round/>
            </a:ln>
          </c:spPr>
          <c:marker>
            <c:symbol val="none"/>
          </c:marker>
          <c:cat>
            <c:strRef>
              <c:f>'[17]Contact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'[17]Contact Crime'!$B$176:$N$176</c:f>
              <c:numCache>
                <c:formatCode>General</c:formatCode>
                <c:ptCount val="13"/>
                <c:pt idx="0">
                  <c:v>100</c:v>
                </c:pt>
                <c:pt idx="1">
                  <c:v>89.235003265699802</c:v>
                </c:pt>
                <c:pt idx="2">
                  <c:v>74.61435352574199</c:v>
                </c:pt>
                <c:pt idx="3">
                  <c:v>81.214908237866752</c:v>
                </c:pt>
                <c:pt idx="4">
                  <c:v>100.95842708080112</c:v>
                </c:pt>
                <c:pt idx="5">
                  <c:v>105.04005802956391</c:v>
                </c:pt>
                <c:pt idx="6">
                  <c:v>119.13510643002132</c:v>
                </c:pt>
                <c:pt idx="7">
                  <c:v>119.20448020355859</c:v>
                </c:pt>
                <c:pt idx="8">
                  <c:v>127.78285341991094</c:v>
                </c:pt>
                <c:pt idx="9">
                  <c:v>131.8789091649472</c:v>
                </c:pt>
                <c:pt idx="10">
                  <c:v>124.57921566314796</c:v>
                </c:pt>
                <c:pt idx="11">
                  <c:v>116.84450315503922</c:v>
                </c:pt>
                <c:pt idx="12">
                  <c:v>130.94021278525798</c:v>
                </c:pt>
              </c:numCache>
            </c:numRef>
          </c:val>
          <c:smooth val="0"/>
          <c:extLst>
            <c:ext xmlns:c16="http://schemas.microsoft.com/office/drawing/2014/chart" uri="{C3380CC4-5D6E-409C-BE32-E72D297353CC}">
              <c16:uniqueId val="{00000005-168E-4343-9E84-F69B32B44975}"/>
            </c:ext>
          </c:extLst>
        </c:ser>
        <c:ser>
          <c:idx val="6"/>
          <c:order val="6"/>
          <c:tx>
            <c:strRef>
              <c:f>'[17]Contact Crime'!$A$177</c:f>
              <c:strCache>
                <c:ptCount val="1"/>
                <c:pt idx="0">
                  <c:v>Common Robbery</c:v>
                </c:pt>
              </c:strCache>
            </c:strRef>
          </c:tx>
          <c:spPr>
            <a:ln w="25400" cap="rnd" cmpd="sng" algn="ctr">
              <a:solidFill>
                <a:srgbClr val="008080"/>
              </a:solidFill>
              <a:prstDash val="solid"/>
              <a:round/>
            </a:ln>
          </c:spPr>
          <c:marker>
            <c:symbol val="none"/>
          </c:marker>
          <c:cat>
            <c:strRef>
              <c:f>'[17]Contact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'[17]Contact Crime'!$B$177:$N$177</c:f>
              <c:numCache>
                <c:formatCode>General</c:formatCode>
                <c:ptCount val="13"/>
                <c:pt idx="0">
                  <c:v>100</c:v>
                </c:pt>
                <c:pt idx="1">
                  <c:v>137.14323363080365</c:v>
                </c:pt>
                <c:pt idx="2">
                  <c:v>148.36301853422606</c:v>
                </c:pt>
                <c:pt idx="3">
                  <c:v>158.54014668552037</c:v>
                </c:pt>
                <c:pt idx="4">
                  <c:v>183.85413131696907</c:v>
                </c:pt>
                <c:pt idx="5">
                  <c:v>206.17763770597759</c:v>
                </c:pt>
                <c:pt idx="6">
                  <c:v>245.36526242085023</c:v>
                </c:pt>
                <c:pt idx="7">
                  <c:v>239.13025278191299</c:v>
                </c:pt>
                <c:pt idx="8">
                  <c:v>265.42041125464038</c:v>
                </c:pt>
                <c:pt idx="9">
                  <c:v>244.75510917078935</c:v>
                </c:pt>
                <c:pt idx="10">
                  <c:v>231.69049879053247</c:v>
                </c:pt>
                <c:pt idx="11">
                  <c:v>189.39213080620962</c:v>
                </c:pt>
                <c:pt idx="12">
                  <c:v>138.09804960269682</c:v>
                </c:pt>
              </c:numCache>
            </c:numRef>
          </c:val>
          <c:smooth val="0"/>
          <c:extLst>
            <c:ext xmlns:c16="http://schemas.microsoft.com/office/drawing/2014/chart" uri="{C3380CC4-5D6E-409C-BE32-E72D297353CC}">
              <c16:uniqueId val="{00000006-168E-4343-9E84-F69B32B44975}"/>
            </c:ext>
          </c:extLst>
        </c:ser>
        <c:dLbls>
          <c:showLegendKey val="0"/>
          <c:showVal val="0"/>
          <c:showCatName val="0"/>
          <c:showSerName val="0"/>
          <c:showPercent val="0"/>
          <c:showBubbleSize val="0"/>
        </c:dLbls>
        <c:smooth val="0"/>
        <c:axId val="338463360"/>
        <c:axId val="338463920"/>
      </c:lineChart>
      <c:catAx>
        <c:axId val="338463360"/>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endParaRPr lang="en-US"/>
          </a:p>
        </c:txPr>
        <c:crossAx val="338463920"/>
        <c:crosses val="autoZero"/>
        <c:auto val="1"/>
        <c:lblAlgn val="ctr"/>
        <c:lblOffset val="100"/>
        <c:tickLblSkip val="1"/>
        <c:noMultiLvlLbl val="0"/>
      </c:catAx>
      <c:valAx>
        <c:axId val="338463920"/>
        <c:scaling>
          <c:orientation val="minMax"/>
          <c:min val="50"/>
        </c:scaling>
        <c:delete val="0"/>
        <c:axPos val="l"/>
        <c:majorGridlines>
          <c:spPr>
            <a:ln w="12700" cap="flat" cmpd="sng" algn="ctr">
              <a:solidFill>
                <a:srgbClr val="000000"/>
              </a:solidFill>
              <a:prstDash val="solid"/>
              <a:round/>
            </a:ln>
          </c:spPr>
        </c:majorGridlines>
        <c:title>
          <c:tx>
            <c:rich>
              <a:bodyPr rot="-5400000" spcFirstLastPara="0" vertOverflow="ellipsis" vert="horz" wrap="square"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r>
                  <a:rPr lang="en-ZA"/>
                  <a:t>%</a:t>
                </a:r>
              </a:p>
            </c:rich>
          </c:tx>
          <c:overlay val="0"/>
          <c:spPr>
            <a:noFill/>
            <a:ln w="25400">
              <a:noFill/>
            </a:ln>
          </c:spPr>
        </c:title>
        <c:numFmt formatCode="#\,##0" sourceLinked="0"/>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endParaRPr lang="en-US"/>
          </a:p>
        </c:txPr>
        <c:crossAx val="338463360"/>
        <c:crosses val="autoZero"/>
        <c:crossBetween val="midCat"/>
      </c:valAx>
      <c:spPr>
        <a:solidFill>
          <a:srgbClr val="C0C0C0"/>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rot="0" spcFirstLastPara="0" vertOverflow="ellipsis" vert="horz" wrap="square" anchor="ctr" anchorCtr="1"/>
        <a:lstStyle/>
        <a:p>
          <a:pPr>
            <a:defRPr lang="en-US" sz="475" b="0" i="0" u="none" strike="noStrike" kern="1200" baseline="0">
              <a:solidFill>
                <a:srgbClr val="000000"/>
              </a:solidFill>
              <a:latin typeface="Arial" panose="020B0604020202020204"/>
              <a:ea typeface="Arial" panose="020B0604020202020204"/>
              <a:cs typeface="Arial" panose="020B0604020202020204"/>
            </a:defRPr>
          </a:pPr>
          <a:endParaRPr lang="en-US"/>
        </a:p>
      </c:txPr>
    </c:legend>
    <c:plotVisOnly val="1"/>
    <c:dispBlanksAs val="gap"/>
    <c:showDLblsOverMax val="0"/>
  </c:chart>
  <c:spPr>
    <a:solidFill>
      <a:srgbClr val="FFFFFF"/>
    </a:solidFill>
    <a:ln w="3175" cap="flat" cmpd="sng" algn="ctr">
      <a:solidFill>
        <a:srgbClr val="000000"/>
      </a:solidFill>
      <a:prstDash val="solid"/>
      <a:round/>
    </a:ln>
  </c:spPr>
  <c:txPr>
    <a:bodyPr/>
    <a:lstStyle/>
    <a:p>
      <a:pPr>
        <a:defRPr lang="en-US" sz="800" b="0" i="0" u="none" strike="noStrike" baseline="0">
          <a:solidFill>
            <a:srgbClr val="000000"/>
          </a:solidFill>
          <a:latin typeface="Arial" panose="020B0604020202020204"/>
          <a:ea typeface="Arial" panose="020B0604020202020204"/>
          <a:cs typeface="Arial" panose="020B0604020202020204"/>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REAL PER CAPITA GDP GROWTH </a:t>
            </a:r>
          </a:p>
        </c:rich>
      </c:tx>
      <c:layout>
        <c:manualLayout>
          <c:xMode val="edge"/>
          <c:yMode val="edge"/>
          <c:x val="4.0086669295578761E-2"/>
          <c:y val="3.1249877187811415E-2"/>
        </c:manualLayout>
      </c:layout>
      <c:overlay val="0"/>
      <c:spPr>
        <a:noFill/>
        <a:ln w="25400">
          <a:noFill/>
        </a:ln>
      </c:spPr>
    </c:title>
    <c:autoTitleDeleted val="0"/>
    <c:plotArea>
      <c:layout>
        <c:manualLayout>
          <c:layoutTarget val="inner"/>
          <c:xMode val="edge"/>
          <c:yMode val="edge"/>
          <c:x val="7.1505958829902488E-2"/>
          <c:y val="0.18750000000000044"/>
          <c:w val="0.89815817984832058"/>
          <c:h val="0.68437499999999996"/>
        </c:manualLayout>
      </c:layout>
      <c:lineChart>
        <c:grouping val="stacked"/>
        <c:varyColors val="0"/>
        <c:ser>
          <c:idx val="0"/>
          <c:order val="0"/>
          <c:tx>
            <c:strRef>
              <c:f>'GDP per Capita'!$E$6</c:f>
              <c:strCache>
                <c:ptCount val="1"/>
              </c:strCache>
            </c:strRef>
          </c:tx>
          <c:spPr>
            <a:ln w="25400">
              <a:solidFill>
                <a:srgbClr val="FF6600"/>
              </a:solidFill>
              <a:prstDash val="solid"/>
            </a:ln>
          </c:spPr>
          <c:marker>
            <c:symbol val="none"/>
          </c:marker>
          <c:cat>
            <c:strRef>
              <c:extLst>
                <c:ext xmlns:c15="http://schemas.microsoft.com/office/drawing/2012/chart" uri="{02D57815-91ED-43cb-92C2-25804820EDAC}">
                  <c15:fullRef>
                    <c15:sqref>'GDP per Capita'!$F$7:$AH$7</c15:sqref>
                  </c15:fullRef>
                </c:ext>
              </c:extLst>
              <c:f>'GDP per Capita'!$S$7:$AH$7</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strCache>
            </c:strRef>
          </c:cat>
          <c:val>
            <c:numRef>
              <c:extLst>
                <c:ext xmlns:c15="http://schemas.microsoft.com/office/drawing/2012/chart" uri="{02D57815-91ED-43cb-92C2-25804820EDAC}">
                  <c15:fullRef>
                    <c15:sqref>'GDP per Capita'!$F$8:$AH$8</c15:sqref>
                  </c15:fullRef>
                </c:ext>
              </c:extLst>
              <c:f>'GDP per Capita'!$S$8:$AH$8</c:f>
              <c:numCache>
                <c:formatCode>0.0</c:formatCode>
                <c:ptCount val="16"/>
                <c:pt idx="0">
                  <c:v>4</c:v>
                </c:pt>
                <c:pt idx="1">
                  <c:v>1.8</c:v>
                </c:pt>
                <c:pt idx="2">
                  <c:v>-2.9</c:v>
                </c:pt>
                <c:pt idx="3">
                  <c:v>1.5</c:v>
                </c:pt>
                <c:pt idx="4">
                  <c:v>1.6</c:v>
                </c:pt>
                <c:pt idx="5" formatCode="_ * #\ ##0.0_ ;_ * \-#\ ##0.0_ ;_ * &quot;-&quot;??_ ;_ @_ ">
                  <c:v>0.8</c:v>
                </c:pt>
                <c:pt idx="6">
                  <c:v>0.9</c:v>
                </c:pt>
                <c:pt idx="7">
                  <c:v>-0.1</c:v>
                </c:pt>
                <c:pt idx="8">
                  <c:v>-0.2</c:v>
                </c:pt>
                <c:pt idx="9">
                  <c:v>-0.8</c:v>
                </c:pt>
                <c:pt idx="10">
                  <c:v>-0.3</c:v>
                </c:pt>
                <c:pt idx="11">
                  <c:v>0</c:v>
                </c:pt>
                <c:pt idx="12">
                  <c:v>-1.4</c:v>
                </c:pt>
                <c:pt idx="13">
                  <c:v>-7.7</c:v>
                </c:pt>
                <c:pt idx="14">
                  <c:v>3.8</c:v>
                </c:pt>
                <c:pt idx="15">
                  <c:v>1</c:v>
                </c:pt>
              </c:numCache>
            </c:numRef>
          </c:val>
          <c:smooth val="0"/>
          <c:extLst>
            <c:ext xmlns:c16="http://schemas.microsoft.com/office/drawing/2014/chart" uri="{C3380CC4-5D6E-409C-BE32-E72D297353CC}">
              <c16:uniqueId val="{00000000-9A8C-452B-9CE6-649F6533BC44}"/>
            </c:ext>
          </c:extLst>
        </c:ser>
        <c:dLbls>
          <c:showLegendKey val="0"/>
          <c:showVal val="0"/>
          <c:showCatName val="0"/>
          <c:showSerName val="0"/>
          <c:showPercent val="0"/>
          <c:showBubbleSize val="0"/>
        </c:dLbls>
        <c:smooth val="0"/>
        <c:axId val="399074968"/>
        <c:axId val="399075360"/>
      </c:lineChart>
      <c:catAx>
        <c:axId val="399074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5360"/>
        <c:crossesAt val="-4"/>
        <c:auto val="1"/>
        <c:lblAlgn val="ctr"/>
        <c:lblOffset val="100"/>
        <c:tickLblSkip val="1"/>
        <c:tickMarkSkip val="1"/>
        <c:noMultiLvlLbl val="0"/>
      </c:catAx>
      <c:valAx>
        <c:axId val="399075360"/>
        <c:scaling>
          <c:orientation val="minMax"/>
        </c:scaling>
        <c:delete val="0"/>
        <c:axPos val="l"/>
        <c:majorGridlines>
          <c:spPr>
            <a:ln w="3175">
              <a:solidFill>
                <a:srgbClr val="969696"/>
              </a:solidFill>
              <a:prstDash val="sysDash"/>
            </a:ln>
          </c:spPr>
        </c:majorGridlines>
        <c:title>
          <c:tx>
            <c:rich>
              <a:bodyPr/>
              <a:lstStyle/>
              <a:p>
                <a:pPr>
                  <a:defRPr lang="en-US" sz="800" b="1" i="0" u="none" strike="noStrike" baseline="0">
                    <a:solidFill>
                      <a:srgbClr val="000000"/>
                    </a:solidFill>
                    <a:latin typeface="Arial"/>
                    <a:ea typeface="Arial"/>
                    <a:cs typeface="Arial"/>
                  </a:defRPr>
                </a:pPr>
                <a:r>
                  <a:rPr lang="en-US"/>
                  <a:t>%</a:t>
                </a:r>
              </a:p>
            </c:rich>
          </c:tx>
          <c:layout>
            <c:manualLayout>
              <c:xMode val="edge"/>
              <c:yMode val="edge"/>
              <c:x val="1.7334707151912959E-2"/>
              <c:y val="0.509374991227700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4968"/>
        <c:crossesAt val="1"/>
        <c:crossBetween val="midCat"/>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portrait"/>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'Drug-Related Crimes'!$D$52</c:f>
              <c:strCache>
                <c:ptCount val="1"/>
                <c:pt idx="0">
                  <c:v>Reported cases</c:v>
                </c:pt>
              </c:strCache>
            </c:strRef>
          </c:tx>
          <c:spPr>
            <a:solidFill>
              <a:schemeClr val="accent1"/>
            </a:solidFill>
            <a:ln>
              <a:noFill/>
            </a:ln>
            <a:effectLst/>
          </c:spPr>
          <c:invertIfNegative val="0"/>
          <c:cat>
            <c:strRef>
              <c:f>'Drug-Related Crimes'!$E$51:$T$51</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'Drug-Related Crimes'!$E$52:$T$52</c:f>
              <c:numCache>
                <c:formatCode>_ * #\ ##0_ ;_ * \-#\ ##0_ ;_ * "-"??_ ;_ @_ </c:formatCode>
                <c:ptCount val="16"/>
                <c:pt idx="0">
                  <c:v>104689</c:v>
                </c:pt>
                <c:pt idx="1">
                  <c:v>109134</c:v>
                </c:pt>
                <c:pt idx="2">
                  <c:v>117172</c:v>
                </c:pt>
                <c:pt idx="3">
                  <c:v>134480</c:v>
                </c:pt>
                <c:pt idx="4">
                  <c:v>150561</c:v>
                </c:pt>
                <c:pt idx="5">
                  <c:v>176218</c:v>
                </c:pt>
                <c:pt idx="6">
                  <c:v>206721</c:v>
                </c:pt>
                <c:pt idx="7">
                  <c:v>260596</c:v>
                </c:pt>
                <c:pt idx="8">
                  <c:v>266902</c:v>
                </c:pt>
                <c:pt idx="9">
                  <c:v>259165</c:v>
                </c:pt>
                <c:pt idx="10">
                  <c:v>292689</c:v>
                </c:pt>
                <c:pt idx="11">
                  <c:v>323547</c:v>
                </c:pt>
                <c:pt idx="12">
                  <c:v>232657</c:v>
                </c:pt>
                <c:pt idx="13">
                  <c:v>170510</c:v>
                </c:pt>
                <c:pt idx="14">
                  <c:v>121359</c:v>
                </c:pt>
                <c:pt idx="15" formatCode="#,##0">
                  <c:v>140326</c:v>
                </c:pt>
              </c:numCache>
            </c:numRef>
          </c:val>
          <c:extLst>
            <c:ext xmlns:c16="http://schemas.microsoft.com/office/drawing/2014/chart" uri="{C3380CC4-5D6E-409C-BE32-E72D297353CC}">
              <c16:uniqueId val="{00000000-04D6-4D18-86EA-3020CC128E50}"/>
            </c:ext>
          </c:extLst>
        </c:ser>
        <c:dLbls>
          <c:showLegendKey val="0"/>
          <c:showVal val="0"/>
          <c:showCatName val="0"/>
          <c:showSerName val="0"/>
          <c:showPercent val="0"/>
          <c:showBubbleSize val="0"/>
        </c:dLbls>
        <c:gapWidth val="219"/>
        <c:axId val="338467280"/>
        <c:axId val="338467840"/>
      </c:barChart>
      <c:lineChart>
        <c:grouping val="standard"/>
        <c:varyColors val="0"/>
        <c:ser>
          <c:idx val="1"/>
          <c:order val="1"/>
          <c:tx>
            <c:strRef>
              <c:f>'Drug-Related Crimes'!$D$53</c:f>
              <c:strCache>
                <c:ptCount val="1"/>
                <c:pt idx="0">
                  <c:v>Drug-related crime reported per 100 000 population</c:v>
                </c:pt>
              </c:strCache>
            </c:strRef>
          </c:tx>
          <c:spPr>
            <a:ln w="28575" cap="rnd">
              <a:solidFill>
                <a:schemeClr val="accent2"/>
              </a:solidFill>
              <a:round/>
            </a:ln>
            <a:effectLst/>
          </c:spPr>
          <c:marker>
            <c:symbol val="none"/>
          </c:marker>
          <c:cat>
            <c:strRef>
              <c:f>'Drug-Related Crimes'!$E$51:$T$51</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'Drug-Related Crimes'!$E$53:$T$53</c:f>
              <c:numCache>
                <c:formatCode>General</c:formatCode>
                <c:ptCount val="16"/>
                <c:pt idx="0">
                  <c:v>220.9</c:v>
                </c:pt>
                <c:pt idx="1">
                  <c:v>228.1</c:v>
                </c:pt>
                <c:pt idx="2">
                  <c:v>240.7</c:v>
                </c:pt>
                <c:pt idx="3">
                  <c:v>273.39999999999998</c:v>
                </c:pt>
                <c:pt idx="4" formatCode="0.00">
                  <c:v>295.04571628346775</c:v>
                </c:pt>
                <c:pt idx="5" formatCode="0.00">
                  <c:v>340.45506178589835</c:v>
                </c:pt>
                <c:pt idx="6" formatCode="0.00">
                  <c:v>393.6203484808205</c:v>
                </c:pt>
                <c:pt idx="7" formatCode="0.00">
                  <c:v>488.88161811085376</c:v>
                </c:pt>
                <c:pt idx="8" formatCode="0.00">
                  <c:v>493.16424635687986</c:v>
                </c:pt>
                <c:pt idx="9" formatCode="0.00">
                  <c:v>471.50672532875836</c:v>
                </c:pt>
                <c:pt idx="10" formatCode="0.00">
                  <c:v>524.12825981399192</c:v>
                </c:pt>
                <c:pt idx="11" formatCode="0.00">
                  <c:v>570.0934513092119</c:v>
                </c:pt>
                <c:pt idx="12" formatCode="0.00">
                  <c:v>560.75544503802575</c:v>
                </c:pt>
                <c:pt idx="13" formatCode="0.00">
                  <c:v>290.58474701303112</c:v>
                </c:pt>
                <c:pt idx="14" formatCode="0.00">
                  <c:v>203.2955457806714</c:v>
                </c:pt>
                <c:pt idx="15" formatCode="0.00">
                  <c:v>235.06827476510594</c:v>
                </c:pt>
              </c:numCache>
            </c:numRef>
          </c:val>
          <c:smooth val="0"/>
          <c:extLst>
            <c:ext xmlns:c16="http://schemas.microsoft.com/office/drawing/2014/chart" uri="{C3380CC4-5D6E-409C-BE32-E72D297353CC}">
              <c16:uniqueId val="{00000001-04D6-4D18-86EA-3020CC128E50}"/>
            </c:ext>
          </c:extLst>
        </c:ser>
        <c:dLbls>
          <c:showLegendKey val="0"/>
          <c:showVal val="0"/>
          <c:showCatName val="0"/>
          <c:showSerName val="0"/>
          <c:showPercent val="0"/>
          <c:showBubbleSize val="0"/>
        </c:dLbls>
        <c:marker val="1"/>
        <c:smooth val="0"/>
        <c:axId val="338468960"/>
        <c:axId val="338468400"/>
      </c:lineChart>
      <c:catAx>
        <c:axId val="3384672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en-US" sz="800" b="0" i="0" u="none" strike="noStrike" kern="1200" baseline="0">
                <a:solidFill>
                  <a:schemeClr val="tx1"/>
                </a:solidFill>
                <a:latin typeface="Arial Narrow" panose="020B0606020202030204" pitchFamily="34" charset="0"/>
                <a:ea typeface="+mn-ea"/>
                <a:cs typeface="+mn-cs"/>
              </a:defRPr>
            </a:pPr>
            <a:endParaRPr lang="en-US"/>
          </a:p>
        </c:txPr>
        <c:crossAx val="338467840"/>
        <c:crosses val="autoZero"/>
        <c:auto val="1"/>
        <c:lblAlgn val="ctr"/>
        <c:lblOffset val="100"/>
        <c:noMultiLvlLbl val="0"/>
      </c:catAx>
      <c:valAx>
        <c:axId val="338467840"/>
        <c:scaling>
          <c:orientation val="minMax"/>
        </c:scaling>
        <c:delete val="0"/>
        <c:axPos val="l"/>
        <c:majorGridlines>
          <c:spPr>
            <a:ln w="9525" cap="flat" cmpd="sng" algn="ctr">
              <a:solidFill>
                <a:srgbClr val="878787"/>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Narrow" panose="020B0606020202030204" pitchFamily="34" charset="0"/>
                <a:ea typeface="+mn-ea"/>
                <a:cs typeface="+mn-cs"/>
              </a:defRPr>
            </a:pPr>
            <a:endParaRPr lang="en-US"/>
          </a:p>
        </c:txPr>
        <c:crossAx val="338467280"/>
        <c:crosses val="autoZero"/>
        <c:crossBetween val="between"/>
        <c:dispUnits>
          <c:builtInUnit val="thousands"/>
          <c:dispUnitsLbl>
            <c:layout>
              <c:manualLayout>
                <c:xMode val="edge"/>
                <c:yMode val="edge"/>
                <c:x val="2.2756657055223398E-2"/>
                <c:y val="0.31071779744346101"/>
              </c:manualLayout>
            </c:layout>
            <c:tx>
              <c:rich>
                <a:bodyPr rot="-5400000" spcFirstLastPara="1" vertOverflow="ellipsis" vert="horz" wrap="square" anchor="ctr" anchorCtr="1">
                  <a:spAutoFit/>
                </a:bodyPr>
                <a:lstStyle/>
                <a:p>
                  <a:pPr algn="ctr" rtl="0">
                    <a:defRPr lang="en-US" sz="800" b="0" i="0" u="none" strike="noStrike" kern="1200" baseline="0">
                      <a:solidFill>
                        <a:schemeClr val="tx1"/>
                      </a:solidFill>
                      <a:latin typeface="Arial Narrow" panose="020B0606020202030204" pitchFamily="34" charset="0"/>
                      <a:ea typeface="+mn-ea"/>
                      <a:cs typeface="+mn-cs"/>
                    </a:defRPr>
                  </a:pPr>
                  <a:r>
                    <a:rPr lang="en-ZA">
                      <a:solidFill>
                        <a:schemeClr val="tx1"/>
                      </a:solidFill>
                    </a:rPr>
                    <a:t>Reported cases (thousands)</a:t>
                  </a:r>
                </a:p>
                <a:p>
                  <a:pPr algn="ctr" rtl="0">
                    <a:defRPr>
                      <a:solidFill>
                        <a:schemeClr val="tx1"/>
                      </a:solidFill>
                    </a:defRPr>
                  </a:pPr>
                  <a:endParaRPr lang="en-ZA">
                    <a:solidFill>
                      <a:schemeClr val="tx1"/>
                    </a:solidFill>
                  </a:endParaRPr>
                </a:p>
              </c:rich>
            </c:tx>
            <c:spPr>
              <a:noFill/>
              <a:ln>
                <a:noFill/>
              </a:ln>
              <a:effectLst/>
            </c:spPr>
            <c:txPr>
              <a:bodyPr rot="-5400000" spcFirstLastPara="1" vertOverflow="ellipsis" vert="horz" wrap="square" anchor="ctr" anchorCtr="1">
                <a:spAutoFit/>
              </a:bodyPr>
              <a:lstStyle/>
              <a:p>
                <a:pPr algn="ctr" rtl="0">
                  <a:defRPr lang="en-US" sz="800" b="0" i="0" u="none" strike="noStrike" kern="1200" baseline="0">
                    <a:solidFill>
                      <a:schemeClr val="tx1"/>
                    </a:solidFill>
                    <a:latin typeface="Arial Narrow" panose="020B0606020202030204" pitchFamily="34" charset="0"/>
                    <a:ea typeface="+mn-ea"/>
                    <a:cs typeface="+mn-cs"/>
                  </a:defRPr>
                </a:pPr>
                <a:endParaRPr lang="en-US"/>
              </a:p>
            </c:txPr>
          </c:dispUnitsLbl>
        </c:dispUnits>
      </c:valAx>
      <c:catAx>
        <c:axId val="338468960"/>
        <c:scaling>
          <c:orientation val="minMax"/>
        </c:scaling>
        <c:delete val="1"/>
        <c:axPos val="b"/>
        <c:numFmt formatCode="General" sourceLinked="1"/>
        <c:majorTickMark val="out"/>
        <c:minorTickMark val="none"/>
        <c:tickLblPos val="nextTo"/>
        <c:crossAx val="338468400"/>
        <c:crosses val="autoZero"/>
        <c:auto val="1"/>
        <c:lblAlgn val="ctr"/>
        <c:lblOffset val="100"/>
        <c:noMultiLvlLbl val="0"/>
      </c:catAx>
      <c:valAx>
        <c:axId val="338468400"/>
        <c:scaling>
          <c:orientation val="minMax"/>
        </c:scaling>
        <c:delete val="0"/>
        <c:axPos val="r"/>
        <c:title>
          <c:tx>
            <c:rich>
              <a:bodyPr rot="-5400000" spcFirstLastPara="1" vertOverflow="ellipsis" vert="horz" wrap="square" anchor="ctr" anchorCtr="1"/>
              <a:lstStyle/>
              <a:p>
                <a:pPr>
                  <a:defRPr lang="en-US" sz="900" b="0" i="0" u="none" strike="noStrike" kern="1200" baseline="0">
                    <a:solidFill>
                      <a:schemeClr val="tx1"/>
                    </a:solidFill>
                    <a:latin typeface="Arial Narrow" panose="020B0606020202030204" pitchFamily="34" charset="0"/>
                    <a:ea typeface="+mn-ea"/>
                    <a:cs typeface="+mn-cs"/>
                  </a:defRPr>
                </a:pPr>
                <a:r>
                  <a:rPr lang="en-ZA" sz="900">
                    <a:solidFill>
                      <a:schemeClr val="tx1"/>
                    </a:solidFill>
                  </a:rPr>
                  <a:t>Number per 100 000 of population</a:t>
                </a:r>
              </a:p>
            </c:rich>
          </c:tx>
          <c:overlay val="0"/>
          <c:spPr>
            <a:noFill/>
            <a:ln>
              <a:noFill/>
            </a:ln>
            <a:effectLst/>
          </c:spPr>
          <c:txPr>
            <a:bodyPr rot="-5400000" spcFirstLastPara="1" vertOverflow="ellipsis" vert="horz" wrap="square" anchor="ctr" anchorCtr="1"/>
            <a:lstStyle/>
            <a:p>
              <a:pPr>
                <a:defRPr lang="en-US" sz="900" b="0" i="0" u="none" strike="noStrike" kern="1200" baseline="0">
                  <a:solidFill>
                    <a:schemeClr val="tx1"/>
                  </a:solidFill>
                  <a:latin typeface="Arial Narrow" panose="020B0606020202030204" pitchFamily="34" charset="0"/>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Narrow" panose="020B0606020202030204" pitchFamily="34" charset="0"/>
                <a:ea typeface="+mn-ea"/>
                <a:cs typeface="+mn-cs"/>
              </a:defRPr>
            </a:pPr>
            <a:endParaRPr lang="en-US"/>
          </a:p>
        </c:txPr>
        <c:crossAx val="338468960"/>
        <c:crosses val="max"/>
        <c:crossBetween val="between"/>
      </c:valAx>
      <c:spPr>
        <a:noFill/>
        <a:ln>
          <a:noFill/>
        </a:ln>
        <a:effectLst/>
      </c:spPr>
    </c:plotArea>
    <c:legend>
      <c:legendPos val="b"/>
      <c:layout>
        <c:manualLayout>
          <c:xMode val="edge"/>
          <c:yMode val="edge"/>
          <c:x val="0.31742957971651847"/>
          <c:y val="0.90836708494464236"/>
          <c:w val="0.38638178807653822"/>
          <c:h val="6.5413839886783148E-2"/>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tx1"/>
              </a:solidFill>
              <a:latin typeface="Arial Narrow" panose="020B060602020203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800">
          <a:latin typeface="Arial Narrow" panose="020B0606020202030204" pitchFamily="34" charset="0"/>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800" b="1" i="0" u="none" strike="noStrike" kern="1200" baseline="0">
                <a:solidFill>
                  <a:srgbClr val="000000"/>
                </a:solidFill>
                <a:latin typeface="Arial" panose="020B0604020202020204"/>
                <a:ea typeface="Arial" panose="020B0604020202020204"/>
                <a:cs typeface="Arial" panose="020B0604020202020204"/>
              </a:defRPr>
            </a:pPr>
            <a:r>
              <a:rPr lang="en-ZA"/>
              <a:t>Contact crime</a:t>
            </a:r>
          </a:p>
        </c:rich>
      </c:tx>
      <c:layout>
        <c:manualLayout>
          <c:xMode val="edge"/>
          <c:yMode val="edge"/>
          <c:x val="0.463002336124478"/>
          <c:y val="3.8610038610038602E-2"/>
        </c:manualLayout>
      </c:layout>
      <c:overlay val="0"/>
      <c:spPr>
        <a:noFill/>
        <a:ln w="25400">
          <a:noFill/>
        </a:ln>
      </c:spPr>
    </c:title>
    <c:autoTitleDeleted val="0"/>
    <c:plotArea>
      <c:layout/>
      <c:lineChart>
        <c:grouping val="standard"/>
        <c:varyColors val="0"/>
        <c:ser>
          <c:idx val="0"/>
          <c:order val="0"/>
          <c:tx>
            <c:strRef>
              <c:f>'[17]Contact Crime'!$A$171</c:f>
              <c:strCache>
                <c:ptCount val="1"/>
                <c:pt idx="0">
                  <c:v>Murder</c:v>
                </c:pt>
              </c:strCache>
            </c:strRef>
          </c:tx>
          <c:spPr>
            <a:ln w="25400" cap="rnd" cmpd="sng" algn="ctr">
              <a:solidFill>
                <a:srgbClr val="000080"/>
              </a:solidFill>
              <a:prstDash val="solid"/>
              <a:round/>
            </a:ln>
          </c:spPr>
          <c:marker>
            <c:symbol val="none"/>
          </c:marker>
          <c:cat>
            <c:strRef>
              <c:f>'[17]Contact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'[17]Contact Crime'!$B$171:$N$171</c:f>
              <c:numCache>
                <c:formatCode>General</c:formatCode>
                <c:ptCount val="13"/>
                <c:pt idx="0">
                  <c:v>100</c:v>
                </c:pt>
                <c:pt idx="1">
                  <c:v>101.48809863178425</c:v>
                </c:pt>
                <c:pt idx="2">
                  <c:v>93.792224016122006</c:v>
                </c:pt>
                <c:pt idx="3">
                  <c:v>88.88863667337769</c:v>
                </c:pt>
                <c:pt idx="4">
                  <c:v>89.425679533944773</c:v>
                </c:pt>
                <c:pt idx="5">
                  <c:v>78.461546575609759</c:v>
                </c:pt>
                <c:pt idx="6">
                  <c:v>74.433399137940413</c:v>
                </c:pt>
                <c:pt idx="7">
                  <c:v>71.372958646877066</c:v>
                </c:pt>
                <c:pt idx="8">
                  <c:v>70.865078875843395</c:v>
                </c:pt>
                <c:pt idx="9">
                  <c:v>63.87080275468464</c:v>
                </c:pt>
                <c:pt idx="10">
                  <c:v>60.227275178124387</c:v>
                </c:pt>
                <c:pt idx="11">
                  <c:v>59.031696514538801</c:v>
                </c:pt>
                <c:pt idx="12">
                  <c:v>58.1661271719314</c:v>
                </c:pt>
              </c:numCache>
            </c:numRef>
          </c:val>
          <c:smooth val="0"/>
          <c:extLst>
            <c:ext xmlns:c16="http://schemas.microsoft.com/office/drawing/2014/chart" uri="{C3380CC4-5D6E-409C-BE32-E72D297353CC}">
              <c16:uniqueId val="{00000000-84CC-4381-993E-C486D7100929}"/>
            </c:ext>
          </c:extLst>
        </c:ser>
        <c:ser>
          <c:idx val="1"/>
          <c:order val="1"/>
          <c:tx>
            <c:strRef>
              <c:f>'[17]Contact Crime'!$A$172</c:f>
              <c:strCache>
                <c:ptCount val="1"/>
                <c:pt idx="0">
                  <c:v>Attempted Murder</c:v>
                </c:pt>
              </c:strCache>
            </c:strRef>
          </c:tx>
          <c:spPr>
            <a:ln w="25400" cap="rnd" cmpd="sng" algn="ctr">
              <a:solidFill>
                <a:srgbClr val="FF00FF"/>
              </a:solidFill>
              <a:prstDash val="solid"/>
              <a:round/>
            </a:ln>
          </c:spPr>
          <c:marker>
            <c:symbol val="none"/>
          </c:marker>
          <c:cat>
            <c:strRef>
              <c:f>'[17]Contact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'[17]Contact Crime'!$B$172:$N$172</c:f>
              <c:numCache>
                <c:formatCode>General</c:formatCode>
                <c:ptCount val="13"/>
                <c:pt idx="0">
                  <c:v>100</c:v>
                </c:pt>
                <c:pt idx="1">
                  <c:v>98.300396799455157</c:v>
                </c:pt>
                <c:pt idx="2">
                  <c:v>101.92850161180844</c:v>
                </c:pt>
                <c:pt idx="3">
                  <c:v>98.965988480689745</c:v>
                </c:pt>
                <c:pt idx="4">
                  <c:v>101.85020728590619</c:v>
                </c:pt>
                <c:pt idx="5">
                  <c:v>94.744379636660454</c:v>
                </c:pt>
                <c:pt idx="6">
                  <c:v>93.206037906338395</c:v>
                </c:pt>
                <c:pt idx="7">
                  <c:v>101.06993390949953</c:v>
                </c:pt>
                <c:pt idx="8">
                  <c:v>114.20976962200314</c:v>
                </c:pt>
                <c:pt idx="9">
                  <c:v>93.861496756907187</c:v>
                </c:pt>
                <c:pt idx="10">
                  <c:v>76.143042602402446</c:v>
                </c:pt>
                <c:pt idx="11">
                  <c:v>63.549041259419525</c:v>
                </c:pt>
                <c:pt idx="12">
                  <c:v>64.647797291263586</c:v>
                </c:pt>
              </c:numCache>
            </c:numRef>
          </c:val>
          <c:smooth val="0"/>
          <c:extLst>
            <c:ext xmlns:c16="http://schemas.microsoft.com/office/drawing/2014/chart" uri="{C3380CC4-5D6E-409C-BE32-E72D297353CC}">
              <c16:uniqueId val="{00000001-84CC-4381-993E-C486D7100929}"/>
            </c:ext>
          </c:extLst>
        </c:ser>
        <c:ser>
          <c:idx val="2"/>
          <c:order val="2"/>
          <c:tx>
            <c:strRef>
              <c:f>'[17]Contact Crime'!$A$173</c:f>
              <c:strCache>
                <c:ptCount val="1"/>
                <c:pt idx="0">
                  <c:v>Common Assault</c:v>
                </c:pt>
              </c:strCache>
            </c:strRef>
          </c:tx>
          <c:spPr>
            <a:ln w="25400" cap="rnd" cmpd="sng" algn="ctr">
              <a:solidFill>
                <a:srgbClr val="FFFF00"/>
              </a:solidFill>
              <a:prstDash val="solid"/>
              <a:round/>
            </a:ln>
          </c:spPr>
          <c:marker>
            <c:symbol val="none"/>
          </c:marker>
          <c:cat>
            <c:strRef>
              <c:f>'[17]Contact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'[17]Contact Crime'!$B$173:$N$173</c:f>
              <c:numCache>
                <c:formatCode>General</c:formatCode>
                <c:ptCount val="13"/>
                <c:pt idx="0">
                  <c:v>100</c:v>
                </c:pt>
                <c:pt idx="1">
                  <c:v>100.86356963047767</c:v>
                </c:pt>
                <c:pt idx="2">
                  <c:v>96.940056766335076</c:v>
                </c:pt>
                <c:pt idx="3">
                  <c:v>94.760859194917018</c:v>
                </c:pt>
                <c:pt idx="4">
                  <c:v>93.990913545732539</c:v>
                </c:pt>
                <c:pt idx="5">
                  <c:v>104.42984058536841</c:v>
                </c:pt>
                <c:pt idx="6">
                  <c:v>110.38945943236611</c:v>
                </c:pt>
                <c:pt idx="7">
                  <c:v>113.22723186957828</c:v>
                </c:pt>
                <c:pt idx="8">
                  <c:v>120.44897440470879</c:v>
                </c:pt>
                <c:pt idx="9">
                  <c:v>117.36751111526502</c:v>
                </c:pt>
                <c:pt idx="10">
                  <c:v>111.42333506452</c:v>
                </c:pt>
                <c:pt idx="11">
                  <c:v>94.04129479445487</c:v>
                </c:pt>
                <c:pt idx="12">
                  <c:v>93.236135840703653</c:v>
                </c:pt>
              </c:numCache>
            </c:numRef>
          </c:val>
          <c:smooth val="0"/>
          <c:extLst>
            <c:ext xmlns:c16="http://schemas.microsoft.com/office/drawing/2014/chart" uri="{C3380CC4-5D6E-409C-BE32-E72D297353CC}">
              <c16:uniqueId val="{00000002-84CC-4381-993E-C486D7100929}"/>
            </c:ext>
          </c:extLst>
        </c:ser>
        <c:ser>
          <c:idx val="3"/>
          <c:order val="3"/>
          <c:tx>
            <c:strRef>
              <c:f>'[17]Contact Crime'!$A$174</c:f>
              <c:strCache>
                <c:ptCount val="1"/>
                <c:pt idx="0">
                  <c:v>Assault GBH</c:v>
                </c:pt>
              </c:strCache>
            </c:strRef>
          </c:tx>
          <c:spPr>
            <a:ln w="25400" cap="rnd" cmpd="sng" algn="ctr">
              <a:solidFill>
                <a:srgbClr val="00FFFF"/>
              </a:solidFill>
              <a:prstDash val="solid"/>
              <a:round/>
            </a:ln>
          </c:spPr>
          <c:marker>
            <c:symbol val="none"/>
          </c:marker>
          <c:cat>
            <c:strRef>
              <c:f>'[17]Contact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'[17]Contact Crime'!$B$174:$N$174</c:f>
              <c:numCache>
                <c:formatCode>General</c:formatCode>
                <c:ptCount val="13"/>
                <c:pt idx="0">
                  <c:v>100</c:v>
                </c:pt>
                <c:pt idx="1">
                  <c:v>101.42023909693563</c:v>
                </c:pt>
                <c:pt idx="2">
                  <c:v>102.63130030166299</c:v>
                </c:pt>
                <c:pt idx="3">
                  <c:v>102.62619076688368</c:v>
                </c:pt>
                <c:pt idx="4">
                  <c:v>101.89735397608868</c:v>
                </c:pt>
                <c:pt idx="5">
                  <c:v>109.40682585435466</c:v>
                </c:pt>
                <c:pt idx="6">
                  <c:v>113.37944140371015</c:v>
                </c:pt>
                <c:pt idx="7">
                  <c:v>105.98361038677584</c:v>
                </c:pt>
                <c:pt idx="8">
                  <c:v>105.42085488670978</c:v>
                </c:pt>
                <c:pt idx="9">
                  <c:v>100.88299258504389</c:v>
                </c:pt>
                <c:pt idx="10">
                  <c:v>96.312351683814683</c:v>
                </c:pt>
                <c:pt idx="11">
                  <c:v>87.082343013200656</c:v>
                </c:pt>
                <c:pt idx="12">
                  <c:v>85.862884754165208</c:v>
                </c:pt>
              </c:numCache>
            </c:numRef>
          </c:val>
          <c:smooth val="0"/>
          <c:extLst>
            <c:ext xmlns:c16="http://schemas.microsoft.com/office/drawing/2014/chart" uri="{C3380CC4-5D6E-409C-BE32-E72D297353CC}">
              <c16:uniqueId val="{00000003-84CC-4381-993E-C486D7100929}"/>
            </c:ext>
          </c:extLst>
        </c:ser>
        <c:ser>
          <c:idx val="4"/>
          <c:order val="4"/>
          <c:tx>
            <c:strRef>
              <c:f>'[17]Contact Crime'!$A$175</c:f>
              <c:strCache>
                <c:ptCount val="1"/>
                <c:pt idx="0">
                  <c:v>Rape</c:v>
                </c:pt>
              </c:strCache>
            </c:strRef>
          </c:tx>
          <c:spPr>
            <a:ln w="25400" cap="rnd" cmpd="sng" algn="ctr">
              <a:solidFill>
                <a:srgbClr val="800080"/>
              </a:solidFill>
              <a:prstDash val="solid"/>
              <a:round/>
            </a:ln>
          </c:spPr>
          <c:marker>
            <c:symbol val="none"/>
          </c:marker>
          <c:cat>
            <c:strRef>
              <c:f>'[17]Contact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'[17]Contact Crime'!$B$175:$N$175</c:f>
              <c:numCache>
                <c:formatCode>General</c:formatCode>
                <c:ptCount val="13"/>
                <c:pt idx="0">
                  <c:v>100</c:v>
                </c:pt>
                <c:pt idx="1">
                  <c:v>109.13463626136526</c:v>
                </c:pt>
                <c:pt idx="2">
                  <c:v>109.89608362935093</c:v>
                </c:pt>
                <c:pt idx="3">
                  <c:v>109.43966794611318</c:v>
                </c:pt>
                <c:pt idx="4">
                  <c:v>102.58409629960279</c:v>
                </c:pt>
                <c:pt idx="5">
                  <c:v>106.521905451002</c:v>
                </c:pt>
                <c:pt idx="6">
                  <c:v>104.94462529245878</c:v>
                </c:pt>
                <c:pt idx="7">
                  <c:v>105.03834975306225</c:v>
                </c:pt>
                <c:pt idx="8">
                  <c:v>100.01118371738772</c:v>
                </c:pt>
                <c:pt idx="9">
                  <c:v>98.577805820101432</c:v>
                </c:pt>
                <c:pt idx="10">
                  <c:v>102.57900829031755</c:v>
                </c:pt>
                <c:pt idx="11">
                  <c:v>101.5384773524614</c:v>
                </c:pt>
                <c:pt idx="12">
                  <c:v>93.039644269568171</c:v>
                </c:pt>
              </c:numCache>
            </c:numRef>
          </c:val>
          <c:smooth val="0"/>
          <c:extLst>
            <c:ext xmlns:c16="http://schemas.microsoft.com/office/drawing/2014/chart" uri="{C3380CC4-5D6E-409C-BE32-E72D297353CC}">
              <c16:uniqueId val="{00000004-84CC-4381-993E-C486D7100929}"/>
            </c:ext>
          </c:extLst>
        </c:ser>
        <c:ser>
          <c:idx val="5"/>
          <c:order val="5"/>
          <c:tx>
            <c:strRef>
              <c:f>'[17]Contact Crime'!$A$176</c:f>
              <c:strCache>
                <c:ptCount val="1"/>
                <c:pt idx="0">
                  <c:v>Aggravated Robbery</c:v>
                </c:pt>
              </c:strCache>
            </c:strRef>
          </c:tx>
          <c:spPr>
            <a:ln w="25400" cap="rnd" cmpd="sng" algn="ctr">
              <a:solidFill>
                <a:srgbClr val="800000"/>
              </a:solidFill>
              <a:prstDash val="solid"/>
              <a:round/>
            </a:ln>
          </c:spPr>
          <c:marker>
            <c:symbol val="none"/>
          </c:marker>
          <c:cat>
            <c:strRef>
              <c:f>'[17]Contact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'[17]Contact Crime'!$B$176:$N$176</c:f>
              <c:numCache>
                <c:formatCode>General</c:formatCode>
                <c:ptCount val="13"/>
                <c:pt idx="0">
                  <c:v>100</c:v>
                </c:pt>
                <c:pt idx="1">
                  <c:v>89.235003265699802</c:v>
                </c:pt>
                <c:pt idx="2">
                  <c:v>74.61435352574199</c:v>
                </c:pt>
                <c:pt idx="3">
                  <c:v>81.214908237866752</c:v>
                </c:pt>
                <c:pt idx="4">
                  <c:v>100.95842708080112</c:v>
                </c:pt>
                <c:pt idx="5">
                  <c:v>105.04005802956391</c:v>
                </c:pt>
                <c:pt idx="6">
                  <c:v>119.13510643002132</c:v>
                </c:pt>
                <c:pt idx="7">
                  <c:v>119.20448020355859</c:v>
                </c:pt>
                <c:pt idx="8">
                  <c:v>127.78285341991094</c:v>
                </c:pt>
                <c:pt idx="9">
                  <c:v>131.8789091649472</c:v>
                </c:pt>
                <c:pt idx="10">
                  <c:v>124.57921566314796</c:v>
                </c:pt>
                <c:pt idx="11">
                  <c:v>116.84450315503922</c:v>
                </c:pt>
                <c:pt idx="12">
                  <c:v>130.94021278525798</c:v>
                </c:pt>
              </c:numCache>
            </c:numRef>
          </c:val>
          <c:smooth val="0"/>
          <c:extLst>
            <c:ext xmlns:c16="http://schemas.microsoft.com/office/drawing/2014/chart" uri="{C3380CC4-5D6E-409C-BE32-E72D297353CC}">
              <c16:uniqueId val="{00000005-84CC-4381-993E-C486D7100929}"/>
            </c:ext>
          </c:extLst>
        </c:ser>
        <c:ser>
          <c:idx val="6"/>
          <c:order val="6"/>
          <c:tx>
            <c:strRef>
              <c:f>'[17]Contact Crime'!$A$177</c:f>
              <c:strCache>
                <c:ptCount val="1"/>
                <c:pt idx="0">
                  <c:v>Common Robbery</c:v>
                </c:pt>
              </c:strCache>
            </c:strRef>
          </c:tx>
          <c:spPr>
            <a:ln w="25400" cap="rnd" cmpd="sng" algn="ctr">
              <a:solidFill>
                <a:srgbClr val="008080"/>
              </a:solidFill>
              <a:prstDash val="solid"/>
              <a:round/>
            </a:ln>
          </c:spPr>
          <c:marker>
            <c:symbol val="none"/>
          </c:marker>
          <c:cat>
            <c:strRef>
              <c:f>'[17]Contact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'[17]Contact Crime'!$B$177:$N$177</c:f>
              <c:numCache>
                <c:formatCode>General</c:formatCode>
                <c:ptCount val="13"/>
                <c:pt idx="0">
                  <c:v>100</c:v>
                </c:pt>
                <c:pt idx="1">
                  <c:v>137.14323363080365</c:v>
                </c:pt>
                <c:pt idx="2">
                  <c:v>148.36301853422606</c:v>
                </c:pt>
                <c:pt idx="3">
                  <c:v>158.54014668552037</c:v>
                </c:pt>
                <c:pt idx="4">
                  <c:v>183.85413131696907</c:v>
                </c:pt>
                <c:pt idx="5">
                  <c:v>206.17763770597759</c:v>
                </c:pt>
                <c:pt idx="6">
                  <c:v>245.36526242085023</c:v>
                </c:pt>
                <c:pt idx="7">
                  <c:v>239.13025278191299</c:v>
                </c:pt>
                <c:pt idx="8">
                  <c:v>265.42041125464038</c:v>
                </c:pt>
                <c:pt idx="9">
                  <c:v>244.75510917078935</c:v>
                </c:pt>
                <c:pt idx="10">
                  <c:v>231.69049879053247</c:v>
                </c:pt>
                <c:pt idx="11">
                  <c:v>189.39213080620962</c:v>
                </c:pt>
                <c:pt idx="12">
                  <c:v>138.09804960269682</c:v>
                </c:pt>
              </c:numCache>
            </c:numRef>
          </c:val>
          <c:smooth val="0"/>
          <c:extLst>
            <c:ext xmlns:c16="http://schemas.microsoft.com/office/drawing/2014/chart" uri="{C3380CC4-5D6E-409C-BE32-E72D297353CC}">
              <c16:uniqueId val="{00000006-84CC-4381-993E-C486D7100929}"/>
            </c:ext>
          </c:extLst>
        </c:ser>
        <c:dLbls>
          <c:showLegendKey val="0"/>
          <c:showVal val="0"/>
          <c:showCatName val="0"/>
          <c:showSerName val="0"/>
          <c:showPercent val="0"/>
          <c:showBubbleSize val="0"/>
        </c:dLbls>
        <c:smooth val="0"/>
        <c:axId val="338475120"/>
        <c:axId val="338475680"/>
      </c:lineChart>
      <c:catAx>
        <c:axId val="338475120"/>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endParaRPr lang="en-US"/>
          </a:p>
        </c:txPr>
        <c:crossAx val="338475680"/>
        <c:crosses val="autoZero"/>
        <c:auto val="1"/>
        <c:lblAlgn val="ctr"/>
        <c:lblOffset val="100"/>
        <c:tickLblSkip val="1"/>
        <c:noMultiLvlLbl val="0"/>
      </c:catAx>
      <c:valAx>
        <c:axId val="338475680"/>
        <c:scaling>
          <c:orientation val="minMax"/>
          <c:min val="50"/>
        </c:scaling>
        <c:delete val="0"/>
        <c:axPos val="l"/>
        <c:majorGridlines>
          <c:spPr>
            <a:ln w="12700" cap="flat" cmpd="sng" algn="ctr">
              <a:solidFill>
                <a:srgbClr val="000000"/>
              </a:solidFill>
              <a:prstDash val="solid"/>
              <a:round/>
            </a:ln>
          </c:spPr>
        </c:majorGridlines>
        <c:title>
          <c:tx>
            <c:rich>
              <a:bodyPr rot="-5400000" spcFirstLastPara="0" vertOverflow="ellipsis" vert="horz" wrap="square"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r>
                  <a:rPr lang="en-ZA"/>
                  <a:t>%</a:t>
                </a:r>
              </a:p>
            </c:rich>
          </c:tx>
          <c:overlay val="0"/>
          <c:spPr>
            <a:noFill/>
            <a:ln w="25400">
              <a:noFill/>
            </a:ln>
          </c:spPr>
        </c:title>
        <c:numFmt formatCode="#\,##0" sourceLinked="0"/>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endParaRPr lang="en-US"/>
          </a:p>
        </c:txPr>
        <c:crossAx val="338475120"/>
        <c:crosses val="autoZero"/>
        <c:crossBetween val="midCat"/>
      </c:valAx>
      <c:spPr>
        <a:solidFill>
          <a:srgbClr val="C0C0C0"/>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rot="0" spcFirstLastPara="0" vertOverflow="ellipsis" vert="horz" wrap="square" anchor="ctr" anchorCtr="1"/>
        <a:lstStyle/>
        <a:p>
          <a:pPr>
            <a:defRPr lang="en-US" sz="475" b="0" i="0" u="none" strike="noStrike" kern="1200" baseline="0">
              <a:solidFill>
                <a:srgbClr val="000000"/>
              </a:solidFill>
              <a:latin typeface="Arial" panose="020B0604020202020204"/>
              <a:ea typeface="Arial" panose="020B0604020202020204"/>
              <a:cs typeface="Arial" panose="020B0604020202020204"/>
            </a:defRPr>
          </a:pPr>
          <a:endParaRPr lang="en-US"/>
        </a:p>
      </c:txPr>
    </c:legend>
    <c:plotVisOnly val="1"/>
    <c:dispBlanksAs val="gap"/>
    <c:showDLblsOverMax val="0"/>
  </c:chart>
  <c:spPr>
    <a:solidFill>
      <a:srgbClr val="FFFFFF"/>
    </a:solidFill>
    <a:ln w="3175" cap="flat" cmpd="sng" algn="ctr">
      <a:solidFill>
        <a:srgbClr val="000000"/>
      </a:solidFill>
      <a:prstDash val="solid"/>
      <a:round/>
    </a:ln>
  </c:spPr>
  <c:txPr>
    <a:bodyPr/>
    <a:lstStyle/>
    <a:p>
      <a:pPr>
        <a:defRPr lang="en-US" sz="800" b="0" i="0" u="none" strike="noStrike" baseline="0">
          <a:solidFill>
            <a:srgbClr val="000000"/>
          </a:solidFill>
          <a:latin typeface="Arial" panose="020B0604020202020204"/>
          <a:ea typeface="Arial" panose="020B0604020202020204"/>
          <a:cs typeface="Arial" panose="020B0604020202020204"/>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4837610368457E-2"/>
          <c:y val="4.1187995040930014E-2"/>
          <c:w val="0.87660451581029808"/>
          <c:h val="0.80127396797832395"/>
        </c:manualLayout>
      </c:layout>
      <c:barChart>
        <c:barDir val="col"/>
        <c:grouping val="clustered"/>
        <c:varyColors val="0"/>
        <c:ser>
          <c:idx val="0"/>
          <c:order val="0"/>
          <c:tx>
            <c:strRef>
              <c:f>'Sexual offences'!$D$51</c:f>
              <c:strCache>
                <c:ptCount val="1"/>
                <c:pt idx="0">
                  <c:v>Reported cases</c:v>
                </c:pt>
              </c:strCache>
            </c:strRef>
          </c:tx>
          <c:spPr>
            <a:solidFill>
              <a:schemeClr val="accent1"/>
            </a:solidFill>
            <a:ln>
              <a:noFill/>
            </a:ln>
            <a:effectLst/>
          </c:spPr>
          <c:invertIfNegative val="0"/>
          <c:cat>
            <c:strRef>
              <c:f>'Sexual offences'!$E$50:$T$50</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'Sexual offences'!$E$51:$T$51</c:f>
              <c:numCache>
                <c:formatCode>_ * #\ ##0_ ;_ * \-#\ ##0_ ;_ * "-"??_ ;_ @_ </c:formatCode>
                <c:ptCount val="16"/>
                <c:pt idx="0">
                  <c:v>65201</c:v>
                </c:pt>
                <c:pt idx="1">
                  <c:v>63818</c:v>
                </c:pt>
                <c:pt idx="2">
                  <c:v>70514</c:v>
                </c:pt>
                <c:pt idx="3">
                  <c:v>64921</c:v>
                </c:pt>
                <c:pt idx="4">
                  <c:v>64921</c:v>
                </c:pt>
                <c:pt idx="5">
                  <c:v>60539</c:v>
                </c:pt>
                <c:pt idx="6">
                  <c:v>60888</c:v>
                </c:pt>
                <c:pt idx="7">
                  <c:v>56680</c:v>
                </c:pt>
                <c:pt idx="8">
                  <c:v>53617</c:v>
                </c:pt>
                <c:pt idx="9">
                  <c:v>51895</c:v>
                </c:pt>
                <c:pt idx="10">
                  <c:v>49660</c:v>
                </c:pt>
                <c:pt idx="11">
                  <c:v>50108</c:v>
                </c:pt>
                <c:pt idx="12" formatCode="#,##0">
                  <c:v>52420</c:v>
                </c:pt>
                <c:pt idx="13" formatCode="#,##0">
                  <c:v>53293</c:v>
                </c:pt>
                <c:pt idx="14" formatCode="#,##0">
                  <c:v>46214</c:v>
                </c:pt>
                <c:pt idx="15" formatCode="#,##0">
                  <c:v>52694</c:v>
                </c:pt>
              </c:numCache>
            </c:numRef>
          </c:val>
          <c:extLst>
            <c:ext xmlns:c16="http://schemas.microsoft.com/office/drawing/2014/chart" uri="{C3380CC4-5D6E-409C-BE32-E72D297353CC}">
              <c16:uniqueId val="{00000000-AE49-4768-B4E3-7F60D0C6BB75}"/>
            </c:ext>
          </c:extLst>
        </c:ser>
        <c:dLbls>
          <c:showLegendKey val="0"/>
          <c:showVal val="0"/>
          <c:showCatName val="0"/>
          <c:showSerName val="0"/>
          <c:showPercent val="0"/>
          <c:showBubbleSize val="0"/>
        </c:dLbls>
        <c:gapWidth val="219"/>
        <c:axId val="280363504"/>
        <c:axId val="280364064"/>
      </c:barChart>
      <c:lineChart>
        <c:grouping val="standard"/>
        <c:varyColors val="0"/>
        <c:ser>
          <c:idx val="1"/>
          <c:order val="1"/>
          <c:tx>
            <c:strRef>
              <c:f>'Sexual offences'!$D$52</c:f>
              <c:strCache>
                <c:ptCount val="1"/>
                <c:pt idx="0">
                  <c:v>Sexual offences reported per 100 000 population</c:v>
                </c:pt>
              </c:strCache>
            </c:strRef>
          </c:tx>
          <c:spPr>
            <a:ln w="28575" cap="rnd">
              <a:solidFill>
                <a:schemeClr val="accent2"/>
              </a:solidFill>
              <a:round/>
            </a:ln>
            <a:effectLst/>
          </c:spPr>
          <c:marker>
            <c:symbol val="none"/>
          </c:marker>
          <c:cat>
            <c:strRef>
              <c:f>'Sexual offences'!$E$50:$T$50</c:f>
              <c:strCache>
                <c:ptCount val="16"/>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strCache>
            </c:strRef>
          </c:cat>
          <c:val>
            <c:numRef>
              <c:f>'Sexual offences'!$E$52:$T$52</c:f>
              <c:numCache>
                <c:formatCode>0.0</c:formatCode>
                <c:ptCount val="16"/>
                <c:pt idx="0">
                  <c:v>134.825715214643</c:v>
                </c:pt>
                <c:pt idx="1">
                  <c:v>130.26683024641099</c:v>
                </c:pt>
                <c:pt idx="2">
                  <c:v>142.03350564921701</c:v>
                </c:pt>
                <c:pt idx="3">
                  <c:v>90.822432247759465</c:v>
                </c:pt>
                <c:pt idx="4">
                  <c:v>127.22194291243424</c:v>
                </c:pt>
                <c:pt idx="5">
                  <c:v>116.96199585431964</c:v>
                </c:pt>
                <c:pt idx="6">
                  <c:v>115.93769272739682</c:v>
                </c:pt>
                <c:pt idx="7">
                  <c:v>106.33244606411147</c:v>
                </c:pt>
                <c:pt idx="8">
                  <c:v>99.070023442749857</c:v>
                </c:pt>
                <c:pt idx="9">
                  <c:v>94.414143541511848</c:v>
                </c:pt>
                <c:pt idx="10">
                  <c:v>88.927870136434379</c:v>
                </c:pt>
                <c:pt idx="11">
                  <c:v>89.730119146122703</c:v>
                </c:pt>
                <c:pt idx="12">
                  <c:v>86.844674313053105</c:v>
                </c:pt>
                <c:pt idx="13">
                  <c:v>90.822432247759465</c:v>
                </c:pt>
                <c:pt idx="14">
                  <c:v>89.3</c:v>
                </c:pt>
                <c:pt idx="15">
                  <c:v>87.4</c:v>
                </c:pt>
              </c:numCache>
            </c:numRef>
          </c:val>
          <c:smooth val="0"/>
          <c:extLst>
            <c:ext xmlns:c16="http://schemas.microsoft.com/office/drawing/2014/chart" uri="{C3380CC4-5D6E-409C-BE32-E72D297353CC}">
              <c16:uniqueId val="{00000001-AE49-4768-B4E3-7F60D0C6BB75}"/>
            </c:ext>
          </c:extLst>
        </c:ser>
        <c:dLbls>
          <c:showLegendKey val="0"/>
          <c:showVal val="0"/>
          <c:showCatName val="0"/>
          <c:showSerName val="0"/>
          <c:showPercent val="0"/>
          <c:showBubbleSize val="0"/>
        </c:dLbls>
        <c:marker val="1"/>
        <c:smooth val="0"/>
        <c:axId val="280365184"/>
        <c:axId val="280364624"/>
      </c:lineChart>
      <c:catAx>
        <c:axId val="2803635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crossAx val="280364064"/>
        <c:crosses val="autoZero"/>
        <c:auto val="1"/>
        <c:lblAlgn val="ctr"/>
        <c:lblOffset val="100"/>
        <c:noMultiLvlLbl val="0"/>
      </c:catAx>
      <c:valAx>
        <c:axId val="280364064"/>
        <c:scaling>
          <c:orientation val="minMax"/>
        </c:scaling>
        <c:delete val="0"/>
        <c:axPos val="l"/>
        <c:majorGridlines>
          <c:spPr>
            <a:ln w="9525" cap="flat" cmpd="sng" algn="ctr">
              <a:solidFill>
                <a:srgbClr val="878787"/>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en-US" sz="900" b="0" i="0" u="none" strike="noStrike" kern="1200" baseline="0">
                <a:ln>
                  <a:noFill/>
                </a:ln>
                <a:solidFill>
                  <a:schemeClr val="tx1"/>
                </a:solidFill>
                <a:latin typeface="+mn-lt"/>
                <a:ea typeface="+mn-ea"/>
                <a:cs typeface="+mn-cs"/>
              </a:defRPr>
            </a:pPr>
            <a:endParaRPr lang="en-US"/>
          </a:p>
        </c:txPr>
        <c:crossAx val="280363504"/>
        <c:crosses val="autoZero"/>
        <c:crossBetween val="between"/>
        <c:dispUnits>
          <c:builtInUnit val="thousands"/>
          <c:dispUnitsLbl>
            <c:layout>
              <c:manualLayout>
                <c:xMode val="edge"/>
                <c:yMode val="edge"/>
                <c:x val="2.30757949149486E-2"/>
                <c:y val="0.16606425702811201"/>
              </c:manualLayout>
            </c:layout>
            <c:tx>
              <c:rich>
                <a:bodyPr rot="-5400000" spcFirstLastPara="1" vertOverflow="ellipsis" vert="horz" wrap="square" anchor="ctr" anchorCtr="1">
                  <a:spAutoFit/>
                </a:bodyPr>
                <a:lstStyle/>
                <a:p>
                  <a:pPr>
                    <a:defRPr lang="en-US" sz="1000" b="0" i="0" u="none" strike="noStrike" kern="1200" baseline="0">
                      <a:solidFill>
                        <a:schemeClr val="tx1"/>
                      </a:solidFill>
                      <a:latin typeface="+mn-lt"/>
                      <a:ea typeface="+mn-ea"/>
                      <a:cs typeface="+mn-cs"/>
                    </a:defRPr>
                  </a:pPr>
                  <a:r>
                    <a:rPr lang="en-ZA" sz="1000" b="0" i="0" u="none" strike="noStrike" baseline="0">
                      <a:effectLst/>
                    </a:rPr>
                    <a:t>Reported cases (thousands)</a:t>
                  </a:r>
                  <a:endParaRPr lang="en-ZA">
                    <a:solidFill>
                      <a:schemeClr val="tx1"/>
                    </a:solidFill>
                  </a:endParaRPr>
                </a:p>
              </c:rich>
            </c:tx>
            <c:spPr>
              <a:solidFill>
                <a:schemeClr val="bg1"/>
              </a:solidFill>
              <a:ln>
                <a:noFill/>
              </a:ln>
              <a:effectLst/>
            </c:spPr>
            <c:txPr>
              <a:bodyPr rot="-5400000" spcFirstLastPara="1" vertOverflow="ellipsis" vert="horz" wrap="square" anchor="ctr" anchorCtr="1">
                <a:spAutoFit/>
              </a:bodyPr>
              <a:lstStyle/>
              <a:p>
                <a:pPr>
                  <a:defRPr lang="en-US" sz="1000" b="0" i="0" u="none" strike="noStrike" kern="1200" baseline="0">
                    <a:solidFill>
                      <a:schemeClr val="tx1"/>
                    </a:solidFill>
                    <a:latin typeface="+mn-lt"/>
                    <a:ea typeface="+mn-ea"/>
                    <a:cs typeface="+mn-cs"/>
                  </a:defRPr>
                </a:pPr>
                <a:endParaRPr lang="en-US"/>
              </a:p>
            </c:txPr>
          </c:dispUnitsLbl>
        </c:dispUnits>
      </c:valAx>
      <c:catAx>
        <c:axId val="280365184"/>
        <c:scaling>
          <c:orientation val="minMax"/>
        </c:scaling>
        <c:delete val="1"/>
        <c:axPos val="b"/>
        <c:numFmt formatCode="General" sourceLinked="1"/>
        <c:majorTickMark val="out"/>
        <c:minorTickMark val="none"/>
        <c:tickLblPos val="nextTo"/>
        <c:crossAx val="280364624"/>
        <c:crosses val="autoZero"/>
        <c:auto val="1"/>
        <c:lblAlgn val="ctr"/>
        <c:lblOffset val="100"/>
        <c:noMultiLvlLbl val="0"/>
      </c:catAx>
      <c:valAx>
        <c:axId val="280364624"/>
        <c:scaling>
          <c:orientation val="minMax"/>
        </c:scaling>
        <c:delete val="0"/>
        <c:axPos val="r"/>
        <c:title>
          <c:tx>
            <c:rich>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r>
                  <a:rPr lang="en-ZA" sz="800" b="0" i="0" baseline="0">
                    <a:solidFill>
                      <a:schemeClr val="tx1"/>
                    </a:solidFill>
                    <a:effectLst/>
                    <a:latin typeface="Arial Narrow" panose="020B0606020202030204" pitchFamily="34" charset="0"/>
                  </a:rPr>
                  <a:t>Number per 100 000 of population</a:t>
                </a:r>
                <a:endParaRPr lang="en-ZA" sz="800">
                  <a:solidFill>
                    <a:schemeClr val="tx1"/>
                  </a:solidFill>
                  <a:effectLst/>
                  <a:latin typeface="Arial Narrow" panose="020B0606020202030204" pitchFamily="34" charset="0"/>
                </a:endParaRP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crossAx val="280365184"/>
        <c:crosses val="max"/>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Percentage of cyber-related crime investigative investigated, within 90 calendar days</a:t>
            </a:r>
          </a:p>
        </c:rich>
      </c:tx>
      <c:layout>
        <c:manualLayout>
          <c:xMode val="edge"/>
          <c:yMode val="edge"/>
          <c:x val="0.10539081176004077"/>
          <c:y val="2.3201856148491878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6.7511061117360327E-2"/>
          <c:y val="0.15888829847189348"/>
          <c:w val="0.92262043361683044"/>
          <c:h val="0.72024005699983562"/>
        </c:manualLayout>
      </c:layout>
      <c:barChart>
        <c:barDir val="col"/>
        <c:grouping val="clustered"/>
        <c:varyColors val="0"/>
        <c:ser>
          <c:idx val="0"/>
          <c:order val="0"/>
          <c:tx>
            <c:strRef>
              <c:f>'Cybercrime '!$D$9</c:f>
              <c:strCache>
                <c:ptCount val="1"/>
                <c:pt idx="0">
                  <c:v>Percentage of specialised cyber-related crime investigative support case files successfully investigated, within 90 calendar days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'Cybercrime '!$F$8:$L$8</c:f>
              <c:strCache>
                <c:ptCount val="7"/>
                <c:pt idx="0">
                  <c:v>2015/16</c:v>
                </c:pt>
                <c:pt idx="1">
                  <c:v>2016/17</c:v>
                </c:pt>
                <c:pt idx="2">
                  <c:v>2017/18</c:v>
                </c:pt>
                <c:pt idx="3">
                  <c:v>2018/19</c:v>
                </c:pt>
                <c:pt idx="4">
                  <c:v>2019/20</c:v>
                </c:pt>
                <c:pt idx="5">
                  <c:v>2020/21</c:v>
                </c:pt>
                <c:pt idx="6">
                  <c:v>2021/22</c:v>
                </c:pt>
              </c:strCache>
            </c:strRef>
          </c:cat>
          <c:val>
            <c:numRef>
              <c:f>'Cybercrime '!$F$9:$L$9</c:f>
              <c:numCache>
                <c:formatCode>0.0%</c:formatCode>
                <c:ptCount val="7"/>
                <c:pt idx="0">
                  <c:v>0.68681318681318682</c:v>
                </c:pt>
                <c:pt idx="1">
                  <c:v>0.44927536231884058</c:v>
                </c:pt>
                <c:pt idx="2">
                  <c:v>0.36923076923076925</c:v>
                </c:pt>
                <c:pt idx="3">
                  <c:v>0.8</c:v>
                </c:pt>
                <c:pt idx="4">
                  <c:v>0.80219780219780223</c:v>
                </c:pt>
                <c:pt idx="5">
                  <c:v>0.65048543689320393</c:v>
                </c:pt>
                <c:pt idx="6">
                  <c:v>0.80303030303030298</c:v>
                </c:pt>
              </c:numCache>
            </c:numRef>
          </c:val>
          <c:extLst>
            <c:ext xmlns:c16="http://schemas.microsoft.com/office/drawing/2014/chart" uri="{C3380CC4-5D6E-409C-BE32-E72D297353CC}">
              <c16:uniqueId val="{00000000-77C5-41DB-B5AC-55E51A6DFFB2}"/>
            </c:ext>
          </c:extLst>
        </c:ser>
        <c:dLbls>
          <c:dLblPos val="outEnd"/>
          <c:showLegendKey val="0"/>
          <c:showVal val="1"/>
          <c:showCatName val="0"/>
          <c:showSerName val="0"/>
          <c:showPercent val="0"/>
          <c:showBubbleSize val="0"/>
        </c:dLbls>
        <c:gapWidth val="100"/>
        <c:overlap val="-24"/>
        <c:axId val="96303728"/>
        <c:axId val="93934880"/>
      </c:barChart>
      <c:catAx>
        <c:axId val="9630372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93934880"/>
        <c:crosses val="autoZero"/>
        <c:auto val="1"/>
        <c:lblAlgn val="ctr"/>
        <c:lblOffset val="100"/>
        <c:noMultiLvlLbl val="0"/>
      </c:catAx>
      <c:valAx>
        <c:axId val="93934880"/>
        <c:scaling>
          <c:orientation val="minMax"/>
        </c:scaling>
        <c:delete val="0"/>
        <c:axPos val="l"/>
        <c:majorGridlines>
          <c:spPr>
            <a:ln w="9525" cap="flat" cmpd="sng" algn="ctr">
              <a:solidFill>
                <a:schemeClr val="tx2">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96303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cap="none" spc="0" normalizeH="0" baseline="0">
                <a:solidFill>
                  <a:sysClr val="windowText" lastClr="000000"/>
                </a:solidFill>
                <a:latin typeface="+mj-lt"/>
                <a:ea typeface="+mj-ea"/>
                <a:cs typeface="+mj-cs"/>
              </a:defRPr>
            </a:pPr>
            <a:r>
              <a:rPr lang="en-ZA">
                <a:solidFill>
                  <a:sysClr val="windowText" lastClr="000000"/>
                </a:solidFill>
              </a:rPr>
              <a:t>Forfeiture  Assets and Freeze Orders completed </a:t>
            </a:r>
          </a:p>
        </c:rich>
      </c:tx>
      <c:layout>
        <c:manualLayout>
          <c:xMode val="edge"/>
          <c:yMode val="edge"/>
          <c:x val="0.28735185095343102"/>
          <c:y val="0"/>
        </c:manualLayout>
      </c:layout>
      <c:overlay val="0"/>
      <c:spPr>
        <a:noFill/>
        <a:ln>
          <a:noFill/>
        </a:ln>
        <a:effectLst/>
      </c:spPr>
      <c:txPr>
        <a:bodyPr rot="0" spcFirstLastPara="1" vertOverflow="ellipsis" vert="horz" wrap="square" anchor="ctr" anchorCtr="1"/>
        <a:lstStyle/>
        <a:p>
          <a:pPr>
            <a:defRPr lang="en-US" sz="1600" b="1" i="0" u="none" strike="noStrike" kern="1200" cap="none" spc="0" normalizeH="0" baseline="0">
              <a:solidFill>
                <a:sysClr val="windowText" lastClr="000000"/>
              </a:solidFill>
              <a:latin typeface="+mj-lt"/>
              <a:ea typeface="+mj-ea"/>
              <a:cs typeface="+mj-cs"/>
            </a:defRPr>
          </a:pPr>
          <a:endParaRPr lang="en-US"/>
        </a:p>
      </c:txPr>
    </c:title>
    <c:autoTitleDeleted val="0"/>
    <c:plotArea>
      <c:layout>
        <c:manualLayout>
          <c:layoutTarget val="inner"/>
          <c:xMode val="edge"/>
          <c:yMode val="edge"/>
          <c:x val="0.115381491856374"/>
          <c:y val="0.118193437428216"/>
          <c:w val="0.83449808986878804"/>
          <c:h val="0.71209396060415597"/>
        </c:manualLayout>
      </c:layout>
      <c:barChart>
        <c:barDir val="col"/>
        <c:grouping val="clustered"/>
        <c:varyColors val="0"/>
        <c:ser>
          <c:idx val="0"/>
          <c:order val="0"/>
          <c:tx>
            <c:strRef>
              <c:f>[18]Sheet2!$B$5:$D$5</c:f>
              <c:strCache>
                <c:ptCount val="1"/>
                <c:pt idx="0">
                  <c:v>Value of Forfeiture Assets(Rand in Millions)</c:v>
                </c:pt>
              </c:strCache>
            </c:strRef>
          </c:tx>
          <c:spPr>
            <a:solidFill>
              <a:schemeClr val="accent2"/>
            </a:solidFill>
            <a:ln>
              <a:noFill/>
            </a:ln>
            <a:effectLst/>
          </c:spPr>
          <c:invertIfNegative val="0"/>
          <c:dLbls>
            <c:dLbl>
              <c:idx val="0"/>
              <c:tx>
                <c:rich>
                  <a:bodyPr/>
                  <a:lstStyle/>
                  <a:p>
                    <a:r>
                      <a:rPr lang="en-US"/>
                      <a:t>R164k</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95-4E3F-BBF8-6AD9BB893F66}"/>
                </c:ext>
              </c:extLst>
            </c:dLbl>
            <c:dLbl>
              <c:idx val="1"/>
              <c:tx>
                <c:rich>
                  <a:bodyPr/>
                  <a:lstStyle/>
                  <a:p>
                    <a:r>
                      <a:rPr lang="en-US"/>
                      <a:t>R119k</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95-4E3F-BBF8-6AD9BB893F66}"/>
                </c:ext>
              </c:extLst>
            </c:dLbl>
            <c:dLbl>
              <c:idx val="2"/>
              <c:tx>
                <c:rich>
                  <a:bodyPr/>
                  <a:lstStyle/>
                  <a:p>
                    <a:r>
                      <a:rPr lang="en-US"/>
                      <a:t>R294k</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95-4E3F-BBF8-6AD9BB893F66}"/>
                </c:ext>
              </c:extLst>
            </c:dLbl>
            <c:dLbl>
              <c:idx val="3"/>
              <c:tx>
                <c:rich>
                  <a:bodyPr/>
                  <a:lstStyle/>
                  <a:p>
                    <a:r>
                      <a:rPr lang="en-US"/>
                      <a:t>R1.94m</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95-4E3F-BBF8-6AD9BB893F66}"/>
                </c:ext>
              </c:extLst>
            </c:dLbl>
            <c:dLbl>
              <c:idx val="4"/>
              <c:tx>
                <c:rich>
                  <a:bodyPr/>
                  <a:lstStyle/>
                  <a:p>
                    <a:r>
                      <a:rPr lang="en-US"/>
                      <a:t>R3.495m</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95-4E3F-BBF8-6AD9BB893F66}"/>
                </c:ext>
              </c:extLst>
            </c:dLbl>
            <c:dLbl>
              <c:idx val="5"/>
              <c:tx>
                <c:rich>
                  <a:bodyPr/>
                  <a:lstStyle/>
                  <a:p>
                    <a:r>
                      <a:rPr lang="en-US"/>
                      <a:t>R1.194m</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95-4E3F-BBF8-6AD9BB893F66}"/>
                </c:ext>
              </c:extLst>
            </c:dLbl>
            <c:dLbl>
              <c:idx val="6"/>
              <c:tx>
                <c:rich>
                  <a:bodyPr/>
                  <a:lstStyle/>
                  <a:p>
                    <a:r>
                      <a:rPr lang="en-US"/>
                      <a:t>R4.4m</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95-4E3F-BBF8-6AD9BB893F66}"/>
                </c:ext>
              </c:extLst>
            </c:dLbl>
            <c:dLbl>
              <c:idx val="7"/>
              <c:tx>
                <c:rich>
                  <a:bodyPr/>
                  <a:lstStyle/>
                  <a:p>
                    <a:r>
                      <a:rPr lang="en-US"/>
                      <a:t>R455k</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95-4E3F-BBF8-6AD9BB893F66}"/>
                </c:ext>
              </c:extLst>
            </c:dLbl>
            <c:dLbl>
              <c:idx val="8"/>
              <c:tx>
                <c:rich>
                  <a:bodyPr/>
                  <a:lstStyle/>
                  <a:p>
                    <a:r>
                      <a:rPr lang="en-US"/>
                      <a:t>R455k</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C95-4E3F-BBF8-6AD9BB893F66}"/>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[18]Sheet2!$E$4:$M$4</c:f>
              <c:strCache>
                <c:ptCount val="9"/>
                <c:pt idx="0">
                  <c:v>2011/12</c:v>
                </c:pt>
                <c:pt idx="1">
                  <c:v>2012/13</c:v>
                </c:pt>
                <c:pt idx="2">
                  <c:v>2013/14</c:v>
                </c:pt>
                <c:pt idx="3">
                  <c:v>2014/15</c:v>
                </c:pt>
                <c:pt idx="4">
                  <c:v>2015/16</c:v>
                </c:pt>
                <c:pt idx="5">
                  <c:v>2016/17</c:v>
                </c:pt>
                <c:pt idx="6">
                  <c:v>2017/18</c:v>
                </c:pt>
                <c:pt idx="7">
                  <c:v>2018/19</c:v>
                </c:pt>
                <c:pt idx="8">
                  <c:v>2019/20</c:v>
                </c:pt>
              </c:strCache>
            </c:strRef>
          </c:cat>
          <c:val>
            <c:numRef>
              <c:f>[18]Sheet2!$E$5:$M$5</c:f>
              <c:numCache>
                <c:formatCode>General</c:formatCode>
                <c:ptCount val="9"/>
                <c:pt idx="0">
                  <c:v>164000</c:v>
                </c:pt>
                <c:pt idx="1">
                  <c:v>119000</c:v>
                </c:pt>
                <c:pt idx="2">
                  <c:v>294000</c:v>
                </c:pt>
                <c:pt idx="3">
                  <c:v>1940000</c:v>
                </c:pt>
                <c:pt idx="4">
                  <c:v>3495000</c:v>
                </c:pt>
                <c:pt idx="5">
                  <c:v>1194000</c:v>
                </c:pt>
                <c:pt idx="6">
                  <c:v>4400000</c:v>
                </c:pt>
                <c:pt idx="7">
                  <c:v>455000</c:v>
                </c:pt>
                <c:pt idx="8">
                  <c:v>455000</c:v>
                </c:pt>
              </c:numCache>
            </c:numRef>
          </c:val>
          <c:extLst>
            <c:ext xmlns:c16="http://schemas.microsoft.com/office/drawing/2014/chart" uri="{C3380CC4-5D6E-409C-BE32-E72D297353CC}">
              <c16:uniqueId val="{00000009-CC95-4E3F-BBF8-6AD9BB893F66}"/>
            </c:ext>
          </c:extLst>
        </c:ser>
        <c:dLbls>
          <c:showLegendKey val="0"/>
          <c:showVal val="0"/>
          <c:showCatName val="0"/>
          <c:showSerName val="0"/>
          <c:showPercent val="0"/>
          <c:showBubbleSize val="0"/>
        </c:dLbls>
        <c:gapWidth val="247"/>
        <c:axId val="628772952"/>
        <c:axId val="628785416"/>
      </c:barChart>
      <c:lineChart>
        <c:grouping val="stacked"/>
        <c:varyColors val="0"/>
        <c:ser>
          <c:idx val="1"/>
          <c:order val="1"/>
          <c:tx>
            <c:strRef>
              <c:f>[18]Sheet2!$B$6:$D$6</c:f>
              <c:strCache>
                <c:ptCount val="1"/>
                <c:pt idx="0">
                  <c:v>Freeze Assets completed</c:v>
                </c:pt>
              </c:strCache>
            </c:strRef>
          </c:tx>
          <c:spPr>
            <a:ln w="22225" cap="rnd">
              <a:solidFill>
                <a:schemeClr val="accent4"/>
              </a:solidFill>
              <a:round/>
            </a:ln>
            <a:effectLst/>
          </c:spPr>
          <c:marker>
            <c:symbol val="none"/>
          </c:marker>
          <c:dLbls>
            <c:dLbl>
              <c:idx val="0"/>
              <c:layout>
                <c:manualLayout>
                  <c:x val="-1.3482209481475301E-2"/>
                  <c:y val="-3.52010565860449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C95-4E3F-BBF8-6AD9BB893F66}"/>
                </c:ext>
              </c:extLst>
            </c:dLbl>
            <c:dLbl>
              <c:idx val="1"/>
              <c:layout>
                <c:manualLayout>
                  <c:x val="-2.2919756118508001E-2"/>
                  <c:y val="-4.40013207325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C95-4E3F-BBF8-6AD9BB893F66}"/>
                </c:ext>
              </c:extLst>
            </c:dLbl>
            <c:dLbl>
              <c:idx val="2"/>
              <c:layout>
                <c:manualLayout>
                  <c:x val="-1.6178651377770401E-2"/>
                  <c:y val="-3.96011886593004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C95-4E3F-BBF8-6AD9BB893F66}"/>
                </c:ext>
              </c:extLst>
            </c:dLbl>
            <c:dLbl>
              <c:idx val="3"/>
              <c:layout>
                <c:manualLayout>
                  <c:x val="-2.2919756118508001E-2"/>
                  <c:y val="-3.9601188659300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C95-4E3F-BBF8-6AD9BB893F66}"/>
                </c:ext>
              </c:extLst>
            </c:dLbl>
            <c:dLbl>
              <c:idx val="4"/>
              <c:layout>
                <c:manualLayout>
                  <c:x val="-1.61786513777703E-2"/>
                  <c:y val="-4.40013207325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C95-4E3F-BBF8-6AD9BB893F66}"/>
                </c:ext>
              </c:extLst>
            </c:dLbl>
            <c:dLbl>
              <c:idx val="5"/>
              <c:layout>
                <c:manualLayout>
                  <c:x val="-1.8875093274065401E-2"/>
                  <c:y val="-3.9601188659300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C95-4E3F-BBF8-6AD9BB893F66}"/>
                </c:ext>
              </c:extLst>
            </c:dLbl>
            <c:dLbl>
              <c:idx val="7"/>
              <c:layout>
                <c:manualLayout>
                  <c:x val="-1.21339885333278E-2"/>
                  <c:y val="-3.96011886593006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C95-4E3F-BBF8-6AD9BB893F66}"/>
                </c:ext>
              </c:extLst>
            </c:dLbl>
            <c:dLbl>
              <c:idx val="8"/>
              <c:layout>
                <c:manualLayout>
                  <c:x val="-2.71936165241357E-2"/>
                  <c:y val="-4.331462295545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C95-4E3F-BBF8-6AD9BB893F66}"/>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ysClr val="windowText" lastClr="000000"/>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[18]Sheet2!$E$4:$M$4</c:f>
              <c:strCache>
                <c:ptCount val="9"/>
                <c:pt idx="0">
                  <c:v>2011/12</c:v>
                </c:pt>
                <c:pt idx="1">
                  <c:v>2012/13</c:v>
                </c:pt>
                <c:pt idx="2">
                  <c:v>2013/14</c:v>
                </c:pt>
                <c:pt idx="3">
                  <c:v>2014/15</c:v>
                </c:pt>
                <c:pt idx="4">
                  <c:v>2015/16</c:v>
                </c:pt>
                <c:pt idx="5">
                  <c:v>2016/17</c:v>
                </c:pt>
                <c:pt idx="6">
                  <c:v>2017/18</c:v>
                </c:pt>
                <c:pt idx="7">
                  <c:v>2018/19</c:v>
                </c:pt>
                <c:pt idx="8">
                  <c:v>2019/20</c:v>
                </c:pt>
              </c:strCache>
            </c:strRef>
          </c:cat>
          <c:val>
            <c:numRef>
              <c:f>[18]Sheet2!$E$6:$M$6</c:f>
              <c:numCache>
                <c:formatCode>General</c:formatCode>
                <c:ptCount val="9"/>
                <c:pt idx="0">
                  <c:v>318</c:v>
                </c:pt>
                <c:pt idx="1">
                  <c:v>276</c:v>
                </c:pt>
                <c:pt idx="2">
                  <c:v>363</c:v>
                </c:pt>
                <c:pt idx="3">
                  <c:v>342</c:v>
                </c:pt>
                <c:pt idx="4">
                  <c:v>326</c:v>
                </c:pt>
                <c:pt idx="5">
                  <c:v>377</c:v>
                </c:pt>
                <c:pt idx="6">
                  <c:v>324</c:v>
                </c:pt>
                <c:pt idx="7">
                  <c:v>273</c:v>
                </c:pt>
                <c:pt idx="8">
                  <c:v>326</c:v>
                </c:pt>
              </c:numCache>
            </c:numRef>
          </c:val>
          <c:smooth val="0"/>
          <c:extLst>
            <c:ext xmlns:c16="http://schemas.microsoft.com/office/drawing/2014/chart" uri="{C3380CC4-5D6E-409C-BE32-E72D297353CC}">
              <c16:uniqueId val="{00000012-CC95-4E3F-BBF8-6AD9BB893F66}"/>
            </c:ext>
          </c:extLst>
        </c:ser>
        <c:dLbls>
          <c:showLegendKey val="0"/>
          <c:showVal val="0"/>
          <c:showCatName val="0"/>
          <c:showSerName val="0"/>
          <c:showPercent val="0"/>
          <c:showBubbleSize val="0"/>
        </c:dLbls>
        <c:marker val="1"/>
        <c:smooth val="0"/>
        <c:axId val="628782792"/>
        <c:axId val="628774264"/>
      </c:lineChart>
      <c:catAx>
        <c:axId val="6287729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lang="en-US" sz="900" b="0" i="0" u="none" strike="noStrike" kern="1200" cap="none" spc="0" normalizeH="0" baseline="0">
                <a:solidFill>
                  <a:sysClr val="windowText" lastClr="000000"/>
                </a:solidFill>
                <a:latin typeface="+mn-lt"/>
                <a:ea typeface="+mn-ea"/>
                <a:cs typeface="+mn-cs"/>
              </a:defRPr>
            </a:pPr>
            <a:endParaRPr lang="en-US"/>
          </a:p>
        </c:txPr>
        <c:crossAx val="628785416"/>
        <c:crossesAt val="0"/>
        <c:auto val="1"/>
        <c:lblAlgn val="ctr"/>
        <c:lblOffset val="100"/>
        <c:noMultiLvlLbl val="0"/>
      </c:catAx>
      <c:valAx>
        <c:axId val="628785416"/>
        <c:scaling>
          <c:orientation val="minMax"/>
        </c:scaling>
        <c:delete val="0"/>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ysClr val="windowText" lastClr="000000"/>
                </a:solidFill>
                <a:latin typeface="+mn-lt"/>
                <a:ea typeface="+mn-ea"/>
                <a:cs typeface="+mn-cs"/>
              </a:defRPr>
            </a:pPr>
            <a:endParaRPr lang="en-US"/>
          </a:p>
        </c:txPr>
        <c:crossAx val="628772952"/>
        <c:crosses val="autoZero"/>
        <c:crossBetween val="between"/>
      </c:valAx>
      <c:catAx>
        <c:axId val="628782792"/>
        <c:scaling>
          <c:orientation val="minMax"/>
        </c:scaling>
        <c:delete val="1"/>
        <c:axPos val="b"/>
        <c:numFmt formatCode="General" sourceLinked="1"/>
        <c:majorTickMark val="out"/>
        <c:minorTickMark val="none"/>
        <c:tickLblPos val="nextTo"/>
        <c:crossAx val="628774264"/>
        <c:crossesAt val="0"/>
        <c:auto val="1"/>
        <c:lblAlgn val="ctr"/>
        <c:lblOffset val="100"/>
        <c:noMultiLvlLbl val="0"/>
      </c:catAx>
      <c:valAx>
        <c:axId val="628774264"/>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ysClr val="windowText" lastClr="000000"/>
                </a:solidFill>
                <a:latin typeface="+mn-lt"/>
                <a:ea typeface="+mn-ea"/>
                <a:cs typeface="+mn-cs"/>
              </a:defRPr>
            </a:pPr>
            <a:endParaRPr lang="en-US"/>
          </a:p>
        </c:txPr>
        <c:crossAx val="628782792"/>
        <c:crosses val="max"/>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lang="en-US"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lang="en-US"/>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ZA" b="1"/>
              <a:t>Assets</a:t>
            </a:r>
            <a:r>
              <a:rPr lang="en-ZA" b="1" baseline="0"/>
              <a:t> Forfeiture Unit</a:t>
            </a:r>
            <a:endParaRPr lang="en-ZA"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47720078350011E-2"/>
          <c:y val="9.4657683895133141E-2"/>
          <c:w val="0.90584237508301113"/>
          <c:h val="0.72399654755409659"/>
        </c:manualLayout>
      </c:layout>
      <c:barChart>
        <c:barDir val="col"/>
        <c:grouping val="clustered"/>
        <c:varyColors val="0"/>
        <c:ser>
          <c:idx val="0"/>
          <c:order val="0"/>
          <c:tx>
            <c:strRef>
              <c:f>'Corruption Cases'!$D$14:$F$14</c:f>
              <c:strCache>
                <c:ptCount val="3"/>
                <c:pt idx="0">
                  <c:v>Value of Forfeiture Assets(Rand in millions)</c:v>
                </c:pt>
              </c:strCache>
            </c:strRef>
          </c:tx>
          <c:spPr>
            <a:solidFill>
              <a:schemeClr val="accent2"/>
            </a:solidFill>
            <a:ln>
              <a:noFill/>
            </a:ln>
            <a:effectLst/>
          </c:spPr>
          <c:invertIfNegative val="0"/>
          <c:cat>
            <c:strRef>
              <c:f>'Corruption Cases'!$G$13:$Q$13</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'Corruption Cases'!$G$14:$Q$14</c:f>
              <c:numCache>
                <c:formatCode>_ [$R-1C09]\ * #\ ##0_ ;_ [$R-1C09]\ * \-#\ ##0_ ;_ [$R-1C09]\ * "-"??_ ;_ @_ </c:formatCode>
                <c:ptCount val="11"/>
                <c:pt idx="0">
                  <c:v>555</c:v>
                </c:pt>
                <c:pt idx="1">
                  <c:v>518</c:v>
                </c:pt>
                <c:pt idx="2">
                  <c:v>761</c:v>
                </c:pt>
                <c:pt idx="3">
                  <c:v>2763</c:v>
                </c:pt>
                <c:pt idx="4">
                  <c:v>778</c:v>
                </c:pt>
                <c:pt idx="5">
                  <c:v>1149</c:v>
                </c:pt>
                <c:pt idx="6">
                  <c:v>4384</c:v>
                </c:pt>
                <c:pt idx="7">
                  <c:v>466</c:v>
                </c:pt>
                <c:pt idx="8">
                  <c:v>1951</c:v>
                </c:pt>
                <c:pt idx="9">
                  <c:v>1027</c:v>
                </c:pt>
                <c:pt idx="10">
                  <c:v>5500</c:v>
                </c:pt>
              </c:numCache>
            </c:numRef>
          </c:val>
          <c:extLst>
            <c:ext xmlns:c16="http://schemas.microsoft.com/office/drawing/2014/chart" uri="{C3380CC4-5D6E-409C-BE32-E72D297353CC}">
              <c16:uniqueId val="{00000000-2B54-407E-B6B9-0815AA8E20BB}"/>
            </c:ext>
          </c:extLst>
        </c:ser>
        <c:dLbls>
          <c:showLegendKey val="0"/>
          <c:showVal val="0"/>
          <c:showCatName val="0"/>
          <c:showSerName val="0"/>
          <c:showPercent val="0"/>
          <c:showBubbleSize val="0"/>
        </c:dLbls>
        <c:gapWidth val="219"/>
        <c:overlap val="-27"/>
        <c:axId val="1788670032"/>
        <c:axId val="1713032336"/>
      </c:barChart>
      <c:lineChart>
        <c:grouping val="standard"/>
        <c:varyColors val="0"/>
        <c:ser>
          <c:idx val="1"/>
          <c:order val="1"/>
          <c:tx>
            <c:strRef>
              <c:f>'Corruption Cases'!$D$15:$F$15</c:f>
              <c:strCache>
                <c:ptCount val="3"/>
                <c:pt idx="0">
                  <c:v>Freeze Assets completed</c:v>
                </c:pt>
              </c:strCache>
            </c:strRef>
          </c:tx>
          <c:spPr>
            <a:ln w="28575" cap="rnd">
              <a:solidFill>
                <a:schemeClr val="accent4"/>
              </a:solidFill>
              <a:round/>
            </a:ln>
            <a:effectLst/>
          </c:spPr>
          <c:marker>
            <c:symbol val="none"/>
          </c:marker>
          <c:cat>
            <c:strRef>
              <c:f>'Corruption Cases'!$G$13:$Q$13</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'Corruption Cases'!$G$15:$Q$15</c:f>
              <c:numCache>
                <c:formatCode>General</c:formatCode>
                <c:ptCount val="11"/>
                <c:pt idx="0">
                  <c:v>323</c:v>
                </c:pt>
                <c:pt idx="1">
                  <c:v>276</c:v>
                </c:pt>
                <c:pt idx="2">
                  <c:v>366</c:v>
                </c:pt>
                <c:pt idx="3">
                  <c:v>362</c:v>
                </c:pt>
                <c:pt idx="4">
                  <c:v>352</c:v>
                </c:pt>
                <c:pt idx="5">
                  <c:v>414</c:v>
                </c:pt>
                <c:pt idx="6">
                  <c:v>345</c:v>
                </c:pt>
                <c:pt idx="7">
                  <c:v>283</c:v>
                </c:pt>
                <c:pt idx="8">
                  <c:v>326</c:v>
                </c:pt>
                <c:pt idx="9">
                  <c:v>308</c:v>
                </c:pt>
                <c:pt idx="10">
                  <c:v>320</c:v>
                </c:pt>
              </c:numCache>
            </c:numRef>
          </c:val>
          <c:smooth val="0"/>
          <c:extLst>
            <c:ext xmlns:c16="http://schemas.microsoft.com/office/drawing/2014/chart" uri="{C3380CC4-5D6E-409C-BE32-E72D297353CC}">
              <c16:uniqueId val="{00000001-2B54-407E-B6B9-0815AA8E20BB}"/>
            </c:ext>
          </c:extLst>
        </c:ser>
        <c:dLbls>
          <c:showLegendKey val="0"/>
          <c:showVal val="0"/>
          <c:showCatName val="0"/>
          <c:showSerName val="0"/>
          <c:showPercent val="0"/>
          <c:showBubbleSize val="0"/>
        </c:dLbls>
        <c:marker val="1"/>
        <c:smooth val="0"/>
        <c:axId val="1788786976"/>
        <c:axId val="1713033584"/>
      </c:lineChart>
      <c:catAx>
        <c:axId val="178867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3032336"/>
        <c:crosses val="autoZero"/>
        <c:auto val="1"/>
        <c:lblAlgn val="ctr"/>
        <c:lblOffset val="100"/>
        <c:noMultiLvlLbl val="0"/>
      </c:catAx>
      <c:valAx>
        <c:axId val="1713032336"/>
        <c:scaling>
          <c:orientation val="minMax"/>
        </c:scaling>
        <c:delete val="0"/>
        <c:axPos val="l"/>
        <c:majorGridlines>
          <c:spPr>
            <a:ln w="9525" cap="flat" cmpd="sng" algn="ctr">
              <a:solidFill>
                <a:schemeClr val="tx1">
                  <a:lumMod val="15000"/>
                  <a:lumOff val="85000"/>
                </a:schemeClr>
              </a:solidFill>
              <a:round/>
            </a:ln>
            <a:effectLst/>
          </c:spPr>
        </c:majorGridlines>
        <c:numFmt formatCode="_ [$R-1C09]\ * #\ ##0_ ;_ [$R-1C09]\ * \-#\ ##0_ ;_ [$R-1C09]\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8670032"/>
        <c:crosses val="autoZero"/>
        <c:crossBetween val="between"/>
      </c:valAx>
      <c:valAx>
        <c:axId val="171303358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8786976"/>
        <c:crosses val="max"/>
        <c:crossBetween val="between"/>
      </c:valAx>
      <c:catAx>
        <c:axId val="1788786976"/>
        <c:scaling>
          <c:orientation val="minMax"/>
        </c:scaling>
        <c:delete val="1"/>
        <c:axPos val="b"/>
        <c:numFmt formatCode="General" sourceLinked="1"/>
        <c:majorTickMark val="out"/>
        <c:minorTickMark val="none"/>
        <c:tickLblPos val="nextTo"/>
        <c:crossAx val="1713033584"/>
        <c:crosses val="autoZero"/>
        <c:auto val="1"/>
        <c:lblAlgn val="ctr"/>
        <c:lblOffset val="100"/>
        <c:noMultiLvlLbl val="0"/>
      </c:catAx>
      <c:spPr>
        <a:noFill/>
        <a:ln>
          <a:noFill/>
        </a:ln>
        <a:effectLst/>
      </c:spPr>
    </c:plotArea>
    <c:legend>
      <c:legendPos val="b"/>
      <c:layout>
        <c:manualLayout>
          <c:xMode val="edge"/>
          <c:yMode val="edge"/>
          <c:x val="0.27815030198183049"/>
          <c:y val="0.90081251293130826"/>
          <c:w val="0.46115021372957321"/>
          <c:h val="9.0515401828239431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795065635298"/>
          <c:y val="5.8217341962050299E-2"/>
          <c:w val="0.81338121398778396"/>
          <c:h val="0.60503093849020195"/>
        </c:manualLayout>
      </c:layout>
      <c:barChart>
        <c:barDir val="col"/>
        <c:grouping val="clustered"/>
        <c:varyColors val="0"/>
        <c:ser>
          <c:idx val="1"/>
          <c:order val="0"/>
          <c:tx>
            <c:strRef>
              <c:f>Inmate!$D$9</c:f>
              <c:strCache>
                <c:ptCount val="1"/>
                <c:pt idx="0">
                  <c:v>Sentenced Offenders</c:v>
                </c:pt>
              </c:strCache>
            </c:strRef>
          </c:tx>
          <c:spPr>
            <a:solidFill>
              <a:srgbClr val="FCD5B5"/>
            </a:solidFill>
            <a:ln w="12700">
              <a:noFill/>
              <a:prstDash val="solid"/>
            </a:ln>
          </c:spPr>
          <c:invertIfNegative val="0"/>
          <c:cat>
            <c:strRef>
              <c:f>Inmate!$E$8:$AB$8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Inmate!$E$9:$AB$9</c:f>
              <c:numCache>
                <c:formatCode>#\ ###\ ###</c:formatCode>
                <c:ptCount val="24"/>
                <c:pt idx="0">
                  <c:v>91853</c:v>
                </c:pt>
                <c:pt idx="1">
                  <c:v>86708</c:v>
                </c:pt>
                <c:pt idx="2">
                  <c:v>88885</c:v>
                </c:pt>
                <c:pt idx="3">
                  <c:v>97504</c:v>
                </c:pt>
                <c:pt idx="4">
                  <c:v>95835</c:v>
                </c:pt>
                <c:pt idx="5">
                  <c:v>99692</c:v>
                </c:pt>
                <c:pt idx="6">
                  <c:v>109072</c:v>
                </c:pt>
                <c:pt idx="7">
                  <c:v>115897</c:v>
                </c:pt>
                <c:pt idx="8">
                  <c:v>125322</c:v>
                </c:pt>
                <c:pt idx="9">
                  <c:v>130940</c:v>
                </c:pt>
                <c:pt idx="10">
                  <c:v>134487</c:v>
                </c:pt>
                <c:pt idx="11">
                  <c:v>122410</c:v>
                </c:pt>
                <c:pt idx="12">
                  <c:v>113711</c:v>
                </c:pt>
                <c:pt idx="13">
                  <c:v>111230</c:v>
                </c:pt>
                <c:pt idx="14">
                  <c:v>109877</c:v>
                </c:pt>
                <c:pt idx="15">
                  <c:v>114972</c:v>
                </c:pt>
                <c:pt idx="16">
                  <c:v>113339</c:v>
                </c:pt>
                <c:pt idx="17">
                  <c:v>113044</c:v>
                </c:pt>
                <c:pt idx="18">
                  <c:v>104878</c:v>
                </c:pt>
                <c:pt idx="19">
                  <c:v>107696</c:v>
                </c:pt>
                <c:pt idx="20">
                  <c:v>115064</c:v>
                </c:pt>
                <c:pt idx="21">
                  <c:v>116727</c:v>
                </c:pt>
                <c:pt idx="22">
                  <c:v>117255</c:v>
                </c:pt>
                <c:pt idx="23">
                  <c:v>117878</c:v>
                </c:pt>
              </c:numCache>
            </c:numRef>
          </c:val>
          <c:extLst>
            <c:ext xmlns:c16="http://schemas.microsoft.com/office/drawing/2014/chart" uri="{C3380CC4-5D6E-409C-BE32-E72D297353CC}">
              <c16:uniqueId val="{00000000-63DA-4CD0-A512-59E64C181FDB}"/>
            </c:ext>
          </c:extLst>
        </c:ser>
        <c:ser>
          <c:idx val="0"/>
          <c:order val="1"/>
          <c:tx>
            <c:strRef>
              <c:f>Inmate!$D$10</c:f>
              <c:strCache>
                <c:ptCount val="1"/>
                <c:pt idx="0">
                  <c:v>Unsentenced Inmates</c:v>
                </c:pt>
              </c:strCache>
            </c:strRef>
          </c:tx>
          <c:spPr>
            <a:solidFill>
              <a:srgbClr val="F8A662"/>
            </a:solidFill>
            <a:ln w="28575">
              <a:noFill/>
              <a:prstDash val="solid"/>
            </a:ln>
          </c:spPr>
          <c:invertIfNegative val="0"/>
          <c:cat>
            <c:strRef>
              <c:f>Inmate!$E$8:$AB$8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Inmate!$E$10:$AB$10</c:f>
              <c:numCache>
                <c:formatCode>#\ ###\ ###</c:formatCode>
                <c:ptCount val="24"/>
                <c:pt idx="0">
                  <c:v>22021</c:v>
                </c:pt>
                <c:pt idx="1">
                  <c:v>23412</c:v>
                </c:pt>
                <c:pt idx="2">
                  <c:v>29514</c:v>
                </c:pt>
                <c:pt idx="3">
                  <c:v>36698</c:v>
                </c:pt>
                <c:pt idx="4">
                  <c:v>45607</c:v>
                </c:pt>
                <c:pt idx="5">
                  <c:v>54884</c:v>
                </c:pt>
                <c:pt idx="6">
                  <c:v>57262</c:v>
                </c:pt>
                <c:pt idx="7">
                  <c:v>53662</c:v>
                </c:pt>
                <c:pt idx="8">
                  <c:v>53996</c:v>
                </c:pt>
                <c:pt idx="9">
                  <c:v>53901</c:v>
                </c:pt>
                <c:pt idx="10">
                  <c:v>51020</c:v>
                </c:pt>
                <c:pt idx="11">
                  <c:v>46971</c:v>
                </c:pt>
                <c:pt idx="12">
                  <c:v>44884</c:v>
                </c:pt>
                <c:pt idx="13">
                  <c:v>47595</c:v>
                </c:pt>
                <c:pt idx="14">
                  <c:v>49150</c:v>
                </c:pt>
                <c:pt idx="15">
                  <c:v>47602</c:v>
                </c:pt>
                <c:pt idx="16">
                  <c:v>47757</c:v>
                </c:pt>
                <c:pt idx="17">
                  <c:v>45898</c:v>
                </c:pt>
                <c:pt idx="18">
                  <c:v>45730</c:v>
                </c:pt>
                <c:pt idx="19">
                  <c:v>44858</c:v>
                </c:pt>
                <c:pt idx="20">
                  <c:v>42077</c:v>
                </c:pt>
                <c:pt idx="21">
                  <c:v>45257</c:v>
                </c:pt>
                <c:pt idx="22">
                  <c:v>43799</c:v>
                </c:pt>
                <c:pt idx="23">
                  <c:v>42705</c:v>
                </c:pt>
              </c:numCache>
            </c:numRef>
          </c:val>
          <c:extLst>
            <c:ext xmlns:c16="http://schemas.microsoft.com/office/drawing/2014/chart" uri="{C3380CC4-5D6E-409C-BE32-E72D297353CC}">
              <c16:uniqueId val="{00000001-63DA-4CD0-A512-59E64C181FDB}"/>
            </c:ext>
          </c:extLst>
        </c:ser>
        <c:dLbls>
          <c:showLegendKey val="0"/>
          <c:showVal val="0"/>
          <c:showCatName val="0"/>
          <c:showSerName val="0"/>
          <c:showPercent val="0"/>
          <c:showBubbleSize val="0"/>
        </c:dLbls>
        <c:gapWidth val="150"/>
        <c:axId val="-868190016"/>
        <c:axId val="-868193824"/>
      </c:barChart>
      <c:lineChart>
        <c:grouping val="standard"/>
        <c:varyColors val="0"/>
        <c:ser>
          <c:idx val="4"/>
          <c:order val="4"/>
          <c:tx>
            <c:strRef>
              <c:f>Inmate!#REF!</c:f>
              <c:strCache>
                <c:ptCount val="1"/>
                <c:pt idx="0">
                  <c:v>#REF!</c:v>
                </c:pt>
              </c:strCache>
            </c:strRef>
          </c:tx>
          <c:spPr>
            <a:ln w="19050" cap="rnd" cmpd="sng" algn="ctr">
              <a:solidFill>
                <a:srgbClr val="FF6600"/>
              </a:solidFill>
              <a:prstDash val="solid"/>
              <a:round/>
            </a:ln>
          </c:spPr>
          <c:marker>
            <c:symbol val="none"/>
          </c:marker>
          <c:cat>
            <c:strRef>
              <c:f>Inmate!$E$8:$Y$8</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Inmate!#REF!</c:f>
              <c:numCache>
                <c:formatCode>General</c:formatCode>
                <c:ptCount val="1"/>
                <c:pt idx="0">
                  <c:v>1</c:v>
                </c:pt>
              </c:numCache>
            </c:numRef>
          </c:val>
          <c:smooth val="0"/>
          <c:extLst>
            <c:ext xmlns:c16="http://schemas.microsoft.com/office/drawing/2014/chart" uri="{C3380CC4-5D6E-409C-BE32-E72D297353CC}">
              <c16:uniqueId val="{00000002-63DA-4CD0-A512-59E64C181FDB}"/>
            </c:ext>
          </c:extLst>
        </c:ser>
        <c:dLbls>
          <c:showLegendKey val="0"/>
          <c:showVal val="0"/>
          <c:showCatName val="0"/>
          <c:showSerName val="0"/>
          <c:showPercent val="0"/>
          <c:showBubbleSize val="0"/>
        </c:dLbls>
        <c:marker val="1"/>
        <c:smooth val="0"/>
        <c:axId val="-868190016"/>
        <c:axId val="-868193824"/>
      </c:lineChart>
      <c:lineChart>
        <c:grouping val="standard"/>
        <c:varyColors val="0"/>
        <c:ser>
          <c:idx val="2"/>
          <c:order val="2"/>
          <c:tx>
            <c:strRef>
              <c:f>Inmate!#REF!</c:f>
              <c:strCache>
                <c:ptCount val="1"/>
                <c:pt idx="0">
                  <c:v>#REF!</c:v>
                </c:pt>
              </c:strCache>
            </c:strRef>
          </c:tx>
          <c:spPr>
            <a:ln w="19050" cap="rnd" cmpd="sng" algn="ctr">
              <a:solidFill>
                <a:srgbClr val="BE4B48"/>
              </a:solidFill>
              <a:prstDash val="solid"/>
              <a:round/>
            </a:ln>
          </c:spPr>
          <c:marker>
            <c:symbol val="none"/>
          </c:marker>
          <c:cat>
            <c:strRef>
              <c:f>Inmate!$E$8:$AB$8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Inmate!#REF!</c:f>
              <c:numCache>
                <c:formatCode>General</c:formatCode>
                <c:ptCount val="1"/>
                <c:pt idx="0">
                  <c:v>1</c:v>
                </c:pt>
              </c:numCache>
            </c:numRef>
          </c:val>
          <c:smooth val="0"/>
          <c:extLst>
            <c:ext xmlns:c16="http://schemas.microsoft.com/office/drawing/2014/chart" uri="{C3380CC4-5D6E-409C-BE32-E72D297353CC}">
              <c16:uniqueId val="{00000003-63DA-4CD0-A512-59E64C181FDB}"/>
            </c:ext>
          </c:extLst>
        </c:ser>
        <c:ser>
          <c:idx val="3"/>
          <c:order val="3"/>
          <c:tx>
            <c:strRef>
              <c:f>Inmate!#REF!</c:f>
              <c:strCache>
                <c:ptCount val="1"/>
                <c:pt idx="0">
                  <c:v>#REF!</c:v>
                </c:pt>
              </c:strCache>
            </c:strRef>
          </c:tx>
          <c:spPr>
            <a:ln w="19050" cap="rnd" cmpd="sng" algn="ctr">
              <a:solidFill>
                <a:srgbClr val="FFC000"/>
              </a:solidFill>
              <a:prstDash val="solid"/>
              <a:round/>
            </a:ln>
          </c:spPr>
          <c:marker>
            <c:symbol val="none"/>
          </c:marker>
          <c:cat>
            <c:strRef>
              <c:f>Inmate!$E$8:$AB$8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Inmate!#REF!</c:f>
              <c:numCache>
                <c:formatCode>General</c:formatCode>
                <c:ptCount val="1"/>
                <c:pt idx="0">
                  <c:v>1</c:v>
                </c:pt>
              </c:numCache>
            </c:numRef>
          </c:val>
          <c:smooth val="0"/>
          <c:extLst>
            <c:ext xmlns:c16="http://schemas.microsoft.com/office/drawing/2014/chart" uri="{C3380CC4-5D6E-409C-BE32-E72D297353CC}">
              <c16:uniqueId val="{00000004-63DA-4CD0-A512-59E64C181FDB}"/>
            </c:ext>
          </c:extLst>
        </c:ser>
        <c:ser>
          <c:idx val="5"/>
          <c:order val="5"/>
          <c:tx>
            <c:strRef>
              <c:f>Inmate!#REF!</c:f>
              <c:strCache>
                <c:ptCount val="1"/>
                <c:pt idx="0">
                  <c:v>#REF!</c:v>
                </c:pt>
              </c:strCache>
            </c:strRef>
          </c:tx>
          <c:spPr>
            <a:ln w="19050" cap="rnd" cmpd="sng" algn="ctr">
              <a:solidFill>
                <a:srgbClr val="00B050"/>
              </a:solidFill>
              <a:prstDash val="solid"/>
              <a:round/>
            </a:ln>
          </c:spPr>
          <c:marker>
            <c:symbol val="none"/>
          </c:marker>
          <c:cat>
            <c:strRef>
              <c:f>Inmate!$E$8:$AB$8</c:f>
              <c:strCache>
                <c:ptCount val="24"/>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strCache>
            </c:strRef>
          </c:cat>
          <c:val>
            <c:numRef>
              <c:f>Inmate!#REF!</c:f>
              <c:numCache>
                <c:formatCode>General</c:formatCode>
                <c:ptCount val="1"/>
                <c:pt idx="0">
                  <c:v>1</c:v>
                </c:pt>
              </c:numCache>
            </c:numRef>
          </c:val>
          <c:smooth val="0"/>
          <c:extLst>
            <c:ext xmlns:c16="http://schemas.microsoft.com/office/drawing/2014/chart" uri="{C3380CC4-5D6E-409C-BE32-E72D297353CC}">
              <c16:uniqueId val="{00000005-63DA-4CD0-A512-59E64C181FDB}"/>
            </c:ext>
          </c:extLst>
        </c:ser>
        <c:dLbls>
          <c:showLegendKey val="0"/>
          <c:showVal val="0"/>
          <c:showCatName val="0"/>
          <c:showSerName val="0"/>
          <c:showPercent val="0"/>
          <c:showBubbleSize val="0"/>
        </c:dLbls>
        <c:marker val="1"/>
        <c:smooth val="0"/>
        <c:axId val="-868196000"/>
        <c:axId val="-868184576"/>
      </c:lineChart>
      <c:catAx>
        <c:axId val="-868190016"/>
        <c:scaling>
          <c:orientation val="minMax"/>
        </c:scaling>
        <c:delete val="0"/>
        <c:axPos val="b"/>
        <c:numFmt formatCode="General" sourceLinked="1"/>
        <c:majorTickMark val="out"/>
        <c:minorTickMark val="none"/>
        <c:tickLblPos val="nextTo"/>
        <c:spPr>
          <a:ln w="3175" cap="flat" cmpd="sng" algn="ctr">
            <a:solidFill>
              <a:srgbClr val="000000"/>
            </a:solidFill>
            <a:prstDash val="solid"/>
            <a:round/>
          </a:ln>
        </c:spPr>
        <c:txPr>
          <a:bodyPr rot="5400000" spcFirstLastPara="0" vertOverflow="ellipsis" vert="horz" wrap="square"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endParaRPr lang="en-US"/>
          </a:p>
        </c:txPr>
        <c:crossAx val="-868193824"/>
        <c:crosses val="autoZero"/>
        <c:auto val="0"/>
        <c:lblAlgn val="ctr"/>
        <c:lblOffset val="100"/>
        <c:tickLblSkip val="1"/>
        <c:noMultiLvlLbl val="0"/>
      </c:catAx>
      <c:valAx>
        <c:axId val="-868193824"/>
        <c:scaling>
          <c:orientation val="minMax"/>
        </c:scaling>
        <c:delete val="0"/>
        <c:axPos val="l"/>
        <c:majorGridlines>
          <c:spPr>
            <a:ln w="3175" cap="flat" cmpd="sng" algn="ctr">
              <a:solidFill>
                <a:srgbClr val="969696"/>
              </a:solidFill>
              <a:prstDash val="sysDash"/>
              <a:round/>
            </a:ln>
          </c:spPr>
        </c:majorGridlines>
        <c:title>
          <c:tx>
            <c:rich>
              <a:bodyPr rot="-5400000" spcFirstLastPara="0" vertOverflow="ellipsis" vert="horz" wrap="square"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r>
                  <a:rPr lang="en-ZA"/>
                  <a:t>detainees</a:t>
                </a:r>
              </a:p>
            </c:rich>
          </c:tx>
          <c:layout>
            <c:manualLayout>
              <c:xMode val="edge"/>
              <c:yMode val="edge"/>
              <c:x val="1.8779215098112801E-2"/>
              <c:y val="0.381411490230391"/>
            </c:manualLayout>
          </c:layout>
          <c:overlay val="0"/>
          <c:spPr>
            <a:noFill/>
            <a:ln w="25400">
              <a:noFill/>
            </a:ln>
          </c:spPr>
        </c:title>
        <c:numFmt formatCode="#\ ###\ ###"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endParaRPr lang="en-US"/>
          </a:p>
        </c:txPr>
        <c:crossAx val="-868190016"/>
        <c:crosses val="autoZero"/>
        <c:crossBetween val="between"/>
        <c:majorUnit val="20500"/>
      </c:valAx>
      <c:catAx>
        <c:axId val="-868196000"/>
        <c:scaling>
          <c:orientation val="minMax"/>
        </c:scaling>
        <c:delete val="1"/>
        <c:axPos val="b"/>
        <c:numFmt formatCode="General" sourceLinked="1"/>
        <c:majorTickMark val="out"/>
        <c:minorTickMark val="none"/>
        <c:tickLblPos val="nextTo"/>
        <c:crossAx val="-868184576"/>
        <c:crosses val="autoZero"/>
        <c:auto val="0"/>
        <c:lblAlgn val="ctr"/>
        <c:lblOffset val="100"/>
        <c:noMultiLvlLbl val="0"/>
      </c:catAx>
      <c:valAx>
        <c:axId val="-868184576"/>
        <c:scaling>
          <c:orientation val="minMax"/>
        </c:scaling>
        <c:delete val="0"/>
        <c:axPos val="r"/>
        <c:numFmt formatCode="General" sourceLinked="1"/>
        <c:majorTickMark val="out"/>
        <c:minorTickMark val="none"/>
        <c:tickLblPos val="nextTo"/>
        <c:txPr>
          <a:bodyPr rot="-60000000" spcFirstLastPara="0" vertOverflow="ellipsis" vert="horz" wrap="square"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endParaRPr lang="en-US"/>
          </a:p>
        </c:txPr>
        <c:crossAx val="-868196000"/>
        <c:crosses val="max"/>
        <c:crossBetween val="between"/>
      </c:valAx>
      <c:spPr>
        <a:solidFill>
          <a:srgbClr val="FFFFFF"/>
        </a:solidFill>
        <a:ln w="25400">
          <a:noFill/>
        </a:ln>
      </c:spPr>
    </c:plotArea>
    <c:legend>
      <c:legendPos val="b"/>
      <c:layout>
        <c:manualLayout>
          <c:xMode val="edge"/>
          <c:yMode val="edge"/>
          <c:x val="0.16371635647087701"/>
          <c:y val="0.79485840585716205"/>
          <c:w val="0.785357722244302"/>
          <c:h val="4.8817809690887101E-2"/>
        </c:manualLayout>
      </c:layout>
      <c:overlay val="0"/>
      <c:spPr>
        <a:solidFill>
          <a:srgbClr val="FFFFFF"/>
        </a:solidFill>
        <a:ln w="25400">
          <a:noFill/>
        </a:ln>
      </c:spPr>
      <c:txPr>
        <a:bodyPr rot="0" spcFirstLastPara="0" vertOverflow="ellipsis" vert="horz" wrap="square"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endParaRPr lang="en-US"/>
        </a:p>
      </c:txPr>
    </c:legend>
    <c:plotVisOnly val="1"/>
    <c:dispBlanksAs val="gap"/>
    <c:showDLblsOverMax val="0"/>
  </c:chart>
  <c:spPr>
    <a:solidFill>
      <a:srgbClr val="FFFFFF"/>
    </a:solidFill>
    <a:ln w="3175" cap="flat" cmpd="sng" algn="ctr">
      <a:solidFill>
        <a:srgbClr val="000000"/>
      </a:solidFill>
      <a:prstDash val="solid"/>
      <a:round/>
    </a:ln>
  </c:spPr>
  <c:txPr>
    <a:bodyPr/>
    <a:lstStyle/>
    <a:p>
      <a:pPr>
        <a:defRPr lang="en-US" sz="800" b="0" i="0" u="none" strike="noStrike" baseline="0">
          <a:solidFill>
            <a:srgbClr val="000000"/>
          </a:solidFill>
          <a:latin typeface="Arial" panose="020B0604020202020204"/>
          <a:ea typeface="Arial" panose="020B0604020202020204"/>
          <a:cs typeface="Arial" panose="020B0604020202020204"/>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0" i="0" u="none" strike="noStrike" kern="1200" spc="0" baseline="0">
                <a:solidFill>
                  <a:schemeClr val="tx1"/>
                </a:solidFill>
                <a:latin typeface="+mn-lt"/>
                <a:ea typeface="+mn-ea"/>
                <a:cs typeface="+mn-cs"/>
              </a:defRPr>
            </a:pPr>
            <a:r>
              <a:rPr lang="en-ZA">
                <a:solidFill>
                  <a:schemeClr val="tx1"/>
                </a:solidFill>
              </a:rPr>
              <a:t>Sentenced population</a:t>
            </a:r>
          </a:p>
        </c:rich>
      </c:tx>
      <c:layout>
        <c:manualLayout>
          <c:xMode val="edge"/>
          <c:yMode val="edge"/>
          <c:x val="0.43393876309784801"/>
          <c:y val="6.6064096046625293E-5"/>
        </c:manualLayout>
      </c:layout>
      <c:overlay val="0"/>
      <c:spPr>
        <a:noFill/>
        <a:ln>
          <a:noFill/>
        </a:ln>
        <a:effectLst/>
      </c:spPr>
      <c:txPr>
        <a:bodyPr rot="0" spcFirstLastPara="1" vertOverflow="ellipsis" vert="horz" wrap="square" anchor="ctr" anchorCtr="1"/>
        <a:lstStyle/>
        <a:p>
          <a:pPr>
            <a:defRPr lang="en-US"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5.1946298314576901E-2"/>
          <c:y val="8.3140362980941171E-2"/>
          <c:w val="0.94083490223980304"/>
          <c:h val="0.69297689003541207"/>
        </c:manualLayout>
      </c:layout>
      <c:barChart>
        <c:barDir val="col"/>
        <c:grouping val="clustered"/>
        <c:varyColors val="0"/>
        <c:ser>
          <c:idx val="0"/>
          <c:order val="0"/>
          <c:tx>
            <c:strRef>
              <c:f>Inmate!$D$9</c:f>
              <c:strCache>
                <c:ptCount val="1"/>
                <c:pt idx="0">
                  <c:v>Sentenced Offenders</c:v>
                </c:pt>
              </c:strCache>
            </c:strRef>
          </c:tx>
          <c:spPr>
            <a:solidFill>
              <a:schemeClr val="accent1"/>
            </a:solidFill>
            <a:ln>
              <a:noFill/>
            </a:ln>
            <a:effectLst/>
          </c:spPr>
          <c:invertIfNegative val="0"/>
          <c:cat>
            <c:strRef>
              <c:f>Inmate!$E$8:$AF$8</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Inmate!$E$9:$AF$9</c:f>
              <c:numCache>
                <c:formatCode>#\ ###\ ###</c:formatCode>
                <c:ptCount val="28"/>
                <c:pt idx="0">
                  <c:v>91853</c:v>
                </c:pt>
                <c:pt idx="1">
                  <c:v>86708</c:v>
                </c:pt>
                <c:pt idx="2">
                  <c:v>88885</c:v>
                </c:pt>
                <c:pt idx="3">
                  <c:v>97504</c:v>
                </c:pt>
                <c:pt idx="4">
                  <c:v>95835</c:v>
                </c:pt>
                <c:pt idx="5">
                  <c:v>99692</c:v>
                </c:pt>
                <c:pt idx="6">
                  <c:v>109072</c:v>
                </c:pt>
                <c:pt idx="7">
                  <c:v>115897</c:v>
                </c:pt>
                <c:pt idx="8">
                  <c:v>125322</c:v>
                </c:pt>
                <c:pt idx="9">
                  <c:v>130940</c:v>
                </c:pt>
                <c:pt idx="10">
                  <c:v>134487</c:v>
                </c:pt>
                <c:pt idx="11">
                  <c:v>122410</c:v>
                </c:pt>
                <c:pt idx="12">
                  <c:v>113711</c:v>
                </c:pt>
                <c:pt idx="13">
                  <c:v>111230</c:v>
                </c:pt>
                <c:pt idx="14">
                  <c:v>109877</c:v>
                </c:pt>
                <c:pt idx="15">
                  <c:v>114972</c:v>
                </c:pt>
                <c:pt idx="16">
                  <c:v>113339</c:v>
                </c:pt>
                <c:pt idx="17">
                  <c:v>113044</c:v>
                </c:pt>
                <c:pt idx="18">
                  <c:v>104878</c:v>
                </c:pt>
                <c:pt idx="19">
                  <c:v>107696</c:v>
                </c:pt>
                <c:pt idx="20">
                  <c:v>115064</c:v>
                </c:pt>
                <c:pt idx="21">
                  <c:v>116727</c:v>
                </c:pt>
                <c:pt idx="22">
                  <c:v>117255</c:v>
                </c:pt>
                <c:pt idx="23">
                  <c:v>117878</c:v>
                </c:pt>
                <c:pt idx="24">
                  <c:v>115147</c:v>
                </c:pt>
                <c:pt idx="25">
                  <c:v>102841</c:v>
                </c:pt>
                <c:pt idx="26">
                  <c:v>93066</c:v>
                </c:pt>
                <c:pt idx="27">
                  <c:v>96079</c:v>
                </c:pt>
              </c:numCache>
            </c:numRef>
          </c:val>
          <c:extLst>
            <c:ext xmlns:c16="http://schemas.microsoft.com/office/drawing/2014/chart" uri="{C3380CC4-5D6E-409C-BE32-E72D297353CC}">
              <c16:uniqueId val="{00000000-9C47-4D67-B200-E3C680B49548}"/>
            </c:ext>
          </c:extLst>
        </c:ser>
        <c:dLbls>
          <c:showLegendKey val="0"/>
          <c:showVal val="0"/>
          <c:showCatName val="0"/>
          <c:showSerName val="0"/>
          <c:showPercent val="0"/>
          <c:showBubbleSize val="0"/>
        </c:dLbls>
        <c:gapWidth val="219"/>
        <c:axId val="-868184032"/>
        <c:axId val="-868192736"/>
      </c:barChart>
      <c:lineChart>
        <c:grouping val="standard"/>
        <c:varyColors val="0"/>
        <c:ser>
          <c:idx val="1"/>
          <c:order val="1"/>
          <c:tx>
            <c:strRef>
              <c:f>Inmate!$D$10</c:f>
              <c:strCache>
                <c:ptCount val="1"/>
                <c:pt idx="0">
                  <c:v>Unsentenced Inmates</c:v>
                </c:pt>
              </c:strCache>
            </c:strRef>
          </c:tx>
          <c:spPr>
            <a:ln w="28575" cap="rnd">
              <a:solidFill>
                <a:schemeClr val="accent2"/>
              </a:solidFill>
              <a:round/>
            </a:ln>
            <a:effectLst/>
          </c:spPr>
          <c:marker>
            <c:symbol val="none"/>
          </c:marker>
          <c:cat>
            <c:strRef>
              <c:f>Inmate!$E$8:$AF$8</c:f>
              <c:strCache>
                <c:ptCount val="28"/>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strCache>
            </c:strRef>
          </c:cat>
          <c:val>
            <c:numRef>
              <c:f>Inmate!$E$10:$AF$10</c:f>
              <c:numCache>
                <c:formatCode>#\ ###\ ###</c:formatCode>
                <c:ptCount val="28"/>
                <c:pt idx="0">
                  <c:v>22021</c:v>
                </c:pt>
                <c:pt idx="1">
                  <c:v>23412</c:v>
                </c:pt>
                <c:pt idx="2">
                  <c:v>29514</c:v>
                </c:pt>
                <c:pt idx="3">
                  <c:v>36698</c:v>
                </c:pt>
                <c:pt idx="4">
                  <c:v>45607</c:v>
                </c:pt>
                <c:pt idx="5">
                  <c:v>54884</c:v>
                </c:pt>
                <c:pt idx="6">
                  <c:v>57262</c:v>
                </c:pt>
                <c:pt idx="7">
                  <c:v>53662</c:v>
                </c:pt>
                <c:pt idx="8">
                  <c:v>53996</c:v>
                </c:pt>
                <c:pt idx="9">
                  <c:v>53901</c:v>
                </c:pt>
                <c:pt idx="10">
                  <c:v>51020</c:v>
                </c:pt>
                <c:pt idx="11">
                  <c:v>46971</c:v>
                </c:pt>
                <c:pt idx="12">
                  <c:v>44884</c:v>
                </c:pt>
                <c:pt idx="13">
                  <c:v>47595</c:v>
                </c:pt>
                <c:pt idx="14">
                  <c:v>49150</c:v>
                </c:pt>
                <c:pt idx="15">
                  <c:v>47602</c:v>
                </c:pt>
                <c:pt idx="16">
                  <c:v>47757</c:v>
                </c:pt>
                <c:pt idx="17">
                  <c:v>45898</c:v>
                </c:pt>
                <c:pt idx="18">
                  <c:v>45730</c:v>
                </c:pt>
                <c:pt idx="19">
                  <c:v>44858</c:v>
                </c:pt>
                <c:pt idx="20">
                  <c:v>42077</c:v>
                </c:pt>
                <c:pt idx="21">
                  <c:v>45257</c:v>
                </c:pt>
                <c:pt idx="22">
                  <c:v>43799</c:v>
                </c:pt>
                <c:pt idx="23">
                  <c:v>42705</c:v>
                </c:pt>
                <c:pt idx="24">
                  <c:v>47728</c:v>
                </c:pt>
                <c:pt idx="25">
                  <c:v>51608</c:v>
                </c:pt>
                <c:pt idx="26">
                  <c:v>47882</c:v>
                </c:pt>
                <c:pt idx="27">
                  <c:v>47144</c:v>
                </c:pt>
              </c:numCache>
            </c:numRef>
          </c:val>
          <c:smooth val="0"/>
          <c:extLst>
            <c:ext xmlns:c16="http://schemas.microsoft.com/office/drawing/2014/chart" uri="{C3380CC4-5D6E-409C-BE32-E72D297353CC}">
              <c16:uniqueId val="{00000001-9C47-4D67-B200-E3C680B49548}"/>
            </c:ext>
          </c:extLst>
        </c:ser>
        <c:dLbls>
          <c:showLegendKey val="0"/>
          <c:showVal val="0"/>
          <c:showCatName val="0"/>
          <c:showSerName val="0"/>
          <c:showPercent val="0"/>
          <c:showBubbleSize val="0"/>
        </c:dLbls>
        <c:marker val="1"/>
        <c:smooth val="0"/>
        <c:axId val="-868184032"/>
        <c:axId val="-868192736"/>
      </c:lineChart>
      <c:catAx>
        <c:axId val="-8681840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crossAx val="-868192736"/>
        <c:crosses val="autoZero"/>
        <c:auto val="1"/>
        <c:lblAlgn val="ctr"/>
        <c:lblOffset val="100"/>
        <c:noMultiLvlLbl val="0"/>
      </c:catAx>
      <c:valAx>
        <c:axId val="-868192736"/>
        <c:scaling>
          <c:orientation val="minMax"/>
        </c:scaling>
        <c:delete val="0"/>
        <c:axPos val="l"/>
        <c:majorGridlines>
          <c:spPr>
            <a:ln w="9525" cap="flat" cmpd="sng" algn="ctr">
              <a:solidFill>
                <a:schemeClr val="tx1">
                  <a:lumMod val="15000"/>
                  <a:lumOff val="85000"/>
                </a:schemeClr>
              </a:solidFill>
              <a:round/>
            </a:ln>
            <a:effectLst/>
          </c:spPr>
        </c:majorGridlines>
        <c:numFmt formatCode="#\ ###\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en-US" sz="900" b="0" i="0" u="none" strike="noStrike" kern="1200" baseline="0">
                <a:solidFill>
                  <a:sysClr val="windowText" lastClr="000000"/>
                </a:solidFill>
                <a:latin typeface="+mn-lt"/>
                <a:ea typeface="+mn-ea"/>
                <a:cs typeface="+mn-cs"/>
              </a:defRPr>
            </a:pPr>
            <a:endParaRPr lang="en-US"/>
          </a:p>
        </c:txPr>
        <c:crossAx val="-868184032"/>
        <c:crosses val="autoZero"/>
        <c:crossBetween val="between"/>
      </c:valAx>
      <c:spPr>
        <a:noFill/>
        <a:ln>
          <a:noFill/>
        </a:ln>
        <a:effectLst/>
      </c:spPr>
    </c:plotArea>
    <c:legend>
      <c:legendPos val="b"/>
      <c:layout>
        <c:manualLayout>
          <c:xMode val="edge"/>
          <c:yMode val="edge"/>
          <c:x val="0.378800251665314"/>
          <c:y val="0.89588105400873452"/>
          <c:w val="0.23525798594879377"/>
          <c:h val="7.9004177389225674E-2"/>
        </c:manualLayout>
      </c:layout>
      <c:overlay val="0"/>
      <c:spPr>
        <a:noFill/>
        <a:ln>
          <a:noFill/>
        </a:ln>
        <a:effectLst/>
      </c:spPr>
      <c:txPr>
        <a:bodyPr rot="0" spcFirstLastPara="1" vertOverflow="ellipsis" vert="horz" wrap="square" anchor="ctr" anchorCtr="1"/>
        <a:lstStyle/>
        <a:p>
          <a:pPr>
            <a:defRPr lang="en-US" sz="92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7025086247656596E-2"/>
          <c:y val="9.2219711941415705E-2"/>
          <c:w val="0.91304012961868597"/>
          <c:h val="0.65239019546722199"/>
        </c:manualLayout>
      </c:layout>
      <c:lineChart>
        <c:grouping val="standard"/>
        <c:varyColors val="0"/>
        <c:ser>
          <c:idx val="1"/>
          <c:order val="0"/>
          <c:tx>
            <c:strRef>
              <c:f>'Rehabilitation  '!$D$9</c:f>
              <c:strCache>
                <c:ptCount val="1"/>
                <c:pt idx="0">
                  <c:v>Correctional Programmes</c:v>
                </c:pt>
              </c:strCache>
            </c:strRef>
          </c:tx>
          <c:spPr>
            <a:ln w="28575" cap="rnd" cmpd="sng" algn="ctr">
              <a:solidFill>
                <a:srgbClr val="FF0000"/>
              </a:solidFill>
              <a:prstDash val="solid"/>
              <a:round/>
            </a:ln>
          </c:spPr>
          <c:marker>
            <c:symbol val="none"/>
          </c:marker>
          <c:cat>
            <c:strRef>
              <c:f>'Rehabilitation  '!$E$8:$AD$8</c:f>
              <c:strCache>
                <c:ptCount val="26"/>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pt idx="25">
                  <c:v>2020/21</c:v>
                </c:pt>
              </c:strCache>
            </c:strRef>
          </c:cat>
          <c:val>
            <c:numRef>
              <c:f>'Rehabilitation  '!$E$9:$AD$9</c:f>
              <c:numCache>
                <c:formatCode>General</c:formatCode>
                <c:ptCount val="26"/>
                <c:pt idx="12" formatCode="#\ ##0">
                  <c:v>24657</c:v>
                </c:pt>
                <c:pt idx="13" formatCode="#\ ##0">
                  <c:v>60543</c:v>
                </c:pt>
                <c:pt idx="14" formatCode="#\ ##0">
                  <c:v>44481</c:v>
                </c:pt>
                <c:pt idx="15" formatCode="#\ ##0">
                  <c:v>116097</c:v>
                </c:pt>
                <c:pt idx="16" formatCode="#\ ##0">
                  <c:v>116716</c:v>
                </c:pt>
                <c:pt idx="17" formatCode="#\ ##0">
                  <c:v>77087</c:v>
                </c:pt>
                <c:pt idx="18" formatCode="#\ ##0">
                  <c:v>61049</c:v>
                </c:pt>
                <c:pt idx="19" formatCode="#\ ##0">
                  <c:v>68624</c:v>
                </c:pt>
                <c:pt idx="20" formatCode="#\ ##0">
                  <c:v>75595</c:v>
                </c:pt>
                <c:pt idx="21" formatCode="#\ ##0">
                  <c:v>80960</c:v>
                </c:pt>
                <c:pt idx="22" formatCode="#\ ##0">
                  <c:v>86518</c:v>
                </c:pt>
                <c:pt idx="23" formatCode="#\ ##0">
                  <c:v>93419</c:v>
                </c:pt>
                <c:pt idx="24" formatCode="#\ ##0">
                  <c:v>94694</c:v>
                </c:pt>
                <c:pt idx="25" formatCode="#\ ##0">
                  <c:v>64399</c:v>
                </c:pt>
              </c:numCache>
            </c:numRef>
          </c:val>
          <c:smooth val="0"/>
          <c:extLst>
            <c:ext xmlns:c16="http://schemas.microsoft.com/office/drawing/2014/chart" uri="{C3380CC4-5D6E-409C-BE32-E72D297353CC}">
              <c16:uniqueId val="{00000000-0CCA-4E67-BEEF-C2DA913E9DF6}"/>
            </c:ext>
          </c:extLst>
        </c:ser>
        <c:ser>
          <c:idx val="2"/>
          <c:order val="1"/>
          <c:tx>
            <c:strRef>
              <c:f>'Rehabilitation  '!$D$10</c:f>
              <c:strCache>
                <c:ptCount val="1"/>
                <c:pt idx="0">
                  <c:v>Development Programmes</c:v>
                </c:pt>
              </c:strCache>
            </c:strRef>
          </c:tx>
          <c:spPr>
            <a:ln w="28575" cap="rnd" cmpd="sng" algn="ctr">
              <a:solidFill>
                <a:srgbClr val="C0504D"/>
              </a:solidFill>
              <a:prstDash val="solid"/>
              <a:round/>
            </a:ln>
          </c:spPr>
          <c:marker>
            <c:symbol val="none"/>
          </c:marker>
          <c:cat>
            <c:strRef>
              <c:f>'Rehabilitation  '!$E$8:$AD$8</c:f>
              <c:strCache>
                <c:ptCount val="26"/>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pt idx="25">
                  <c:v>2020/21</c:v>
                </c:pt>
              </c:strCache>
            </c:strRef>
          </c:cat>
          <c:val>
            <c:numRef>
              <c:f>'Rehabilitation  '!$E$10:$AD$10</c:f>
              <c:numCache>
                <c:formatCode>#\ ##0</c:formatCode>
                <c:ptCount val="26"/>
                <c:pt idx="2">
                  <c:v>13013</c:v>
                </c:pt>
                <c:pt idx="3">
                  <c:v>9076</c:v>
                </c:pt>
                <c:pt idx="4">
                  <c:v>19603</c:v>
                </c:pt>
                <c:pt idx="5">
                  <c:v>22998</c:v>
                </c:pt>
                <c:pt idx="6">
                  <c:v>29114</c:v>
                </c:pt>
                <c:pt idx="7">
                  <c:v>41392</c:v>
                </c:pt>
                <c:pt idx="8">
                  <c:v>40938</c:v>
                </c:pt>
                <c:pt idx="9">
                  <c:v>41546</c:v>
                </c:pt>
                <c:pt idx="10">
                  <c:v>35162</c:v>
                </c:pt>
                <c:pt idx="11">
                  <c:v>44663</c:v>
                </c:pt>
                <c:pt idx="12">
                  <c:v>43593</c:v>
                </c:pt>
                <c:pt idx="13">
                  <c:v>25238</c:v>
                </c:pt>
                <c:pt idx="14">
                  <c:v>101620</c:v>
                </c:pt>
                <c:pt idx="15">
                  <c:v>34875</c:v>
                </c:pt>
                <c:pt idx="16">
                  <c:v>33807</c:v>
                </c:pt>
                <c:pt idx="17">
                  <c:v>30657</c:v>
                </c:pt>
                <c:pt idx="18">
                  <c:v>29965</c:v>
                </c:pt>
                <c:pt idx="19">
                  <c:v>28033</c:v>
                </c:pt>
                <c:pt idx="20">
                  <c:v>26499</c:v>
                </c:pt>
                <c:pt idx="21">
                  <c:v>24171</c:v>
                </c:pt>
                <c:pt idx="22">
                  <c:v>25573</c:v>
                </c:pt>
                <c:pt idx="23">
                  <c:v>104227</c:v>
                </c:pt>
                <c:pt idx="24">
                  <c:v>42367</c:v>
                </c:pt>
                <c:pt idx="25">
                  <c:v>26335</c:v>
                </c:pt>
              </c:numCache>
            </c:numRef>
          </c:val>
          <c:smooth val="0"/>
          <c:extLst>
            <c:ext xmlns:c16="http://schemas.microsoft.com/office/drawing/2014/chart" uri="{C3380CC4-5D6E-409C-BE32-E72D297353CC}">
              <c16:uniqueId val="{00000001-0CCA-4E67-BEEF-C2DA913E9DF6}"/>
            </c:ext>
          </c:extLst>
        </c:ser>
        <c:ser>
          <c:idx val="3"/>
          <c:order val="2"/>
          <c:tx>
            <c:strRef>
              <c:f>'Rehabilitation  '!$D$15</c:f>
              <c:strCache>
                <c:ptCount val="1"/>
                <c:pt idx="0">
                  <c:v>Psychological Services</c:v>
                </c:pt>
              </c:strCache>
            </c:strRef>
          </c:tx>
          <c:spPr>
            <a:ln w="28575" cap="rnd" cmpd="sng" algn="ctr">
              <a:solidFill>
                <a:srgbClr val="FFC000"/>
              </a:solidFill>
              <a:prstDash val="solid"/>
              <a:round/>
            </a:ln>
          </c:spPr>
          <c:marker>
            <c:symbol val="none"/>
          </c:marker>
          <c:cat>
            <c:strRef>
              <c:f>'Rehabilitation  '!$E$8:$AD$8</c:f>
              <c:strCache>
                <c:ptCount val="26"/>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pt idx="25">
                  <c:v>2020/21</c:v>
                </c:pt>
              </c:strCache>
            </c:strRef>
          </c:cat>
          <c:val>
            <c:numRef>
              <c:f>'Rehabilitation  '!$E$15:$AD$15</c:f>
              <c:numCache>
                <c:formatCode>###\ ###\ ###</c:formatCode>
                <c:ptCount val="26"/>
                <c:pt idx="12">
                  <c:v>157444</c:v>
                </c:pt>
                <c:pt idx="13">
                  <c:v>9073</c:v>
                </c:pt>
                <c:pt idx="17">
                  <c:v>20865</c:v>
                </c:pt>
                <c:pt idx="18">
                  <c:v>21120</c:v>
                </c:pt>
                <c:pt idx="19">
                  <c:v>23565</c:v>
                </c:pt>
                <c:pt idx="20">
                  <c:v>32523</c:v>
                </c:pt>
                <c:pt idx="21">
                  <c:v>36014</c:v>
                </c:pt>
                <c:pt idx="22">
                  <c:v>39407</c:v>
                </c:pt>
                <c:pt idx="23">
                  <c:v>45331</c:v>
                </c:pt>
                <c:pt idx="24">
                  <c:v>50354</c:v>
                </c:pt>
                <c:pt idx="25">
                  <c:v>34851</c:v>
                </c:pt>
              </c:numCache>
            </c:numRef>
          </c:val>
          <c:smooth val="0"/>
          <c:extLst>
            <c:ext xmlns:c16="http://schemas.microsoft.com/office/drawing/2014/chart" uri="{C3380CC4-5D6E-409C-BE32-E72D297353CC}">
              <c16:uniqueId val="{00000002-0CCA-4E67-BEEF-C2DA913E9DF6}"/>
            </c:ext>
          </c:extLst>
        </c:ser>
        <c:ser>
          <c:idx val="4"/>
          <c:order val="3"/>
          <c:tx>
            <c:strRef>
              <c:f>'Rehabilitation  '!$D$16</c:f>
              <c:strCache>
                <c:ptCount val="1"/>
                <c:pt idx="0">
                  <c:v>Social work</c:v>
                </c:pt>
              </c:strCache>
            </c:strRef>
          </c:tx>
          <c:spPr>
            <a:ln w="28575" cap="rnd" cmpd="sng" algn="ctr">
              <a:solidFill>
                <a:srgbClr val="00B050"/>
              </a:solidFill>
              <a:prstDash val="solid"/>
              <a:round/>
            </a:ln>
          </c:spPr>
          <c:marker>
            <c:symbol val="none"/>
          </c:marker>
          <c:trendline>
            <c:spPr>
              <a:ln w="28575" cap="rnd" cmpd="sng" algn="ctr">
                <a:solidFill>
                  <a:schemeClr val="tx1">
                    <a:shade val="95000"/>
                    <a:satMod val="105000"/>
                  </a:schemeClr>
                </a:solidFill>
                <a:prstDash val="solid"/>
                <a:round/>
              </a:ln>
            </c:spPr>
            <c:trendlineType val="linear"/>
            <c:dispRSqr val="0"/>
            <c:dispEq val="0"/>
          </c:trendline>
          <c:cat>
            <c:strRef>
              <c:f>'Rehabilitation  '!$E$8:$AD$8</c:f>
              <c:strCache>
                <c:ptCount val="26"/>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pt idx="25">
                  <c:v>2020/21</c:v>
                </c:pt>
              </c:strCache>
            </c:strRef>
          </c:cat>
          <c:val>
            <c:numRef>
              <c:f>'Rehabilitation  '!$E$16:$AD$16</c:f>
              <c:numCache>
                <c:formatCode>###\ ###\ ###</c:formatCode>
                <c:ptCount val="26"/>
                <c:pt idx="0">
                  <c:v>10010</c:v>
                </c:pt>
                <c:pt idx="1">
                  <c:v>153672</c:v>
                </c:pt>
                <c:pt idx="2">
                  <c:v>106324</c:v>
                </c:pt>
                <c:pt idx="3">
                  <c:v>125164</c:v>
                </c:pt>
                <c:pt idx="4">
                  <c:v>48680</c:v>
                </c:pt>
                <c:pt idx="5">
                  <c:v>23783</c:v>
                </c:pt>
                <c:pt idx="6">
                  <c:v>31122</c:v>
                </c:pt>
                <c:pt idx="7">
                  <c:v>8851</c:v>
                </c:pt>
                <c:pt idx="8">
                  <c:v>103380</c:v>
                </c:pt>
                <c:pt idx="9">
                  <c:v>77858</c:v>
                </c:pt>
                <c:pt idx="10">
                  <c:v>118057</c:v>
                </c:pt>
                <c:pt idx="11">
                  <c:v>86571</c:v>
                </c:pt>
                <c:pt idx="12">
                  <c:v>13034</c:v>
                </c:pt>
                <c:pt idx="13">
                  <c:v>116115</c:v>
                </c:pt>
                <c:pt idx="14">
                  <c:v>28187</c:v>
                </c:pt>
                <c:pt idx="15">
                  <c:v>134358</c:v>
                </c:pt>
                <c:pt idx="16">
                  <c:v>40469</c:v>
                </c:pt>
                <c:pt idx="17">
                  <c:v>104073</c:v>
                </c:pt>
                <c:pt idx="18">
                  <c:v>152406</c:v>
                </c:pt>
                <c:pt idx="19">
                  <c:v>152707</c:v>
                </c:pt>
                <c:pt idx="20" formatCode="#\ ##0">
                  <c:v>91013</c:v>
                </c:pt>
                <c:pt idx="21" formatCode="#\ ##0">
                  <c:v>109690</c:v>
                </c:pt>
                <c:pt idx="22" formatCode="#\ ##0">
                  <c:v>108960</c:v>
                </c:pt>
                <c:pt idx="23" formatCode="#\ ##0">
                  <c:v>112611</c:v>
                </c:pt>
                <c:pt idx="24" formatCode="#\ ##0">
                  <c:v>112267</c:v>
                </c:pt>
                <c:pt idx="25" formatCode="#\ ##0">
                  <c:v>96760</c:v>
                </c:pt>
              </c:numCache>
            </c:numRef>
          </c:val>
          <c:smooth val="0"/>
          <c:extLst>
            <c:ext xmlns:c16="http://schemas.microsoft.com/office/drawing/2014/chart" uri="{C3380CC4-5D6E-409C-BE32-E72D297353CC}">
              <c16:uniqueId val="{00000004-0CCA-4E67-BEEF-C2DA913E9DF6}"/>
            </c:ext>
          </c:extLst>
        </c:ser>
        <c:ser>
          <c:idx val="5"/>
          <c:order val="4"/>
          <c:tx>
            <c:strRef>
              <c:f>'Rehabilitation  '!$D$17</c:f>
              <c:strCache>
                <c:ptCount val="1"/>
                <c:pt idx="0">
                  <c:v>Spiritual care</c:v>
                </c:pt>
              </c:strCache>
            </c:strRef>
          </c:tx>
          <c:spPr>
            <a:ln w="28575" cap="rnd" cmpd="sng" algn="ctr">
              <a:solidFill>
                <a:srgbClr val="3D96AE"/>
              </a:solidFill>
              <a:prstDash val="solid"/>
              <a:round/>
            </a:ln>
          </c:spPr>
          <c:marker>
            <c:symbol val="none"/>
          </c:marker>
          <c:cat>
            <c:strRef>
              <c:f>'Rehabilitation  '!$E$8:$AD$8</c:f>
              <c:strCache>
                <c:ptCount val="26"/>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pt idx="21">
                  <c:v>2016/17</c:v>
                </c:pt>
                <c:pt idx="22">
                  <c:v>2017/18</c:v>
                </c:pt>
                <c:pt idx="23">
                  <c:v>2018/19</c:v>
                </c:pt>
                <c:pt idx="24">
                  <c:v>2019/20</c:v>
                </c:pt>
                <c:pt idx="25">
                  <c:v>2020/21</c:v>
                </c:pt>
              </c:strCache>
            </c:strRef>
          </c:cat>
          <c:val>
            <c:numRef>
              <c:f>'Rehabilitation  '!$E$17:$AD$17</c:f>
              <c:numCache>
                <c:formatCode>###\ ###\ ###</c:formatCode>
                <c:ptCount val="26"/>
                <c:pt idx="0">
                  <c:v>64059</c:v>
                </c:pt>
                <c:pt idx="1">
                  <c:v>76275</c:v>
                </c:pt>
                <c:pt idx="2">
                  <c:v>113033</c:v>
                </c:pt>
                <c:pt idx="3">
                  <c:v>121738</c:v>
                </c:pt>
                <c:pt idx="4">
                  <c:v>0</c:v>
                </c:pt>
                <c:pt idx="5">
                  <c:v>152786</c:v>
                </c:pt>
                <c:pt idx="6">
                  <c:v>124374</c:v>
                </c:pt>
                <c:pt idx="7">
                  <c:v>168009</c:v>
                </c:pt>
                <c:pt idx="8">
                  <c:v>156457</c:v>
                </c:pt>
                <c:pt idx="9">
                  <c:v>161618</c:v>
                </c:pt>
                <c:pt idx="10">
                  <c:v>165615</c:v>
                </c:pt>
                <c:pt idx="11">
                  <c:v>164582</c:v>
                </c:pt>
                <c:pt idx="12">
                  <c:v>165965</c:v>
                </c:pt>
                <c:pt idx="13">
                  <c:v>168784</c:v>
                </c:pt>
                <c:pt idx="14">
                  <c:v>178776</c:v>
                </c:pt>
                <c:pt idx="15">
                  <c:v>198859</c:v>
                </c:pt>
                <c:pt idx="16">
                  <c:v>83198</c:v>
                </c:pt>
                <c:pt idx="17">
                  <c:v>106478</c:v>
                </c:pt>
                <c:pt idx="18">
                  <c:v>120668</c:v>
                </c:pt>
                <c:pt idx="19">
                  <c:v>133826</c:v>
                </c:pt>
                <c:pt idx="20">
                  <c:v>134760</c:v>
                </c:pt>
                <c:pt idx="21">
                  <c:v>132364</c:v>
                </c:pt>
                <c:pt idx="22">
                  <c:v>143480</c:v>
                </c:pt>
                <c:pt idx="23">
                  <c:v>159259</c:v>
                </c:pt>
                <c:pt idx="24">
                  <c:v>167680</c:v>
                </c:pt>
                <c:pt idx="25">
                  <c:v>126361</c:v>
                </c:pt>
              </c:numCache>
            </c:numRef>
          </c:val>
          <c:smooth val="0"/>
          <c:extLst>
            <c:ext xmlns:c16="http://schemas.microsoft.com/office/drawing/2014/chart" uri="{C3380CC4-5D6E-409C-BE32-E72D297353CC}">
              <c16:uniqueId val="{00000005-0CCA-4E67-BEEF-C2DA913E9DF6}"/>
            </c:ext>
          </c:extLst>
        </c:ser>
        <c:dLbls>
          <c:showLegendKey val="0"/>
          <c:showVal val="0"/>
          <c:showCatName val="0"/>
          <c:showSerName val="0"/>
          <c:showPercent val="0"/>
          <c:showBubbleSize val="0"/>
        </c:dLbls>
        <c:smooth val="0"/>
        <c:axId val="-868187296"/>
        <c:axId val="-868186752"/>
      </c:lineChart>
      <c:catAx>
        <c:axId val="-868187296"/>
        <c:scaling>
          <c:orientation val="minMax"/>
        </c:scaling>
        <c:delete val="0"/>
        <c:axPos val="b"/>
        <c:numFmt formatCode="General" sourceLinked="0"/>
        <c:majorTickMark val="out"/>
        <c:minorTickMark val="none"/>
        <c:tickLblPos val="nextTo"/>
        <c:spPr>
          <a:ln w="3175" cap="flat" cmpd="sng" algn="ctr">
            <a:solidFill>
              <a:schemeClr val="tx1"/>
            </a:solidFill>
            <a:prstDash val="solid"/>
            <a:round/>
          </a:ln>
        </c:spPr>
        <c:txPr>
          <a:bodyPr rot="-5400000" spcFirstLastPara="0" vertOverflow="ellipsis" vert="horz" wrap="square" anchor="ctr" anchorCtr="1"/>
          <a:lstStyle/>
          <a:p>
            <a:pPr>
              <a:defRPr lang="en-US" sz="900" b="0" i="0" u="none" strike="noStrike" kern="1200" baseline="0">
                <a:solidFill>
                  <a:schemeClr val="tx1"/>
                </a:solidFill>
                <a:latin typeface="Arial Narrow" panose="020B0606020202030204" pitchFamily="34" charset="0"/>
                <a:ea typeface="+mn-ea"/>
                <a:cs typeface="+mn-cs"/>
              </a:defRPr>
            </a:pPr>
            <a:endParaRPr lang="en-US"/>
          </a:p>
        </c:txPr>
        <c:crossAx val="-868186752"/>
        <c:crosses val="autoZero"/>
        <c:auto val="1"/>
        <c:lblAlgn val="ctr"/>
        <c:lblOffset val="100"/>
        <c:noMultiLvlLbl val="0"/>
      </c:catAx>
      <c:valAx>
        <c:axId val="-868186752"/>
        <c:scaling>
          <c:orientation val="minMax"/>
        </c:scaling>
        <c:delete val="0"/>
        <c:axPos val="l"/>
        <c:majorGridlines>
          <c:spPr>
            <a:ln w="3175" cap="flat" cmpd="sng" algn="ctr">
              <a:solidFill>
                <a:schemeClr val="tx1">
                  <a:tint val="75000"/>
                  <a:shade val="95000"/>
                  <a:satMod val="105000"/>
                </a:schemeClr>
              </a:solidFill>
              <a:prstDash val="sysDash"/>
              <a:round/>
            </a:ln>
          </c:spPr>
        </c:majorGridlines>
        <c:title>
          <c:tx>
            <c:rich>
              <a:bodyPr rot="-5400000" spcFirstLastPara="0" vertOverflow="ellipsis" vert="horz" wrap="square" anchor="ctr" anchorCtr="1"/>
              <a:lstStyle/>
              <a:p>
                <a:pPr>
                  <a:defRPr lang="en-US" sz="900" b="0" i="0" u="none" strike="noStrike" kern="1200" baseline="0">
                    <a:solidFill>
                      <a:schemeClr val="tx1"/>
                    </a:solidFill>
                    <a:latin typeface="Arial Narrow" panose="020B0606020202030204" pitchFamily="34" charset="0"/>
                    <a:ea typeface="+mn-ea"/>
                    <a:cs typeface="+mn-cs"/>
                  </a:defRPr>
                </a:pPr>
                <a:r>
                  <a:rPr lang="en-ZA" sz="900"/>
                  <a:t>Number</a:t>
                </a:r>
              </a:p>
            </c:rich>
          </c:tx>
          <c:layout>
            <c:manualLayout>
              <c:xMode val="edge"/>
              <c:yMode val="edge"/>
              <c:x val="1.1306284483202301E-2"/>
              <c:y val="0.23559313184699901"/>
            </c:manualLayout>
          </c:layout>
          <c:overlay val="0"/>
        </c:title>
        <c:numFmt formatCode="#\,##0" sourceLinked="0"/>
        <c:majorTickMark val="out"/>
        <c:minorTickMark val="none"/>
        <c:tickLblPos val="nextTo"/>
        <c:spPr>
          <a:ln w="3175" cap="flat" cmpd="sng" algn="ctr">
            <a:solidFill>
              <a:schemeClr val="tx1"/>
            </a:solidFill>
            <a:prstDash val="solid"/>
            <a:round/>
          </a:ln>
        </c:spPr>
        <c:txPr>
          <a:bodyPr rot="-60000000" spcFirstLastPara="0" vertOverflow="ellipsis" vert="horz" wrap="square" anchor="ctr" anchorCtr="1"/>
          <a:lstStyle/>
          <a:p>
            <a:pPr>
              <a:defRPr lang="en-US" sz="800" b="0" i="0" u="none" strike="noStrike" kern="1200" baseline="0">
                <a:solidFill>
                  <a:schemeClr val="tx1"/>
                </a:solidFill>
                <a:latin typeface="Arial Narrow" panose="020B0606020202030204" pitchFamily="34" charset="0"/>
                <a:ea typeface="+mn-ea"/>
                <a:cs typeface="+mn-cs"/>
              </a:defRPr>
            </a:pPr>
            <a:endParaRPr lang="en-US"/>
          </a:p>
        </c:txPr>
        <c:crossAx val="-868187296"/>
        <c:crosses val="autoZero"/>
        <c:crossBetween val="between"/>
      </c:valAx>
    </c:plotArea>
    <c:legend>
      <c:legendPos val="b"/>
      <c:layout>
        <c:manualLayout>
          <c:xMode val="edge"/>
          <c:yMode val="edge"/>
          <c:x val="0.16950675464384499"/>
          <c:y val="0.90153390068494299"/>
          <c:w val="0.76626043792750198"/>
          <c:h val="7.5722193165026805E-2"/>
        </c:manualLayout>
      </c:layout>
      <c:overlay val="0"/>
      <c:txPr>
        <a:bodyPr rot="0" spcFirstLastPara="0" vertOverflow="ellipsis" vert="horz" wrap="square" anchor="ctr" anchorCtr="1"/>
        <a:lstStyle/>
        <a:p>
          <a:pPr>
            <a:defRPr lang="en-US" sz="900" b="0" i="0" u="none" strike="noStrike" kern="1200" baseline="0">
              <a:solidFill>
                <a:schemeClr val="tx1"/>
              </a:solidFill>
              <a:latin typeface="Arial Narrow" panose="020B0606020202030204" pitchFamily="34" charset="0"/>
              <a:ea typeface="+mn-ea"/>
              <a:cs typeface="+mn-cs"/>
            </a:defRPr>
          </a:pPr>
          <a:endParaRPr lang="en-US"/>
        </a:p>
      </c:txPr>
    </c:legend>
    <c:plotVisOnly val="1"/>
    <c:dispBlanksAs val="gap"/>
    <c:showDLblsOverMax val="0"/>
  </c:chart>
  <c:spPr>
    <a:ln w="9525" cap="flat" cmpd="sng" algn="ctr">
      <a:noFill/>
      <a:prstDash val="solid"/>
      <a:round/>
    </a:ln>
  </c:spPr>
  <c:txPr>
    <a:bodyPr/>
    <a:lstStyle/>
    <a:p>
      <a:pPr>
        <a:defRPr lang="en-US" sz="800">
          <a:latin typeface="Arial Narrow" panose="020B0606020202030204" pitchFamily="34" charset="0"/>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0" i="0" u="none" strike="noStrike" kern="1200" spc="0" baseline="0">
                <a:solidFill>
                  <a:schemeClr val="tx1"/>
                </a:solidFill>
                <a:latin typeface="+mn-lt"/>
                <a:ea typeface="+mn-ea"/>
                <a:cs typeface="+mn-cs"/>
              </a:defRPr>
            </a:pPr>
            <a:r>
              <a:rPr lang="en-ZA"/>
              <a:t>Parolees violations</a:t>
            </a:r>
          </a:p>
        </c:rich>
      </c:tx>
      <c:layout>
        <c:manualLayout>
          <c:xMode val="edge"/>
          <c:yMode val="edge"/>
          <c:x val="0.47560856403472201"/>
          <c:y val="4.1095890410958902E-2"/>
        </c:manualLayout>
      </c:layout>
      <c:overlay val="0"/>
      <c:spPr>
        <a:noFill/>
        <a:ln>
          <a:noFill/>
        </a:ln>
        <a:effectLst/>
      </c:spPr>
      <c:txPr>
        <a:bodyPr rot="0" spcFirstLastPara="1" vertOverflow="ellipsis" vert="horz" wrap="square" anchor="ctr" anchorCtr="1"/>
        <a:lstStyle/>
        <a:p>
          <a:pPr>
            <a:defRPr lang="en-US"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5.2265152902398797E-2"/>
          <c:y val="0.13631599328772401"/>
          <c:w val="0.94674826586719696"/>
          <c:h val="0.68515370510193097"/>
        </c:manualLayout>
      </c:layout>
      <c:barChart>
        <c:barDir val="col"/>
        <c:grouping val="clustered"/>
        <c:varyColors val="0"/>
        <c:ser>
          <c:idx val="0"/>
          <c:order val="0"/>
          <c:tx>
            <c:strRef>
              <c:f>Parolees!$D$9:$E$9</c:f>
              <c:strCache>
                <c:ptCount val="2"/>
                <c:pt idx="0">
                  <c:v>Parolee Caseload</c:v>
                </c:pt>
              </c:strCache>
            </c:strRef>
          </c:tx>
          <c:spPr>
            <a:solidFill>
              <a:schemeClr val="accent2">
                <a:lumMod val="75000"/>
              </a:schemeClr>
            </a:solidFill>
            <a:ln>
              <a:noFill/>
            </a:ln>
            <a:effectLst/>
          </c:spPr>
          <c:invertIfNegative val="0"/>
          <c:cat>
            <c:strRef>
              <c:f>Parolees!$F$8:$AF$8</c:f>
              <c:strCache>
                <c:ptCount val="24"/>
                <c:pt idx="0">
                  <c:v>1995/96</c:v>
                </c:pt>
                <c:pt idx="1">
                  <c:v>1996/97</c:v>
                </c:pt>
                <c:pt idx="2">
                  <c:v>1997/98</c:v>
                </c:pt>
                <c:pt idx="3">
                  <c:v>1998/99</c:v>
                </c:pt>
                <c:pt idx="4">
                  <c:v>1999/00</c:v>
                </c:pt>
                <c:pt idx="5">
                  <c:v>2000/01</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pt idx="20">
                  <c:v>2018/19</c:v>
                </c:pt>
                <c:pt idx="21">
                  <c:v>2019/20</c:v>
                </c:pt>
                <c:pt idx="22">
                  <c:v>2020/21</c:v>
                </c:pt>
                <c:pt idx="23">
                  <c:v>2021/22</c:v>
                </c:pt>
              </c:strCache>
            </c:strRef>
          </c:cat>
          <c:val>
            <c:numRef>
              <c:f>Parolees!$F$9:$AF$9</c:f>
              <c:numCache>
                <c:formatCode>###\ ###\ ###</c:formatCode>
                <c:ptCount val="24"/>
                <c:pt idx="0">
                  <c:v>17433</c:v>
                </c:pt>
                <c:pt idx="1">
                  <c:v>21159</c:v>
                </c:pt>
                <c:pt idx="2">
                  <c:v>22724</c:v>
                </c:pt>
                <c:pt idx="3">
                  <c:v>22280</c:v>
                </c:pt>
                <c:pt idx="4">
                  <c:v>21659</c:v>
                </c:pt>
                <c:pt idx="5">
                  <c:v>24954</c:v>
                </c:pt>
                <c:pt idx="6">
                  <c:v>31562</c:v>
                </c:pt>
                <c:pt idx="7">
                  <c:v>24387</c:v>
                </c:pt>
                <c:pt idx="8">
                  <c:v>25899</c:v>
                </c:pt>
                <c:pt idx="9">
                  <c:v>30914</c:v>
                </c:pt>
                <c:pt idx="10">
                  <c:v>34299</c:v>
                </c:pt>
                <c:pt idx="11">
                  <c:v>36862</c:v>
                </c:pt>
                <c:pt idx="12">
                  <c:v>42059</c:v>
                </c:pt>
                <c:pt idx="13">
                  <c:v>47095</c:v>
                </c:pt>
                <c:pt idx="14">
                  <c:v>46259</c:v>
                </c:pt>
                <c:pt idx="15">
                  <c:v>48703</c:v>
                </c:pt>
                <c:pt idx="16">
                  <c:v>50855</c:v>
                </c:pt>
                <c:pt idx="17">
                  <c:v>51937</c:v>
                </c:pt>
                <c:pt idx="18">
                  <c:v>51785</c:v>
                </c:pt>
                <c:pt idx="19">
                  <c:v>54225</c:v>
                </c:pt>
                <c:pt idx="20">
                  <c:v>55030</c:v>
                </c:pt>
                <c:pt idx="21">
                  <c:v>52745</c:v>
                </c:pt>
                <c:pt idx="22">
                  <c:v>52275</c:v>
                </c:pt>
                <c:pt idx="23">
                  <c:v>52054</c:v>
                </c:pt>
              </c:numCache>
            </c:numRef>
          </c:val>
          <c:extLst>
            <c:ext xmlns:c16="http://schemas.microsoft.com/office/drawing/2014/chart" uri="{C3380CC4-5D6E-409C-BE32-E72D297353CC}">
              <c16:uniqueId val="{00000000-B259-4248-BB5B-4044D8DE4B3A}"/>
            </c:ext>
          </c:extLst>
        </c:ser>
        <c:dLbls>
          <c:showLegendKey val="0"/>
          <c:showVal val="0"/>
          <c:showCatName val="0"/>
          <c:showSerName val="0"/>
          <c:showPercent val="0"/>
          <c:showBubbleSize val="0"/>
        </c:dLbls>
        <c:gapWidth val="219"/>
        <c:axId val="-868181856"/>
        <c:axId val="-868182400"/>
      </c:barChart>
      <c:lineChart>
        <c:grouping val="standard"/>
        <c:varyColors val="0"/>
        <c:ser>
          <c:idx val="1"/>
          <c:order val="1"/>
          <c:tx>
            <c:strRef>
              <c:f>Parolees!$D$10:$E$10</c:f>
              <c:strCache>
                <c:ptCount val="2"/>
                <c:pt idx="0">
                  <c:v>Parolee without Violations</c:v>
                </c:pt>
              </c:strCache>
            </c:strRef>
          </c:tx>
          <c:spPr>
            <a:ln w="28575" cap="rnd">
              <a:solidFill>
                <a:schemeClr val="accent2"/>
              </a:solidFill>
              <a:round/>
            </a:ln>
            <a:effectLst/>
          </c:spPr>
          <c:marker>
            <c:symbol val="none"/>
          </c:marker>
          <c:cat>
            <c:strRef>
              <c:f>Parolees!$F$8:$AF$8</c:f>
              <c:strCache>
                <c:ptCount val="24"/>
                <c:pt idx="0">
                  <c:v>1995/96</c:v>
                </c:pt>
                <c:pt idx="1">
                  <c:v>1996/97</c:v>
                </c:pt>
                <c:pt idx="2">
                  <c:v>1997/98</c:v>
                </c:pt>
                <c:pt idx="3">
                  <c:v>1998/99</c:v>
                </c:pt>
                <c:pt idx="4">
                  <c:v>1999/00</c:v>
                </c:pt>
                <c:pt idx="5">
                  <c:v>2000/01</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pt idx="20">
                  <c:v>2018/19</c:v>
                </c:pt>
                <c:pt idx="21">
                  <c:v>2019/20</c:v>
                </c:pt>
                <c:pt idx="22">
                  <c:v>2020/21</c:v>
                </c:pt>
                <c:pt idx="23">
                  <c:v>2021/22</c:v>
                </c:pt>
              </c:strCache>
            </c:strRef>
          </c:cat>
          <c:val>
            <c:numRef>
              <c:f>Parolees!$F$10:$AF$10</c:f>
              <c:numCache>
                <c:formatCode>###\ ###\ ###</c:formatCode>
                <c:ptCount val="24"/>
                <c:pt idx="0">
                  <c:v>5563.49444444444</c:v>
                </c:pt>
                <c:pt idx="1">
                  <c:v>8364.9544770032007</c:v>
                </c:pt>
                <c:pt idx="2">
                  <c:v>10483.174880671701</c:v>
                </c:pt>
                <c:pt idx="3">
                  <c:v>10822.7992124827</c:v>
                </c:pt>
                <c:pt idx="4">
                  <c:v>10149.2431282246</c:v>
                </c:pt>
                <c:pt idx="5">
                  <c:v>11879.0741625063</c:v>
                </c:pt>
                <c:pt idx="6">
                  <c:v>21471.488074729099</c:v>
                </c:pt>
                <c:pt idx="7">
                  <c:v>17046.486689916499</c:v>
                </c:pt>
                <c:pt idx="8">
                  <c:v>17411.108003719299</c:v>
                </c:pt>
                <c:pt idx="9">
                  <c:v>21238.989963391101</c:v>
                </c:pt>
                <c:pt idx="10">
                  <c:v>23309.261182664301</c:v>
                </c:pt>
                <c:pt idx="11">
                  <c:v>25721.7098783314</c:v>
                </c:pt>
                <c:pt idx="12">
                  <c:v>28106.833916934102</c:v>
                </c:pt>
                <c:pt idx="13">
                  <c:v>35819</c:v>
                </c:pt>
                <c:pt idx="14">
                  <c:v>39269</c:v>
                </c:pt>
                <c:pt idx="15">
                  <c:v>38768</c:v>
                </c:pt>
                <c:pt idx="16">
                  <c:v>49928</c:v>
                </c:pt>
                <c:pt idx="17">
                  <c:v>51307</c:v>
                </c:pt>
                <c:pt idx="18">
                  <c:v>51161</c:v>
                </c:pt>
                <c:pt idx="19">
                  <c:v>53615</c:v>
                </c:pt>
                <c:pt idx="20">
                  <c:v>54487</c:v>
                </c:pt>
                <c:pt idx="21">
                  <c:v>53256</c:v>
                </c:pt>
                <c:pt idx="22">
                  <c:v>51901</c:v>
                </c:pt>
                <c:pt idx="23">
                  <c:v>51586</c:v>
                </c:pt>
              </c:numCache>
            </c:numRef>
          </c:val>
          <c:smooth val="0"/>
          <c:extLst>
            <c:ext xmlns:c16="http://schemas.microsoft.com/office/drawing/2014/chart" uri="{C3380CC4-5D6E-409C-BE32-E72D297353CC}">
              <c16:uniqueId val="{00000001-B259-4248-BB5B-4044D8DE4B3A}"/>
            </c:ext>
          </c:extLst>
        </c:ser>
        <c:dLbls>
          <c:showLegendKey val="0"/>
          <c:showVal val="0"/>
          <c:showCatName val="0"/>
          <c:showSerName val="0"/>
          <c:showPercent val="0"/>
          <c:showBubbleSize val="0"/>
        </c:dLbls>
        <c:marker val="1"/>
        <c:smooth val="0"/>
        <c:axId val="-868181856"/>
        <c:axId val="-868182400"/>
      </c:lineChart>
      <c:catAx>
        <c:axId val="-8681818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crossAx val="-868182400"/>
        <c:crosses val="autoZero"/>
        <c:auto val="1"/>
        <c:lblAlgn val="ctr"/>
        <c:lblOffset val="100"/>
        <c:noMultiLvlLbl val="0"/>
      </c:catAx>
      <c:valAx>
        <c:axId val="-868182400"/>
        <c:scaling>
          <c:orientation val="minMax"/>
        </c:scaling>
        <c:delete val="0"/>
        <c:axPos val="l"/>
        <c:majorGridlines>
          <c:spPr>
            <a:ln w="9525" cap="flat" cmpd="sng" algn="ctr">
              <a:solidFill>
                <a:schemeClr val="tx1">
                  <a:lumMod val="15000"/>
                  <a:lumOff val="85000"/>
                </a:schemeClr>
              </a:solidFill>
              <a:round/>
            </a:ln>
            <a:effectLst/>
          </c:spPr>
        </c:majorGridlines>
        <c:numFmt formatCode="###\ ###\ ###"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lang="en-US" sz="900" b="0" i="0" u="none" strike="noStrike" kern="1200" baseline="0">
                <a:solidFill>
                  <a:schemeClr val="tx1"/>
                </a:solidFill>
                <a:latin typeface="+mn-lt"/>
                <a:ea typeface="+mn-ea"/>
                <a:cs typeface="+mn-cs"/>
              </a:defRPr>
            </a:pPr>
            <a:endParaRPr lang="en-US"/>
          </a:p>
        </c:txPr>
        <c:crossAx val="-868181856"/>
        <c:crosses val="autoZero"/>
        <c:crossBetween val="between"/>
      </c:valAx>
      <c:spPr>
        <a:noFill/>
        <a:ln>
          <a:noFill/>
        </a:ln>
        <a:effectLst/>
      </c:spPr>
    </c:plotArea>
    <c:legend>
      <c:legendPos val="b"/>
      <c:layout>
        <c:manualLayout>
          <c:xMode val="edge"/>
          <c:yMode val="edge"/>
          <c:x val="0.36252401968067"/>
          <c:y val="0.92094901252097605"/>
          <c:w val="0.29499016840431003"/>
          <c:h val="7.9050987479024101E-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25123198885849E-2"/>
          <c:y val="9.7515803482311203E-2"/>
          <c:w val="0.87689970673308693"/>
          <c:h val="0.77435923502519932"/>
        </c:manualLayout>
      </c:layout>
      <c:lineChart>
        <c:grouping val="stacked"/>
        <c:varyColors val="0"/>
        <c:ser>
          <c:idx val="0"/>
          <c:order val="0"/>
          <c:tx>
            <c:strRef>
              <c:f>'GDP per Capita'!$F$8</c:f>
              <c:strCache>
                <c:ptCount val="1"/>
                <c:pt idx="0">
                  <c:v>1,1</c:v>
                </c:pt>
              </c:strCache>
            </c:strRef>
          </c:tx>
          <c:spPr>
            <a:ln w="3175">
              <a:solidFill>
                <a:srgbClr val="FF6600"/>
              </a:solidFill>
              <a:prstDash val="solid"/>
            </a:ln>
          </c:spPr>
          <c:marker>
            <c:symbol val="none"/>
          </c:marker>
          <c:cat>
            <c:strRef>
              <c:f>'GDP per Capita'!$G$7:$AH$7</c:f>
              <c:strCache>
                <c:ptCount val="28"/>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strCache>
            </c:strRef>
          </c:cat>
          <c:val>
            <c:numRef>
              <c:f>'GDP per Capita'!$G$8:$AH$8</c:f>
              <c:numCache>
                <c:formatCode>0.0</c:formatCode>
                <c:ptCount val="28"/>
                <c:pt idx="0">
                  <c:v>1</c:v>
                </c:pt>
                <c:pt idx="1">
                  <c:v>2.1</c:v>
                </c:pt>
                <c:pt idx="2">
                  <c:v>0.5</c:v>
                </c:pt>
                <c:pt idx="3">
                  <c:v>-1.6</c:v>
                </c:pt>
                <c:pt idx="4">
                  <c:v>0.3</c:v>
                </c:pt>
                <c:pt idx="5">
                  <c:v>2.1</c:v>
                </c:pt>
                <c:pt idx="6">
                  <c:v>0.4</c:v>
                </c:pt>
                <c:pt idx="7">
                  <c:v>0.2</c:v>
                </c:pt>
                <c:pt idx="8">
                  <c:v>1.5</c:v>
                </c:pt>
                <c:pt idx="9">
                  <c:v>3.4</c:v>
                </c:pt>
                <c:pt idx="10">
                  <c:v>4.0999999999999996</c:v>
                </c:pt>
                <c:pt idx="11">
                  <c:v>4.4000000000000004</c:v>
                </c:pt>
                <c:pt idx="12">
                  <c:v>4</c:v>
                </c:pt>
                <c:pt idx="13">
                  <c:v>1.8</c:v>
                </c:pt>
                <c:pt idx="14">
                  <c:v>-2.9</c:v>
                </c:pt>
                <c:pt idx="15">
                  <c:v>1.5</c:v>
                </c:pt>
                <c:pt idx="16">
                  <c:v>1.6</c:v>
                </c:pt>
                <c:pt idx="17" formatCode="_ * #\ ##0.0_ ;_ * \-#\ ##0.0_ ;_ * &quot;-&quot;??_ ;_ @_ ">
                  <c:v>0.8</c:v>
                </c:pt>
                <c:pt idx="18">
                  <c:v>0.9</c:v>
                </c:pt>
                <c:pt idx="19">
                  <c:v>-0.1</c:v>
                </c:pt>
                <c:pt idx="20">
                  <c:v>-0.2</c:v>
                </c:pt>
                <c:pt idx="21">
                  <c:v>-0.8</c:v>
                </c:pt>
                <c:pt idx="22">
                  <c:v>-0.3</c:v>
                </c:pt>
                <c:pt idx="23">
                  <c:v>0</c:v>
                </c:pt>
                <c:pt idx="24">
                  <c:v>-1.4</c:v>
                </c:pt>
                <c:pt idx="25">
                  <c:v>-7.7</c:v>
                </c:pt>
                <c:pt idx="26">
                  <c:v>3.8</c:v>
                </c:pt>
                <c:pt idx="27">
                  <c:v>1</c:v>
                </c:pt>
              </c:numCache>
            </c:numRef>
          </c:val>
          <c:smooth val="0"/>
          <c:extLst>
            <c:ext xmlns:c16="http://schemas.microsoft.com/office/drawing/2014/chart" uri="{C3380CC4-5D6E-409C-BE32-E72D297353CC}">
              <c16:uniqueId val="{00000000-768F-4535-B7A2-DB32531B9725}"/>
            </c:ext>
          </c:extLst>
        </c:ser>
        <c:dLbls>
          <c:showLegendKey val="0"/>
          <c:showVal val="0"/>
          <c:showCatName val="0"/>
          <c:showSerName val="0"/>
          <c:showPercent val="0"/>
          <c:showBubbleSize val="0"/>
        </c:dLbls>
        <c:smooth val="0"/>
        <c:axId val="399072224"/>
        <c:axId val="399076536"/>
      </c:lineChart>
      <c:catAx>
        <c:axId val="399072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076536"/>
        <c:crossesAt val="-4"/>
        <c:auto val="1"/>
        <c:lblAlgn val="ctr"/>
        <c:lblOffset val="100"/>
        <c:tickLblSkip val="1"/>
        <c:tickMarkSkip val="1"/>
        <c:noMultiLvlLbl val="0"/>
      </c:catAx>
      <c:valAx>
        <c:axId val="399076536"/>
        <c:scaling>
          <c:orientation val="minMax"/>
        </c:scaling>
        <c:delete val="0"/>
        <c:axPos val="l"/>
        <c:majorGridlines>
          <c:spPr>
            <a:ln w="3175">
              <a:solidFill>
                <a:srgbClr val="969696"/>
              </a:solidFill>
              <a:prstDash val="sysDash"/>
            </a:ln>
          </c:spPr>
        </c:majorGridlines>
        <c:title>
          <c:tx>
            <c:rich>
              <a:bodyPr/>
              <a:lstStyle/>
              <a:p>
                <a:pPr>
                  <a:defRPr/>
                </a:pPr>
                <a:r>
                  <a:rPr lang="en-US"/>
                  <a:t>%</a:t>
                </a:r>
              </a:p>
            </c:rich>
          </c:tx>
          <c:layout>
            <c:manualLayout>
              <c:xMode val="edge"/>
              <c:yMode val="edge"/>
              <c:x val="1.7334707151912959E-2"/>
              <c:y val="0.509374991227700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399072224"/>
        <c:crossesAt val="1"/>
        <c:crossBetween val="midCat"/>
      </c:valAx>
      <c:spPr>
        <a:noFill/>
        <a:ln w="25400">
          <a:noFill/>
        </a:ln>
      </c:spPr>
    </c:plotArea>
    <c:plotVisOnly val="1"/>
    <c:dispBlanksAs val="zero"/>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800" b="1" i="0" u="none" strike="noStrike" kern="1200" baseline="0">
                <a:solidFill>
                  <a:srgbClr val="000000"/>
                </a:solidFill>
                <a:latin typeface="Arial" panose="020B0604020202020204"/>
                <a:ea typeface="Arial" panose="020B0604020202020204"/>
                <a:cs typeface="Arial" panose="020B0604020202020204"/>
              </a:defRPr>
            </a:pPr>
            <a:r>
              <a:rPr lang="en-ZA"/>
              <a:t>ROAD ACCIDENTS AND FATALITIES</a:t>
            </a:r>
          </a:p>
        </c:rich>
      </c:tx>
      <c:layout>
        <c:manualLayout>
          <c:xMode val="edge"/>
          <c:yMode val="edge"/>
          <c:x val="3.4716343754210802E-2"/>
          <c:y val="2.9801324503311501E-2"/>
        </c:manualLayout>
      </c:layout>
      <c:overlay val="0"/>
      <c:spPr>
        <a:noFill/>
        <a:ln w="25400">
          <a:noFill/>
        </a:ln>
      </c:spPr>
    </c:title>
    <c:autoTitleDeleted val="0"/>
    <c:plotArea>
      <c:layout>
        <c:manualLayout>
          <c:layoutTarget val="inner"/>
          <c:xMode val="edge"/>
          <c:yMode val="edge"/>
          <c:x val="4.603360890446722E-2"/>
          <c:y val="0.10542676444620624"/>
          <c:w val="0.92718035563082102"/>
          <c:h val="0.72181660930827574"/>
        </c:manualLayout>
      </c:layout>
      <c:lineChart>
        <c:grouping val="standard"/>
        <c:varyColors val="0"/>
        <c:ser>
          <c:idx val="0"/>
          <c:order val="0"/>
          <c:tx>
            <c:strRef>
              <c:f>'Road Accidents '!$D$11</c:f>
              <c:strCache>
                <c:ptCount val="1"/>
                <c:pt idx="0">
                  <c:v>Fatal road accidents (per 10 000 motorised vehicles)</c:v>
                </c:pt>
              </c:strCache>
            </c:strRef>
          </c:tx>
          <c:spPr>
            <a:ln w="25400" cap="rnd" cmpd="sng" algn="ctr">
              <a:solidFill>
                <a:srgbClr val="993300"/>
              </a:solidFill>
              <a:prstDash val="solid"/>
              <a:round/>
            </a:ln>
          </c:spPr>
          <c:marker>
            <c:symbol val="none"/>
          </c:marker>
          <c:cat>
            <c:numRef>
              <c:f>'Road Accidents '!$E$9:$AG$9</c:f>
              <c:numCache>
                <c:formatCode>General</c:formatCode>
                <c:ptCount val="25"/>
                <c:pt idx="0">
                  <c:v>1994</c:v>
                </c:pt>
                <c:pt idx="1">
                  <c:v>1995</c:v>
                </c:pt>
                <c:pt idx="2">
                  <c:v>1997</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'Road Accidents '!$E$11:$AG$11</c:f>
              <c:numCache>
                <c:formatCode>0.00</c:formatCode>
                <c:ptCount val="25"/>
                <c:pt idx="0">
                  <c:v>33.195878878022697</c:v>
                </c:pt>
                <c:pt idx="1">
                  <c:v>15.670650390715075</c:v>
                </c:pt>
                <c:pt idx="2">
                  <c:v>13.435928074043851</c:v>
                </c:pt>
                <c:pt idx="3">
                  <c:v>14.389547715033988</c:v>
                </c:pt>
                <c:pt idx="4">
                  <c:v>16.078908375453878</c:v>
                </c:pt>
                <c:pt idx="5">
                  <c:v>16.105346052508132</c:v>
                </c:pt>
                <c:pt idx="6">
                  <c:v>16.200419054301495</c:v>
                </c:pt>
                <c:pt idx="7">
                  <c:v>17.001266837751331</c:v>
                </c:pt>
                <c:pt idx="8">
                  <c:v>16.853117356539293</c:v>
                </c:pt>
                <c:pt idx="9">
                  <c:v>15.216541803651122</c:v>
                </c:pt>
                <c:pt idx="10">
                  <c:v>13.103889344718821</c:v>
                </c:pt>
                <c:pt idx="11">
                  <c:v>12.804881824338889</c:v>
                </c:pt>
                <c:pt idx="12">
                  <c:v>12.444594596689546</c:v>
                </c:pt>
                <c:pt idx="13">
                  <c:v>12.498350463743012</c:v>
                </c:pt>
                <c:pt idx="14">
                  <c:v>11.744860165868198</c:v>
                </c:pt>
                <c:pt idx="15">
                  <c:v>10.456750233271899</c:v>
                </c:pt>
                <c:pt idx="16">
                  <c:v>10.285014549272654</c:v>
                </c:pt>
                <c:pt idx="17">
                  <c:v>10.197223017437368</c:v>
                </c:pt>
                <c:pt idx="18">
                  <c:v>10.928734142115196</c:v>
                </c:pt>
                <c:pt idx="19">
                  <c:v>10.478360472366358</c:v>
                </c:pt>
                <c:pt idx="20">
                  <c:v>9.47613709272132</c:v>
                </c:pt>
                <c:pt idx="21">
                  <c:v>9.1226896300784954</c:v>
                </c:pt>
                <c:pt idx="22">
                  <c:v>7.3156811734752978</c:v>
                </c:pt>
                <c:pt idx="23">
                  <c:v>9.138574152395524</c:v>
                </c:pt>
                <c:pt idx="24">
                  <c:v>8.9028639250175328</c:v>
                </c:pt>
              </c:numCache>
            </c:numRef>
          </c:val>
          <c:smooth val="0"/>
          <c:extLst>
            <c:ext xmlns:c16="http://schemas.microsoft.com/office/drawing/2014/chart" uri="{C3380CC4-5D6E-409C-BE32-E72D297353CC}">
              <c16:uniqueId val="{00000000-068C-455E-9DF7-C9CBE891E852}"/>
            </c:ext>
          </c:extLst>
        </c:ser>
        <c:ser>
          <c:idx val="1"/>
          <c:order val="1"/>
          <c:tx>
            <c:strRef>
              <c:f>'Road Accidents '!$D$12</c:f>
              <c:strCache>
                <c:ptCount val="1"/>
                <c:pt idx="0">
                  <c:v>Fatalities (per 10 000 motorised vehicles)</c:v>
                </c:pt>
              </c:strCache>
            </c:strRef>
          </c:tx>
          <c:spPr>
            <a:ln w="25400" cap="rnd" cmpd="sng" algn="ctr">
              <a:solidFill>
                <a:schemeClr val="accent2"/>
              </a:solidFill>
              <a:prstDash val="solid"/>
              <a:round/>
            </a:ln>
          </c:spPr>
          <c:marker>
            <c:symbol val="none"/>
          </c:marker>
          <c:cat>
            <c:numRef>
              <c:f>'Road Accidents '!$E$9:$AG$9</c:f>
              <c:numCache>
                <c:formatCode>General</c:formatCode>
                <c:ptCount val="25"/>
                <c:pt idx="0">
                  <c:v>1994</c:v>
                </c:pt>
                <c:pt idx="1">
                  <c:v>1995</c:v>
                </c:pt>
                <c:pt idx="2">
                  <c:v>1997</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numCache>
            </c:numRef>
          </c:cat>
          <c:val>
            <c:numRef>
              <c:f>'Road Accidents '!$E$12:$AG$12</c:f>
              <c:numCache>
                <c:formatCode>0.00</c:formatCode>
                <c:ptCount val="25"/>
                <c:pt idx="0">
                  <c:v>40.703693744661493</c:v>
                </c:pt>
                <c:pt idx="1">
                  <c:v>19.282326383584138</c:v>
                </c:pt>
                <c:pt idx="2">
                  <c:v>16.714708467979325</c:v>
                </c:pt>
                <c:pt idx="3">
                  <c:v>18.311820447907124</c:v>
                </c:pt>
                <c:pt idx="4">
                  <c:v>19.666189665470352</c:v>
                </c:pt>
                <c:pt idx="5">
                  <c:v>19.509829668850266</c:v>
                </c:pt>
                <c:pt idx="6">
                  <c:v>19.507857967925403</c:v>
                </c:pt>
                <c:pt idx="7">
                  <c:v>20.475962882567689</c:v>
                </c:pt>
                <c:pt idx="8">
                  <c:v>20.862387140232453</c:v>
                </c:pt>
                <c:pt idx="9">
                  <c:v>18.902132835348745</c:v>
                </c:pt>
                <c:pt idx="10">
                  <c:v>16.697302035917513</c:v>
                </c:pt>
                <c:pt idx="11">
                  <c:v>16.238151695449741</c:v>
                </c:pt>
                <c:pt idx="12">
                  <c:v>16.038908621570812</c:v>
                </c:pt>
                <c:pt idx="13">
                  <c:v>15.532773634758637</c:v>
                </c:pt>
                <c:pt idx="14">
                  <c:v>14.474307035061035</c:v>
                </c:pt>
                <c:pt idx="15">
                  <c:v>12.17794982919099</c:v>
                </c:pt>
                <c:pt idx="16">
                  <c:v>12.601548645207028</c:v>
                </c:pt>
                <c:pt idx="17">
                  <c:v>12.436903301395391</c:v>
                </c:pt>
                <c:pt idx="18">
                  <c:v>13.170453761022861</c:v>
                </c:pt>
                <c:pt idx="19">
                  <c:v>12.872341054187929</c:v>
                </c:pt>
                <c:pt idx="20">
                  <c:v>11.590417207028793</c:v>
                </c:pt>
                <c:pt idx="21">
                  <c:v>10.98747600856097</c:v>
                </c:pt>
                <c:pt idx="22">
                  <c:v>8.6769810372843832</c:v>
                </c:pt>
                <c:pt idx="23">
                  <c:v>10.804832511095716</c:v>
                </c:pt>
                <c:pt idx="24">
                  <c:v>10.598891036905805</c:v>
                </c:pt>
              </c:numCache>
            </c:numRef>
          </c:val>
          <c:smooth val="0"/>
          <c:extLst>
            <c:ext xmlns:c16="http://schemas.microsoft.com/office/drawing/2014/chart" uri="{C3380CC4-5D6E-409C-BE32-E72D297353CC}">
              <c16:uniqueId val="{00000001-068C-455E-9DF7-C9CBE891E852}"/>
            </c:ext>
          </c:extLst>
        </c:ser>
        <c:dLbls>
          <c:showLegendKey val="0"/>
          <c:showVal val="0"/>
          <c:showCatName val="0"/>
          <c:showSerName val="0"/>
          <c:showPercent val="0"/>
          <c:showBubbleSize val="0"/>
        </c:dLbls>
        <c:smooth val="0"/>
        <c:axId val="338703712"/>
        <c:axId val="338704272"/>
      </c:lineChart>
      <c:catAx>
        <c:axId val="338703712"/>
        <c:scaling>
          <c:orientation val="minMax"/>
        </c:scaling>
        <c:delete val="0"/>
        <c:axPos val="b"/>
        <c:title>
          <c:tx>
            <c:rich>
              <a:bodyPr rot="0" spcFirstLastPara="0" vertOverflow="ellipsis" vert="horz" wrap="square" anchor="ctr" anchorCtr="1"/>
              <a:lstStyle/>
              <a:p>
                <a:pPr>
                  <a:defRPr lang="en-US" sz="850" b="0" i="0" u="none" strike="noStrike" kern="1200" baseline="0">
                    <a:solidFill>
                      <a:srgbClr val="000000"/>
                    </a:solidFill>
                    <a:latin typeface="Arial" panose="020B0604020202020204"/>
                    <a:ea typeface="Arial" panose="020B0604020202020204"/>
                    <a:cs typeface="Arial" panose="020B0604020202020204"/>
                  </a:defRPr>
                </a:pPr>
                <a:r>
                  <a:rPr lang="en-ZA"/>
                  <a:t>Years</a:t>
                </a:r>
              </a:p>
            </c:rich>
          </c:tx>
          <c:layout>
            <c:manualLayout>
              <c:xMode val="edge"/>
              <c:yMode val="edge"/>
              <c:x val="0.21353677578453245"/>
              <c:y val="0.89431148400481453"/>
            </c:manualLayout>
          </c:layout>
          <c:overlay val="0"/>
          <c:spPr>
            <a:noFill/>
            <a:ln w="25400">
              <a:noFill/>
            </a:ln>
          </c:spPr>
        </c:title>
        <c:numFmt formatCode="General" sourceLinked="1"/>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n-US" sz="850" b="0" i="0" u="none" strike="noStrike" kern="1200" baseline="0">
                <a:solidFill>
                  <a:srgbClr val="000000"/>
                </a:solidFill>
                <a:latin typeface="Arial" panose="020B0604020202020204"/>
                <a:ea typeface="Arial" panose="020B0604020202020204"/>
                <a:cs typeface="Arial" panose="020B0604020202020204"/>
              </a:defRPr>
            </a:pPr>
            <a:endParaRPr lang="en-US"/>
          </a:p>
        </c:txPr>
        <c:crossAx val="338704272"/>
        <c:crosses val="autoZero"/>
        <c:auto val="1"/>
        <c:lblAlgn val="ctr"/>
        <c:lblOffset val="100"/>
        <c:tickLblSkip val="1"/>
        <c:noMultiLvlLbl val="0"/>
      </c:catAx>
      <c:valAx>
        <c:axId val="338704272"/>
        <c:scaling>
          <c:orientation val="minMax"/>
          <c:min val="5"/>
        </c:scaling>
        <c:delete val="0"/>
        <c:axPos val="l"/>
        <c:majorGridlines>
          <c:spPr>
            <a:ln w="3175" cap="flat" cmpd="sng" algn="ctr">
              <a:solidFill>
                <a:srgbClr val="C0C0C0"/>
              </a:solidFill>
              <a:prstDash val="sysDash"/>
              <a:round/>
            </a:ln>
          </c:spPr>
        </c:majorGridlines>
        <c:title>
          <c:tx>
            <c:rich>
              <a:bodyPr rot="-5400000" spcFirstLastPara="0" vertOverflow="ellipsis" vert="horz" wrap="square" anchor="ctr" anchorCtr="1"/>
              <a:lstStyle/>
              <a:p>
                <a:pPr>
                  <a:defRPr lang="en-US" sz="850" b="0" i="0" u="none" strike="noStrike" kern="1200" baseline="0">
                    <a:solidFill>
                      <a:srgbClr val="000000"/>
                    </a:solidFill>
                    <a:latin typeface="Arial" panose="020B0604020202020204"/>
                    <a:ea typeface="Arial" panose="020B0604020202020204"/>
                    <a:cs typeface="Arial" panose="020B0604020202020204"/>
                  </a:defRPr>
                </a:pPr>
                <a:r>
                  <a:rPr lang="en-ZA"/>
                  <a:t>rate</a:t>
                </a:r>
              </a:p>
            </c:rich>
          </c:tx>
          <c:layout>
            <c:manualLayout>
              <c:xMode val="edge"/>
              <c:yMode val="edge"/>
              <c:x val="1.4394664875133601E-2"/>
              <c:y val="0.38410596026490601"/>
            </c:manualLayout>
          </c:layout>
          <c:overlay val="0"/>
          <c:spPr>
            <a:noFill/>
            <a:ln w="25400">
              <a:noFill/>
            </a:ln>
          </c:spPr>
        </c:title>
        <c:numFmt formatCode="0" sourceLinked="0"/>
        <c:majorTickMark val="out"/>
        <c:minorTickMark val="none"/>
        <c:tickLblPos val="nextTo"/>
        <c:spPr>
          <a:ln w="3175" cap="flat" cmpd="sng" algn="ctr">
            <a:solidFill>
              <a:srgbClr val="000000"/>
            </a:solidFill>
            <a:prstDash val="solid"/>
            <a:round/>
          </a:ln>
        </c:spPr>
        <c:txPr>
          <a:bodyPr rot="0" spcFirstLastPara="0" vertOverflow="ellipsis" vert="horz" wrap="square" anchor="ctr" anchorCtr="1"/>
          <a:lstStyle/>
          <a:p>
            <a:pPr>
              <a:defRPr lang="en-US" sz="850" b="0" i="0" u="none" strike="noStrike" kern="1200" baseline="0">
                <a:solidFill>
                  <a:srgbClr val="000000"/>
                </a:solidFill>
                <a:latin typeface="Arial" panose="020B0604020202020204"/>
                <a:ea typeface="Arial" panose="020B0604020202020204"/>
                <a:cs typeface="Arial" panose="020B0604020202020204"/>
              </a:defRPr>
            </a:pPr>
            <a:endParaRPr lang="en-US"/>
          </a:p>
        </c:txPr>
        <c:crossAx val="338703712"/>
        <c:crosses val="autoZero"/>
        <c:crossBetween val="midCat"/>
        <c:majorUnit val="2.5"/>
        <c:minorUnit val="0.5"/>
      </c:valAx>
      <c:spPr>
        <a:solidFill>
          <a:srgbClr val="FFFFFF"/>
        </a:solidFill>
        <a:ln w="12700">
          <a:solidFill>
            <a:srgbClr val="808080"/>
          </a:solidFill>
          <a:prstDash val="solid"/>
        </a:ln>
      </c:spPr>
    </c:plotArea>
    <c:legend>
      <c:legendPos val="r"/>
      <c:layout>
        <c:manualLayout>
          <c:xMode val="edge"/>
          <c:yMode val="edge"/>
          <c:x val="0.26670428846304495"/>
          <c:y val="0.88959178381060033"/>
          <c:w val="0.61931537361043898"/>
          <c:h val="8.4201283673889335E-2"/>
        </c:manualLayout>
      </c:layout>
      <c:overlay val="0"/>
      <c:spPr>
        <a:solidFill>
          <a:srgbClr val="FFFFFF"/>
        </a:solidFill>
        <a:ln w="25400">
          <a:noFill/>
        </a:ln>
      </c:spPr>
      <c:txPr>
        <a:bodyPr rot="0" spcFirstLastPara="0" vertOverflow="ellipsis" vert="horz" wrap="square" anchor="ctr" anchorCtr="1"/>
        <a:lstStyle/>
        <a:p>
          <a:pPr>
            <a:defRPr lang="en-US" sz="800" b="0" i="0" u="none" strike="noStrike" kern="1200" baseline="0">
              <a:solidFill>
                <a:srgbClr val="000000"/>
              </a:solidFill>
              <a:latin typeface="Arial" panose="020B0604020202020204"/>
              <a:ea typeface="Arial" panose="020B0604020202020204"/>
              <a:cs typeface="Arial" panose="020B0604020202020204"/>
            </a:defRPr>
          </a:pPr>
          <a:endParaRPr lang="en-US"/>
        </a:p>
      </c:txPr>
    </c:legend>
    <c:plotVisOnly val="1"/>
    <c:dispBlanksAs val="gap"/>
    <c:showDLblsOverMax val="0"/>
  </c:chart>
  <c:spPr>
    <a:solidFill>
      <a:srgbClr val="FFFFFF"/>
    </a:solidFill>
    <a:ln w="3175" cap="flat" cmpd="sng" algn="ctr">
      <a:solidFill>
        <a:srgbClr val="000000"/>
      </a:solidFill>
      <a:prstDash val="solid"/>
      <a:round/>
    </a:ln>
  </c:spPr>
  <c:txPr>
    <a:bodyPr/>
    <a:lstStyle/>
    <a:p>
      <a:pPr>
        <a:defRPr lang="en-US" sz="800" b="0" i="0" u="none" strike="noStrike" baseline="0">
          <a:solidFill>
            <a:srgbClr val="000000"/>
          </a:solidFill>
          <a:latin typeface="Arial" panose="020B0604020202020204"/>
          <a:ea typeface="Arial" panose="020B0604020202020204"/>
          <a:cs typeface="Arial" panose="020B0604020202020204"/>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SOUTH AFRICA'S INTERNATIONAL AGREEMENTS</a:t>
            </a:r>
          </a:p>
        </c:rich>
      </c:tx>
      <c:overlay val="0"/>
      <c:spPr>
        <a:noFill/>
        <a:ln w="25400">
          <a:noFill/>
        </a:ln>
      </c:spPr>
    </c:title>
    <c:autoTitleDeleted val="0"/>
    <c:plotArea>
      <c:layout>
        <c:manualLayout>
          <c:layoutTarget val="inner"/>
          <c:xMode val="edge"/>
          <c:yMode val="edge"/>
          <c:x val="6.3674685508446321E-2"/>
          <c:y val="0.13970820744822404"/>
          <c:w val="0.85011461717654624"/>
          <c:h val="0.72156392354534216"/>
        </c:manualLayout>
      </c:layout>
      <c:barChart>
        <c:barDir val="col"/>
        <c:grouping val="clustered"/>
        <c:varyColors val="0"/>
        <c:ser>
          <c:idx val="2"/>
          <c:order val="1"/>
          <c:tx>
            <c:strRef>
              <c:f>'Development cooperation'!$D$9</c:f>
              <c:strCache>
                <c:ptCount val="1"/>
                <c:pt idx="0">
                  <c:v>Amount (R 'million)</c:v>
                </c:pt>
              </c:strCache>
            </c:strRef>
          </c:tx>
          <c:spPr>
            <a:solidFill>
              <a:schemeClr val="accent2">
                <a:lumMod val="60000"/>
                <a:lumOff val="40000"/>
              </a:schemeClr>
            </a:solidFill>
          </c:spPr>
          <c:invertIfNegative val="0"/>
          <c:dLbls>
            <c:dLbl>
              <c:idx val="10"/>
              <c:layout>
                <c:manualLayout>
                  <c:x val="0.16706121725533604"/>
                  <c:y val="-0.18731977136810155"/>
                </c:manualLayout>
              </c:layout>
              <c:tx>
                <c:rich>
                  <a:bodyPr/>
                  <a:lstStyle/>
                  <a:p>
                    <a:r>
                      <a:rPr lang="en-US"/>
                      <a:t>Amount (R 'million)</a:t>
                    </a:r>
                  </a:p>
                </c:rich>
              </c:tx>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9B57-4ED4-AD74-524CAE945B6F}"/>
                </c:ext>
              </c:extLst>
            </c:dLbl>
            <c:spPr>
              <a:noFill/>
              <a:ln>
                <a:noFill/>
              </a:ln>
              <a:effectLst/>
            </c:spPr>
            <c:txPr>
              <a:bodyPr rot="-5400000" vert="horz"/>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'Development cooperation'!$E$7:$W$7</c:f>
              <c:strCache>
                <c:ptCount val="19"/>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pt idx="17">
                  <c:v>2020/21</c:v>
                </c:pt>
                <c:pt idx="18">
                  <c:v>2021/22</c:v>
                </c:pt>
              </c:strCache>
            </c:strRef>
          </c:cat>
          <c:val>
            <c:numRef>
              <c:f>'Development cooperation'!$E$9:$W$9</c:f>
              <c:numCache>
                <c:formatCode>#\ ###\ ###</c:formatCode>
                <c:ptCount val="19"/>
                <c:pt idx="0">
                  <c:v>62.08</c:v>
                </c:pt>
                <c:pt idx="1">
                  <c:v>19.100000000000001</c:v>
                </c:pt>
                <c:pt idx="2">
                  <c:v>94.899999999999991</c:v>
                </c:pt>
                <c:pt idx="3">
                  <c:v>387.40000000000003</c:v>
                </c:pt>
                <c:pt idx="4">
                  <c:v>1174.1089999999999</c:v>
                </c:pt>
                <c:pt idx="5">
                  <c:v>777</c:v>
                </c:pt>
                <c:pt idx="6">
                  <c:v>331</c:v>
                </c:pt>
                <c:pt idx="7">
                  <c:v>0</c:v>
                </c:pt>
                <c:pt idx="8">
                  <c:v>270.63600000000002</c:v>
                </c:pt>
                <c:pt idx="9">
                  <c:v>778.36599999999999</c:v>
                </c:pt>
                <c:pt idx="10">
                  <c:v>51.004999999999995</c:v>
                </c:pt>
                <c:pt idx="11">
                  <c:v>189</c:v>
                </c:pt>
                <c:pt idx="12" formatCode="General">
                  <c:v>199</c:v>
                </c:pt>
                <c:pt idx="13" formatCode="General">
                  <c:v>91</c:v>
                </c:pt>
                <c:pt idx="14" formatCode="General">
                  <c:v>153</c:v>
                </c:pt>
                <c:pt idx="15" formatCode="General">
                  <c:v>0</c:v>
                </c:pt>
                <c:pt idx="16" formatCode="General">
                  <c:v>45</c:v>
                </c:pt>
                <c:pt idx="17" formatCode="General">
                  <c:v>228</c:v>
                </c:pt>
                <c:pt idx="18" formatCode="General">
                  <c:v>296</c:v>
                </c:pt>
              </c:numCache>
            </c:numRef>
          </c:val>
          <c:extLst>
            <c:ext xmlns:c16="http://schemas.microsoft.com/office/drawing/2014/chart" uri="{C3380CC4-5D6E-409C-BE32-E72D297353CC}">
              <c16:uniqueId val="{00000001-9B57-4ED4-AD74-524CAE945B6F}"/>
            </c:ext>
          </c:extLst>
        </c:ser>
        <c:dLbls>
          <c:showLegendKey val="0"/>
          <c:showVal val="0"/>
          <c:showCatName val="0"/>
          <c:showSerName val="0"/>
          <c:showPercent val="0"/>
          <c:showBubbleSize val="0"/>
        </c:dLbls>
        <c:gapWidth val="150"/>
        <c:axId val="125556328"/>
        <c:axId val="125556720"/>
      </c:barChart>
      <c:lineChart>
        <c:grouping val="standard"/>
        <c:varyColors val="0"/>
        <c:ser>
          <c:idx val="1"/>
          <c:order val="0"/>
          <c:tx>
            <c:strRef>
              <c:f>'Development cooperation'!$D$8</c:f>
              <c:strCache>
                <c:ptCount val="1"/>
                <c:pt idx="0">
                  <c:v>Number of initiatives</c:v>
                </c:pt>
              </c:strCache>
            </c:strRef>
          </c:tx>
          <c:spPr>
            <a:ln w="12700">
              <a:solidFill>
                <a:srgbClr val="FF0000"/>
              </a:solidFill>
              <a:prstDash val="solid"/>
            </a:ln>
          </c:spPr>
          <c:marker>
            <c:symbol val="none"/>
          </c:marker>
          <c:cat>
            <c:strRef>
              <c:f>'Development cooperation'!$E$7:$W$7</c:f>
              <c:strCache>
                <c:ptCount val="19"/>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pt idx="17">
                  <c:v>2020/21</c:v>
                </c:pt>
                <c:pt idx="18">
                  <c:v>2021/22</c:v>
                </c:pt>
              </c:strCache>
            </c:strRef>
          </c:cat>
          <c:val>
            <c:numRef>
              <c:f>'Development cooperation'!$E$8:$W$8</c:f>
              <c:numCache>
                <c:formatCode>General</c:formatCode>
                <c:ptCount val="19"/>
                <c:pt idx="0">
                  <c:v>6</c:v>
                </c:pt>
                <c:pt idx="1">
                  <c:v>6</c:v>
                </c:pt>
                <c:pt idx="2">
                  <c:v>4</c:v>
                </c:pt>
                <c:pt idx="3">
                  <c:v>10</c:v>
                </c:pt>
                <c:pt idx="4">
                  <c:v>12</c:v>
                </c:pt>
                <c:pt idx="5">
                  <c:v>9</c:v>
                </c:pt>
                <c:pt idx="6">
                  <c:v>4</c:v>
                </c:pt>
                <c:pt idx="7">
                  <c:v>1</c:v>
                </c:pt>
                <c:pt idx="8">
                  <c:v>7</c:v>
                </c:pt>
                <c:pt idx="9">
                  <c:v>15</c:v>
                </c:pt>
                <c:pt idx="10">
                  <c:v>3</c:v>
                </c:pt>
                <c:pt idx="11">
                  <c:v>7</c:v>
                </c:pt>
                <c:pt idx="12">
                  <c:v>6</c:v>
                </c:pt>
                <c:pt idx="13">
                  <c:v>6</c:v>
                </c:pt>
                <c:pt idx="14">
                  <c:v>11</c:v>
                </c:pt>
                <c:pt idx="15">
                  <c:v>8</c:v>
                </c:pt>
                <c:pt idx="16">
                  <c:v>5</c:v>
                </c:pt>
                <c:pt idx="17">
                  <c:v>6</c:v>
                </c:pt>
                <c:pt idx="18">
                  <c:v>6</c:v>
                </c:pt>
              </c:numCache>
            </c:numRef>
          </c:val>
          <c:smooth val="0"/>
          <c:extLst>
            <c:ext xmlns:c16="http://schemas.microsoft.com/office/drawing/2014/chart" uri="{C3380CC4-5D6E-409C-BE32-E72D297353CC}">
              <c16:uniqueId val="{00000002-9B57-4ED4-AD74-524CAE945B6F}"/>
            </c:ext>
          </c:extLst>
        </c:ser>
        <c:dLbls>
          <c:showLegendKey val="0"/>
          <c:showVal val="0"/>
          <c:showCatName val="0"/>
          <c:showSerName val="0"/>
          <c:showPercent val="0"/>
          <c:showBubbleSize val="0"/>
        </c:dLbls>
        <c:marker val="1"/>
        <c:smooth val="0"/>
        <c:axId val="125555544"/>
        <c:axId val="125559072"/>
      </c:lineChart>
      <c:catAx>
        <c:axId val="1255555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5559072"/>
        <c:crosses val="autoZero"/>
        <c:auto val="1"/>
        <c:lblAlgn val="ctr"/>
        <c:lblOffset val="100"/>
        <c:tickLblSkip val="1"/>
        <c:tickMarkSkip val="1"/>
        <c:noMultiLvlLbl val="0"/>
      </c:catAx>
      <c:valAx>
        <c:axId val="125559072"/>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US"/>
                  <a:t>Number of initiatives</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25555544"/>
        <c:crosses val="autoZero"/>
        <c:crossBetween val="between"/>
      </c:valAx>
      <c:valAx>
        <c:axId val="125556720"/>
        <c:scaling>
          <c:orientation val="minMax"/>
        </c:scaling>
        <c:delete val="0"/>
        <c:axPos val="r"/>
        <c:numFmt formatCode="#\ ###\ ###" sourceLinked="1"/>
        <c:majorTickMark val="out"/>
        <c:minorTickMark val="none"/>
        <c:tickLblPos val="nextTo"/>
        <c:crossAx val="125556328"/>
        <c:crosses val="max"/>
        <c:crossBetween val="between"/>
      </c:valAx>
      <c:catAx>
        <c:axId val="125556328"/>
        <c:scaling>
          <c:orientation val="minMax"/>
        </c:scaling>
        <c:delete val="1"/>
        <c:axPos val="b"/>
        <c:numFmt formatCode="General" sourceLinked="1"/>
        <c:majorTickMark val="out"/>
        <c:minorTickMark val="none"/>
        <c:tickLblPos val="nextTo"/>
        <c:crossAx val="125556720"/>
        <c:crosses val="autoZero"/>
        <c:auto val="1"/>
        <c:lblAlgn val="ctr"/>
        <c:lblOffset val="100"/>
        <c:noMultiLvlLbl val="0"/>
      </c:cat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ZA" b="1"/>
              <a:t>Tourism in South Africa </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7.5717762679975084E-2"/>
          <c:y val="9.9534499067965063E-2"/>
          <c:w val="0.8583534602191345"/>
          <c:h val="0.65023110443981968"/>
        </c:manualLayout>
      </c:layout>
      <c:barChart>
        <c:barDir val="col"/>
        <c:grouping val="clustered"/>
        <c:varyColors val="0"/>
        <c:ser>
          <c:idx val="1"/>
          <c:order val="0"/>
          <c:tx>
            <c:strRef>
              <c:f>'Tourism World'!$D$9</c:f>
              <c:strCache>
                <c:ptCount val="1"/>
                <c:pt idx="0">
                  <c:v>Total Tourist Arrivals (excluding Transit)</c:v>
                </c:pt>
              </c:strCache>
            </c:strRef>
          </c:tx>
          <c:spPr>
            <a:solidFill>
              <a:schemeClr val="accent2"/>
            </a:solidFill>
            <a:ln>
              <a:noFill/>
            </a:ln>
            <a:effectLst/>
          </c:spPr>
          <c:invertIfNegative val="0"/>
          <c:cat>
            <c:numRef>
              <c:f>'Tourism World'!$N$8:$Z$8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'Tourism World'!$N$9:$Z$9</c:f>
              <c:numCache>
                <c:formatCode>#,##0</c:formatCode>
                <c:ptCount val="13"/>
                <c:pt idx="0">
                  <c:v>7882979</c:v>
                </c:pt>
                <c:pt idx="1">
                  <c:v>8135066</c:v>
                </c:pt>
                <c:pt idx="2">
                  <c:v>8603190</c:v>
                </c:pt>
                <c:pt idx="3">
                  <c:v>8961565</c:v>
                </c:pt>
                <c:pt idx="4">
                  <c:v>9549236</c:v>
                </c:pt>
                <c:pt idx="5">
                  <c:v>8903773</c:v>
                </c:pt>
                <c:pt idx="6">
                  <c:v>10044163</c:v>
                </c:pt>
                <c:pt idx="7">
                  <c:v>10285197</c:v>
                </c:pt>
                <c:pt idx="8">
                  <c:v>10472105</c:v>
                </c:pt>
                <c:pt idx="9">
                  <c:v>10228593</c:v>
                </c:pt>
                <c:pt idx="10" formatCode="_-* #\ ##0_-;\-* #\ ##0_-;_-* &quot;-&quot;??_-;_-@_-">
                  <c:v>2802320</c:v>
                </c:pt>
                <c:pt idx="11">
                  <c:v>2255699</c:v>
                </c:pt>
                <c:pt idx="12">
                  <c:v>5968062</c:v>
                </c:pt>
              </c:numCache>
            </c:numRef>
          </c:val>
          <c:extLst>
            <c:ext xmlns:c16="http://schemas.microsoft.com/office/drawing/2014/chart" uri="{C3380CC4-5D6E-409C-BE32-E72D297353CC}">
              <c16:uniqueId val="{00000000-7BC8-44D6-863D-2F313ABB2010}"/>
            </c:ext>
          </c:extLst>
        </c:ser>
        <c:ser>
          <c:idx val="2"/>
          <c:order val="1"/>
          <c:tx>
            <c:strRef>
              <c:f>'Tourism World'!$D$16</c:f>
              <c:strCache>
                <c:ptCount val="1"/>
                <c:pt idx="0">
                  <c:v>Total (Direct and Indirect) contribution of Travel and tourism to employment</c:v>
                </c:pt>
              </c:strCache>
            </c:strRef>
          </c:tx>
          <c:spPr>
            <a:solidFill>
              <a:schemeClr val="accent3"/>
            </a:solidFill>
            <a:ln>
              <a:noFill/>
            </a:ln>
            <a:effectLst/>
          </c:spPr>
          <c:invertIfNegative val="0"/>
          <c:cat>
            <c:numRef>
              <c:f>'Tourism World'!$N$8:$Z$8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'Tourism World'!$N$16:$Y$16</c:f>
              <c:numCache>
                <c:formatCode>_ * #\ ##0_ ;_ * \-#\ ##0_ ;_ * "-"??_ ;_ @_ </c:formatCode>
                <c:ptCount val="12"/>
                <c:pt idx="0">
                  <c:v>1351300</c:v>
                </c:pt>
                <c:pt idx="1">
                  <c:v>1336800</c:v>
                </c:pt>
                <c:pt idx="2">
                  <c:v>1431000</c:v>
                </c:pt>
                <c:pt idx="3">
                  <c:v>1360600</c:v>
                </c:pt>
                <c:pt idx="4">
                  <c:v>1393300</c:v>
                </c:pt>
                <c:pt idx="5">
                  <c:v>1426100</c:v>
                </c:pt>
                <c:pt idx="6">
                  <c:v>1466100</c:v>
                </c:pt>
                <c:pt idx="7">
                  <c:v>1424100</c:v>
                </c:pt>
                <c:pt idx="8">
                  <c:v>1540000</c:v>
                </c:pt>
                <c:pt idx="9">
                  <c:v>1513300</c:v>
                </c:pt>
                <c:pt idx="10">
                  <c:v>1061400</c:v>
                </c:pt>
                <c:pt idx="11">
                  <c:v>1081500</c:v>
                </c:pt>
              </c:numCache>
            </c:numRef>
          </c:val>
          <c:extLst>
            <c:ext xmlns:c16="http://schemas.microsoft.com/office/drawing/2014/chart" uri="{C3380CC4-5D6E-409C-BE32-E72D297353CC}">
              <c16:uniqueId val="{00000001-7BC8-44D6-863D-2F313ABB2010}"/>
            </c:ext>
          </c:extLst>
        </c:ser>
        <c:dLbls>
          <c:showLegendKey val="0"/>
          <c:showVal val="0"/>
          <c:showCatName val="0"/>
          <c:showSerName val="0"/>
          <c:showPercent val="0"/>
          <c:showBubbleSize val="0"/>
        </c:dLbls>
        <c:gapWidth val="247"/>
        <c:axId val="212914160"/>
        <c:axId val="212918472"/>
      </c:barChart>
      <c:lineChart>
        <c:grouping val="standard"/>
        <c:varyColors val="0"/>
        <c:ser>
          <c:idx val="0"/>
          <c:order val="2"/>
          <c:tx>
            <c:strRef>
              <c:f>'Tourism World'!$D$15</c:f>
              <c:strCache>
                <c:ptCount val="1"/>
                <c:pt idx="0">
                  <c:v>Direct Contribution of travel and tourism as % of total SA employment</c:v>
                </c:pt>
              </c:strCache>
            </c:strRef>
          </c:tx>
          <c:spPr>
            <a:ln w="22225" cap="rnd">
              <a:solidFill>
                <a:schemeClr val="accent1"/>
              </a:solidFill>
              <a:round/>
            </a:ln>
            <a:effectLst/>
          </c:spPr>
          <c:marker>
            <c:symbol val="none"/>
          </c:marker>
          <c:cat>
            <c:multiLvlStrRef>
              <c:f>'Tourism World'!$N$8:$Z$9</c:f>
              <c:multiLvlStrCache>
                <c:ptCount val="13"/>
                <c:lvl>
                  <c:pt idx="0">
                    <c:v>7 882 979</c:v>
                  </c:pt>
                  <c:pt idx="1">
                    <c:v>8 135 066</c:v>
                  </c:pt>
                  <c:pt idx="2">
                    <c:v>8 603 190</c:v>
                  </c:pt>
                  <c:pt idx="3">
                    <c:v>8 961 565</c:v>
                  </c:pt>
                  <c:pt idx="4">
                    <c:v>9 549 236</c:v>
                  </c:pt>
                  <c:pt idx="5">
                    <c:v>8 903 773</c:v>
                  </c:pt>
                  <c:pt idx="6">
                    <c:v>10 044 163</c:v>
                  </c:pt>
                  <c:pt idx="7">
                    <c:v>10 285 197</c:v>
                  </c:pt>
                  <c:pt idx="8">
                    <c:v>10 472 105</c:v>
                  </c:pt>
                  <c:pt idx="9">
                    <c:v>10 228 593</c:v>
                  </c:pt>
                  <c:pt idx="10">
                    <c:v> 2 802 320 </c:v>
                  </c:pt>
                  <c:pt idx="11">
                    <c:v>2 255 699</c:v>
                  </c:pt>
                  <c:pt idx="12">
                    <c:v>5 968 062</c:v>
                  </c:pt>
                </c:lvl>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lvl>
              </c:multiLvlStrCache>
            </c:multiLvlStrRef>
          </c:cat>
          <c:val>
            <c:numRef>
              <c:f>'Tourism World'!$N$15:$Y$15</c:f>
              <c:numCache>
                <c:formatCode>0.0%</c:formatCode>
                <c:ptCount val="12"/>
                <c:pt idx="0">
                  <c:v>4.3999999999999997E-2</c:v>
                </c:pt>
                <c:pt idx="1">
                  <c:v>4.3999999999999997E-2</c:v>
                </c:pt>
                <c:pt idx="2">
                  <c:v>4.4999999999999998E-2</c:v>
                </c:pt>
                <c:pt idx="3">
                  <c:v>4.3999999999999997E-2</c:v>
                </c:pt>
                <c:pt idx="4">
                  <c:v>4.4999999999999998E-2</c:v>
                </c:pt>
                <c:pt idx="5">
                  <c:v>0.04</c:v>
                </c:pt>
                <c:pt idx="6">
                  <c:v>0.04</c:v>
                </c:pt>
                <c:pt idx="7">
                  <c:v>3.5999999999999997E-2</c:v>
                </c:pt>
                <c:pt idx="8">
                  <c:v>3.6999999999999998E-2</c:v>
                </c:pt>
                <c:pt idx="9">
                  <c:v>4.7E-2</c:v>
                </c:pt>
              </c:numCache>
            </c:numRef>
          </c:val>
          <c:smooth val="0"/>
          <c:extLst>
            <c:ext xmlns:c16="http://schemas.microsoft.com/office/drawing/2014/chart" uri="{C3380CC4-5D6E-409C-BE32-E72D297353CC}">
              <c16:uniqueId val="{00000002-7BC8-44D6-863D-2F313ABB2010}"/>
            </c:ext>
          </c:extLst>
        </c:ser>
        <c:ser>
          <c:idx val="3"/>
          <c:order val="3"/>
          <c:tx>
            <c:strRef>
              <c:f>'Tourism World'!$D$21</c:f>
              <c:strCache>
                <c:ptCount val="1"/>
                <c:pt idx="0">
                  <c:v> Direct contribution of travel and tourism as % of SA GDP</c:v>
                </c:pt>
              </c:strCache>
            </c:strRef>
          </c:tx>
          <c:spPr>
            <a:ln w="22225" cap="rnd">
              <a:solidFill>
                <a:schemeClr val="accent4"/>
              </a:solidFill>
              <a:round/>
            </a:ln>
            <a:effectLst/>
          </c:spPr>
          <c:marker>
            <c:symbol val="none"/>
          </c:marker>
          <c:cat>
            <c:multiLvlStrRef>
              <c:f>'Tourism World'!$N$8:$Z$9</c:f>
              <c:multiLvlStrCache>
                <c:ptCount val="13"/>
                <c:lvl>
                  <c:pt idx="0">
                    <c:v>7 882 979</c:v>
                  </c:pt>
                  <c:pt idx="1">
                    <c:v>8 135 066</c:v>
                  </c:pt>
                  <c:pt idx="2">
                    <c:v>8 603 190</c:v>
                  </c:pt>
                  <c:pt idx="3">
                    <c:v>8 961 565</c:v>
                  </c:pt>
                  <c:pt idx="4">
                    <c:v>9 549 236</c:v>
                  </c:pt>
                  <c:pt idx="5">
                    <c:v>8 903 773</c:v>
                  </c:pt>
                  <c:pt idx="6">
                    <c:v>10 044 163</c:v>
                  </c:pt>
                  <c:pt idx="7">
                    <c:v>10 285 197</c:v>
                  </c:pt>
                  <c:pt idx="8">
                    <c:v>10 472 105</c:v>
                  </c:pt>
                  <c:pt idx="9">
                    <c:v>10 228 593</c:v>
                  </c:pt>
                  <c:pt idx="10">
                    <c:v> 2 802 320 </c:v>
                  </c:pt>
                  <c:pt idx="11">
                    <c:v>2 255 699</c:v>
                  </c:pt>
                  <c:pt idx="12">
                    <c:v>5 968 062</c:v>
                  </c:pt>
                </c:lvl>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lvl>
              </c:multiLvlStrCache>
            </c:multiLvlStrRef>
          </c:cat>
          <c:val>
            <c:numRef>
              <c:f>'Tourism World'!$N$21:$Y$21</c:f>
              <c:numCache>
                <c:formatCode>0.0%</c:formatCode>
                <c:ptCount val="12"/>
                <c:pt idx="0">
                  <c:v>0.03</c:v>
                </c:pt>
                <c:pt idx="1">
                  <c:v>2.8000000000000001E-2</c:v>
                </c:pt>
                <c:pt idx="2">
                  <c:v>2.9000000000000001E-2</c:v>
                </c:pt>
                <c:pt idx="3">
                  <c:v>2.9000000000000001E-2</c:v>
                </c:pt>
                <c:pt idx="4">
                  <c:v>0.03</c:v>
                </c:pt>
                <c:pt idx="5">
                  <c:v>2.9000000000000001E-2</c:v>
                </c:pt>
                <c:pt idx="6">
                  <c:v>2.9000000000000001E-2</c:v>
                </c:pt>
                <c:pt idx="7">
                  <c:v>2.5999999999999999E-2</c:v>
                </c:pt>
                <c:pt idx="8">
                  <c:v>2.7E-2</c:v>
                </c:pt>
                <c:pt idx="9">
                  <c:v>3.6999999999999998E-2</c:v>
                </c:pt>
              </c:numCache>
            </c:numRef>
          </c:val>
          <c:smooth val="0"/>
          <c:extLst>
            <c:ext xmlns:c16="http://schemas.microsoft.com/office/drawing/2014/chart" uri="{C3380CC4-5D6E-409C-BE32-E72D297353CC}">
              <c16:uniqueId val="{00000003-7BC8-44D6-863D-2F313ABB2010}"/>
            </c:ext>
          </c:extLst>
        </c:ser>
        <c:ser>
          <c:idx val="4"/>
          <c:order val="4"/>
          <c:tx>
            <c:strRef>
              <c:f>'Tourism World'!$D$23</c:f>
              <c:strCache>
                <c:ptCount val="1"/>
                <c:pt idx="0">
                  <c:v>Total (Direct and Indirect) contribution of travel and tourism as % of total SA GDP</c:v>
                </c:pt>
              </c:strCache>
            </c:strRef>
          </c:tx>
          <c:spPr>
            <a:ln w="22225" cap="rnd">
              <a:solidFill>
                <a:srgbClr val="FF0000"/>
              </a:solidFill>
              <a:round/>
            </a:ln>
            <a:effectLst/>
          </c:spPr>
          <c:marker>
            <c:symbol val="none"/>
          </c:marker>
          <c:cat>
            <c:multiLvlStrRef>
              <c:f>'Tourism World'!$N$8:$Z$9</c:f>
              <c:multiLvlStrCache>
                <c:ptCount val="13"/>
                <c:lvl>
                  <c:pt idx="0">
                    <c:v>7 882 979</c:v>
                  </c:pt>
                  <c:pt idx="1">
                    <c:v>8 135 066</c:v>
                  </c:pt>
                  <c:pt idx="2">
                    <c:v>8 603 190</c:v>
                  </c:pt>
                  <c:pt idx="3">
                    <c:v>8 961 565</c:v>
                  </c:pt>
                  <c:pt idx="4">
                    <c:v>9 549 236</c:v>
                  </c:pt>
                  <c:pt idx="5">
                    <c:v>8 903 773</c:v>
                  </c:pt>
                  <c:pt idx="6">
                    <c:v>10 044 163</c:v>
                  </c:pt>
                  <c:pt idx="7">
                    <c:v>10 285 197</c:v>
                  </c:pt>
                  <c:pt idx="8">
                    <c:v>10 472 105</c:v>
                  </c:pt>
                  <c:pt idx="9">
                    <c:v>10 228 593</c:v>
                  </c:pt>
                  <c:pt idx="10">
                    <c:v> 2 802 320 </c:v>
                  </c:pt>
                  <c:pt idx="11">
                    <c:v>2 255 699</c:v>
                  </c:pt>
                  <c:pt idx="12">
                    <c:v>5 968 062</c:v>
                  </c:pt>
                </c:lvl>
                <c:lvl>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lvl>
              </c:multiLvlStrCache>
            </c:multiLvlStrRef>
          </c:cat>
          <c:val>
            <c:numRef>
              <c:f>'Tourism World'!$N$23:$Y$23</c:f>
              <c:numCache>
                <c:formatCode>0.0%</c:formatCode>
                <c:ptCount val="12"/>
                <c:pt idx="0">
                  <c:v>0.09</c:v>
                </c:pt>
                <c:pt idx="1">
                  <c:v>8.5999999999999993E-2</c:v>
                </c:pt>
                <c:pt idx="2">
                  <c:v>9.0999999999999998E-2</c:v>
                </c:pt>
                <c:pt idx="3">
                  <c:v>8.1000000000000003E-2</c:v>
                </c:pt>
                <c:pt idx="4">
                  <c:v>8.1000000000000003E-2</c:v>
                </c:pt>
                <c:pt idx="5">
                  <c:v>7.0000000000000007E-2</c:v>
                </c:pt>
                <c:pt idx="6">
                  <c:v>7.1999999999999995E-2</c:v>
                </c:pt>
                <c:pt idx="7">
                  <c:v>6.5000000000000002E-2</c:v>
                </c:pt>
                <c:pt idx="8">
                  <c:v>6.7000000000000004E-2</c:v>
                </c:pt>
                <c:pt idx="9">
                  <c:v>6.4000000000000001E-2</c:v>
                </c:pt>
                <c:pt idx="10">
                  <c:v>3.1E-2</c:v>
                </c:pt>
                <c:pt idx="11">
                  <c:v>3.2000000000000001E-2</c:v>
                </c:pt>
              </c:numCache>
            </c:numRef>
          </c:val>
          <c:smooth val="0"/>
          <c:extLst>
            <c:ext xmlns:c16="http://schemas.microsoft.com/office/drawing/2014/chart" uri="{C3380CC4-5D6E-409C-BE32-E72D297353CC}">
              <c16:uniqueId val="{00000004-7BC8-44D6-863D-2F313ABB2010}"/>
            </c:ext>
          </c:extLst>
        </c:ser>
        <c:dLbls>
          <c:showLegendKey val="0"/>
          <c:showVal val="0"/>
          <c:showCatName val="0"/>
          <c:showSerName val="0"/>
          <c:showPercent val="0"/>
          <c:showBubbleSize val="0"/>
        </c:dLbls>
        <c:marker val="1"/>
        <c:smooth val="0"/>
        <c:axId val="1482226207"/>
        <c:axId val="1478426575"/>
      </c:lineChart>
      <c:catAx>
        <c:axId val="21291416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US"/>
          </a:p>
        </c:txPr>
        <c:crossAx val="212918472"/>
        <c:crosses val="autoZero"/>
        <c:auto val="1"/>
        <c:lblAlgn val="ctr"/>
        <c:lblOffset val="100"/>
        <c:noMultiLvlLbl val="0"/>
      </c:catAx>
      <c:valAx>
        <c:axId val="212918472"/>
        <c:scaling>
          <c:orientation val="minMax"/>
          <c:max val="11000000"/>
          <c:min val="0"/>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212914160"/>
        <c:crosses val="autoZero"/>
        <c:crossBetween val="between"/>
        <c:minorUnit val="1500000"/>
      </c:valAx>
      <c:valAx>
        <c:axId val="1478426575"/>
        <c:scaling>
          <c:orientation val="minMax"/>
        </c:scaling>
        <c:delete val="0"/>
        <c:axPos val="r"/>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1482226207"/>
        <c:crosses val="max"/>
        <c:crossBetween val="between"/>
      </c:valAx>
      <c:catAx>
        <c:axId val="1482226207"/>
        <c:scaling>
          <c:orientation val="minMax"/>
        </c:scaling>
        <c:delete val="1"/>
        <c:axPos val="b"/>
        <c:numFmt formatCode="General" sourceLinked="1"/>
        <c:majorTickMark val="out"/>
        <c:minorTickMark val="none"/>
        <c:tickLblPos val="nextTo"/>
        <c:crossAx val="1478426575"/>
        <c:crosses val="autoZero"/>
        <c:auto val="1"/>
        <c:lblAlgn val="ctr"/>
        <c:lblOffset val="100"/>
        <c:noMultiLvlLbl val="0"/>
      </c:catAx>
      <c:spPr>
        <a:pattFill prst="ltDnDiag">
          <a:fgClr>
            <a:schemeClr val="dk1">
              <a:lumMod val="15000"/>
              <a:lumOff val="85000"/>
            </a:schemeClr>
          </a:fgClr>
          <a:bgClr>
            <a:schemeClr val="lt1"/>
          </a:bgClr>
        </a:pattFill>
        <a:ln>
          <a:noFill/>
        </a:ln>
        <a:effectLst/>
      </c:spPr>
    </c:plotArea>
    <c:legend>
      <c:legendPos val="b"/>
      <c:layout>
        <c:manualLayout>
          <c:xMode val="edge"/>
          <c:yMode val="edge"/>
          <c:x val="0.15701290259892708"/>
          <c:y val="0.84049534339608245"/>
          <c:w val="0.66198731949548362"/>
          <c:h val="0.1392342440919169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Missions!$D$14</c:f>
              <c:strCache>
                <c:ptCount val="1"/>
                <c:pt idx="0">
                  <c:v>All Missions</c:v>
                </c:pt>
              </c:strCache>
            </c:strRef>
          </c:tx>
          <c:spPr>
            <a:solidFill>
              <a:srgbClr val="BD8E31"/>
            </a:solidFill>
          </c:spPr>
          <c:invertIfNegative val="0"/>
          <c:cat>
            <c:strRef>
              <c:f>Missions!$E$8:$N$8</c:f>
              <c:strCache>
                <c:ptCount val="10"/>
                <c:pt idx="0">
                  <c:v>2001/02</c:v>
                </c:pt>
                <c:pt idx="1">
                  <c:v>2002/03</c:v>
                </c:pt>
                <c:pt idx="2">
                  <c:v>2003/04</c:v>
                </c:pt>
                <c:pt idx="3">
                  <c:v>2004/05</c:v>
                </c:pt>
                <c:pt idx="4">
                  <c:v>2005/06</c:v>
                </c:pt>
                <c:pt idx="5">
                  <c:v>2006/07</c:v>
                </c:pt>
                <c:pt idx="6">
                  <c:v>2007/08</c:v>
                </c:pt>
                <c:pt idx="7">
                  <c:v>2008/09</c:v>
                </c:pt>
                <c:pt idx="8">
                  <c:v>2009/10</c:v>
                </c:pt>
                <c:pt idx="9">
                  <c:v>2010/11</c:v>
                </c:pt>
              </c:strCache>
            </c:strRef>
          </c:cat>
          <c:val>
            <c:numRef>
              <c:f>Missions!$E$14:$N$14</c:f>
              <c:numCache>
                <c:formatCode>General</c:formatCode>
                <c:ptCount val="10"/>
                <c:pt idx="0">
                  <c:v>91</c:v>
                </c:pt>
                <c:pt idx="1">
                  <c:v>96</c:v>
                </c:pt>
                <c:pt idx="2">
                  <c:v>101</c:v>
                </c:pt>
                <c:pt idx="3">
                  <c:v>107</c:v>
                </c:pt>
                <c:pt idx="4">
                  <c:v>109</c:v>
                </c:pt>
                <c:pt idx="5">
                  <c:v>114</c:v>
                </c:pt>
                <c:pt idx="6">
                  <c:v>119</c:v>
                </c:pt>
                <c:pt idx="7">
                  <c:v>124</c:v>
                </c:pt>
                <c:pt idx="8">
                  <c:v>124</c:v>
                </c:pt>
                <c:pt idx="9">
                  <c:v>125</c:v>
                </c:pt>
              </c:numCache>
            </c:numRef>
          </c:val>
          <c:extLst>
            <c:ext xmlns:c16="http://schemas.microsoft.com/office/drawing/2014/chart" uri="{C3380CC4-5D6E-409C-BE32-E72D297353CC}">
              <c16:uniqueId val="{00000000-A16D-40BB-B4BF-79307D6B2A9B}"/>
            </c:ext>
          </c:extLst>
        </c:ser>
        <c:dLbls>
          <c:showLegendKey val="0"/>
          <c:showVal val="0"/>
          <c:showCatName val="0"/>
          <c:showSerName val="0"/>
          <c:showPercent val="0"/>
          <c:showBubbleSize val="0"/>
        </c:dLbls>
        <c:gapWidth val="150"/>
        <c:axId val="125560248"/>
        <c:axId val="125561032"/>
      </c:barChart>
      <c:catAx>
        <c:axId val="125560248"/>
        <c:scaling>
          <c:orientation val="minMax"/>
        </c:scaling>
        <c:delete val="0"/>
        <c:axPos val="b"/>
        <c:numFmt formatCode="General" sourceLinked="0"/>
        <c:majorTickMark val="out"/>
        <c:minorTickMark val="none"/>
        <c:tickLblPos val="nextTo"/>
        <c:crossAx val="125561032"/>
        <c:crosses val="autoZero"/>
        <c:auto val="1"/>
        <c:lblAlgn val="ctr"/>
        <c:lblOffset val="100"/>
        <c:noMultiLvlLbl val="0"/>
      </c:catAx>
      <c:valAx>
        <c:axId val="125561032"/>
        <c:scaling>
          <c:orientation val="minMax"/>
        </c:scaling>
        <c:delete val="0"/>
        <c:axPos val="l"/>
        <c:majorGridlines>
          <c:spPr>
            <a:ln>
              <a:solidFill>
                <a:sysClr val="window" lastClr="FFFFFF">
                  <a:lumMod val="65000"/>
                  <a:alpha val="60000"/>
                </a:sysClr>
              </a:solidFill>
              <a:prstDash val="dash"/>
            </a:ln>
          </c:spPr>
        </c:majorGridlines>
        <c:title>
          <c:tx>
            <c:rich>
              <a:bodyPr rot="-5400000" vert="horz"/>
              <a:lstStyle/>
              <a:p>
                <a:pPr>
                  <a:defRPr b="0"/>
                </a:pPr>
                <a:r>
                  <a:rPr lang="en-US" b="0"/>
                  <a:t>Number</a:t>
                </a:r>
              </a:p>
            </c:rich>
          </c:tx>
          <c:overlay val="0"/>
        </c:title>
        <c:numFmt formatCode="General" sourceLinked="1"/>
        <c:majorTickMark val="out"/>
        <c:minorTickMark val="none"/>
        <c:tickLblPos val="nextTo"/>
        <c:crossAx val="125560248"/>
        <c:crosses val="autoZero"/>
        <c:crossBetween val="between"/>
      </c:valAx>
      <c:spPr>
        <a:ln>
          <a:noFill/>
        </a:ln>
      </c:spPr>
    </c:plotArea>
    <c:plotVisOnly val="1"/>
    <c:dispBlanksAs val="gap"/>
    <c:showDLblsOverMax val="0"/>
  </c:chart>
  <c:spPr>
    <a:ln>
      <a:noFill/>
    </a:ln>
  </c:spPr>
  <c:txPr>
    <a:bodyPr/>
    <a:lstStyle/>
    <a:p>
      <a:pPr>
        <a:defRPr sz="800">
          <a:latin typeface="Arial Narrow" pitchFamily="34"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Foreign representation and missions</a:t>
            </a:r>
          </a:p>
        </c:rich>
      </c:tx>
      <c:overlay val="0"/>
    </c:title>
    <c:autoTitleDeleted val="0"/>
    <c:plotArea>
      <c:layout>
        <c:manualLayout>
          <c:layoutTarget val="inner"/>
          <c:xMode val="edge"/>
          <c:yMode val="edge"/>
          <c:x val="4.4988721897695622E-2"/>
          <c:y val="0.16286396252440061"/>
          <c:w val="0.95501127469631408"/>
          <c:h val="0.66449184608773226"/>
        </c:manualLayout>
      </c:layout>
      <c:barChart>
        <c:barDir val="col"/>
        <c:grouping val="clustered"/>
        <c:varyColors val="0"/>
        <c:ser>
          <c:idx val="6"/>
          <c:order val="0"/>
          <c:tx>
            <c:strRef>
              <c:f>Missions!$D$63</c:f>
              <c:strCache>
                <c:ptCount val="1"/>
                <c:pt idx="0">
                  <c:v>Total foreign representation</c:v>
                </c:pt>
              </c:strCache>
            </c:strRef>
          </c:tx>
          <c:spPr>
            <a:solidFill>
              <a:srgbClr val="FCD5B5"/>
            </a:solidFill>
          </c:spPr>
          <c:invertIfNegative val="0"/>
          <c:cat>
            <c:strRef>
              <c:f>Missions!$F$56:$AA$56</c:f>
              <c:strCache>
                <c:ptCount val="22"/>
                <c:pt idx="0">
                  <c:v>1993/94</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strCache>
            </c:strRef>
          </c:cat>
          <c:val>
            <c:numRef>
              <c:f>Missions!$F$63:$AA$63</c:f>
              <c:numCache>
                <c:formatCode>General</c:formatCode>
                <c:ptCount val="22"/>
                <c:pt idx="0" formatCode="0">
                  <c:v>68</c:v>
                </c:pt>
                <c:pt idx="4" formatCode="0">
                  <c:v>278</c:v>
                </c:pt>
                <c:pt idx="5" formatCode="0">
                  <c:v>279</c:v>
                </c:pt>
                <c:pt idx="6" formatCode="0">
                  <c:v>283</c:v>
                </c:pt>
                <c:pt idx="7" formatCode="0">
                  <c:v>285</c:v>
                </c:pt>
                <c:pt idx="8" formatCode="0">
                  <c:v>292</c:v>
                </c:pt>
                <c:pt idx="9" formatCode="0">
                  <c:v>296</c:v>
                </c:pt>
                <c:pt idx="10" formatCode="0">
                  <c:v>307</c:v>
                </c:pt>
                <c:pt idx="11" formatCode="0">
                  <c:v>311</c:v>
                </c:pt>
                <c:pt idx="13" formatCode="0">
                  <c:v>326</c:v>
                </c:pt>
                <c:pt idx="14" formatCode="0">
                  <c:v>326</c:v>
                </c:pt>
                <c:pt idx="15">
                  <c:v>341</c:v>
                </c:pt>
                <c:pt idx="16">
                  <c:v>325</c:v>
                </c:pt>
                <c:pt idx="17">
                  <c:v>325</c:v>
                </c:pt>
                <c:pt idx="18">
                  <c:v>327</c:v>
                </c:pt>
                <c:pt idx="19">
                  <c:v>322</c:v>
                </c:pt>
                <c:pt idx="20">
                  <c:v>311</c:v>
                </c:pt>
                <c:pt idx="21">
                  <c:v>306</c:v>
                </c:pt>
              </c:numCache>
            </c:numRef>
          </c:val>
          <c:extLst>
            <c:ext xmlns:c16="http://schemas.microsoft.com/office/drawing/2014/chart" uri="{C3380CC4-5D6E-409C-BE32-E72D297353CC}">
              <c16:uniqueId val="{00000000-F123-4E72-8C1B-206909A102F9}"/>
            </c:ext>
          </c:extLst>
        </c:ser>
        <c:ser>
          <c:idx val="7"/>
          <c:order val="1"/>
          <c:tx>
            <c:strRef>
              <c:f>Missions!$D$64</c:f>
              <c:strCache>
                <c:ptCount val="1"/>
                <c:pt idx="0">
                  <c:v>All missions</c:v>
                </c:pt>
              </c:strCache>
            </c:strRef>
          </c:tx>
          <c:spPr>
            <a:solidFill>
              <a:srgbClr val="F8A662"/>
            </a:solidFill>
          </c:spPr>
          <c:invertIfNegative val="0"/>
          <c:cat>
            <c:strRef>
              <c:f>Missions!$F$56:$AA$56</c:f>
              <c:strCache>
                <c:ptCount val="22"/>
                <c:pt idx="0">
                  <c:v>1993/94</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strCache>
            </c:strRef>
          </c:cat>
          <c:val>
            <c:numRef>
              <c:f>Missions!$F$64:$AA$64</c:f>
              <c:numCache>
                <c:formatCode>General</c:formatCode>
                <c:ptCount val="22"/>
                <c:pt idx="1">
                  <c:v>91</c:v>
                </c:pt>
                <c:pt idx="2">
                  <c:v>96</c:v>
                </c:pt>
                <c:pt idx="3">
                  <c:v>101</c:v>
                </c:pt>
                <c:pt idx="4">
                  <c:v>107</c:v>
                </c:pt>
                <c:pt idx="5">
                  <c:v>109</c:v>
                </c:pt>
                <c:pt idx="6">
                  <c:v>114</c:v>
                </c:pt>
                <c:pt idx="7">
                  <c:v>119</c:v>
                </c:pt>
                <c:pt idx="8">
                  <c:v>124</c:v>
                </c:pt>
                <c:pt idx="9">
                  <c:v>124</c:v>
                </c:pt>
                <c:pt idx="10">
                  <c:v>125</c:v>
                </c:pt>
                <c:pt idx="11">
                  <c:v>125</c:v>
                </c:pt>
                <c:pt idx="12">
                  <c:v>125</c:v>
                </c:pt>
                <c:pt idx="13">
                  <c:v>125</c:v>
                </c:pt>
                <c:pt idx="14">
                  <c:v>125</c:v>
                </c:pt>
                <c:pt idx="15">
                  <c:v>124</c:v>
                </c:pt>
                <c:pt idx="17">
                  <c:v>124</c:v>
                </c:pt>
                <c:pt idx="18">
                  <c:v>125</c:v>
                </c:pt>
                <c:pt idx="19">
                  <c:v>125</c:v>
                </c:pt>
                <c:pt idx="20">
                  <c:v>122</c:v>
                </c:pt>
                <c:pt idx="21">
                  <c:v>113</c:v>
                </c:pt>
              </c:numCache>
            </c:numRef>
          </c:val>
          <c:extLst>
            <c:ext xmlns:c16="http://schemas.microsoft.com/office/drawing/2014/chart" uri="{C3380CC4-5D6E-409C-BE32-E72D297353CC}">
              <c16:uniqueId val="{00000001-F123-4E72-8C1B-206909A102F9}"/>
            </c:ext>
          </c:extLst>
        </c:ser>
        <c:dLbls>
          <c:showLegendKey val="0"/>
          <c:showVal val="0"/>
          <c:showCatName val="0"/>
          <c:showSerName val="0"/>
          <c:showPercent val="0"/>
          <c:showBubbleSize val="0"/>
        </c:dLbls>
        <c:gapWidth val="150"/>
        <c:axId val="124448744"/>
        <c:axId val="303530824"/>
      </c:barChart>
      <c:catAx>
        <c:axId val="124448744"/>
        <c:scaling>
          <c:orientation val="minMax"/>
        </c:scaling>
        <c:delete val="0"/>
        <c:axPos val="b"/>
        <c:numFmt formatCode="General" sourceLinked="0"/>
        <c:majorTickMark val="none"/>
        <c:minorTickMark val="none"/>
        <c:tickLblPos val="nextTo"/>
        <c:crossAx val="303530824"/>
        <c:crosses val="autoZero"/>
        <c:auto val="1"/>
        <c:lblAlgn val="ctr"/>
        <c:lblOffset val="100"/>
        <c:noMultiLvlLbl val="0"/>
      </c:catAx>
      <c:valAx>
        <c:axId val="303530824"/>
        <c:scaling>
          <c:orientation val="minMax"/>
        </c:scaling>
        <c:delete val="0"/>
        <c:axPos val="l"/>
        <c:majorGridlines>
          <c:spPr>
            <a:ln>
              <a:solidFill>
                <a:sysClr val="window" lastClr="FFFFFF">
                  <a:lumMod val="65000"/>
                  <a:alpha val="60000"/>
                </a:sysClr>
              </a:solidFill>
              <a:prstDash val="dash"/>
            </a:ln>
          </c:spPr>
        </c:majorGridlines>
        <c:numFmt formatCode="0" sourceLinked="1"/>
        <c:majorTickMark val="none"/>
        <c:minorTickMark val="none"/>
        <c:tickLblPos val="nextTo"/>
        <c:crossAx val="124448744"/>
        <c:crosses val="autoZero"/>
        <c:crossBetween val="between"/>
      </c:valAx>
      <c:spPr>
        <a:ln>
          <a:noFill/>
        </a:ln>
      </c:spPr>
    </c:plotArea>
    <c:legend>
      <c:legendPos val="b"/>
      <c:layout>
        <c:manualLayout>
          <c:xMode val="edge"/>
          <c:yMode val="edge"/>
          <c:x val="0.3981216290943172"/>
          <c:y val="0.92578929377077357"/>
          <c:w val="0.2569598697854269"/>
          <c:h val="7.0123947031132339E-2"/>
        </c:manualLayout>
      </c:layout>
      <c:overlay val="0"/>
    </c:legend>
    <c:plotVisOnly val="1"/>
    <c:dispBlanksAs val="gap"/>
    <c:showDLblsOverMax val="0"/>
  </c:chart>
  <c:spPr>
    <a:ln>
      <a:solidFill>
        <a:srgbClr val="000000"/>
      </a:solidFill>
    </a:ln>
  </c:spPr>
  <c:txPr>
    <a:bodyPr/>
    <a:lstStyle/>
    <a:p>
      <a:pPr>
        <a:defRPr sz="800">
          <a:latin typeface="Arial Narrow" pitchFamily="34" charset="0"/>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SOUTH AFRICA'S INTERNATIONAL AGREEMENTS</a:t>
            </a:r>
          </a:p>
        </c:rich>
      </c:tx>
      <c:layout>
        <c:manualLayout>
          <c:xMode val="edge"/>
          <c:yMode val="edge"/>
          <c:x val="5.1643214201749006E-2"/>
          <c:y val="5.2459016393442623E-2"/>
        </c:manualLayout>
      </c:layout>
      <c:overlay val="0"/>
      <c:spPr>
        <a:noFill/>
        <a:ln w="25400">
          <a:noFill/>
        </a:ln>
      </c:spPr>
    </c:title>
    <c:autoTitleDeleted val="0"/>
    <c:plotArea>
      <c:layout>
        <c:manualLayout>
          <c:layoutTarget val="inner"/>
          <c:xMode val="edge"/>
          <c:yMode val="edge"/>
          <c:x val="0.10172159520734791"/>
          <c:y val="0.20327868852459041"/>
          <c:w val="0.87793561402034759"/>
          <c:h val="0.57704918032786889"/>
        </c:manualLayout>
      </c:layout>
      <c:barChart>
        <c:barDir val="col"/>
        <c:grouping val="clustered"/>
        <c:varyColors val="0"/>
        <c:ser>
          <c:idx val="1"/>
          <c:order val="0"/>
          <c:tx>
            <c:strRef>
              <c:f>'International Agreements'!$D$9</c:f>
              <c:strCache>
                <c:ptCount val="1"/>
                <c:pt idx="0">
                  <c:v>Multilateral</c:v>
                </c:pt>
              </c:strCache>
            </c:strRef>
          </c:tx>
          <c:spPr>
            <a:solidFill>
              <a:srgbClr val="FCD5B5"/>
            </a:solidFill>
            <a:ln w="12700">
              <a:noFill/>
              <a:prstDash val="solid"/>
            </a:ln>
          </c:spPr>
          <c:invertIfNegative val="0"/>
          <c:cat>
            <c:multiLvlStrRef>
              <c:f>'International Agreements'!$E$7:$Z$8</c:f>
              <c:multiLvlStrCache>
                <c:ptCount val="22"/>
                <c:lvl>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2021</c:v>
                  </c:pt>
                  <c:pt idx="21">
                    <c:v>2022</c:v>
                  </c:pt>
                </c:lvl>
                <c:lvl>
                  <c:pt idx="0">
                    <c:v>South Africa's International Agreements</c:v>
                  </c:pt>
                </c:lvl>
              </c:multiLvlStrCache>
            </c:multiLvlStrRef>
          </c:cat>
          <c:val>
            <c:numRef>
              <c:f>'International Agreements'!$E$9:$Z$9</c:f>
              <c:numCache>
                <c:formatCode>General</c:formatCode>
                <c:ptCount val="22"/>
                <c:pt idx="0">
                  <c:v>12</c:v>
                </c:pt>
                <c:pt idx="1">
                  <c:v>13</c:v>
                </c:pt>
                <c:pt idx="2">
                  <c:v>8</c:v>
                </c:pt>
                <c:pt idx="3">
                  <c:v>10</c:v>
                </c:pt>
                <c:pt idx="4">
                  <c:v>2</c:v>
                </c:pt>
                <c:pt idx="5">
                  <c:v>4</c:v>
                </c:pt>
                <c:pt idx="6">
                  <c:v>9</c:v>
                </c:pt>
                <c:pt idx="7">
                  <c:v>7</c:v>
                </c:pt>
                <c:pt idx="8">
                  <c:v>11</c:v>
                </c:pt>
                <c:pt idx="9">
                  <c:v>4</c:v>
                </c:pt>
                <c:pt idx="10">
                  <c:v>6</c:v>
                </c:pt>
                <c:pt idx="11">
                  <c:v>9</c:v>
                </c:pt>
                <c:pt idx="12">
                  <c:v>5</c:v>
                </c:pt>
                <c:pt idx="13">
                  <c:v>8</c:v>
                </c:pt>
                <c:pt idx="14">
                  <c:v>6</c:v>
                </c:pt>
                <c:pt idx="15">
                  <c:v>5</c:v>
                </c:pt>
                <c:pt idx="16">
                  <c:v>7</c:v>
                </c:pt>
                <c:pt idx="17">
                  <c:v>10</c:v>
                </c:pt>
                <c:pt idx="18">
                  <c:v>6</c:v>
                </c:pt>
                <c:pt idx="19">
                  <c:v>7</c:v>
                </c:pt>
                <c:pt idx="20">
                  <c:v>0</c:v>
                </c:pt>
                <c:pt idx="21">
                  <c:v>4</c:v>
                </c:pt>
              </c:numCache>
            </c:numRef>
          </c:val>
          <c:extLst>
            <c:ext xmlns:c16="http://schemas.microsoft.com/office/drawing/2014/chart" uri="{C3380CC4-5D6E-409C-BE32-E72D297353CC}">
              <c16:uniqueId val="{00000000-CFCB-48B6-9B92-39955F5F52E2}"/>
            </c:ext>
          </c:extLst>
        </c:ser>
        <c:ser>
          <c:idx val="2"/>
          <c:order val="1"/>
          <c:tx>
            <c:strRef>
              <c:f>'International Agreements'!$D$10</c:f>
              <c:strCache>
                <c:ptCount val="1"/>
                <c:pt idx="0">
                  <c:v>Bilateral</c:v>
                </c:pt>
              </c:strCache>
            </c:strRef>
          </c:tx>
          <c:spPr>
            <a:solidFill>
              <a:srgbClr val="F8A662"/>
            </a:solidFill>
          </c:spPr>
          <c:invertIfNegative val="0"/>
          <c:cat>
            <c:multiLvlStrRef>
              <c:f>'International Agreements'!$E$7:$Z$8</c:f>
              <c:multiLvlStrCache>
                <c:ptCount val="22"/>
                <c:lvl>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2021</c:v>
                  </c:pt>
                  <c:pt idx="21">
                    <c:v>2022</c:v>
                  </c:pt>
                </c:lvl>
                <c:lvl>
                  <c:pt idx="0">
                    <c:v>South Africa's International Agreements</c:v>
                  </c:pt>
                </c:lvl>
              </c:multiLvlStrCache>
            </c:multiLvlStrRef>
          </c:cat>
          <c:val>
            <c:numRef>
              <c:f>'International Agreements'!$E$10:$Z$10</c:f>
              <c:numCache>
                <c:formatCode>General</c:formatCode>
                <c:ptCount val="22"/>
                <c:pt idx="0">
                  <c:v>125</c:v>
                </c:pt>
                <c:pt idx="1">
                  <c:v>108</c:v>
                </c:pt>
                <c:pt idx="2">
                  <c:v>97</c:v>
                </c:pt>
                <c:pt idx="3">
                  <c:v>92</c:v>
                </c:pt>
                <c:pt idx="4">
                  <c:v>109</c:v>
                </c:pt>
                <c:pt idx="5">
                  <c:v>120</c:v>
                </c:pt>
                <c:pt idx="6">
                  <c:v>102</c:v>
                </c:pt>
                <c:pt idx="7">
                  <c:v>85</c:v>
                </c:pt>
                <c:pt idx="8">
                  <c:v>69</c:v>
                </c:pt>
                <c:pt idx="9">
                  <c:v>67</c:v>
                </c:pt>
                <c:pt idx="10">
                  <c:v>80</c:v>
                </c:pt>
                <c:pt idx="11">
                  <c:v>84</c:v>
                </c:pt>
                <c:pt idx="12">
                  <c:v>61</c:v>
                </c:pt>
                <c:pt idx="13">
                  <c:v>81</c:v>
                </c:pt>
                <c:pt idx="14">
                  <c:v>45</c:v>
                </c:pt>
                <c:pt idx="15">
                  <c:v>61</c:v>
                </c:pt>
                <c:pt idx="16">
                  <c:v>71</c:v>
                </c:pt>
                <c:pt idx="17">
                  <c:v>59</c:v>
                </c:pt>
                <c:pt idx="18">
                  <c:v>48</c:v>
                </c:pt>
                <c:pt idx="19">
                  <c:v>22</c:v>
                </c:pt>
                <c:pt idx="20">
                  <c:v>12</c:v>
                </c:pt>
                <c:pt idx="21">
                  <c:v>44</c:v>
                </c:pt>
              </c:numCache>
            </c:numRef>
          </c:val>
          <c:extLst>
            <c:ext xmlns:c16="http://schemas.microsoft.com/office/drawing/2014/chart" uri="{C3380CC4-5D6E-409C-BE32-E72D297353CC}">
              <c16:uniqueId val="{00000001-CFCB-48B6-9B92-39955F5F52E2}"/>
            </c:ext>
          </c:extLst>
        </c:ser>
        <c:dLbls>
          <c:showLegendKey val="0"/>
          <c:showVal val="0"/>
          <c:showCatName val="0"/>
          <c:showSerName val="0"/>
          <c:showPercent val="0"/>
          <c:showBubbleSize val="0"/>
        </c:dLbls>
        <c:gapWidth val="150"/>
        <c:axId val="303531608"/>
        <c:axId val="303529648"/>
      </c:barChart>
      <c:catAx>
        <c:axId val="303531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03529648"/>
        <c:crosses val="autoZero"/>
        <c:auto val="1"/>
        <c:lblAlgn val="ctr"/>
        <c:lblOffset val="100"/>
        <c:tickLblSkip val="1"/>
        <c:tickMarkSkip val="1"/>
        <c:noMultiLvlLbl val="0"/>
      </c:catAx>
      <c:valAx>
        <c:axId val="303529648"/>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no</a:t>
                </a:r>
              </a:p>
            </c:rich>
          </c:tx>
          <c:layout>
            <c:manualLayout>
              <c:xMode val="edge"/>
              <c:yMode val="edge"/>
              <c:x val="2.5039138830113505E-2"/>
              <c:y val="0.4655737704918033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03531608"/>
        <c:crosses val="autoZero"/>
        <c:crossBetween val="between"/>
      </c:valAx>
      <c:spPr>
        <a:solidFill>
          <a:srgbClr val="FFFFFF"/>
        </a:solidFill>
        <a:ln w="3175">
          <a:solidFill>
            <a:srgbClr val="000000"/>
          </a:solidFill>
          <a:prstDash val="solid"/>
        </a:ln>
      </c:spPr>
    </c:plotArea>
    <c:legend>
      <c:legendPos val="r"/>
      <c:layout>
        <c:manualLayout>
          <c:xMode val="edge"/>
          <c:yMode val="edge"/>
          <c:x val="0.26940703321664988"/>
          <c:y val="0.91379566775455101"/>
          <c:w val="0.25552791503860728"/>
          <c:h val="8.620425679548676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latin typeface="+mn-lt"/>
              </a:defRPr>
            </a:pPr>
            <a:r>
              <a:rPr lang="en-ZA" b="1">
                <a:latin typeface="+mn-lt"/>
              </a:rPr>
              <a:t>Figure</a:t>
            </a:r>
            <a:r>
              <a:rPr lang="en-ZA" b="1" baseline="0">
                <a:latin typeface="+mn-lt"/>
              </a:rPr>
              <a:t> 1</a:t>
            </a:r>
            <a:endParaRPr lang="en-ZA" b="1">
              <a:latin typeface="+mn-lt"/>
            </a:endParaRPr>
          </a:p>
        </c:rich>
      </c:tx>
      <c:layout>
        <c:manualLayout>
          <c:xMode val="edge"/>
          <c:yMode val="edge"/>
          <c:x val="2.6458328993056481E-3"/>
          <c:y val="0"/>
        </c:manualLayout>
      </c:layout>
      <c:overlay val="0"/>
    </c:title>
    <c:autoTitleDeleted val="0"/>
    <c:plotArea>
      <c:layout>
        <c:manualLayout>
          <c:layoutTarget val="inner"/>
          <c:xMode val="edge"/>
          <c:yMode val="edge"/>
          <c:x val="0.10685857827123058"/>
          <c:y val="0.1099807432687102"/>
          <c:w val="0.87395933826126337"/>
          <c:h val="0.68563502669215948"/>
        </c:manualLayout>
      </c:layout>
      <c:lineChart>
        <c:grouping val="standard"/>
        <c:varyColors val="0"/>
        <c:ser>
          <c:idx val="4"/>
          <c:order val="0"/>
          <c:tx>
            <c:strRef>
              <c:f>'Foreign Trade'!$D$193</c:f>
              <c:strCache>
                <c:ptCount val="1"/>
                <c:pt idx="0">
                  <c:v>Mining exports</c:v>
                </c:pt>
              </c:strCache>
            </c:strRef>
          </c:tx>
          <c:spPr>
            <a:ln w="28575">
              <a:solidFill>
                <a:srgbClr val="7030A0"/>
              </a:solidFill>
              <a:prstDash val="dash"/>
            </a:ln>
          </c:spPr>
          <c:marker>
            <c:symbol val="none"/>
          </c:marker>
          <c:cat>
            <c:numRef>
              <c:f>'Foreign Trade'!$E$192:$Q$192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2">
                  <c:v>2021</c:v>
                </c:pt>
              </c:numCache>
            </c:numRef>
          </c:cat>
          <c:val>
            <c:numRef>
              <c:f>'Foreign Trade'!$E$193:$Q$193</c:f>
              <c:numCache>
                <c:formatCode>_-* #\ ##0_-;\-* #\ ##0_-;_-* "-"??_-;_-@_-</c:formatCode>
                <c:ptCount val="13"/>
                <c:pt idx="0">
                  <c:v>388081.66396099998</c:v>
                </c:pt>
                <c:pt idx="1">
                  <c:v>474940.71916699997</c:v>
                </c:pt>
                <c:pt idx="2">
                  <c:v>466020.44667500001</c:v>
                </c:pt>
                <c:pt idx="3">
                  <c:v>528043.41010800004</c:v>
                </c:pt>
                <c:pt idx="4">
                  <c:v>543550.180055</c:v>
                </c:pt>
                <c:pt idx="5">
                  <c:v>515023.42194999999</c:v>
                </c:pt>
                <c:pt idx="6">
                  <c:v>562672.45984499995</c:v>
                </c:pt>
                <c:pt idx="7">
                  <c:v>617156.73809300002</c:v>
                </c:pt>
                <c:pt idx="8">
                  <c:v>665366.58333199995</c:v>
                </c:pt>
                <c:pt idx="9">
                  <c:v>689114.28605400003</c:v>
                </c:pt>
                <c:pt idx="10">
                  <c:v>778082.96461799997</c:v>
                </c:pt>
                <c:pt idx="12">
                  <c:v>1097005.9065080001</c:v>
                </c:pt>
              </c:numCache>
            </c:numRef>
          </c:val>
          <c:smooth val="1"/>
          <c:extLst>
            <c:ext xmlns:c16="http://schemas.microsoft.com/office/drawing/2014/chart" uri="{C3380CC4-5D6E-409C-BE32-E72D297353CC}">
              <c16:uniqueId val="{00000000-C8A9-435F-BE22-E0BFCF109968}"/>
            </c:ext>
          </c:extLst>
        </c:ser>
        <c:ser>
          <c:idx val="5"/>
          <c:order val="1"/>
          <c:tx>
            <c:strRef>
              <c:f>'Foreign Trade'!$D$198</c:f>
              <c:strCache>
                <c:ptCount val="1"/>
                <c:pt idx="0">
                  <c:v>Mining imports</c:v>
                </c:pt>
              </c:strCache>
            </c:strRef>
          </c:tx>
          <c:spPr>
            <a:ln w="28575">
              <a:solidFill>
                <a:schemeClr val="accent2">
                  <a:lumMod val="50000"/>
                </a:schemeClr>
              </a:solidFill>
              <a:prstDash val="solid"/>
            </a:ln>
          </c:spPr>
          <c:marker>
            <c:symbol val="none"/>
          </c:marker>
          <c:cat>
            <c:numRef>
              <c:f>'Foreign Trade'!$E$192:$Q$192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2">
                  <c:v>2021</c:v>
                </c:pt>
              </c:numCache>
            </c:numRef>
          </c:cat>
          <c:val>
            <c:numRef>
              <c:f>'Foreign Trade'!$E$198:$Q$198</c:f>
              <c:numCache>
                <c:formatCode>_-* #\ ##0_-;\-* #\ ##0_-;_-* "-"??_-;_-@_-</c:formatCode>
                <c:ptCount val="13"/>
                <c:pt idx="0">
                  <c:v>152740</c:v>
                </c:pt>
                <c:pt idx="1">
                  <c:v>202019</c:v>
                </c:pt>
                <c:pt idx="2">
                  <c:v>239729</c:v>
                </c:pt>
                <c:pt idx="3">
                  <c:v>280572</c:v>
                </c:pt>
                <c:pt idx="4">
                  <c:v>303713</c:v>
                </c:pt>
                <c:pt idx="5">
                  <c:v>233602</c:v>
                </c:pt>
                <c:pt idx="6">
                  <c:v>219265</c:v>
                </c:pt>
                <c:pt idx="7">
                  <c:v>243207</c:v>
                </c:pt>
                <c:pt idx="8">
                  <c:v>309138</c:v>
                </c:pt>
                <c:pt idx="9">
                  <c:v>300086</c:v>
                </c:pt>
                <c:pt idx="10">
                  <c:v>232213</c:v>
                </c:pt>
                <c:pt idx="12">
                  <c:v>331769</c:v>
                </c:pt>
              </c:numCache>
            </c:numRef>
          </c:val>
          <c:smooth val="1"/>
          <c:extLst>
            <c:ext xmlns:c16="http://schemas.microsoft.com/office/drawing/2014/chart" uri="{C3380CC4-5D6E-409C-BE32-E72D297353CC}">
              <c16:uniqueId val="{00000001-C8A9-435F-BE22-E0BFCF109968}"/>
            </c:ext>
          </c:extLst>
        </c:ser>
        <c:ser>
          <c:idx val="0"/>
          <c:order val="2"/>
          <c:tx>
            <c:strRef>
              <c:f>'Foreign Trade'!$D$194</c:f>
              <c:strCache>
                <c:ptCount val="1"/>
                <c:pt idx="0">
                  <c:v>Manufacturing exports</c:v>
                </c:pt>
              </c:strCache>
            </c:strRef>
          </c:tx>
          <c:spPr>
            <a:ln w="28575">
              <a:solidFill>
                <a:schemeClr val="accent5">
                  <a:lumMod val="50000"/>
                </a:schemeClr>
              </a:solidFill>
              <a:prstDash val="dash"/>
            </a:ln>
          </c:spPr>
          <c:marker>
            <c:symbol val="none"/>
          </c:marker>
          <c:cat>
            <c:numRef>
              <c:f>'Foreign Trade'!$E$192:$Q$192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2">
                  <c:v>2021</c:v>
                </c:pt>
              </c:numCache>
            </c:numRef>
          </c:cat>
          <c:val>
            <c:numRef>
              <c:f>'Foreign Trade'!$E$194:$Q$194</c:f>
              <c:numCache>
                <c:formatCode>_-* #\ ##0_-;\-* #\ ##0_-;_-* "-"??_-;_-@_-</c:formatCode>
                <c:ptCount val="13"/>
                <c:pt idx="0">
                  <c:v>240833.611833</c:v>
                </c:pt>
                <c:pt idx="1">
                  <c:v>272462.24217400001</c:v>
                </c:pt>
                <c:pt idx="2">
                  <c:v>304687.60569</c:v>
                </c:pt>
                <c:pt idx="3">
                  <c:v>340885.76267199998</c:v>
                </c:pt>
                <c:pt idx="4">
                  <c:v>394900.44692100002</c:v>
                </c:pt>
                <c:pt idx="5">
                  <c:v>430912.57161400001</c:v>
                </c:pt>
                <c:pt idx="6">
                  <c:v>464018.965876</c:v>
                </c:pt>
                <c:pt idx="7">
                  <c:v>454767.44969600003</c:v>
                </c:pt>
                <c:pt idx="8">
                  <c:v>485488.396825</c:v>
                </c:pt>
                <c:pt idx="9">
                  <c:v>519376.99862799997</c:v>
                </c:pt>
                <c:pt idx="10">
                  <c:v>497267.80512700003</c:v>
                </c:pt>
                <c:pt idx="12">
                  <c:v>573676.696658</c:v>
                </c:pt>
              </c:numCache>
            </c:numRef>
          </c:val>
          <c:smooth val="1"/>
          <c:extLst xmlns:c15="http://schemas.microsoft.com/office/drawing/2012/chart">
            <c:ext xmlns:c16="http://schemas.microsoft.com/office/drawing/2014/chart" uri="{C3380CC4-5D6E-409C-BE32-E72D297353CC}">
              <c16:uniqueId val="{00000002-C8A9-435F-BE22-E0BFCF109968}"/>
            </c:ext>
          </c:extLst>
        </c:ser>
        <c:ser>
          <c:idx val="6"/>
          <c:order val="3"/>
          <c:tx>
            <c:strRef>
              <c:f>'Foreign Trade'!$D$199</c:f>
              <c:strCache>
                <c:ptCount val="1"/>
                <c:pt idx="0">
                  <c:v>Manufacturing imports</c:v>
                </c:pt>
              </c:strCache>
            </c:strRef>
          </c:tx>
          <c:spPr>
            <a:ln w="28575">
              <a:solidFill>
                <a:srgbClr val="00B050"/>
              </a:solidFill>
            </a:ln>
          </c:spPr>
          <c:marker>
            <c:symbol val="none"/>
          </c:marker>
          <c:cat>
            <c:numRef>
              <c:f>'Foreign Trade'!$E$192:$Q$192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2">
                  <c:v>2021</c:v>
                </c:pt>
              </c:numCache>
            </c:numRef>
          </c:cat>
          <c:val>
            <c:numRef>
              <c:f>'Foreign Trade'!$E$199:$Q$199</c:f>
              <c:numCache>
                <c:formatCode>_-* #\ ##0_-;\-* #\ ##0_-;_-* "-"??_-;_-@_-</c:formatCode>
                <c:ptCount val="13"/>
                <c:pt idx="0">
                  <c:v>427177</c:v>
                </c:pt>
                <c:pt idx="1">
                  <c:v>504613</c:v>
                </c:pt>
                <c:pt idx="2">
                  <c:v>572718</c:v>
                </c:pt>
                <c:pt idx="3">
                  <c:v>674655</c:v>
                </c:pt>
                <c:pt idx="4">
                  <c:v>715767</c:v>
                </c:pt>
                <c:pt idx="5">
                  <c:v>790109</c:v>
                </c:pt>
                <c:pt idx="6">
                  <c:v>804756</c:v>
                </c:pt>
                <c:pt idx="7">
                  <c:v>800374</c:v>
                </c:pt>
                <c:pt idx="8">
                  <c:v>848523</c:v>
                </c:pt>
                <c:pt idx="9">
                  <c:v>897806</c:v>
                </c:pt>
                <c:pt idx="10">
                  <c:v>806619</c:v>
                </c:pt>
                <c:pt idx="12">
                  <c:v>950663</c:v>
                </c:pt>
              </c:numCache>
            </c:numRef>
          </c:val>
          <c:smooth val="0"/>
          <c:extLst>
            <c:ext xmlns:c16="http://schemas.microsoft.com/office/drawing/2014/chart" uri="{C3380CC4-5D6E-409C-BE32-E72D297353CC}">
              <c16:uniqueId val="{00000003-C8A9-435F-BE22-E0BFCF109968}"/>
            </c:ext>
          </c:extLst>
        </c:ser>
        <c:ser>
          <c:idx val="1"/>
          <c:order val="4"/>
          <c:tx>
            <c:strRef>
              <c:f>'Foreign Trade'!$D$195</c:f>
              <c:strCache>
                <c:ptCount val="1"/>
                <c:pt idx="0">
                  <c:v>Agriculture exports</c:v>
                </c:pt>
              </c:strCache>
            </c:strRef>
          </c:tx>
          <c:spPr>
            <a:ln w="28575">
              <a:solidFill>
                <a:schemeClr val="accent2">
                  <a:lumMod val="50000"/>
                </a:schemeClr>
              </a:solidFill>
              <a:prstDash val="dash"/>
            </a:ln>
          </c:spPr>
          <c:marker>
            <c:symbol val="none"/>
          </c:marker>
          <c:cat>
            <c:numRef>
              <c:f>'Foreign Trade'!$E$192:$Q$192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2">
                  <c:v>2021</c:v>
                </c:pt>
              </c:numCache>
            </c:numRef>
          </c:cat>
          <c:val>
            <c:numRef>
              <c:f>'Foreign Trade'!$E$195:$Q$195</c:f>
              <c:numCache>
                <c:formatCode>_-* #\ ##0_-;\-* #\ ##0_-;_-* "-"??_-;_-@_-</c:formatCode>
                <c:ptCount val="13"/>
                <c:pt idx="0">
                  <c:v>36896.077671999999</c:v>
                </c:pt>
                <c:pt idx="1">
                  <c:v>42696.809328000003</c:v>
                </c:pt>
                <c:pt idx="2">
                  <c:v>45822.648184999998</c:v>
                </c:pt>
                <c:pt idx="3">
                  <c:v>58950.135767</c:v>
                </c:pt>
                <c:pt idx="4">
                  <c:v>67776.445458999995</c:v>
                </c:pt>
                <c:pt idx="5">
                  <c:v>72948.257404000004</c:v>
                </c:pt>
                <c:pt idx="6">
                  <c:v>84410.373219000001</c:v>
                </c:pt>
                <c:pt idx="7">
                  <c:v>86763.756645999994</c:v>
                </c:pt>
                <c:pt idx="8">
                  <c:v>90350.350938000003</c:v>
                </c:pt>
                <c:pt idx="9">
                  <c:v>90373.860589999997</c:v>
                </c:pt>
                <c:pt idx="10">
                  <c:v>113909.512778</c:v>
                </c:pt>
                <c:pt idx="12">
                  <c:v>121917.236603</c:v>
                </c:pt>
              </c:numCache>
            </c:numRef>
          </c:val>
          <c:smooth val="0"/>
          <c:extLst>
            <c:ext xmlns:c16="http://schemas.microsoft.com/office/drawing/2014/chart" uri="{C3380CC4-5D6E-409C-BE32-E72D297353CC}">
              <c16:uniqueId val="{00000004-C8A9-435F-BE22-E0BFCF109968}"/>
            </c:ext>
          </c:extLst>
        </c:ser>
        <c:ser>
          <c:idx val="7"/>
          <c:order val="5"/>
          <c:tx>
            <c:strRef>
              <c:f>'Foreign Trade'!$D$200</c:f>
              <c:strCache>
                <c:ptCount val="1"/>
                <c:pt idx="0">
                  <c:v>Agriculture imports</c:v>
                </c:pt>
              </c:strCache>
            </c:strRef>
          </c:tx>
          <c:spPr>
            <a:ln w="28575">
              <a:solidFill>
                <a:schemeClr val="accent3">
                  <a:lumMod val="75000"/>
                </a:schemeClr>
              </a:solidFill>
            </a:ln>
          </c:spPr>
          <c:marker>
            <c:symbol val="none"/>
          </c:marker>
          <c:cat>
            <c:numRef>
              <c:f>'Foreign Trade'!$E$192:$Q$192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2">
                  <c:v>2021</c:v>
                </c:pt>
              </c:numCache>
            </c:numRef>
          </c:cat>
          <c:val>
            <c:numRef>
              <c:f>'Foreign Trade'!$E$200:$Q$200</c:f>
              <c:numCache>
                <c:formatCode>_-* #\ ##0_-;\-* #\ ##0_-;_-* "-"??_-;_-@_-</c:formatCode>
                <c:ptCount val="13"/>
                <c:pt idx="0">
                  <c:v>25333</c:v>
                </c:pt>
                <c:pt idx="1">
                  <c:v>33889</c:v>
                </c:pt>
                <c:pt idx="2">
                  <c:v>40133</c:v>
                </c:pt>
                <c:pt idx="3">
                  <c:v>41499</c:v>
                </c:pt>
                <c:pt idx="4">
                  <c:v>44688</c:v>
                </c:pt>
                <c:pt idx="5">
                  <c:v>51073</c:v>
                </c:pt>
                <c:pt idx="6">
                  <c:v>63416</c:v>
                </c:pt>
                <c:pt idx="7">
                  <c:v>57304</c:v>
                </c:pt>
                <c:pt idx="8">
                  <c:v>56622</c:v>
                </c:pt>
                <c:pt idx="9">
                  <c:v>58313</c:v>
                </c:pt>
                <c:pt idx="10">
                  <c:v>62737</c:v>
                </c:pt>
                <c:pt idx="12">
                  <c:v>64150</c:v>
                </c:pt>
              </c:numCache>
            </c:numRef>
          </c:val>
          <c:smooth val="0"/>
          <c:extLst>
            <c:ext xmlns:c16="http://schemas.microsoft.com/office/drawing/2014/chart" uri="{C3380CC4-5D6E-409C-BE32-E72D297353CC}">
              <c16:uniqueId val="{00000005-C8A9-435F-BE22-E0BFCF109968}"/>
            </c:ext>
          </c:extLst>
        </c:ser>
        <c:dLbls>
          <c:showLegendKey val="0"/>
          <c:showVal val="0"/>
          <c:showCatName val="0"/>
          <c:showSerName val="0"/>
          <c:showPercent val="0"/>
          <c:showBubbleSize val="0"/>
        </c:dLbls>
        <c:smooth val="0"/>
        <c:axId val="404436784"/>
        <c:axId val="414522256"/>
        <c:extLst/>
      </c:lineChart>
      <c:catAx>
        <c:axId val="404436784"/>
        <c:scaling>
          <c:orientation val="minMax"/>
        </c:scaling>
        <c:delete val="0"/>
        <c:axPos val="b"/>
        <c:numFmt formatCode="General" sourceLinked="1"/>
        <c:majorTickMark val="out"/>
        <c:minorTickMark val="none"/>
        <c:tickLblPos val="nextTo"/>
        <c:txPr>
          <a:bodyPr rot="0" vert="horz"/>
          <a:lstStyle/>
          <a:p>
            <a:pPr>
              <a:defRPr sz="800" baseline="0">
                <a:latin typeface="Arial" panose="020B0604020202020204" pitchFamily="34" charset="0"/>
              </a:defRPr>
            </a:pPr>
            <a:endParaRPr lang="en-US"/>
          </a:p>
        </c:txPr>
        <c:crossAx val="414522256"/>
        <c:crosses val="autoZero"/>
        <c:auto val="1"/>
        <c:lblAlgn val="ctr"/>
        <c:lblOffset val="100"/>
        <c:noMultiLvlLbl val="0"/>
      </c:catAx>
      <c:valAx>
        <c:axId val="414522256"/>
        <c:scaling>
          <c:orientation val="minMax"/>
        </c:scaling>
        <c:delete val="0"/>
        <c:axPos val="l"/>
        <c:majorGridlines>
          <c:spPr>
            <a:ln>
              <a:solidFill>
                <a:sysClr val="window" lastClr="FFFFFF">
                  <a:lumMod val="65000"/>
                </a:sysClr>
              </a:solidFill>
              <a:prstDash val="dash"/>
            </a:ln>
          </c:spPr>
        </c:majorGridlines>
        <c:numFmt formatCode="0" sourceLinked="0"/>
        <c:majorTickMark val="out"/>
        <c:minorTickMark val="none"/>
        <c:tickLblPos val="nextTo"/>
        <c:txPr>
          <a:bodyPr rot="0" vert="horz"/>
          <a:lstStyle/>
          <a:p>
            <a:pPr>
              <a:defRPr sz="800" baseline="0">
                <a:latin typeface="Arial" panose="020B0604020202020204" pitchFamily="34" charset="0"/>
              </a:defRPr>
            </a:pPr>
            <a:endParaRPr lang="en-US"/>
          </a:p>
        </c:txPr>
        <c:crossAx val="404436784"/>
        <c:crosses val="autoZero"/>
        <c:crossBetween val="between"/>
        <c:majorUnit val="200000"/>
        <c:minorUnit val="40000"/>
        <c:dispUnits>
          <c:builtInUnit val="tenThousands"/>
          <c:dispUnitsLbl>
            <c:layout>
              <c:manualLayout>
                <c:xMode val="edge"/>
                <c:yMode val="edge"/>
                <c:x val="1.8315285709434758E-2"/>
                <c:y val="0.35018962055330549"/>
              </c:manualLayout>
            </c:layout>
            <c:tx>
              <c:rich>
                <a:bodyPr/>
                <a:lstStyle/>
                <a:p>
                  <a:pPr>
                    <a:defRPr/>
                  </a:pPr>
                  <a:r>
                    <a:rPr lang="en-ZA"/>
                    <a:t>R</a:t>
                  </a:r>
                  <a:r>
                    <a:rPr lang="en-ZA" baseline="0"/>
                    <a:t> billion</a:t>
                  </a:r>
                  <a:endParaRPr lang="en-ZA"/>
                </a:p>
              </c:rich>
            </c:tx>
          </c:dispUnitsLbl>
        </c:dispUnits>
      </c:valAx>
    </c:plotArea>
    <c:legend>
      <c:legendPos val="b"/>
      <c:layout>
        <c:manualLayout>
          <c:xMode val="edge"/>
          <c:yMode val="edge"/>
          <c:x val="1.3380267043551582E-2"/>
          <c:y val="0.880970648903874"/>
          <c:w val="0.95350512292069245"/>
          <c:h val="9.814162263659601E-2"/>
        </c:manualLayout>
      </c:layout>
      <c:overlay val="0"/>
      <c:txPr>
        <a:bodyPr/>
        <a:lstStyle/>
        <a:p>
          <a:pPr>
            <a:defRPr sz="800" baseline="0">
              <a:latin typeface="Arial" panose="020B0604020202020204" pitchFamily="34" charset="0"/>
            </a:defRPr>
          </a:pPr>
          <a:endParaRPr lang="en-US"/>
        </a:p>
      </c:txPr>
    </c:legend>
    <c:plotVisOnly val="1"/>
    <c:dispBlanksAs val="gap"/>
    <c:showDLblsOverMax val="0"/>
  </c:chart>
  <c:spPr>
    <a:ln>
      <a:solidFill>
        <a:schemeClr val="tx1"/>
      </a:solidFill>
    </a:ln>
  </c:spPr>
  <c:txPr>
    <a:bodyPr/>
    <a:lstStyle/>
    <a:p>
      <a:pPr>
        <a:defRPr sz="1200" b="0" i="0" u="none" strike="noStrike" baseline="0">
          <a:solidFill>
            <a:srgbClr val="000000"/>
          </a:solidFill>
          <a:latin typeface="Arial Narrow" panose="020B0606020202030204" pitchFamily="34" charset="0"/>
          <a:ea typeface="Arial"/>
          <a:cs typeface="Arial"/>
        </a:defRPr>
      </a:pPr>
      <a:endParaRPr lang="en-US"/>
    </a:p>
  </c:txPr>
  <c:printSettings>
    <c:headerFooter/>
    <c:pageMargins b="0.75000000000000555" l="0.70000000000000062" r="0.70000000000000062" t="0.75000000000000555" header="0.30000000000000032" footer="0.30000000000000032"/>
    <c:pageSetup paperSize="9" orientation="landscape"/>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latin typeface="+mn-lt"/>
              </a:defRPr>
            </a:pPr>
            <a:r>
              <a:rPr lang="en-ZA" b="1">
                <a:latin typeface="+mn-lt"/>
              </a:rPr>
              <a:t>Figure 2</a:t>
            </a:r>
          </a:p>
        </c:rich>
      </c:tx>
      <c:layout>
        <c:manualLayout>
          <c:xMode val="edge"/>
          <c:yMode val="edge"/>
          <c:x val="3.9673885620958423E-2"/>
          <c:y val="2.0887728459530026E-2"/>
        </c:manualLayout>
      </c:layout>
      <c:overlay val="0"/>
    </c:title>
    <c:autoTitleDeleted val="0"/>
    <c:plotArea>
      <c:layout>
        <c:manualLayout>
          <c:layoutTarget val="inner"/>
          <c:xMode val="edge"/>
          <c:yMode val="edge"/>
          <c:x val="7.7691837243944392E-2"/>
          <c:y val="0.12738726533271627"/>
          <c:w val="0.90312608027655084"/>
          <c:h val="0.66822858484971714"/>
        </c:manualLayout>
      </c:layout>
      <c:lineChart>
        <c:grouping val="standard"/>
        <c:varyColors val="0"/>
        <c:ser>
          <c:idx val="0"/>
          <c:order val="0"/>
          <c:tx>
            <c:strRef>
              <c:f>'Foreign Trade'!$D$197</c:f>
              <c:strCache>
                <c:ptCount val="1"/>
                <c:pt idx="0">
                  <c:v>Total merchandise exports</c:v>
                </c:pt>
              </c:strCache>
            </c:strRef>
          </c:tx>
          <c:spPr>
            <a:ln w="38100"/>
          </c:spPr>
          <c:marker>
            <c:symbol val="none"/>
          </c:marker>
          <c:cat>
            <c:numRef>
              <c:f>'Foreign Trade'!$E$192:$Q$192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2">
                  <c:v>2021</c:v>
                </c:pt>
              </c:numCache>
            </c:numRef>
          </c:cat>
          <c:val>
            <c:numRef>
              <c:f>'Foreign Trade'!$E$197:$Q$197</c:f>
              <c:numCache>
                <c:formatCode>_-* #\ ##0_-;\-* #\ ##0_-;_-* "-"??_-;_-@_-</c:formatCode>
                <c:ptCount val="13"/>
                <c:pt idx="0">
                  <c:v>669393.51276249997</c:v>
                </c:pt>
                <c:pt idx="1">
                  <c:v>794370.42169750005</c:v>
                </c:pt>
                <c:pt idx="2">
                  <c:v>821030.55552199995</c:v>
                </c:pt>
                <c:pt idx="3">
                  <c:v>932740.4114325</c:v>
                </c:pt>
                <c:pt idx="4">
                  <c:v>1012111.7780045</c:v>
                </c:pt>
                <c:pt idx="5">
                  <c:v>1027062.4554224</c:v>
                </c:pt>
                <c:pt idx="6">
                  <c:v>1120385.3740794</c:v>
                </c:pt>
                <c:pt idx="7">
                  <c:v>1168010.9736764</c:v>
                </c:pt>
                <c:pt idx="8">
                  <c:v>1247552.6172849999</c:v>
                </c:pt>
                <c:pt idx="9">
                  <c:v>1302832.4857065999</c:v>
                </c:pt>
                <c:pt idx="10">
                  <c:v>1393986.8702527001</c:v>
                </c:pt>
                <c:pt idx="12">
                  <c:v>1795842.7906210001</c:v>
                </c:pt>
              </c:numCache>
            </c:numRef>
          </c:val>
          <c:smooth val="0"/>
          <c:extLst>
            <c:ext xmlns:c16="http://schemas.microsoft.com/office/drawing/2014/chart" uri="{C3380CC4-5D6E-409C-BE32-E72D297353CC}">
              <c16:uniqueId val="{00000000-C797-4CB5-B192-D1FA025775D9}"/>
            </c:ext>
          </c:extLst>
        </c:ser>
        <c:ser>
          <c:idx val="1"/>
          <c:order val="1"/>
          <c:tx>
            <c:strRef>
              <c:f>'Foreign Trade'!$D$202</c:f>
              <c:strCache>
                <c:ptCount val="1"/>
                <c:pt idx="0">
                  <c:v>Total merchandise imports</c:v>
                </c:pt>
              </c:strCache>
            </c:strRef>
          </c:tx>
          <c:spPr>
            <a:ln w="38100"/>
          </c:spPr>
          <c:marker>
            <c:symbol val="none"/>
          </c:marker>
          <c:cat>
            <c:numRef>
              <c:f>'Foreign Trade'!$E$192:$Q$192</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2">
                  <c:v>2021</c:v>
                </c:pt>
              </c:numCache>
            </c:numRef>
          </c:cat>
          <c:val>
            <c:numRef>
              <c:f>'Foreign Trade'!$E$202:$Q$202</c:f>
              <c:numCache>
                <c:formatCode>_-* #\ ##0_-;\-* #\ ##0_-;_-* "-"??_-;_-@_-</c:formatCode>
                <c:ptCount val="13"/>
                <c:pt idx="0">
                  <c:v>610619</c:v>
                </c:pt>
                <c:pt idx="1">
                  <c:v>747121</c:v>
                </c:pt>
                <c:pt idx="2">
                  <c:v>860784</c:v>
                </c:pt>
                <c:pt idx="3">
                  <c:v>1006262</c:v>
                </c:pt>
                <c:pt idx="4">
                  <c:v>1074828</c:v>
                </c:pt>
                <c:pt idx="5">
                  <c:v>1082277</c:v>
                </c:pt>
                <c:pt idx="6">
                  <c:v>1094687</c:v>
                </c:pt>
                <c:pt idx="7">
                  <c:v>1109045</c:v>
                </c:pt>
                <c:pt idx="8">
                  <c:v>1222890</c:v>
                </c:pt>
                <c:pt idx="9">
                  <c:v>1264232</c:v>
                </c:pt>
                <c:pt idx="10">
                  <c:v>1104513</c:v>
                </c:pt>
                <c:pt idx="12">
                  <c:v>1348321</c:v>
                </c:pt>
              </c:numCache>
            </c:numRef>
          </c:val>
          <c:smooth val="0"/>
          <c:extLst>
            <c:ext xmlns:c16="http://schemas.microsoft.com/office/drawing/2014/chart" uri="{C3380CC4-5D6E-409C-BE32-E72D297353CC}">
              <c16:uniqueId val="{00000001-C797-4CB5-B192-D1FA025775D9}"/>
            </c:ext>
          </c:extLst>
        </c:ser>
        <c:dLbls>
          <c:showLegendKey val="0"/>
          <c:showVal val="0"/>
          <c:showCatName val="0"/>
          <c:showSerName val="0"/>
          <c:showPercent val="0"/>
          <c:showBubbleSize val="0"/>
        </c:dLbls>
        <c:smooth val="0"/>
        <c:axId val="404436784"/>
        <c:axId val="414522256"/>
        <c:extLst/>
      </c:lineChart>
      <c:catAx>
        <c:axId val="404436784"/>
        <c:scaling>
          <c:orientation val="minMax"/>
        </c:scaling>
        <c:delete val="0"/>
        <c:axPos val="b"/>
        <c:numFmt formatCode="General" sourceLinked="1"/>
        <c:majorTickMark val="out"/>
        <c:minorTickMark val="none"/>
        <c:tickLblPos val="nextTo"/>
        <c:txPr>
          <a:bodyPr rot="0" vert="horz"/>
          <a:lstStyle/>
          <a:p>
            <a:pPr>
              <a:defRPr sz="800" baseline="0">
                <a:latin typeface="Arial" panose="020B0604020202020204" pitchFamily="34" charset="0"/>
              </a:defRPr>
            </a:pPr>
            <a:endParaRPr lang="en-US"/>
          </a:p>
        </c:txPr>
        <c:crossAx val="414522256"/>
        <c:crosses val="autoZero"/>
        <c:auto val="1"/>
        <c:lblAlgn val="ctr"/>
        <c:lblOffset val="100"/>
        <c:noMultiLvlLbl val="0"/>
      </c:catAx>
      <c:valAx>
        <c:axId val="414522256"/>
        <c:scaling>
          <c:orientation val="minMax"/>
        </c:scaling>
        <c:delete val="0"/>
        <c:axPos val="l"/>
        <c:majorGridlines>
          <c:spPr>
            <a:ln>
              <a:solidFill>
                <a:sysClr val="window" lastClr="FFFFFF">
                  <a:lumMod val="65000"/>
                </a:sysClr>
              </a:solidFill>
              <a:prstDash val="dash"/>
            </a:ln>
          </c:spPr>
        </c:majorGridlines>
        <c:numFmt formatCode="0" sourceLinked="0"/>
        <c:majorTickMark val="out"/>
        <c:minorTickMark val="none"/>
        <c:tickLblPos val="nextTo"/>
        <c:txPr>
          <a:bodyPr rot="0" vert="horz"/>
          <a:lstStyle/>
          <a:p>
            <a:pPr>
              <a:defRPr sz="800" baseline="0">
                <a:latin typeface="Arial" panose="020B0604020202020204" pitchFamily="34" charset="0"/>
              </a:defRPr>
            </a:pPr>
            <a:endParaRPr lang="en-US"/>
          </a:p>
        </c:txPr>
        <c:crossAx val="404436784"/>
        <c:crosses val="autoZero"/>
        <c:crossBetween val="between"/>
        <c:dispUnits>
          <c:builtInUnit val="tenThousands"/>
        </c:dispUnits>
      </c:valAx>
    </c:plotArea>
    <c:legend>
      <c:legendPos val="b"/>
      <c:layout>
        <c:manualLayout>
          <c:xMode val="edge"/>
          <c:yMode val="edge"/>
          <c:x val="1.3380267043551582E-2"/>
          <c:y val="0.880970648903874"/>
          <c:w val="0.63824850730083693"/>
          <c:h val="5.1681777375739257E-2"/>
        </c:manualLayout>
      </c:layout>
      <c:overlay val="0"/>
      <c:txPr>
        <a:bodyPr/>
        <a:lstStyle/>
        <a:p>
          <a:pPr>
            <a:defRPr sz="800" baseline="0">
              <a:latin typeface="Arial" panose="020B0604020202020204" pitchFamily="34" charset="0"/>
            </a:defRPr>
          </a:pPr>
          <a:endParaRPr lang="en-US"/>
        </a:p>
      </c:txPr>
    </c:legend>
    <c:plotVisOnly val="1"/>
    <c:dispBlanksAs val="gap"/>
    <c:showDLblsOverMax val="0"/>
  </c:chart>
  <c:spPr>
    <a:ln>
      <a:solidFill>
        <a:schemeClr val="tx1"/>
      </a:solidFill>
    </a:ln>
  </c:spPr>
  <c:txPr>
    <a:bodyPr/>
    <a:lstStyle/>
    <a:p>
      <a:pPr>
        <a:defRPr sz="1200" b="0" i="0" u="none" strike="noStrike" baseline="0">
          <a:solidFill>
            <a:srgbClr val="000000"/>
          </a:solidFill>
          <a:latin typeface="Arial Narrow" panose="020B0606020202030204" pitchFamily="34" charset="0"/>
          <a:ea typeface="Arial"/>
          <a:cs typeface="Arial"/>
        </a:defRPr>
      </a:pPr>
      <a:endParaRPr lang="en-US"/>
    </a:p>
  </c:txPr>
  <c:printSettings>
    <c:headerFooter/>
    <c:pageMargins b="0.75000000000000555" l="0.70000000000000062" r="0.70000000000000062" t="0.75000000000000555" header="0.30000000000000032" footer="0.30000000000000032"/>
    <c:pageSetup paperSize="9" orientation="landscape"/>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470314732367408E-2"/>
          <c:y val="3.4521842807796167E-2"/>
          <c:w val="0.91370134643712664"/>
          <c:h val="0.73962233444223724"/>
        </c:manualLayout>
      </c:layout>
      <c:lineChart>
        <c:grouping val="standard"/>
        <c:varyColors val="0"/>
        <c:ser>
          <c:idx val="0"/>
          <c:order val="0"/>
          <c:tx>
            <c:strRef>
              <c:f>'Property crime'!$D$50</c:f>
              <c:strCache>
                <c:ptCount val="1"/>
                <c:pt idx="0">
                  <c:v>Residential burglary </c:v>
                </c:pt>
              </c:strCache>
            </c:strRef>
          </c:tx>
          <c:spPr>
            <a:ln w="25400">
              <a:solidFill>
                <a:srgbClr val="FF6600"/>
              </a:solidFill>
            </a:ln>
          </c:spPr>
          <c:marker>
            <c:symbol val="none"/>
          </c:marker>
          <c:cat>
            <c:strRef>
              <c:f>'Property crime'!$E$49:$AD$49</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'Property crime'!$E$50:$AD$50</c:f>
              <c:numCache>
                <c:formatCode>0.0</c:formatCode>
                <c:ptCount val="26"/>
                <c:pt idx="0" formatCode="General">
                  <c:v>100</c:v>
                </c:pt>
                <c:pt idx="1">
                  <c:v>105.48091612038768</c:v>
                </c:pt>
                <c:pt idx="2">
                  <c:v>101.11583509516331</c:v>
                </c:pt>
                <c:pt idx="3">
                  <c:v>102.49725243188075</c:v>
                </c:pt>
                <c:pt idx="4">
                  <c:v>109.47374533538094</c:v>
                </c:pt>
                <c:pt idx="5">
                  <c:v>112.94335303465172</c:v>
                </c:pt>
                <c:pt idx="6">
                  <c:v>116.39466655259416</c:v>
                </c:pt>
                <c:pt idx="7">
                  <c:v>113.26054001237131</c:v>
                </c:pt>
                <c:pt idx="8">
                  <c:v>118.07616686151292</c:v>
                </c:pt>
                <c:pt idx="9">
                  <c:v>108.2212956039063</c:v>
                </c:pt>
                <c:pt idx="10">
                  <c:v>99.427335480106322</c:v>
                </c:pt>
                <c:pt idx="11">
                  <c:v>93.909185450930394</c:v>
                </c:pt>
                <c:pt idx="12">
                  <c:v>88.35749043677464</c:v>
                </c:pt>
                <c:pt idx="13">
                  <c:v>83.376060167275398</c:v>
                </c:pt>
                <c:pt idx="14">
                  <c:v>84.952674461325671</c:v>
                </c:pt>
                <c:pt idx="15">
                  <c:v>87.250505932441484</c:v>
                </c:pt>
                <c:pt idx="16">
                  <c:v>83.074155302457271</c:v>
                </c:pt>
                <c:pt idx="17">
                  <c:v>81.413678545957509</c:v>
                </c:pt>
                <c:pt idx="18">
                  <c:v>84.097277344340952</c:v>
                </c:pt>
                <c:pt idx="19">
                  <c:v>82.453741572649406</c:v>
                </c:pt>
                <c:pt idx="20">
                  <c:v>78.801772701902166</c:v>
                </c:pt>
                <c:pt idx="21">
                  <c:v>76.482565753927943</c:v>
                </c:pt>
                <c:pt idx="22">
                  <c:v>73.99396105531973</c:v>
                </c:pt>
                <c:pt idx="23">
                  <c:v>67.40935032743451</c:v>
                </c:pt>
                <c:pt idx="24">
                  <c:v>60.867678369867583</c:v>
                </c:pt>
                <c:pt idx="25">
                  <c:v>58.22133606195802</c:v>
                </c:pt>
              </c:numCache>
            </c:numRef>
          </c:val>
          <c:smooth val="0"/>
          <c:extLst>
            <c:ext xmlns:c16="http://schemas.microsoft.com/office/drawing/2014/chart" uri="{C3380CC4-5D6E-409C-BE32-E72D297353CC}">
              <c16:uniqueId val="{00000000-980F-4033-BDE3-6196390B00C2}"/>
            </c:ext>
          </c:extLst>
        </c:ser>
        <c:ser>
          <c:idx val="1"/>
          <c:order val="1"/>
          <c:tx>
            <c:strRef>
              <c:f>'Property crime'!$D$51</c:f>
              <c:strCache>
                <c:ptCount val="1"/>
                <c:pt idx="0">
                  <c:v>Non-residential burglary</c:v>
                </c:pt>
              </c:strCache>
            </c:strRef>
          </c:tx>
          <c:spPr>
            <a:ln w="25400">
              <a:solidFill>
                <a:srgbClr val="BE4B48"/>
              </a:solidFill>
            </a:ln>
          </c:spPr>
          <c:marker>
            <c:symbol val="none"/>
          </c:marker>
          <c:cat>
            <c:strRef>
              <c:f>'Property crime'!$E$49:$AD$49</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'Property crime'!$E$51:$AD$51</c:f>
              <c:numCache>
                <c:formatCode>0.0</c:formatCode>
                <c:ptCount val="26"/>
                <c:pt idx="0" formatCode="General">
                  <c:v>100</c:v>
                </c:pt>
                <c:pt idx="1">
                  <c:v>97.794780251285758</c:v>
                </c:pt>
                <c:pt idx="2">
                  <c:v>95.12714242206134</c:v>
                </c:pt>
                <c:pt idx="3">
                  <c:v>97.156422197850176</c:v>
                </c:pt>
                <c:pt idx="4">
                  <c:v>99.447336892176025</c:v>
                </c:pt>
                <c:pt idx="5">
                  <c:v>95.76309272861613</c:v>
                </c:pt>
                <c:pt idx="6">
                  <c:v>92.724193563794458</c:v>
                </c:pt>
                <c:pt idx="7">
                  <c:v>86.097520461271756</c:v>
                </c:pt>
                <c:pt idx="8">
                  <c:v>72.093106633233617</c:v>
                </c:pt>
                <c:pt idx="9">
                  <c:v>61.719548797772127</c:v>
                </c:pt>
                <c:pt idx="10">
                  <c:v>53.289054794520553</c:v>
                </c:pt>
                <c:pt idx="11">
                  <c:v>51.384292237442921</c:v>
                </c:pt>
                <c:pt idx="12">
                  <c:v>54.617958904109585</c:v>
                </c:pt>
                <c:pt idx="13">
                  <c:v>58.338890410958896</c:v>
                </c:pt>
                <c:pt idx="14">
                  <c:v>63.698803652968039</c:v>
                </c:pt>
                <c:pt idx="15">
                  <c:v>64.4518493150685</c:v>
                </c:pt>
                <c:pt idx="16">
                  <c:v>61.218182648401822</c:v>
                </c:pt>
                <c:pt idx="17">
                  <c:v>61.351073059360729</c:v>
                </c:pt>
                <c:pt idx="18">
                  <c:v>62.414196347031968</c:v>
                </c:pt>
                <c:pt idx="19">
                  <c:v>61.528260273972599</c:v>
                </c:pt>
                <c:pt idx="20">
                  <c:v>60.994491533165409</c:v>
                </c:pt>
                <c:pt idx="21">
                  <c:v>60.465136986301374</c:v>
                </c:pt>
                <c:pt idx="22">
                  <c:v>59.911209061529902</c:v>
                </c:pt>
                <c:pt idx="23">
                  <c:v>55.568741125486078</c:v>
                </c:pt>
                <c:pt idx="24">
                  <c:v>55.913824558101965</c:v>
                </c:pt>
                <c:pt idx="25">
                  <c:v>55.322866041106465</c:v>
                </c:pt>
              </c:numCache>
            </c:numRef>
          </c:val>
          <c:smooth val="0"/>
          <c:extLst>
            <c:ext xmlns:c16="http://schemas.microsoft.com/office/drawing/2014/chart" uri="{C3380CC4-5D6E-409C-BE32-E72D297353CC}">
              <c16:uniqueId val="{00000001-980F-4033-BDE3-6196390B00C2}"/>
            </c:ext>
          </c:extLst>
        </c:ser>
        <c:ser>
          <c:idx val="2"/>
          <c:order val="2"/>
          <c:tx>
            <c:strRef>
              <c:f>'Property crime'!$D$52</c:f>
              <c:strCache>
                <c:ptCount val="1"/>
                <c:pt idx="0">
                  <c:v>Theft of motot vehicle</c:v>
                </c:pt>
              </c:strCache>
            </c:strRef>
          </c:tx>
          <c:spPr>
            <a:ln w="25400">
              <a:solidFill>
                <a:srgbClr val="FFC600"/>
              </a:solidFill>
            </a:ln>
          </c:spPr>
          <c:marker>
            <c:symbol val="none"/>
          </c:marker>
          <c:cat>
            <c:strRef>
              <c:f>'Property crime'!$E$49:$AD$49</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'Property crime'!$E$52:$AD$52</c:f>
              <c:numCache>
                <c:formatCode>0.0</c:formatCode>
                <c:ptCount val="26"/>
                <c:pt idx="0" formatCode="General">
                  <c:v>100</c:v>
                </c:pt>
                <c:pt idx="1">
                  <c:v>91.37823641369846</c:v>
                </c:pt>
                <c:pt idx="2">
                  <c:v>87.906554256134584</c:v>
                </c:pt>
                <c:pt idx="3">
                  <c:v>91.323113634307219</c:v>
                </c:pt>
                <c:pt idx="4">
                  <c:v>93.788084444023127</c:v>
                </c:pt>
                <c:pt idx="5">
                  <c:v>87.722166901447281</c:v>
                </c:pt>
                <c:pt idx="6">
                  <c:v>83.927999060242996</c:v>
                </c:pt>
                <c:pt idx="7">
                  <c:v>79.21112279579684</c:v>
                </c:pt>
                <c:pt idx="8">
                  <c:v>75.102753361132386</c:v>
                </c:pt>
                <c:pt idx="9">
                  <c:v>69.651674382855049</c:v>
                </c:pt>
                <c:pt idx="10">
                  <c:v>65.976366573153115</c:v>
                </c:pt>
                <c:pt idx="11">
                  <c:v>67.185933293660909</c:v>
                </c:pt>
                <c:pt idx="12">
                  <c:v>66.746090849839888</c:v>
                </c:pt>
                <c:pt idx="13">
                  <c:v>61.467981523987639</c:v>
                </c:pt>
                <c:pt idx="14">
                  <c:v>57.179517696732695</c:v>
                </c:pt>
                <c:pt idx="15">
                  <c:v>53.330896313298759</c:v>
                </c:pt>
                <c:pt idx="16">
                  <c:v>47.283062710759729</c:v>
                </c:pt>
                <c:pt idx="17">
                  <c:v>42.811331198579353</c:v>
                </c:pt>
                <c:pt idx="18">
                  <c:v>40.942000812340012</c:v>
                </c:pt>
                <c:pt idx="19">
                  <c:v>39.329245184996267</c:v>
                </c:pt>
                <c:pt idx="20">
                  <c:v>37.392042378843101</c:v>
                </c:pt>
                <c:pt idx="21">
                  <c:v>35.883812708398274</c:v>
                </c:pt>
                <c:pt idx="22">
                  <c:v>34.947059489607028</c:v>
                </c:pt>
                <c:pt idx="23">
                  <c:v>32.7201635998426</c:v>
                </c:pt>
                <c:pt idx="24">
                  <c:v>33.594804458872233</c:v>
                </c:pt>
                <c:pt idx="25">
                  <c:v>33.341478290733448</c:v>
                </c:pt>
              </c:numCache>
            </c:numRef>
          </c:val>
          <c:smooth val="0"/>
          <c:extLst>
            <c:ext xmlns:c16="http://schemas.microsoft.com/office/drawing/2014/chart" uri="{C3380CC4-5D6E-409C-BE32-E72D297353CC}">
              <c16:uniqueId val="{00000002-980F-4033-BDE3-6196390B00C2}"/>
            </c:ext>
          </c:extLst>
        </c:ser>
        <c:ser>
          <c:idx val="3"/>
          <c:order val="3"/>
          <c:tx>
            <c:strRef>
              <c:f>'Property crime'!$D$53</c:f>
              <c:strCache>
                <c:ptCount val="1"/>
                <c:pt idx="0">
                  <c:v>Theft out of or from motor vehicle</c:v>
                </c:pt>
              </c:strCache>
            </c:strRef>
          </c:tx>
          <c:spPr>
            <a:ln w="25400">
              <a:solidFill>
                <a:srgbClr val="00B050"/>
              </a:solidFill>
            </a:ln>
          </c:spPr>
          <c:marker>
            <c:symbol val="none"/>
          </c:marker>
          <c:cat>
            <c:strRef>
              <c:f>'Property crime'!$E$49:$AD$49</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'Property crime'!$E$53:$AD$53</c:f>
              <c:numCache>
                <c:formatCode>0.0</c:formatCode>
                <c:ptCount val="26"/>
                <c:pt idx="0" formatCode="General">
                  <c:v>100</c:v>
                </c:pt>
                <c:pt idx="1">
                  <c:v>102.57104747593395</c:v>
                </c:pt>
                <c:pt idx="2">
                  <c:v>91.082677376559531</c:v>
                </c:pt>
                <c:pt idx="3">
                  <c:v>92.111051584419741</c:v>
                </c:pt>
                <c:pt idx="4">
                  <c:v>95.764394829091486</c:v>
                </c:pt>
                <c:pt idx="5">
                  <c:v>96.047866012344528</c:v>
                </c:pt>
                <c:pt idx="6">
                  <c:v>97.140360834790172</c:v>
                </c:pt>
                <c:pt idx="7">
                  <c:v>94.09221413542204</c:v>
                </c:pt>
                <c:pt idx="8">
                  <c:v>91.204708866796736</c:v>
                </c:pt>
                <c:pt idx="9">
                  <c:v>78.462334910649645</c:v>
                </c:pt>
                <c:pt idx="10">
                  <c:v>67.464239476023494</c:v>
                </c:pt>
                <c:pt idx="11">
                  <c:v>62.766290553916463</c:v>
                </c:pt>
                <c:pt idx="12">
                  <c:v>55.380776257450904</c:v>
                </c:pt>
                <c:pt idx="13">
                  <c:v>49.391949478368517</c:v>
                </c:pt>
                <c:pt idx="14">
                  <c:v>47.614347183517211</c:v>
                </c:pt>
                <c:pt idx="15">
                  <c:v>51.867895531911415</c:v>
                </c:pt>
                <c:pt idx="16">
                  <c:v>52.100676784808599</c:v>
                </c:pt>
                <c:pt idx="17">
                  <c:v>54.576622838351497</c:v>
                </c:pt>
                <c:pt idx="18">
                  <c:v>56.544682521936871</c:v>
                </c:pt>
                <c:pt idx="19">
                  <c:v>57.433483669362531</c:v>
                </c:pt>
                <c:pt idx="20">
                  <c:v>56.961941108869205</c:v>
                </c:pt>
                <c:pt idx="21">
                  <c:v>53.666659758844283</c:v>
                </c:pt>
                <c:pt idx="22">
                  <c:v>52.298094787582741</c:v>
                </c:pt>
                <c:pt idx="23">
                  <c:v>48.165835541303949</c:v>
                </c:pt>
                <c:pt idx="24">
                  <c:v>44.72399948869127</c:v>
                </c:pt>
                <c:pt idx="25">
                  <c:v>46.806668037310679</c:v>
                </c:pt>
              </c:numCache>
            </c:numRef>
          </c:val>
          <c:smooth val="0"/>
          <c:extLst>
            <c:ext xmlns:c16="http://schemas.microsoft.com/office/drawing/2014/chart" uri="{C3380CC4-5D6E-409C-BE32-E72D297353CC}">
              <c16:uniqueId val="{00000003-980F-4033-BDE3-6196390B00C2}"/>
            </c:ext>
          </c:extLst>
        </c:ser>
        <c:ser>
          <c:idx val="4"/>
          <c:order val="4"/>
          <c:tx>
            <c:strRef>
              <c:f>'Property crime'!$D$54</c:f>
              <c:strCache>
                <c:ptCount val="1"/>
                <c:pt idx="0">
                  <c:v>Stock theft</c:v>
                </c:pt>
              </c:strCache>
            </c:strRef>
          </c:tx>
          <c:spPr>
            <a:ln w="25400">
              <a:solidFill>
                <a:srgbClr val="3D96AE"/>
              </a:solidFill>
            </a:ln>
          </c:spPr>
          <c:marker>
            <c:symbol val="none"/>
          </c:marker>
          <c:cat>
            <c:strRef>
              <c:f>'Property crime'!$E$49:$AD$49</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'Property crime'!$E$54:$AD$54</c:f>
              <c:numCache>
                <c:formatCode>0.0</c:formatCode>
                <c:ptCount val="26"/>
                <c:pt idx="0" formatCode="General">
                  <c:v>100</c:v>
                </c:pt>
                <c:pt idx="1">
                  <c:v>90.045231490445687</c:v>
                </c:pt>
                <c:pt idx="2">
                  <c:v>84.908469674078873</c:v>
                </c:pt>
                <c:pt idx="3">
                  <c:v>82.867899395716009</c:v>
                </c:pt>
                <c:pt idx="4">
                  <c:v>81.083510502579031</c:v>
                </c:pt>
                <c:pt idx="5">
                  <c:v>78.9628074766362</c:v>
                </c:pt>
                <c:pt idx="6">
                  <c:v>78.022545542964792</c:v>
                </c:pt>
                <c:pt idx="7">
                  <c:v>76.229593106363026</c:v>
                </c:pt>
                <c:pt idx="8">
                  <c:v>84.275620348399286</c:v>
                </c:pt>
                <c:pt idx="9">
                  <c:v>73.01694995365105</c:v>
                </c:pt>
                <c:pt idx="10">
                  <c:v>57.524486645378218</c:v>
                </c:pt>
                <c:pt idx="11">
                  <c:v>50.303153086471966</c:v>
                </c:pt>
                <c:pt idx="12">
                  <c:v>49.892850043352297</c:v>
                </c:pt>
                <c:pt idx="13">
                  <c:v>49.318425782984754</c:v>
                </c:pt>
                <c:pt idx="14">
                  <c:v>50.6313955209677</c:v>
                </c:pt>
                <c:pt idx="15">
                  <c:v>53.913819865925092</c:v>
                </c:pt>
                <c:pt idx="16">
                  <c:v>49.482547000232621</c:v>
                </c:pt>
                <c:pt idx="17">
                  <c:v>50.221092477848039</c:v>
                </c:pt>
                <c:pt idx="18">
                  <c:v>46.938668132890648</c:v>
                </c:pt>
                <c:pt idx="19">
                  <c:v>43.410061962061455</c:v>
                </c:pt>
                <c:pt idx="20">
                  <c:v>37.936462341650262</c:v>
                </c:pt>
                <c:pt idx="21">
                  <c:v>36.927273880770613</c:v>
                </c:pt>
                <c:pt idx="22">
                  <c:v>39.484787930622268</c:v>
                </c:pt>
                <c:pt idx="23">
                  <c:v>41.713263756182819</c:v>
                </c:pt>
                <c:pt idx="24">
                  <c:v>46.865899790666496</c:v>
                </c:pt>
                <c:pt idx="25">
                  <c:v>46.805855747426648</c:v>
                </c:pt>
              </c:numCache>
            </c:numRef>
          </c:val>
          <c:smooth val="0"/>
          <c:extLst>
            <c:ext xmlns:c16="http://schemas.microsoft.com/office/drawing/2014/chart" uri="{C3380CC4-5D6E-409C-BE32-E72D297353CC}">
              <c16:uniqueId val="{00000004-980F-4033-BDE3-6196390B00C2}"/>
            </c:ext>
          </c:extLst>
        </c:ser>
        <c:dLbls>
          <c:showLegendKey val="0"/>
          <c:showVal val="0"/>
          <c:showCatName val="0"/>
          <c:showSerName val="0"/>
          <c:showPercent val="0"/>
          <c:showBubbleSize val="0"/>
        </c:dLbls>
        <c:smooth val="0"/>
        <c:axId val="268361488"/>
        <c:axId val="268360928"/>
      </c:lineChart>
      <c:catAx>
        <c:axId val="268361488"/>
        <c:scaling>
          <c:orientation val="minMax"/>
        </c:scaling>
        <c:delete val="0"/>
        <c:axPos val="b"/>
        <c:numFmt formatCode="General" sourceLinked="1"/>
        <c:majorTickMark val="out"/>
        <c:minorTickMark val="none"/>
        <c:tickLblPos val="nextTo"/>
        <c:txPr>
          <a:bodyPr rot="0" vert="horz"/>
          <a:lstStyle/>
          <a:p>
            <a:pPr>
              <a:defRPr/>
            </a:pPr>
            <a:endParaRPr lang="en-US"/>
          </a:p>
        </c:txPr>
        <c:crossAx val="268360928"/>
        <c:crosses val="autoZero"/>
        <c:auto val="1"/>
        <c:lblAlgn val="ctr"/>
        <c:lblOffset val="100"/>
        <c:noMultiLvlLbl val="0"/>
      </c:catAx>
      <c:valAx>
        <c:axId val="268360928"/>
        <c:scaling>
          <c:orientation val="minMax"/>
          <c:min val="0.4"/>
        </c:scaling>
        <c:delete val="0"/>
        <c:axPos val="l"/>
        <c:majorGridlines>
          <c:spPr>
            <a:ln>
              <a:prstDash val="sysDash"/>
            </a:ln>
          </c:spPr>
        </c:majorGridlines>
        <c:numFmt formatCode="#,##0" sourceLinked="0"/>
        <c:majorTickMark val="out"/>
        <c:minorTickMark val="none"/>
        <c:tickLblPos val="nextTo"/>
        <c:txPr>
          <a:bodyPr rot="0" vert="horz"/>
          <a:lstStyle/>
          <a:p>
            <a:pPr>
              <a:defRPr/>
            </a:pPr>
            <a:endParaRPr lang="en-US"/>
          </a:p>
        </c:txPr>
        <c:crossAx val="268361488"/>
        <c:crosses val="autoZero"/>
        <c:crossBetween val="midCat"/>
      </c:valAx>
      <c:spPr>
        <a:ln>
          <a:noFill/>
        </a:ln>
      </c:spPr>
    </c:plotArea>
    <c:legend>
      <c:legendPos val="b"/>
      <c:overlay val="0"/>
      <c:txPr>
        <a:bodyPr/>
        <a:lstStyle/>
        <a:p>
          <a:pPr>
            <a:defRPr sz="1000"/>
          </a:pPr>
          <a:endParaRPr lang="en-US"/>
        </a:p>
      </c:txPr>
    </c:legend>
    <c:plotVisOnly val="1"/>
    <c:dispBlanksAs val="gap"/>
    <c:showDLblsOverMax val="0"/>
  </c:chart>
  <c:txPr>
    <a:bodyPr/>
    <a:lstStyle/>
    <a:p>
      <a:pPr>
        <a:defRPr sz="900" b="0" i="0" u="none" strike="noStrike" baseline="0">
          <a:solidFill>
            <a:srgbClr val="000000"/>
          </a:solidFill>
          <a:latin typeface="Calibri"/>
          <a:ea typeface="Calibri"/>
          <a:cs typeface="Calibri"/>
        </a:defRPr>
      </a:pPr>
      <a:endParaRPr lang="en-US"/>
    </a:p>
  </c:txPr>
  <c:printSettings>
    <c:headerFooter/>
    <c:pageMargins b="0.75000000000000511" l="0.70000000000000062" r="0.70000000000000062" t="0.75000000000000511"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650540708290853E-2"/>
          <c:y val="1.9097952755905513E-2"/>
          <c:w val="0.88293443876349331"/>
          <c:h val="0.85382912190782223"/>
        </c:manualLayout>
      </c:layout>
      <c:lineChart>
        <c:grouping val="standard"/>
        <c:varyColors val="0"/>
        <c:ser>
          <c:idx val="0"/>
          <c:order val="0"/>
          <c:tx>
            <c:strRef>
              <c:f>'Property crime'!$D$50</c:f>
              <c:strCache>
                <c:ptCount val="1"/>
                <c:pt idx="0">
                  <c:v>Residential burglary </c:v>
                </c:pt>
              </c:strCache>
            </c:strRef>
          </c:tx>
          <c:spPr>
            <a:ln w="3175"/>
          </c:spPr>
          <c:marker>
            <c:symbol val="none"/>
          </c:marker>
          <c:cat>
            <c:strRef>
              <c:f>'Property crime'!$E$49:$AD$49</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'Property crime'!$E$50:$AD$50</c:f>
              <c:numCache>
                <c:formatCode>0.0</c:formatCode>
                <c:ptCount val="26"/>
                <c:pt idx="0" formatCode="General">
                  <c:v>100</c:v>
                </c:pt>
                <c:pt idx="1">
                  <c:v>105.48091612038768</c:v>
                </c:pt>
                <c:pt idx="2">
                  <c:v>101.11583509516331</c:v>
                </c:pt>
                <c:pt idx="3">
                  <c:v>102.49725243188075</c:v>
                </c:pt>
                <c:pt idx="4">
                  <c:v>109.47374533538094</c:v>
                </c:pt>
                <c:pt idx="5">
                  <c:v>112.94335303465172</c:v>
                </c:pt>
                <c:pt idx="6">
                  <c:v>116.39466655259416</c:v>
                </c:pt>
                <c:pt idx="7">
                  <c:v>113.26054001237131</c:v>
                </c:pt>
                <c:pt idx="8">
                  <c:v>118.07616686151292</c:v>
                </c:pt>
                <c:pt idx="9">
                  <c:v>108.2212956039063</c:v>
                </c:pt>
                <c:pt idx="10">
                  <c:v>99.427335480106322</c:v>
                </c:pt>
                <c:pt idx="11">
                  <c:v>93.909185450930394</c:v>
                </c:pt>
                <c:pt idx="12">
                  <c:v>88.35749043677464</c:v>
                </c:pt>
                <c:pt idx="13">
                  <c:v>83.376060167275398</c:v>
                </c:pt>
                <c:pt idx="14">
                  <c:v>84.952674461325671</c:v>
                </c:pt>
                <c:pt idx="15">
                  <c:v>87.250505932441484</c:v>
                </c:pt>
                <c:pt idx="16">
                  <c:v>83.074155302457271</c:v>
                </c:pt>
                <c:pt idx="17">
                  <c:v>81.413678545957509</c:v>
                </c:pt>
                <c:pt idx="18">
                  <c:v>84.097277344340952</c:v>
                </c:pt>
                <c:pt idx="19">
                  <c:v>82.453741572649406</c:v>
                </c:pt>
                <c:pt idx="20">
                  <c:v>78.801772701902166</c:v>
                </c:pt>
                <c:pt idx="21">
                  <c:v>76.482565753927943</c:v>
                </c:pt>
                <c:pt idx="22">
                  <c:v>73.99396105531973</c:v>
                </c:pt>
                <c:pt idx="23">
                  <c:v>67.40935032743451</c:v>
                </c:pt>
                <c:pt idx="24">
                  <c:v>60.867678369867583</c:v>
                </c:pt>
                <c:pt idx="25">
                  <c:v>58.22133606195802</c:v>
                </c:pt>
              </c:numCache>
            </c:numRef>
          </c:val>
          <c:smooth val="0"/>
          <c:extLst>
            <c:ext xmlns:c16="http://schemas.microsoft.com/office/drawing/2014/chart" uri="{C3380CC4-5D6E-409C-BE32-E72D297353CC}">
              <c16:uniqueId val="{00000000-89E9-47B3-9E88-A942704A113C}"/>
            </c:ext>
          </c:extLst>
        </c:ser>
        <c:ser>
          <c:idx val="1"/>
          <c:order val="1"/>
          <c:tx>
            <c:strRef>
              <c:f>'Property crime'!$D$51</c:f>
              <c:strCache>
                <c:ptCount val="1"/>
                <c:pt idx="0">
                  <c:v>Non-residential burglary</c:v>
                </c:pt>
              </c:strCache>
            </c:strRef>
          </c:tx>
          <c:spPr>
            <a:ln w="3175"/>
          </c:spPr>
          <c:marker>
            <c:symbol val="none"/>
          </c:marker>
          <c:cat>
            <c:strRef>
              <c:f>'Property crime'!$E$49:$AD$49</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'Property crime'!$E$51:$AD$51</c:f>
              <c:numCache>
                <c:formatCode>0.0</c:formatCode>
                <c:ptCount val="26"/>
                <c:pt idx="0" formatCode="General">
                  <c:v>100</c:v>
                </c:pt>
                <c:pt idx="1">
                  <c:v>97.794780251285758</c:v>
                </c:pt>
                <c:pt idx="2">
                  <c:v>95.12714242206134</c:v>
                </c:pt>
                <c:pt idx="3">
                  <c:v>97.156422197850176</c:v>
                </c:pt>
                <c:pt idx="4">
                  <c:v>99.447336892176025</c:v>
                </c:pt>
                <c:pt idx="5">
                  <c:v>95.76309272861613</c:v>
                </c:pt>
                <c:pt idx="6">
                  <c:v>92.724193563794458</c:v>
                </c:pt>
                <c:pt idx="7">
                  <c:v>86.097520461271756</c:v>
                </c:pt>
                <c:pt idx="8">
                  <c:v>72.093106633233617</c:v>
                </c:pt>
                <c:pt idx="9">
                  <c:v>61.719548797772127</c:v>
                </c:pt>
                <c:pt idx="10">
                  <c:v>53.289054794520553</c:v>
                </c:pt>
                <c:pt idx="11">
                  <c:v>51.384292237442921</c:v>
                </c:pt>
                <c:pt idx="12">
                  <c:v>54.617958904109585</c:v>
                </c:pt>
                <c:pt idx="13">
                  <c:v>58.338890410958896</c:v>
                </c:pt>
                <c:pt idx="14">
                  <c:v>63.698803652968039</c:v>
                </c:pt>
                <c:pt idx="15">
                  <c:v>64.4518493150685</c:v>
                </c:pt>
                <c:pt idx="16">
                  <c:v>61.218182648401822</c:v>
                </c:pt>
                <c:pt idx="17">
                  <c:v>61.351073059360729</c:v>
                </c:pt>
                <c:pt idx="18">
                  <c:v>62.414196347031968</c:v>
                </c:pt>
                <c:pt idx="19">
                  <c:v>61.528260273972599</c:v>
                </c:pt>
                <c:pt idx="20">
                  <c:v>60.994491533165409</c:v>
                </c:pt>
                <c:pt idx="21">
                  <c:v>60.465136986301374</c:v>
                </c:pt>
                <c:pt idx="22">
                  <c:v>59.911209061529902</c:v>
                </c:pt>
                <c:pt idx="23">
                  <c:v>55.568741125486078</c:v>
                </c:pt>
                <c:pt idx="24">
                  <c:v>55.913824558101965</c:v>
                </c:pt>
                <c:pt idx="25">
                  <c:v>55.322866041106465</c:v>
                </c:pt>
              </c:numCache>
            </c:numRef>
          </c:val>
          <c:smooth val="0"/>
          <c:extLst>
            <c:ext xmlns:c16="http://schemas.microsoft.com/office/drawing/2014/chart" uri="{C3380CC4-5D6E-409C-BE32-E72D297353CC}">
              <c16:uniqueId val="{00000001-89E9-47B3-9E88-A942704A113C}"/>
            </c:ext>
          </c:extLst>
        </c:ser>
        <c:ser>
          <c:idx val="2"/>
          <c:order val="2"/>
          <c:tx>
            <c:strRef>
              <c:f>'Property crime'!$D$52</c:f>
              <c:strCache>
                <c:ptCount val="1"/>
                <c:pt idx="0">
                  <c:v>Theft of motot vehicle</c:v>
                </c:pt>
              </c:strCache>
            </c:strRef>
          </c:tx>
          <c:spPr>
            <a:ln w="3175"/>
          </c:spPr>
          <c:marker>
            <c:symbol val="none"/>
          </c:marker>
          <c:cat>
            <c:strRef>
              <c:f>'Property crime'!$E$49:$AD$49</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'Property crime'!$E$52:$AD$52</c:f>
              <c:numCache>
                <c:formatCode>0.0</c:formatCode>
                <c:ptCount val="26"/>
                <c:pt idx="0" formatCode="General">
                  <c:v>100</c:v>
                </c:pt>
                <c:pt idx="1">
                  <c:v>91.37823641369846</c:v>
                </c:pt>
                <c:pt idx="2">
                  <c:v>87.906554256134584</c:v>
                </c:pt>
                <c:pt idx="3">
                  <c:v>91.323113634307219</c:v>
                </c:pt>
                <c:pt idx="4">
                  <c:v>93.788084444023127</c:v>
                </c:pt>
                <c:pt idx="5">
                  <c:v>87.722166901447281</c:v>
                </c:pt>
                <c:pt idx="6">
                  <c:v>83.927999060242996</c:v>
                </c:pt>
                <c:pt idx="7">
                  <c:v>79.21112279579684</c:v>
                </c:pt>
                <c:pt idx="8">
                  <c:v>75.102753361132386</c:v>
                </c:pt>
                <c:pt idx="9">
                  <c:v>69.651674382855049</c:v>
                </c:pt>
                <c:pt idx="10">
                  <c:v>65.976366573153115</c:v>
                </c:pt>
                <c:pt idx="11">
                  <c:v>67.185933293660909</c:v>
                </c:pt>
                <c:pt idx="12">
                  <c:v>66.746090849839888</c:v>
                </c:pt>
                <c:pt idx="13">
                  <c:v>61.467981523987639</c:v>
                </c:pt>
                <c:pt idx="14">
                  <c:v>57.179517696732695</c:v>
                </c:pt>
                <c:pt idx="15">
                  <c:v>53.330896313298759</c:v>
                </c:pt>
                <c:pt idx="16">
                  <c:v>47.283062710759729</c:v>
                </c:pt>
                <c:pt idx="17">
                  <c:v>42.811331198579353</c:v>
                </c:pt>
                <c:pt idx="18">
                  <c:v>40.942000812340012</c:v>
                </c:pt>
                <c:pt idx="19">
                  <c:v>39.329245184996267</c:v>
                </c:pt>
                <c:pt idx="20">
                  <c:v>37.392042378843101</c:v>
                </c:pt>
                <c:pt idx="21">
                  <c:v>35.883812708398274</c:v>
                </c:pt>
                <c:pt idx="22">
                  <c:v>34.947059489607028</c:v>
                </c:pt>
                <c:pt idx="23">
                  <c:v>32.7201635998426</c:v>
                </c:pt>
                <c:pt idx="24">
                  <c:v>33.594804458872233</c:v>
                </c:pt>
                <c:pt idx="25">
                  <c:v>33.341478290733448</c:v>
                </c:pt>
              </c:numCache>
            </c:numRef>
          </c:val>
          <c:smooth val="0"/>
          <c:extLst>
            <c:ext xmlns:c16="http://schemas.microsoft.com/office/drawing/2014/chart" uri="{C3380CC4-5D6E-409C-BE32-E72D297353CC}">
              <c16:uniqueId val="{00000002-89E9-47B3-9E88-A942704A113C}"/>
            </c:ext>
          </c:extLst>
        </c:ser>
        <c:ser>
          <c:idx val="3"/>
          <c:order val="3"/>
          <c:tx>
            <c:strRef>
              <c:f>'Property crime'!$D$53</c:f>
              <c:strCache>
                <c:ptCount val="1"/>
                <c:pt idx="0">
                  <c:v>Theft out of or from motor vehicle</c:v>
                </c:pt>
              </c:strCache>
            </c:strRef>
          </c:tx>
          <c:spPr>
            <a:ln w="3175"/>
          </c:spPr>
          <c:marker>
            <c:symbol val="none"/>
          </c:marker>
          <c:cat>
            <c:strRef>
              <c:f>'Property crime'!$E$49:$AD$49</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'Property crime'!$E$53:$AD$53</c:f>
              <c:numCache>
                <c:formatCode>0.0</c:formatCode>
                <c:ptCount val="26"/>
                <c:pt idx="0" formatCode="General">
                  <c:v>100</c:v>
                </c:pt>
                <c:pt idx="1">
                  <c:v>102.57104747593395</c:v>
                </c:pt>
                <c:pt idx="2">
                  <c:v>91.082677376559531</c:v>
                </c:pt>
                <c:pt idx="3">
                  <c:v>92.111051584419741</c:v>
                </c:pt>
                <c:pt idx="4">
                  <c:v>95.764394829091486</c:v>
                </c:pt>
                <c:pt idx="5">
                  <c:v>96.047866012344528</c:v>
                </c:pt>
                <c:pt idx="6">
                  <c:v>97.140360834790172</c:v>
                </c:pt>
                <c:pt idx="7">
                  <c:v>94.09221413542204</c:v>
                </c:pt>
                <c:pt idx="8">
                  <c:v>91.204708866796736</c:v>
                </c:pt>
                <c:pt idx="9">
                  <c:v>78.462334910649645</c:v>
                </c:pt>
                <c:pt idx="10">
                  <c:v>67.464239476023494</c:v>
                </c:pt>
                <c:pt idx="11">
                  <c:v>62.766290553916463</c:v>
                </c:pt>
                <c:pt idx="12">
                  <c:v>55.380776257450904</c:v>
                </c:pt>
                <c:pt idx="13">
                  <c:v>49.391949478368517</c:v>
                </c:pt>
                <c:pt idx="14">
                  <c:v>47.614347183517211</c:v>
                </c:pt>
                <c:pt idx="15">
                  <c:v>51.867895531911415</c:v>
                </c:pt>
                <c:pt idx="16">
                  <c:v>52.100676784808599</c:v>
                </c:pt>
                <c:pt idx="17">
                  <c:v>54.576622838351497</c:v>
                </c:pt>
                <c:pt idx="18">
                  <c:v>56.544682521936871</c:v>
                </c:pt>
                <c:pt idx="19">
                  <c:v>57.433483669362531</c:v>
                </c:pt>
                <c:pt idx="20">
                  <c:v>56.961941108869205</c:v>
                </c:pt>
                <c:pt idx="21">
                  <c:v>53.666659758844283</c:v>
                </c:pt>
                <c:pt idx="22">
                  <c:v>52.298094787582741</c:v>
                </c:pt>
                <c:pt idx="23">
                  <c:v>48.165835541303949</c:v>
                </c:pt>
                <c:pt idx="24">
                  <c:v>44.72399948869127</c:v>
                </c:pt>
                <c:pt idx="25">
                  <c:v>46.806668037310679</c:v>
                </c:pt>
              </c:numCache>
            </c:numRef>
          </c:val>
          <c:smooth val="0"/>
          <c:extLst>
            <c:ext xmlns:c16="http://schemas.microsoft.com/office/drawing/2014/chart" uri="{C3380CC4-5D6E-409C-BE32-E72D297353CC}">
              <c16:uniqueId val="{00000003-89E9-47B3-9E88-A942704A113C}"/>
            </c:ext>
          </c:extLst>
        </c:ser>
        <c:ser>
          <c:idx val="4"/>
          <c:order val="4"/>
          <c:tx>
            <c:strRef>
              <c:f>'Property crime'!$D$54</c:f>
              <c:strCache>
                <c:ptCount val="1"/>
                <c:pt idx="0">
                  <c:v>Stock theft</c:v>
                </c:pt>
              </c:strCache>
            </c:strRef>
          </c:tx>
          <c:spPr>
            <a:ln w="3175"/>
          </c:spPr>
          <c:marker>
            <c:symbol val="none"/>
          </c:marker>
          <c:cat>
            <c:strRef>
              <c:f>'Property crime'!$E$49:$AD$49</c:f>
              <c:strCache>
                <c:ptCount val="26"/>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strCache>
            </c:strRef>
          </c:cat>
          <c:val>
            <c:numRef>
              <c:f>'Property crime'!$E$54:$AD$54</c:f>
              <c:numCache>
                <c:formatCode>0.0</c:formatCode>
                <c:ptCount val="26"/>
                <c:pt idx="0" formatCode="General">
                  <c:v>100</c:v>
                </c:pt>
                <c:pt idx="1">
                  <c:v>90.045231490445687</c:v>
                </c:pt>
                <c:pt idx="2">
                  <c:v>84.908469674078873</c:v>
                </c:pt>
                <c:pt idx="3">
                  <c:v>82.867899395716009</c:v>
                </c:pt>
                <c:pt idx="4">
                  <c:v>81.083510502579031</c:v>
                </c:pt>
                <c:pt idx="5">
                  <c:v>78.9628074766362</c:v>
                </c:pt>
                <c:pt idx="6">
                  <c:v>78.022545542964792</c:v>
                </c:pt>
                <c:pt idx="7">
                  <c:v>76.229593106363026</c:v>
                </c:pt>
                <c:pt idx="8">
                  <c:v>84.275620348399286</c:v>
                </c:pt>
                <c:pt idx="9">
                  <c:v>73.01694995365105</c:v>
                </c:pt>
                <c:pt idx="10">
                  <c:v>57.524486645378218</c:v>
                </c:pt>
                <c:pt idx="11">
                  <c:v>50.303153086471966</c:v>
                </c:pt>
                <c:pt idx="12">
                  <c:v>49.892850043352297</c:v>
                </c:pt>
                <c:pt idx="13">
                  <c:v>49.318425782984754</c:v>
                </c:pt>
                <c:pt idx="14">
                  <c:v>50.6313955209677</c:v>
                </c:pt>
                <c:pt idx="15">
                  <c:v>53.913819865925092</c:v>
                </c:pt>
                <c:pt idx="16">
                  <c:v>49.482547000232621</c:v>
                </c:pt>
                <c:pt idx="17">
                  <c:v>50.221092477848039</c:v>
                </c:pt>
                <c:pt idx="18">
                  <c:v>46.938668132890648</c:v>
                </c:pt>
                <c:pt idx="19">
                  <c:v>43.410061962061455</c:v>
                </c:pt>
                <c:pt idx="20">
                  <c:v>37.936462341650262</c:v>
                </c:pt>
                <c:pt idx="21">
                  <c:v>36.927273880770613</c:v>
                </c:pt>
                <c:pt idx="22">
                  <c:v>39.484787930622268</c:v>
                </c:pt>
                <c:pt idx="23">
                  <c:v>41.713263756182819</c:v>
                </c:pt>
                <c:pt idx="24">
                  <c:v>46.865899790666496</c:v>
                </c:pt>
                <c:pt idx="25">
                  <c:v>46.805855747426648</c:v>
                </c:pt>
              </c:numCache>
            </c:numRef>
          </c:val>
          <c:smooth val="0"/>
          <c:extLst>
            <c:ext xmlns:c16="http://schemas.microsoft.com/office/drawing/2014/chart" uri="{C3380CC4-5D6E-409C-BE32-E72D297353CC}">
              <c16:uniqueId val="{00000004-89E9-47B3-9E88-A942704A113C}"/>
            </c:ext>
          </c:extLst>
        </c:ser>
        <c:dLbls>
          <c:showLegendKey val="0"/>
          <c:showVal val="0"/>
          <c:showCatName val="0"/>
          <c:showSerName val="0"/>
          <c:showPercent val="0"/>
          <c:showBubbleSize val="0"/>
        </c:dLbls>
        <c:smooth val="0"/>
        <c:axId val="40205568"/>
        <c:axId val="266876592"/>
      </c:lineChart>
      <c:catAx>
        <c:axId val="40205568"/>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266876592"/>
        <c:crosses val="autoZero"/>
        <c:auto val="1"/>
        <c:lblAlgn val="ctr"/>
        <c:lblOffset val="100"/>
        <c:noMultiLvlLbl val="0"/>
      </c:catAx>
      <c:valAx>
        <c:axId val="266876592"/>
        <c:scaling>
          <c:orientation val="minMax"/>
        </c:scaling>
        <c:delete val="0"/>
        <c:axPos val="l"/>
        <c:majorGridlines>
          <c:spPr>
            <a:ln>
              <a:prstDash val="sysDash"/>
            </a:ln>
          </c:spPr>
        </c:majorGridlines>
        <c:numFmt formatCode="0" sourceLinked="0"/>
        <c:majorTickMark val="out"/>
        <c:minorTickMark val="none"/>
        <c:tickLblPos val="nextTo"/>
        <c:txPr>
          <a:bodyPr rot="0" vert="horz"/>
          <a:lstStyle/>
          <a:p>
            <a:pPr>
              <a:defRPr/>
            </a:pPr>
            <a:endParaRPr lang="en-US"/>
          </a:p>
        </c:txPr>
        <c:crossAx val="40205568"/>
        <c:crosses val="autoZero"/>
        <c:crossBetween val="midCat"/>
      </c:valAx>
      <c:spPr>
        <a:ln>
          <a:noFill/>
        </a:ln>
      </c:spPr>
    </c:plotArea>
    <c:legend>
      <c:legendPos val="r"/>
      <c:layout>
        <c:manualLayout>
          <c:xMode val="edge"/>
          <c:yMode val="edge"/>
          <c:x val="7.0789259560618392E-2"/>
          <c:y val="5.8679881737689357E-2"/>
          <c:w val="0.8201790073230345"/>
          <c:h val="6.3569871882496978E-2"/>
        </c:manualLayout>
      </c:layout>
      <c:overlay val="0"/>
    </c:legend>
    <c:plotVisOnly val="1"/>
    <c:dispBlanksAs val="gap"/>
    <c:showDLblsOverMax val="0"/>
  </c:chart>
  <c:txPr>
    <a:bodyPr/>
    <a:lstStyle/>
    <a:p>
      <a:pPr>
        <a:defRPr sz="800" b="0" i="0" u="none" strike="noStrike" baseline="0">
          <a:solidFill>
            <a:srgbClr val="000000"/>
          </a:solidFill>
          <a:latin typeface="Arial Narrow" pitchFamily="34" charset="0"/>
          <a:ea typeface="Calibri"/>
          <a:cs typeface="Calibri"/>
        </a:defRPr>
      </a:pPr>
      <a:endParaRPr lang="en-US"/>
    </a:p>
  </c:txPr>
  <c:printSettings>
    <c:headerFooter/>
    <c:pageMargins b="0.75000000000000511" l="0.70000000000000062" r="0.70000000000000062" t="0.7500000000000051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NET</a:t>
            </a:r>
            <a:r>
              <a:rPr lang="en-US" baseline="0"/>
              <a:t> </a:t>
            </a:r>
            <a:r>
              <a:rPr lang="en-US"/>
              <a:t>FOREIGN DIRECT INVESTMENT (NET FDI)</a:t>
            </a:r>
          </a:p>
        </c:rich>
      </c:tx>
      <c:layout>
        <c:manualLayout>
          <c:xMode val="edge"/>
          <c:yMode val="edge"/>
          <c:x val="4.2531069158523865E-2"/>
          <c:y val="2.3460325035128182E-2"/>
        </c:manualLayout>
      </c:layout>
      <c:overlay val="0"/>
      <c:spPr>
        <a:noFill/>
        <a:ln w="25400">
          <a:noFill/>
        </a:ln>
      </c:spPr>
    </c:title>
    <c:autoTitleDeleted val="0"/>
    <c:plotArea>
      <c:layout>
        <c:manualLayout>
          <c:layoutTarget val="inner"/>
          <c:xMode val="edge"/>
          <c:yMode val="edge"/>
          <c:x val="5.2741749118094934E-2"/>
          <c:y val="0.23612476470744187"/>
          <c:w val="0.90298077047153769"/>
          <c:h val="0.70087976539590002"/>
        </c:manualLayout>
      </c:layout>
      <c:lineChart>
        <c:grouping val="standard"/>
        <c:varyColors val="0"/>
        <c:ser>
          <c:idx val="0"/>
          <c:order val="0"/>
          <c:tx>
            <c:strRef>
              <c:f>'NFDI '!$D$8</c:f>
              <c:strCache>
                <c:ptCount val="1"/>
                <c:pt idx="0">
                  <c:v>FDI</c:v>
                </c:pt>
              </c:strCache>
            </c:strRef>
          </c:tx>
          <c:marker>
            <c:symbol val="none"/>
          </c:marker>
          <c:cat>
            <c:strRef>
              <c:extLst>
                <c:ext xmlns:c15="http://schemas.microsoft.com/office/drawing/2012/chart" uri="{02D57815-91ED-43cb-92C2-25804820EDAC}">
                  <c15:fullRef>
                    <c15:sqref>'NFDI '!$E$7:$AG$7</c15:sqref>
                  </c15:fullRef>
                </c:ext>
              </c:extLst>
              <c:f>'NFDI '!$R$7:$AG$7</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strCache>
            </c:strRef>
          </c:cat>
          <c:val>
            <c:numRef>
              <c:extLst>
                <c:ext xmlns:c15="http://schemas.microsoft.com/office/drawing/2012/chart" uri="{02D57815-91ED-43cb-92C2-25804820EDAC}">
                  <c15:fullRef>
                    <c15:sqref>'NFDI '!$E$8:$AG$8</c15:sqref>
                  </c15:fullRef>
                </c:ext>
              </c:extLst>
              <c:f>'NFDI '!$R$8:$AG$8</c:f>
              <c:numCache>
                <c:formatCode>#\ ##0.000</c:formatCode>
                <c:ptCount val="16"/>
                <c:pt idx="0" formatCode="#,##0.00">
                  <c:v>25.167000000000002</c:v>
                </c:pt>
                <c:pt idx="1" formatCode="#,##0.00">
                  <c:v>101.967</c:v>
                </c:pt>
                <c:pt idx="2" formatCode="#,##0.00">
                  <c:v>53.813000000000002</c:v>
                </c:pt>
                <c:pt idx="3" formatCode="#,##0.00">
                  <c:v>27.170999999999999</c:v>
                </c:pt>
                <c:pt idx="4" formatCode="#,##0.00">
                  <c:v>32.673000000000002</c:v>
                </c:pt>
                <c:pt idx="5" formatCode="#,##0.00">
                  <c:v>12.9</c:v>
                </c:pt>
                <c:pt idx="6" formatCode="#,##0.00">
                  <c:v>15.942</c:v>
                </c:pt>
                <c:pt idx="7" formatCode="#,##0.00">
                  <c:v>-20.606999999999999</c:v>
                </c:pt>
                <c:pt idx="8" formatCode="#,##0.00">
                  <c:v>-51.216999999999999</c:v>
                </c:pt>
                <c:pt idx="9" formatCode="#,##0.00">
                  <c:v>-32.942</c:v>
                </c:pt>
                <c:pt idx="10" formatCode="#,##0.00">
                  <c:v>-71.453000000000003</c:v>
                </c:pt>
                <c:pt idx="11" formatCode="#,##0.00">
                  <c:v>18.18</c:v>
                </c:pt>
                <c:pt idx="12" formatCode="#,##0.00">
                  <c:v>28.58</c:v>
                </c:pt>
                <c:pt idx="13" formatCode="#,##0.00">
                  <c:v>82.51</c:v>
                </c:pt>
                <c:pt idx="14" formatCode="#,##0.00">
                  <c:v>603.99</c:v>
                </c:pt>
                <c:pt idx="15" formatCode="#,##0.00">
                  <c:v>144.9</c:v>
                </c:pt>
              </c:numCache>
            </c:numRef>
          </c:val>
          <c:smooth val="0"/>
          <c:extLst>
            <c:ext xmlns:c16="http://schemas.microsoft.com/office/drawing/2014/chart" uri="{C3380CC4-5D6E-409C-BE32-E72D297353CC}">
              <c16:uniqueId val="{00000000-003B-43E3-AA22-91DFB69C5C1C}"/>
            </c:ext>
          </c:extLst>
        </c:ser>
        <c:dLbls>
          <c:showLegendKey val="0"/>
          <c:showVal val="0"/>
          <c:showCatName val="0"/>
          <c:showSerName val="0"/>
          <c:showPercent val="0"/>
          <c:showBubbleSize val="0"/>
        </c:dLbls>
        <c:smooth val="0"/>
        <c:axId val="399078104"/>
        <c:axId val="399073008"/>
      </c:lineChart>
      <c:catAx>
        <c:axId val="399078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99073008"/>
        <c:crossesAt val="-76.5"/>
        <c:auto val="1"/>
        <c:lblAlgn val="ctr"/>
        <c:lblOffset val="100"/>
        <c:tickLblSkip val="1"/>
        <c:tickMarkSkip val="1"/>
        <c:noMultiLvlLbl val="0"/>
      </c:catAx>
      <c:valAx>
        <c:axId val="399073008"/>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R'billion</a:t>
                </a:r>
              </a:p>
            </c:rich>
          </c:tx>
          <c:layout>
            <c:manualLayout>
              <c:xMode val="edge"/>
              <c:yMode val="edge"/>
              <c:x val="1.6597539765360655E-2"/>
              <c:y val="0.4721408308809883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99078104"/>
        <c:crosses val="autoZero"/>
        <c:crossBetween val="midCat"/>
        <c:majorUnit val="100"/>
        <c:minorUnit val="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horizontalDpi="0" verticalDpi="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23452403815377"/>
          <c:y val="5.4854727461392916E-2"/>
          <c:w val="0.8643628768964855"/>
          <c:h val="0.82491088323261919"/>
        </c:manualLayout>
      </c:layout>
      <c:lineChart>
        <c:grouping val="standard"/>
        <c:varyColors val="0"/>
        <c:ser>
          <c:idx val="0"/>
          <c:order val="0"/>
          <c:tx>
            <c:strRef>
              <c:f>'NFDI '!$D$8</c:f>
              <c:strCache>
                <c:ptCount val="1"/>
                <c:pt idx="0">
                  <c:v>FDI</c:v>
                </c:pt>
              </c:strCache>
            </c:strRef>
          </c:tx>
          <c:spPr>
            <a:ln w="3175">
              <a:solidFill>
                <a:srgbClr val="FF6600"/>
              </a:solidFill>
              <a:prstDash val="solid"/>
            </a:ln>
          </c:spPr>
          <c:marker>
            <c:symbol val="none"/>
          </c:marker>
          <c:cat>
            <c:strRef>
              <c:f>'NFDI '!$E$7:$AG$7</c:f>
              <c:strCach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strCache>
            </c:strRef>
          </c:cat>
          <c:val>
            <c:numRef>
              <c:f>'NFDI '!$E$8:$AG$8</c:f>
              <c:numCache>
                <c:formatCode>#\ ##0.000</c:formatCode>
                <c:ptCount val="29"/>
                <c:pt idx="0">
                  <c:v>-3.04</c:v>
                </c:pt>
                <c:pt idx="1">
                  <c:v>-4.5570000000000004</c:v>
                </c:pt>
                <c:pt idx="2">
                  <c:v>-0.97</c:v>
                </c:pt>
                <c:pt idx="3">
                  <c:v>6.7560000000000002</c:v>
                </c:pt>
                <c:pt idx="4">
                  <c:v>-6.7370000000000001</c:v>
                </c:pt>
                <c:pt idx="5">
                  <c:v>-0.47499999999999998</c:v>
                </c:pt>
                <c:pt idx="6">
                  <c:v>4.28</c:v>
                </c:pt>
                <c:pt idx="7" formatCode="#,##0.00">
                  <c:v>85.763000000000005</c:v>
                </c:pt>
                <c:pt idx="8" formatCode="#,##0.00">
                  <c:v>20.734999999999999</c:v>
                </c:pt>
                <c:pt idx="9" formatCode="#,##0.00">
                  <c:v>1.2749999999999999</c:v>
                </c:pt>
                <c:pt idx="10" formatCode="#,##0.00">
                  <c:v>-3.5659999999999998</c:v>
                </c:pt>
                <c:pt idx="11" formatCode="#,##0.00">
                  <c:v>36.353999999999999</c:v>
                </c:pt>
                <c:pt idx="12" formatCode="#,##0.00">
                  <c:v>-38.948999999999998</c:v>
                </c:pt>
                <c:pt idx="13" formatCode="#,##0.00">
                  <c:v>25.167000000000002</c:v>
                </c:pt>
                <c:pt idx="14" formatCode="#,##0.00">
                  <c:v>101.967</c:v>
                </c:pt>
                <c:pt idx="15" formatCode="#,##0.00">
                  <c:v>53.813000000000002</c:v>
                </c:pt>
                <c:pt idx="16" formatCode="#,##0.00">
                  <c:v>27.170999999999999</c:v>
                </c:pt>
                <c:pt idx="17" formatCode="#,##0.00">
                  <c:v>32.673000000000002</c:v>
                </c:pt>
                <c:pt idx="18" formatCode="#,##0.00">
                  <c:v>12.9</c:v>
                </c:pt>
                <c:pt idx="19" formatCode="#,##0.00">
                  <c:v>15.942</c:v>
                </c:pt>
                <c:pt idx="20" formatCode="#,##0.00">
                  <c:v>-20.606999999999999</c:v>
                </c:pt>
                <c:pt idx="21" formatCode="#,##0.00">
                  <c:v>-51.216999999999999</c:v>
                </c:pt>
                <c:pt idx="22" formatCode="#,##0.00">
                  <c:v>-32.942</c:v>
                </c:pt>
                <c:pt idx="23" formatCode="#,##0.00">
                  <c:v>-71.453000000000003</c:v>
                </c:pt>
                <c:pt idx="24" formatCode="#,##0.00">
                  <c:v>18.18</c:v>
                </c:pt>
                <c:pt idx="25" formatCode="#,##0.00">
                  <c:v>28.58</c:v>
                </c:pt>
                <c:pt idx="26" formatCode="#,##0.00">
                  <c:v>82.51</c:v>
                </c:pt>
                <c:pt idx="27" formatCode="#,##0.00">
                  <c:v>603.99</c:v>
                </c:pt>
                <c:pt idx="28" formatCode="#,##0.00">
                  <c:v>144.9</c:v>
                </c:pt>
              </c:numCache>
            </c:numRef>
          </c:val>
          <c:smooth val="0"/>
          <c:extLst>
            <c:ext xmlns:c16="http://schemas.microsoft.com/office/drawing/2014/chart" uri="{C3380CC4-5D6E-409C-BE32-E72D297353CC}">
              <c16:uniqueId val="{00000000-E2DA-440E-8834-D90EA59288ED}"/>
            </c:ext>
          </c:extLst>
        </c:ser>
        <c:dLbls>
          <c:showLegendKey val="0"/>
          <c:showVal val="0"/>
          <c:showCatName val="0"/>
          <c:showSerName val="0"/>
          <c:showPercent val="0"/>
          <c:showBubbleSize val="0"/>
        </c:dLbls>
        <c:smooth val="0"/>
        <c:axId val="399078496"/>
        <c:axId val="399079280"/>
      </c:lineChart>
      <c:catAx>
        <c:axId val="399078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079280"/>
        <c:crossesAt val="-76.5"/>
        <c:auto val="1"/>
        <c:lblAlgn val="ctr"/>
        <c:lblOffset val="100"/>
        <c:tickLblSkip val="1"/>
        <c:tickMarkSkip val="1"/>
        <c:noMultiLvlLbl val="0"/>
      </c:catAx>
      <c:valAx>
        <c:axId val="399079280"/>
        <c:scaling>
          <c:orientation val="minMax"/>
          <c:min val="-76.5"/>
        </c:scaling>
        <c:delete val="0"/>
        <c:axPos val="l"/>
        <c:majorGridlines>
          <c:spPr>
            <a:ln w="3175">
              <a:solidFill>
                <a:srgbClr val="969696"/>
              </a:solidFill>
              <a:prstDash val="sysDash"/>
            </a:ln>
          </c:spPr>
        </c:majorGridlines>
        <c:title>
          <c:tx>
            <c:rich>
              <a:bodyPr/>
              <a:lstStyle/>
              <a:p>
                <a:pPr>
                  <a:defRPr/>
                </a:pPr>
                <a:r>
                  <a:rPr lang="en-US"/>
                  <a:t>R'billion</a:t>
                </a:r>
              </a:p>
            </c:rich>
          </c:tx>
          <c:layout>
            <c:manualLayout>
              <c:xMode val="edge"/>
              <c:yMode val="edge"/>
              <c:x val="1.6597539765360655E-2"/>
              <c:y val="0.4721408308809883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399078496"/>
        <c:crosses val="autoZero"/>
        <c:crossBetween val="midCat"/>
        <c:majorUnit val="25.5"/>
        <c:minorUnit val="5.0999999999999996"/>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orientation="landscape" horizontalDpi="0" verticalDpi="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GROSS FIXED CAPITAL FORMATION AS PERCENTAGE OF GDP</a:t>
            </a:r>
          </a:p>
        </c:rich>
      </c:tx>
      <c:layout>
        <c:manualLayout>
          <c:xMode val="edge"/>
          <c:yMode val="edge"/>
          <c:x val="3.771668348064066E-2"/>
          <c:y val="3.5483799819140252E-2"/>
        </c:manualLayout>
      </c:layout>
      <c:overlay val="0"/>
      <c:spPr>
        <a:noFill/>
        <a:ln w="25400">
          <a:noFill/>
        </a:ln>
      </c:spPr>
    </c:title>
    <c:autoTitleDeleted val="0"/>
    <c:plotArea>
      <c:layout>
        <c:manualLayout>
          <c:layoutTarget val="inner"/>
          <c:xMode val="edge"/>
          <c:yMode val="edge"/>
          <c:x val="5.6407143518475172E-2"/>
          <c:y val="0.17803581707609406"/>
          <c:w val="0.91743210594268809"/>
          <c:h val="0.68642454228673744"/>
        </c:manualLayout>
      </c:layout>
      <c:lineChart>
        <c:grouping val="standard"/>
        <c:varyColors val="0"/>
        <c:ser>
          <c:idx val="0"/>
          <c:order val="0"/>
          <c:spPr>
            <a:ln w="25400">
              <a:solidFill>
                <a:srgbClr val="FF6600"/>
              </a:solidFill>
              <a:prstDash val="solid"/>
            </a:ln>
          </c:spPr>
          <c:marker>
            <c:symbol val="none"/>
          </c:marker>
          <c:cat>
            <c:strRef>
              <c:extLst>
                <c:ext xmlns:c15="http://schemas.microsoft.com/office/drawing/2012/chart" uri="{02D57815-91ED-43cb-92C2-25804820EDAC}">
                  <c15:fullRef>
                    <c15:sqref>'GFCF '!$E$7:$AG$7</c15:sqref>
                  </c15:fullRef>
                </c:ext>
              </c:extLst>
              <c:f>'GFCF '!$S$7:$AG$7</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extLst>
                <c:ext xmlns:c15="http://schemas.microsoft.com/office/drawing/2012/chart" uri="{02D57815-91ED-43cb-92C2-25804820EDAC}">
                  <c15:fullRef>
                    <c15:sqref>'GFCF '!$E$8:$AG$8</c15:sqref>
                  </c15:fullRef>
                </c:ext>
              </c:extLst>
              <c:f>'GFCF '!$S$8:$AG$8</c:f>
              <c:numCache>
                <c:formatCode>0.0</c:formatCode>
                <c:ptCount val="15"/>
                <c:pt idx="0">
                  <c:v>21.6</c:v>
                </c:pt>
                <c:pt idx="1">
                  <c:v>19.5</c:v>
                </c:pt>
                <c:pt idx="2">
                  <c:v>17.600000000000001</c:v>
                </c:pt>
                <c:pt idx="3">
                  <c:v>17.8</c:v>
                </c:pt>
                <c:pt idx="4" formatCode="_ * #\ ##0.0_ ;_ * \-#\ ##0.0_ ;_ * &quot;-&quot;??_ ;_ @_ ">
                  <c:v>17.899999999999999</c:v>
                </c:pt>
                <c:pt idx="5">
                  <c:v>18.600000000000001</c:v>
                </c:pt>
                <c:pt idx="6">
                  <c:v>18.3</c:v>
                </c:pt>
                <c:pt idx="7">
                  <c:v>18</c:v>
                </c:pt>
                <c:pt idx="8">
                  <c:v>17.399999999999999</c:v>
                </c:pt>
                <c:pt idx="9">
                  <c:v>16.399999999999999</c:v>
                </c:pt>
                <c:pt idx="10">
                  <c:v>15.9</c:v>
                </c:pt>
                <c:pt idx="11">
                  <c:v>15.4</c:v>
                </c:pt>
                <c:pt idx="12">
                  <c:v>13.8</c:v>
                </c:pt>
                <c:pt idx="13">
                  <c:v>13.1</c:v>
                </c:pt>
                <c:pt idx="14">
                  <c:v>14.1</c:v>
                </c:pt>
              </c:numCache>
            </c:numRef>
          </c:val>
          <c:smooth val="0"/>
          <c:extLst>
            <c:ext xmlns:c16="http://schemas.microsoft.com/office/drawing/2014/chart" uri="{C3380CC4-5D6E-409C-BE32-E72D297353CC}">
              <c16:uniqueId val="{00000000-2B87-40C4-92CB-36189EA991E8}"/>
            </c:ext>
          </c:extLst>
        </c:ser>
        <c:dLbls>
          <c:showLegendKey val="0"/>
          <c:showVal val="0"/>
          <c:showCatName val="0"/>
          <c:showSerName val="0"/>
          <c:showPercent val="0"/>
          <c:showBubbleSize val="0"/>
        </c:dLbls>
        <c:smooth val="0"/>
        <c:axId val="399078888"/>
        <c:axId val="399072616"/>
      </c:lineChart>
      <c:catAx>
        <c:axId val="399078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2616"/>
        <c:crosses val="autoZero"/>
        <c:auto val="1"/>
        <c:lblAlgn val="ctr"/>
        <c:lblOffset val="100"/>
        <c:tickLblSkip val="1"/>
        <c:tickMarkSkip val="1"/>
        <c:noMultiLvlLbl val="0"/>
      </c:catAx>
      <c:valAx>
        <c:axId val="399072616"/>
        <c:scaling>
          <c:orientation val="minMax"/>
          <c:min val="12"/>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 of GDP</a:t>
                </a:r>
              </a:p>
            </c:rich>
          </c:tx>
          <c:layout>
            <c:manualLayout>
              <c:xMode val="edge"/>
              <c:yMode val="edge"/>
              <c:x val="6.9327314027242612E-3"/>
              <c:y val="0.4258436281852203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8888"/>
        <c:crosses val="autoZero"/>
        <c:crossBetween val="between"/>
        <c:majorUnit val="1.5"/>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14317265219897"/>
          <c:y val="8.271110507738258E-2"/>
          <c:w val="0.86458661417322835"/>
          <c:h val="0.70761251826280336"/>
        </c:manualLayout>
      </c:layout>
      <c:lineChart>
        <c:grouping val="standard"/>
        <c:varyColors val="0"/>
        <c:ser>
          <c:idx val="0"/>
          <c:order val="0"/>
          <c:tx>
            <c:strRef>
              <c:f>'GFCF '!$B$36</c:f>
              <c:strCache>
                <c:ptCount val="1"/>
                <c:pt idx="0">
                  <c:v>%</c:v>
                </c:pt>
              </c:strCache>
            </c:strRef>
          </c:tx>
          <c:spPr>
            <a:ln w="15875">
              <a:solidFill>
                <a:srgbClr val="FF6600"/>
              </a:solidFill>
              <a:prstDash val="solid"/>
            </a:ln>
          </c:spPr>
          <c:marker>
            <c:symbol val="none"/>
          </c:marker>
          <c:cat>
            <c:multiLvlStrRef>
              <c:f>'GFCF '!$D$34:$CO$35</c:f>
              <c:multiLvlStrCache>
                <c:ptCount val="90"/>
                <c:lvl>
                  <c:pt idx="0">
                    <c:v>M</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8">
                    <c:v>S</c:v>
                  </c:pt>
                  <c:pt idx="29">
                    <c:v>D</c:v>
                  </c:pt>
                  <c:pt idx="30">
                    <c:v>M</c:v>
                  </c:pt>
                  <c:pt idx="31">
                    <c:v>J</c:v>
                  </c:pt>
                  <c:pt idx="32">
                    <c:v>S</c:v>
                  </c:pt>
                  <c:pt idx="33">
                    <c:v>D</c:v>
                  </c:pt>
                  <c:pt idx="34">
                    <c:v>M</c:v>
                  </c:pt>
                  <c:pt idx="35">
                    <c:v>J</c:v>
                  </c:pt>
                  <c:pt idx="36">
                    <c:v>S</c:v>
                  </c:pt>
                  <c:pt idx="37">
                    <c:v>D</c:v>
                  </c:pt>
                  <c:pt idx="38">
                    <c:v>M</c:v>
                  </c:pt>
                  <c:pt idx="39">
                    <c:v>J</c:v>
                  </c:pt>
                  <c:pt idx="40">
                    <c:v>S</c:v>
                  </c:pt>
                  <c:pt idx="41">
                    <c:v>D</c:v>
                  </c:pt>
                  <c:pt idx="42">
                    <c:v>M</c:v>
                  </c:pt>
                  <c:pt idx="43">
                    <c:v>J</c:v>
                  </c:pt>
                  <c:pt idx="44">
                    <c:v>S</c:v>
                  </c:pt>
                  <c:pt idx="45">
                    <c:v>D</c:v>
                  </c:pt>
                  <c:pt idx="46">
                    <c:v>M</c:v>
                  </c:pt>
                  <c:pt idx="47">
                    <c:v>J</c:v>
                  </c:pt>
                  <c:pt idx="48">
                    <c:v>S</c:v>
                  </c:pt>
                  <c:pt idx="49">
                    <c:v>D</c:v>
                  </c:pt>
                  <c:pt idx="50">
                    <c:v>M</c:v>
                  </c:pt>
                  <c:pt idx="51">
                    <c:v>J</c:v>
                  </c:pt>
                  <c:pt idx="52">
                    <c:v>S</c:v>
                  </c:pt>
                  <c:pt idx="53">
                    <c:v>D</c:v>
                  </c:pt>
                  <c:pt idx="54">
                    <c:v>M</c:v>
                  </c:pt>
                  <c:pt idx="55">
                    <c:v>J</c:v>
                  </c:pt>
                  <c:pt idx="56">
                    <c:v>S</c:v>
                  </c:pt>
                  <c:pt idx="57">
                    <c:v>D</c:v>
                  </c:pt>
                  <c:pt idx="58">
                    <c:v>M</c:v>
                  </c:pt>
                  <c:pt idx="59">
                    <c:v>J</c:v>
                  </c:pt>
                  <c:pt idx="60">
                    <c:v>S</c:v>
                  </c:pt>
                  <c:pt idx="61">
                    <c:v>D</c:v>
                  </c:pt>
                  <c:pt idx="62">
                    <c:v>M</c:v>
                  </c:pt>
                  <c:pt idx="63">
                    <c:v>J</c:v>
                  </c:pt>
                  <c:pt idx="64">
                    <c:v>S</c:v>
                  </c:pt>
                  <c:pt idx="65">
                    <c:v>D</c:v>
                  </c:pt>
                  <c:pt idx="66">
                    <c:v>M</c:v>
                  </c:pt>
                  <c:pt idx="67">
                    <c:v>J</c:v>
                  </c:pt>
                  <c:pt idx="68">
                    <c:v>S</c:v>
                  </c:pt>
                  <c:pt idx="69">
                    <c:v>D</c:v>
                  </c:pt>
                  <c:pt idx="70">
                    <c:v>M</c:v>
                  </c:pt>
                  <c:pt idx="71">
                    <c:v>J</c:v>
                  </c:pt>
                  <c:pt idx="72">
                    <c:v>S</c:v>
                  </c:pt>
                  <c:pt idx="73">
                    <c:v>D</c:v>
                  </c:pt>
                  <c:pt idx="74">
                    <c:v>M</c:v>
                  </c:pt>
                  <c:pt idx="75">
                    <c:v>J</c:v>
                  </c:pt>
                  <c:pt idx="76">
                    <c:v>S</c:v>
                  </c:pt>
                  <c:pt idx="77">
                    <c:v>D</c:v>
                  </c:pt>
                  <c:pt idx="78">
                    <c:v>M</c:v>
                  </c:pt>
                  <c:pt idx="79">
                    <c:v>J</c:v>
                  </c:pt>
                  <c:pt idx="80">
                    <c:v>S</c:v>
                  </c:pt>
                  <c:pt idx="81">
                    <c:v>D</c:v>
                  </c:pt>
                  <c:pt idx="82">
                    <c:v>M</c:v>
                  </c:pt>
                  <c:pt idx="83">
                    <c:v>J</c:v>
                  </c:pt>
                  <c:pt idx="84">
                    <c:v>S</c:v>
                  </c:pt>
                  <c:pt idx="85">
                    <c:v>D</c:v>
                  </c:pt>
                  <c:pt idx="86">
                    <c:v>M</c:v>
                  </c:pt>
                  <c:pt idx="87">
                    <c:v>J</c:v>
                  </c:pt>
                  <c:pt idx="88">
                    <c:v>S</c:v>
                  </c:pt>
                  <c:pt idx="89">
                    <c:v>D</c:v>
                  </c:pt>
                </c:lvl>
                <c:lvl>
                  <c:pt idx="0">
                    <c:v>1994</c:v>
                  </c:pt>
                  <c:pt idx="4">
                    <c:v>1995</c:v>
                  </c:pt>
                  <c:pt idx="8">
                    <c:v>1996</c:v>
                  </c:pt>
                  <c:pt idx="12">
                    <c:v>1997</c:v>
                  </c:pt>
                  <c:pt idx="16">
                    <c:v>1998</c:v>
                  </c:pt>
                  <c:pt idx="20">
                    <c:v>1999</c:v>
                  </c:pt>
                  <c:pt idx="24">
                    <c:v>2000</c:v>
                  </c:pt>
                  <c:pt idx="30">
                    <c:v>2001</c:v>
                  </c:pt>
                  <c:pt idx="34">
                    <c:v>2002</c:v>
                  </c:pt>
                  <c:pt idx="38">
                    <c:v>2003</c:v>
                  </c:pt>
                  <c:pt idx="42">
                    <c:v>2004</c:v>
                  </c:pt>
                  <c:pt idx="46">
                    <c:v>2005</c:v>
                  </c:pt>
                  <c:pt idx="50">
                    <c:v>2006</c:v>
                  </c:pt>
                  <c:pt idx="54">
                    <c:v>2007</c:v>
                  </c:pt>
                  <c:pt idx="58">
                    <c:v>2008</c:v>
                  </c:pt>
                  <c:pt idx="62">
                    <c:v>2009</c:v>
                  </c:pt>
                  <c:pt idx="66">
                    <c:v>2010</c:v>
                  </c:pt>
                  <c:pt idx="70">
                    <c:v>2011</c:v>
                  </c:pt>
                  <c:pt idx="74">
                    <c:v>2012</c:v>
                  </c:pt>
                  <c:pt idx="78">
                    <c:v>2013</c:v>
                  </c:pt>
                  <c:pt idx="82">
                    <c:v>2014</c:v>
                  </c:pt>
                  <c:pt idx="86">
                    <c:v>2015</c:v>
                  </c:pt>
                </c:lvl>
              </c:multiLvlStrCache>
            </c:multiLvlStrRef>
          </c:cat>
          <c:val>
            <c:numRef>
              <c:f>'GFCF '!$D$36:$CO$36</c:f>
              <c:numCache>
                <c:formatCode>0.00</c:formatCode>
                <c:ptCount val="90"/>
                <c:pt idx="0">
                  <c:v>15.7</c:v>
                </c:pt>
                <c:pt idx="2">
                  <c:v>16.399999999999999</c:v>
                </c:pt>
                <c:pt idx="3">
                  <c:v>16.2</c:v>
                </c:pt>
                <c:pt idx="4">
                  <c:v>16.8</c:v>
                </c:pt>
                <c:pt idx="5">
                  <c:v>17.399999999999999</c:v>
                </c:pt>
                <c:pt idx="6">
                  <c:v>17</c:v>
                </c:pt>
                <c:pt idx="7">
                  <c:v>16.7</c:v>
                </c:pt>
                <c:pt idx="8">
                  <c:v>17.100000000000001</c:v>
                </c:pt>
                <c:pt idx="9">
                  <c:v>17.2</c:v>
                </c:pt>
                <c:pt idx="10">
                  <c:v>17.3</c:v>
                </c:pt>
                <c:pt idx="11">
                  <c:v>17.2</c:v>
                </c:pt>
                <c:pt idx="12">
                  <c:v>17.7</c:v>
                </c:pt>
                <c:pt idx="13">
                  <c:v>17.600000000000001</c:v>
                </c:pt>
                <c:pt idx="14">
                  <c:v>17.5</c:v>
                </c:pt>
                <c:pt idx="15">
                  <c:v>17.399999999999999</c:v>
                </c:pt>
                <c:pt idx="16">
                  <c:v>17.8</c:v>
                </c:pt>
                <c:pt idx="17">
                  <c:v>17.7</c:v>
                </c:pt>
                <c:pt idx="18">
                  <c:v>18.3</c:v>
                </c:pt>
                <c:pt idx="19">
                  <c:v>18.5</c:v>
                </c:pt>
                <c:pt idx="20">
                  <c:v>16.899999999999999</c:v>
                </c:pt>
                <c:pt idx="21">
                  <c:v>16.3</c:v>
                </c:pt>
                <c:pt idx="22">
                  <c:v>15.8</c:v>
                </c:pt>
                <c:pt idx="23">
                  <c:v>15.6</c:v>
                </c:pt>
                <c:pt idx="24">
                  <c:v>15.8</c:v>
                </c:pt>
                <c:pt idx="25">
                  <c:v>15.7</c:v>
                </c:pt>
                <c:pt idx="28">
                  <c:v>15.4</c:v>
                </c:pt>
                <c:pt idx="29">
                  <c:v>15.6</c:v>
                </c:pt>
                <c:pt idx="30">
                  <c:v>15.6</c:v>
                </c:pt>
                <c:pt idx="31">
                  <c:v>15.5</c:v>
                </c:pt>
                <c:pt idx="32">
                  <c:v>15.6</c:v>
                </c:pt>
                <c:pt idx="33">
                  <c:v>15.3</c:v>
                </c:pt>
                <c:pt idx="34">
                  <c:v>15.1</c:v>
                </c:pt>
                <c:pt idx="35">
                  <c:v>15</c:v>
                </c:pt>
                <c:pt idx="36">
                  <c:v>15.1</c:v>
                </c:pt>
                <c:pt idx="37">
                  <c:v>15.4</c:v>
                </c:pt>
                <c:pt idx="38">
                  <c:v>15.5</c:v>
                </c:pt>
                <c:pt idx="39">
                  <c:v>15.9</c:v>
                </c:pt>
                <c:pt idx="40">
                  <c:v>16</c:v>
                </c:pt>
                <c:pt idx="41">
                  <c:v>16.399999999999999</c:v>
                </c:pt>
                <c:pt idx="42">
                  <c:v>16.2</c:v>
                </c:pt>
                <c:pt idx="43">
                  <c:v>16.2</c:v>
                </c:pt>
                <c:pt idx="44">
                  <c:v>16.600000000000001</c:v>
                </c:pt>
                <c:pt idx="45">
                  <c:v>16.7</c:v>
                </c:pt>
                <c:pt idx="46">
                  <c:v>16.8</c:v>
                </c:pt>
                <c:pt idx="47">
                  <c:v>16.899999999999999</c:v>
                </c:pt>
                <c:pt idx="48">
                  <c:v>17.399999999999999</c:v>
                </c:pt>
                <c:pt idx="49">
                  <c:v>17.8</c:v>
                </c:pt>
                <c:pt idx="50">
                  <c:v>18.399999999999999</c:v>
                </c:pt>
                <c:pt idx="51">
                  <c:v>18.600000000000001</c:v>
                </c:pt>
                <c:pt idx="52">
                  <c:v>19</c:v>
                </c:pt>
                <c:pt idx="53">
                  <c:v>19.600000000000001</c:v>
                </c:pt>
                <c:pt idx="54">
                  <c:v>20.3</c:v>
                </c:pt>
                <c:pt idx="55">
                  <c:v>20.8</c:v>
                </c:pt>
                <c:pt idx="56">
                  <c:v>20.9</c:v>
                </c:pt>
                <c:pt idx="57">
                  <c:v>20.6</c:v>
                </c:pt>
                <c:pt idx="58">
                  <c:v>21.5</c:v>
                </c:pt>
                <c:pt idx="59">
                  <c:v>22.8</c:v>
                </c:pt>
                <c:pt idx="60">
                  <c:v>24.4</c:v>
                </c:pt>
                <c:pt idx="61">
                  <c:v>25.1</c:v>
                </c:pt>
                <c:pt idx="62">
                  <c:v>23.1</c:v>
                </c:pt>
                <c:pt idx="63">
                  <c:v>21.9</c:v>
                </c:pt>
                <c:pt idx="64">
                  <c:v>20.8</c:v>
                </c:pt>
                <c:pt idx="65">
                  <c:v>20.3</c:v>
                </c:pt>
                <c:pt idx="66">
                  <c:v>20</c:v>
                </c:pt>
                <c:pt idx="67">
                  <c:v>19.399999999999999</c:v>
                </c:pt>
                <c:pt idx="68">
                  <c:v>19.100000000000001</c:v>
                </c:pt>
                <c:pt idx="69">
                  <c:v>18.7</c:v>
                </c:pt>
                <c:pt idx="70">
                  <c:v>18.600000000000001</c:v>
                </c:pt>
                <c:pt idx="71">
                  <c:v>18.7</c:v>
                </c:pt>
                <c:pt idx="72">
                  <c:v>18.7</c:v>
                </c:pt>
                <c:pt idx="73">
                  <c:v>18.899999999999999</c:v>
                </c:pt>
                <c:pt idx="74">
                  <c:v>18.8</c:v>
                </c:pt>
                <c:pt idx="75" formatCode="General">
                  <c:v>18.7</c:v>
                </c:pt>
                <c:pt idx="76" formatCode="General">
                  <c:v>18.899999999999999</c:v>
                </c:pt>
                <c:pt idx="77" formatCode="General">
                  <c:v>18.8</c:v>
                </c:pt>
                <c:pt idx="78" formatCode="General">
                  <c:v>19.2</c:v>
                </c:pt>
                <c:pt idx="79" formatCode="General">
                  <c:v>19.8</c:v>
                </c:pt>
                <c:pt idx="80" formatCode="General">
                  <c:v>20.399999999999999</c:v>
                </c:pt>
                <c:pt idx="81" formatCode="General">
                  <c:v>20.7</c:v>
                </c:pt>
                <c:pt idx="82" formatCode="General">
                  <c:v>20.2</c:v>
                </c:pt>
                <c:pt idx="83" formatCode="General">
                  <c:v>20.399999999999999</c:v>
                </c:pt>
                <c:pt idx="84" formatCode="General">
                  <c:v>20.3</c:v>
                </c:pt>
                <c:pt idx="85" formatCode="General">
                  <c:v>20.100000000000001</c:v>
                </c:pt>
              </c:numCache>
            </c:numRef>
          </c:val>
          <c:smooth val="0"/>
          <c:extLst>
            <c:ext xmlns:c16="http://schemas.microsoft.com/office/drawing/2014/chart" uri="{C3380CC4-5D6E-409C-BE32-E72D297353CC}">
              <c16:uniqueId val="{00000000-66C2-4417-B384-24113939505D}"/>
            </c:ext>
          </c:extLst>
        </c:ser>
        <c:dLbls>
          <c:showLegendKey val="0"/>
          <c:showVal val="0"/>
          <c:showCatName val="0"/>
          <c:showSerName val="0"/>
          <c:showPercent val="0"/>
          <c:showBubbleSize val="0"/>
        </c:dLbls>
        <c:smooth val="0"/>
        <c:axId val="399079672"/>
        <c:axId val="399073400"/>
      </c:lineChart>
      <c:catAx>
        <c:axId val="399079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3400"/>
        <c:crosses val="autoZero"/>
        <c:auto val="1"/>
        <c:lblAlgn val="ctr"/>
        <c:lblOffset val="100"/>
        <c:tickLblSkip val="1"/>
        <c:tickMarkSkip val="1"/>
        <c:noMultiLvlLbl val="0"/>
      </c:catAx>
      <c:valAx>
        <c:axId val="399073400"/>
        <c:scaling>
          <c:orientation val="minMax"/>
          <c:min val="12"/>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 of GDP</a:t>
                </a:r>
              </a:p>
            </c:rich>
          </c:tx>
          <c:layout>
            <c:manualLayout>
              <c:xMode val="edge"/>
              <c:yMode val="edge"/>
              <c:x val="1.5290437607466673E-2"/>
              <c:y val="0.4064524287405250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9672"/>
        <c:crosses val="autoZero"/>
        <c:crossBetween val="between"/>
        <c:majorUnit val="1.5"/>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ZA"/>
              <a:t>TAX REGISTER AND REVENUE COLLECTION</a:t>
            </a:r>
          </a:p>
        </c:rich>
      </c:tx>
      <c:overlay val="0"/>
      <c:spPr>
        <a:noFill/>
        <a:ln w="25400">
          <a:noFill/>
        </a:ln>
      </c:spPr>
    </c:title>
    <c:autoTitleDeleted val="0"/>
    <c:plotArea>
      <c:layout/>
      <c:barChart>
        <c:barDir val="col"/>
        <c:grouping val="clustered"/>
        <c:varyColors val="0"/>
        <c:ser>
          <c:idx val="1"/>
          <c:order val="0"/>
          <c:spPr>
            <a:solidFill>
              <a:srgbClr val="FF6600"/>
            </a:solidFill>
            <a:ln w="12700">
              <a:solidFill>
                <a:srgbClr val="000000"/>
              </a:solidFill>
              <a:prstDash val="solid"/>
            </a:ln>
          </c:spPr>
          <c:invertIfNegative val="0"/>
          <c:val>
            <c:numLit>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numLit>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Lit>
                </c15:cat>
              </c15:filteredCategoryTitle>
            </c:ext>
            <c:ext xmlns:c16="http://schemas.microsoft.com/office/drawing/2014/chart" uri="{C3380CC4-5D6E-409C-BE32-E72D297353CC}">
              <c16:uniqueId val="{00000000-8FB1-4ED5-AE60-ADF3913C3D7F}"/>
            </c:ext>
          </c:extLst>
        </c:ser>
        <c:dLbls>
          <c:showLegendKey val="0"/>
          <c:showVal val="0"/>
          <c:showCatName val="0"/>
          <c:showSerName val="0"/>
          <c:showPercent val="0"/>
          <c:showBubbleSize val="0"/>
        </c:dLbls>
        <c:gapWidth val="150"/>
        <c:axId val="532766208"/>
        <c:axId val="532766600"/>
      </c:barChart>
      <c:lineChart>
        <c:grouping val="standard"/>
        <c:varyColors val="0"/>
        <c:ser>
          <c:idx val="0"/>
          <c:order val="1"/>
          <c:spPr>
            <a:ln w="25400">
              <a:solidFill>
                <a:srgbClr val="993300"/>
              </a:solidFill>
              <a:prstDash val="solid"/>
            </a:ln>
          </c:spPr>
          <c:marker>
            <c:symbol val="none"/>
          </c:marker>
          <c:val>
            <c:numLit>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Lit>
          </c:val>
          <c:smooth val="0"/>
          <c:extLst>
            <c:ext xmlns:c15="http://schemas.microsoft.com/office/drawing/2012/chart" uri="{02D57815-91ED-43cb-92C2-25804820EDAC}">
              <c15:filteredSeriesTitle>
                <c15:tx>
                  <c:v>#REF!</c:v>
                </c15:tx>
              </c15:filteredSeriesTitle>
            </c:ext>
            <c:ext xmlns:c16="http://schemas.microsoft.com/office/drawing/2014/chart" uri="{C3380CC4-5D6E-409C-BE32-E72D297353CC}">
              <c16:uniqueId val="{00000001-8FB1-4ED5-AE60-ADF3913C3D7F}"/>
            </c:ext>
          </c:extLst>
        </c:ser>
        <c:dLbls>
          <c:showLegendKey val="0"/>
          <c:showVal val="0"/>
          <c:showCatName val="0"/>
          <c:showSerName val="0"/>
          <c:showPercent val="0"/>
          <c:showBubbleSize val="0"/>
        </c:dLbls>
        <c:marker val="1"/>
        <c:smooth val="0"/>
        <c:axId val="532774440"/>
        <c:axId val="532770128"/>
      </c:lineChart>
      <c:catAx>
        <c:axId val="532766208"/>
        <c:scaling>
          <c:orientation val="minMax"/>
        </c:scaling>
        <c:delete val="0"/>
        <c:axPos val="b"/>
        <c:title>
          <c:tx>
            <c:rich>
              <a:bodyPr/>
              <a:lstStyle/>
              <a:p>
                <a:pPr>
                  <a:defRPr sz="800" b="0" i="0" u="none" strike="noStrike" baseline="0">
                    <a:solidFill>
                      <a:srgbClr val="000000"/>
                    </a:solidFill>
                    <a:latin typeface="Arial"/>
                    <a:ea typeface="Arial"/>
                    <a:cs typeface="Arial"/>
                  </a:defRPr>
                </a:pPr>
                <a:r>
                  <a:rPr lang="en-ZA"/>
                  <a:t>Year</a:t>
                </a:r>
              </a:p>
            </c:rich>
          </c:tx>
          <c:layout>
            <c:manualLayout>
              <c:xMode val="edge"/>
              <c:yMode val="edge"/>
              <c:x val="0.48318409189883155"/>
              <c:y val="0.78647686832740216"/>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6600"/>
        <c:crosses val="autoZero"/>
        <c:auto val="0"/>
        <c:lblAlgn val="ctr"/>
        <c:lblOffset val="100"/>
        <c:tickLblSkip val="1"/>
        <c:tickMarkSkip val="1"/>
        <c:noMultiLvlLbl val="0"/>
      </c:catAx>
      <c:valAx>
        <c:axId val="532766600"/>
        <c:scaling>
          <c:orientation val="minMax"/>
          <c:max val="7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R'billion</a:t>
                </a:r>
              </a:p>
            </c:rich>
          </c:tx>
          <c:layout>
            <c:manualLayout>
              <c:xMode val="edge"/>
              <c:yMode val="edge"/>
              <c:x val="1.7937219730941704E-2"/>
              <c:y val="0.313167259786476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6208"/>
        <c:crosses val="autoZero"/>
        <c:crossBetween val="between"/>
      </c:valAx>
      <c:catAx>
        <c:axId val="532774440"/>
        <c:scaling>
          <c:orientation val="minMax"/>
        </c:scaling>
        <c:delete val="1"/>
        <c:axPos val="b"/>
        <c:majorTickMark val="out"/>
        <c:minorTickMark val="none"/>
        <c:tickLblPos val="none"/>
        <c:crossAx val="532770128"/>
        <c:crosses val="autoZero"/>
        <c:auto val="0"/>
        <c:lblAlgn val="ctr"/>
        <c:lblOffset val="100"/>
        <c:noMultiLvlLbl val="0"/>
      </c:catAx>
      <c:valAx>
        <c:axId val="532770128"/>
        <c:scaling>
          <c:orientation val="minMax"/>
          <c:max val="9000000"/>
        </c:scaling>
        <c:delete val="0"/>
        <c:axPos val="r"/>
        <c:title>
          <c:tx>
            <c:rich>
              <a:bodyPr/>
              <a:lstStyle/>
              <a:p>
                <a:pPr>
                  <a:defRPr sz="800" b="0" i="0" u="none" strike="noStrike" baseline="0">
                    <a:solidFill>
                      <a:srgbClr val="000000"/>
                    </a:solidFill>
                    <a:latin typeface="Arial"/>
                    <a:ea typeface="Arial"/>
                    <a:cs typeface="Arial"/>
                  </a:defRPr>
                </a:pPr>
                <a:r>
                  <a:rPr lang="en-ZA"/>
                  <a:t>Number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74440"/>
        <c:crosses val="max"/>
        <c:crossBetween val="between"/>
      </c:valAx>
      <c:spPr>
        <a:solidFill>
          <a:srgbClr val="FFFFFF"/>
        </a:solidFill>
        <a:ln w="25400">
          <a:noFill/>
        </a:ln>
      </c:spPr>
    </c:plotArea>
    <c:legend>
      <c:legendPos val="r"/>
      <c:overlay val="0"/>
      <c:spPr>
        <a:solidFill>
          <a:srgbClr val="FFFFFF"/>
        </a:solidFill>
        <a:ln w="25400">
          <a:noFill/>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66" r="0.75000000000000566" t="1" header="0.5" footer="0.5"/>
    <c:pageSetup paperSize="9" orientation="landscape" horizontalDpi="-4"/>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BUDGET BALANCE AS A PERCENTAGE OF GDP</a:t>
            </a:r>
          </a:p>
        </c:rich>
      </c:tx>
      <c:layout>
        <c:manualLayout>
          <c:xMode val="edge"/>
          <c:yMode val="edge"/>
          <c:x val="4.8215959358378158E-3"/>
          <c:y val="3.4161455411741079E-2"/>
        </c:manualLayout>
      </c:layout>
      <c:overlay val="0"/>
      <c:spPr>
        <a:noFill/>
        <a:ln w="25400">
          <a:noFill/>
        </a:ln>
      </c:spPr>
    </c:title>
    <c:autoTitleDeleted val="0"/>
    <c:plotArea>
      <c:layout>
        <c:manualLayout>
          <c:layoutTarget val="inner"/>
          <c:xMode val="edge"/>
          <c:yMode val="edge"/>
          <c:x val="6.3645130183220835E-2"/>
          <c:y val="0.18633568628640537"/>
          <c:w val="0.92285438765670202"/>
          <c:h val="0.68633644448825148"/>
        </c:manualLayout>
      </c:layout>
      <c:lineChart>
        <c:grouping val="standard"/>
        <c:varyColors val="0"/>
        <c:ser>
          <c:idx val="0"/>
          <c:order val="0"/>
          <c:tx>
            <c:strRef>
              <c:f>'Budget Balance'!$D$8</c:f>
              <c:strCache>
                <c:ptCount val="1"/>
                <c:pt idx="0">
                  <c:v>Budget Deficit</c:v>
                </c:pt>
              </c:strCache>
            </c:strRef>
          </c:tx>
          <c:spPr>
            <a:ln w="25400">
              <a:solidFill>
                <a:srgbClr val="FF6600"/>
              </a:solidFill>
              <a:prstDash val="solid"/>
            </a:ln>
          </c:spPr>
          <c:marker>
            <c:symbol val="none"/>
          </c:marker>
          <c:cat>
            <c:strRef>
              <c:extLst>
                <c:ext xmlns:c15="http://schemas.microsoft.com/office/drawing/2012/chart" uri="{02D57815-91ED-43cb-92C2-25804820EDAC}">
                  <c15:fullRef>
                    <c15:sqref>'Budget Balance'!$E$7:$AH$7</c15:sqref>
                  </c15:fullRef>
                </c:ext>
              </c:extLst>
              <c:f>'Budget Balance'!$T$7:$AH$7</c:f>
              <c:strCache>
                <c:ptCount val="15"/>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strCache>
            </c:strRef>
          </c:cat>
          <c:val>
            <c:numRef>
              <c:extLst>
                <c:ext xmlns:c15="http://schemas.microsoft.com/office/drawing/2012/chart" uri="{02D57815-91ED-43cb-92C2-25804820EDAC}">
                  <c15:fullRef>
                    <c15:sqref>'Budget Balance'!$E$8:$AH$8</c15:sqref>
                  </c15:fullRef>
                </c:ext>
              </c:extLst>
              <c:f>'Budget Balance'!$T$8:$AH$8</c:f>
              <c:numCache>
                <c:formatCode>General</c:formatCode>
                <c:ptCount val="15"/>
                <c:pt idx="0" formatCode="0.0">
                  <c:v>-1</c:v>
                </c:pt>
                <c:pt idx="1">
                  <c:v>-6.3</c:v>
                </c:pt>
                <c:pt idx="2">
                  <c:v>-4.7</c:v>
                </c:pt>
                <c:pt idx="3">
                  <c:v>-4.7</c:v>
                </c:pt>
                <c:pt idx="4" formatCode="0.0">
                  <c:v>-5</c:v>
                </c:pt>
                <c:pt idx="5" formatCode="#\ ##0.0">
                  <c:v>-4.4000000000000004</c:v>
                </c:pt>
                <c:pt idx="6" formatCode="#\ ##0.0">
                  <c:v>-4.3</c:v>
                </c:pt>
                <c:pt idx="7" formatCode="#\ ##0.0">
                  <c:v>-3.7</c:v>
                </c:pt>
                <c:pt idx="8" formatCode="#\ ##0.0">
                  <c:v>-3.5</c:v>
                </c:pt>
                <c:pt idx="9" formatCode="#\ ##0.0">
                  <c:v>-4.0999999999999996</c:v>
                </c:pt>
                <c:pt idx="10" formatCode="#\ ##0.0">
                  <c:v>-4.3</c:v>
                </c:pt>
                <c:pt idx="11" formatCode="#\ ##0.0">
                  <c:v>-6.1</c:v>
                </c:pt>
                <c:pt idx="12" formatCode="#\ ##0.0">
                  <c:v>-9.8000000000000007</c:v>
                </c:pt>
                <c:pt idx="13" formatCode="#\ ##0.0">
                  <c:v>-5.0999999999999996</c:v>
                </c:pt>
                <c:pt idx="14" formatCode="#\ ##0.0">
                  <c:v>-4.2</c:v>
                </c:pt>
              </c:numCache>
            </c:numRef>
          </c:val>
          <c:smooth val="0"/>
          <c:extLst>
            <c:ext xmlns:c16="http://schemas.microsoft.com/office/drawing/2014/chart" uri="{C3380CC4-5D6E-409C-BE32-E72D297353CC}">
              <c16:uniqueId val="{00000000-ECEF-4C18-B639-B3504972AD9C}"/>
            </c:ext>
          </c:extLst>
        </c:ser>
        <c:dLbls>
          <c:showLegendKey val="0"/>
          <c:showVal val="0"/>
          <c:showCatName val="0"/>
          <c:showSerName val="0"/>
          <c:showPercent val="0"/>
          <c:showBubbleSize val="0"/>
        </c:dLbls>
        <c:smooth val="0"/>
        <c:axId val="399509248"/>
        <c:axId val="399512776"/>
      </c:lineChart>
      <c:catAx>
        <c:axId val="399509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12776"/>
        <c:crossesAt val="-10.5"/>
        <c:auto val="1"/>
        <c:lblAlgn val="ctr"/>
        <c:lblOffset val="100"/>
        <c:tickLblSkip val="1"/>
        <c:tickMarkSkip val="1"/>
        <c:noMultiLvlLbl val="0"/>
      </c:catAx>
      <c:valAx>
        <c:axId val="399512776"/>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 of GDP</a:t>
                </a:r>
              </a:p>
            </c:rich>
          </c:tx>
          <c:layout>
            <c:manualLayout>
              <c:xMode val="edge"/>
              <c:yMode val="edge"/>
              <c:x val="1.5429170671330981E-2"/>
              <c:y val="0.450311151739277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09248"/>
        <c:crosses val="autoZero"/>
        <c:crossBetween val="between"/>
        <c:majorUnit val="1.5"/>
        <c:minorUnit val="0.3000000000000003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40605092374356E-2"/>
          <c:y val="0.10601425624318385"/>
          <c:w val="0.88782143524360413"/>
          <c:h val="0.68131647903285542"/>
        </c:manualLayout>
      </c:layout>
      <c:lineChart>
        <c:grouping val="standard"/>
        <c:varyColors val="0"/>
        <c:ser>
          <c:idx val="0"/>
          <c:order val="0"/>
          <c:tx>
            <c:strRef>
              <c:f>'Budget Balance'!$D$8</c:f>
              <c:strCache>
                <c:ptCount val="1"/>
                <c:pt idx="0">
                  <c:v>Budget Deficit</c:v>
                </c:pt>
              </c:strCache>
            </c:strRef>
          </c:tx>
          <c:spPr>
            <a:ln w="15875">
              <a:solidFill>
                <a:srgbClr val="FF6600"/>
              </a:solidFill>
              <a:prstDash val="solid"/>
            </a:ln>
          </c:spPr>
          <c:marker>
            <c:symbol val="none"/>
          </c:marker>
          <c:cat>
            <c:strRef>
              <c:f>'Budget Balance'!$E$7:$AH$7</c:f>
              <c:strCache>
                <c:ptCount val="30"/>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strCache>
            </c:strRef>
          </c:cat>
          <c:val>
            <c:numRef>
              <c:f>'Budget Balance'!$E$8:$AH$8</c:f>
              <c:numCache>
                <c:formatCode>General</c:formatCode>
                <c:ptCount val="30"/>
                <c:pt idx="0">
                  <c:v>-5.4</c:v>
                </c:pt>
                <c:pt idx="1">
                  <c:v>-4.5</c:v>
                </c:pt>
                <c:pt idx="2">
                  <c:v>-5</c:v>
                </c:pt>
                <c:pt idx="3">
                  <c:v>-4.8</c:v>
                </c:pt>
                <c:pt idx="4">
                  <c:v>-3.6</c:v>
                </c:pt>
                <c:pt idx="5">
                  <c:v>-2.7</c:v>
                </c:pt>
                <c:pt idx="6">
                  <c:v>-2.1</c:v>
                </c:pt>
                <c:pt idx="7">
                  <c:v>-1.9</c:v>
                </c:pt>
                <c:pt idx="8">
                  <c:v>-1.2</c:v>
                </c:pt>
                <c:pt idx="9">
                  <c:v>-1.1000000000000001</c:v>
                </c:pt>
                <c:pt idx="10">
                  <c:v>-2.7</c:v>
                </c:pt>
                <c:pt idx="11">
                  <c:v>-1.9</c:v>
                </c:pt>
                <c:pt idx="12">
                  <c:v>-0.2</c:v>
                </c:pt>
                <c:pt idx="13">
                  <c:v>0.6</c:v>
                </c:pt>
                <c:pt idx="14" formatCode="0.0">
                  <c:v>1</c:v>
                </c:pt>
                <c:pt idx="15" formatCode="0.0">
                  <c:v>-1</c:v>
                </c:pt>
                <c:pt idx="16">
                  <c:v>-6.3</c:v>
                </c:pt>
                <c:pt idx="17">
                  <c:v>-4.7</c:v>
                </c:pt>
                <c:pt idx="18">
                  <c:v>-4.7</c:v>
                </c:pt>
                <c:pt idx="19" formatCode="0.0">
                  <c:v>-5</c:v>
                </c:pt>
                <c:pt idx="20" formatCode="#\ ##0.0">
                  <c:v>-4.4000000000000004</c:v>
                </c:pt>
                <c:pt idx="21" formatCode="#\ ##0.0">
                  <c:v>-4.3</c:v>
                </c:pt>
                <c:pt idx="22" formatCode="#\ ##0.0">
                  <c:v>-3.7</c:v>
                </c:pt>
                <c:pt idx="23" formatCode="#\ ##0.0">
                  <c:v>-3.5</c:v>
                </c:pt>
                <c:pt idx="24" formatCode="#\ ##0.0">
                  <c:v>-4.0999999999999996</c:v>
                </c:pt>
                <c:pt idx="25" formatCode="#\ ##0.0">
                  <c:v>-4.3</c:v>
                </c:pt>
                <c:pt idx="26" formatCode="#\ ##0.0">
                  <c:v>-6.1</c:v>
                </c:pt>
                <c:pt idx="27" formatCode="#\ ##0.0">
                  <c:v>-9.8000000000000007</c:v>
                </c:pt>
                <c:pt idx="28" formatCode="#\ ##0.0">
                  <c:v>-5.0999999999999996</c:v>
                </c:pt>
                <c:pt idx="29" formatCode="#\ ##0.0">
                  <c:v>-4.2</c:v>
                </c:pt>
              </c:numCache>
            </c:numRef>
          </c:val>
          <c:smooth val="0"/>
          <c:extLst>
            <c:ext xmlns:c16="http://schemas.microsoft.com/office/drawing/2014/chart" uri="{C3380CC4-5D6E-409C-BE32-E72D297353CC}">
              <c16:uniqueId val="{00000000-D717-4320-99BF-719A92CE5DCB}"/>
            </c:ext>
          </c:extLst>
        </c:ser>
        <c:dLbls>
          <c:showLegendKey val="0"/>
          <c:showVal val="0"/>
          <c:showCatName val="0"/>
          <c:showSerName val="0"/>
          <c:showPercent val="0"/>
          <c:showBubbleSize val="0"/>
        </c:dLbls>
        <c:smooth val="0"/>
        <c:axId val="399511600"/>
        <c:axId val="399510816"/>
      </c:lineChart>
      <c:catAx>
        <c:axId val="3995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399510816"/>
        <c:crossesAt val="-10.5"/>
        <c:auto val="1"/>
        <c:lblAlgn val="ctr"/>
        <c:lblOffset val="100"/>
        <c:tickLblSkip val="1"/>
        <c:tickMarkSkip val="1"/>
        <c:noMultiLvlLbl val="0"/>
      </c:catAx>
      <c:valAx>
        <c:axId val="399510816"/>
        <c:scaling>
          <c:orientation val="minMax"/>
        </c:scaling>
        <c:delete val="0"/>
        <c:axPos val="l"/>
        <c:majorGridlines>
          <c:spPr>
            <a:ln w="3175">
              <a:solidFill>
                <a:srgbClr val="969696"/>
              </a:solidFill>
              <a:prstDash val="sysDash"/>
            </a:ln>
          </c:spPr>
        </c:majorGridlines>
        <c:title>
          <c:tx>
            <c:rich>
              <a:bodyPr/>
              <a:lstStyle/>
              <a:p>
                <a:pPr>
                  <a:defRPr/>
                </a:pPr>
                <a:r>
                  <a:rPr lang="en-US"/>
                  <a:t>% of GDP</a:t>
                </a:r>
              </a:p>
            </c:rich>
          </c:tx>
          <c:layout>
            <c:manualLayout>
              <c:xMode val="edge"/>
              <c:yMode val="edge"/>
              <c:x val="1.5429170671330981E-2"/>
              <c:y val="0.450311151739277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511600"/>
        <c:crosses val="autoZero"/>
        <c:crossBetween val="between"/>
        <c:majorUnit val="1.5"/>
        <c:minorUnit val="0.30000000000000032"/>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GOVERNMENT DEBT AS PERCENTAGE OF GDP
</a:t>
            </a:r>
          </a:p>
        </c:rich>
      </c:tx>
      <c:layout>
        <c:manualLayout>
          <c:xMode val="edge"/>
          <c:yMode val="edge"/>
          <c:x val="2.6183273853358256E-2"/>
          <c:y val="1.6891805191017788E-2"/>
        </c:manualLayout>
      </c:layout>
      <c:overlay val="0"/>
      <c:spPr>
        <a:noFill/>
        <a:ln w="25400">
          <a:noFill/>
        </a:ln>
      </c:spPr>
    </c:title>
    <c:autoTitleDeleted val="0"/>
    <c:plotArea>
      <c:layout>
        <c:manualLayout>
          <c:layoutTarget val="inner"/>
          <c:xMode val="edge"/>
          <c:yMode val="edge"/>
          <c:x val="6.8001284012160351E-2"/>
          <c:y val="0.21238728492271799"/>
          <c:w val="0.9164158055763445"/>
          <c:h val="0.64527027027027983"/>
        </c:manualLayout>
      </c:layout>
      <c:lineChart>
        <c:grouping val="standard"/>
        <c:varyColors val="0"/>
        <c:ser>
          <c:idx val="0"/>
          <c:order val="0"/>
          <c:tx>
            <c:strRef>
              <c:f>'Government debt '!$D$8</c:f>
              <c:strCache>
                <c:ptCount val="1"/>
                <c:pt idx="0">
                  <c:v>Net Government Debt</c:v>
                </c:pt>
              </c:strCache>
            </c:strRef>
          </c:tx>
          <c:spPr>
            <a:ln w="25400">
              <a:solidFill>
                <a:srgbClr val="FF6600"/>
              </a:solidFill>
              <a:prstDash val="solid"/>
            </a:ln>
          </c:spPr>
          <c:marker>
            <c:symbol val="none"/>
          </c:marker>
          <c:cat>
            <c:strRef>
              <c:extLst>
                <c:ext xmlns:c15="http://schemas.microsoft.com/office/drawing/2012/chart" uri="{02D57815-91ED-43cb-92C2-25804820EDAC}">
                  <c15:fullRef>
                    <c15:sqref>'Government debt '!$E$7:$AG$7</c15:sqref>
                  </c15:fullRef>
                </c:ext>
              </c:extLst>
              <c:f>'Government debt '!$T$7:$AG$7</c:f>
              <c:strCache>
                <c:ptCount val="14"/>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 (estimate)</c:v>
                </c:pt>
              </c:strCache>
            </c:strRef>
          </c:cat>
          <c:val>
            <c:numRef>
              <c:extLst>
                <c:ext xmlns:c15="http://schemas.microsoft.com/office/drawing/2012/chart" uri="{02D57815-91ED-43cb-92C2-25804820EDAC}">
                  <c15:fullRef>
                    <c15:sqref>'Government debt '!$E$8:$AG$8</c15:sqref>
                  </c15:fullRef>
                </c:ext>
              </c:extLst>
              <c:f>'Government debt '!$T$8:$AG$8</c:f>
              <c:numCache>
                <c:formatCode>0.0</c:formatCode>
                <c:ptCount val="14"/>
                <c:pt idx="0">
                  <c:v>23.7</c:v>
                </c:pt>
                <c:pt idx="1">
                  <c:v>26.3</c:v>
                </c:pt>
                <c:pt idx="2">
                  <c:v>29.2</c:v>
                </c:pt>
                <c:pt idx="3">
                  <c:v>32.5</c:v>
                </c:pt>
                <c:pt idx="4">
                  <c:v>35</c:v>
                </c:pt>
                <c:pt idx="5">
                  <c:v>37.700000000000003</c:v>
                </c:pt>
                <c:pt idx="6">
                  <c:v>40.1</c:v>
                </c:pt>
                <c:pt idx="7">
                  <c:v>41.6</c:v>
                </c:pt>
                <c:pt idx="8">
                  <c:v>44</c:v>
                </c:pt>
                <c:pt idx="9">
                  <c:v>47</c:v>
                </c:pt>
                <c:pt idx="10">
                  <c:v>52.7</c:v>
                </c:pt>
                <c:pt idx="11">
                  <c:v>64.7</c:v>
                </c:pt>
                <c:pt idx="12">
                  <c:v>63.8</c:v>
                </c:pt>
                <c:pt idx="13">
                  <c:v>67.400000000000006</c:v>
                </c:pt>
              </c:numCache>
            </c:numRef>
          </c:val>
          <c:smooth val="0"/>
          <c:extLst>
            <c:ext xmlns:c16="http://schemas.microsoft.com/office/drawing/2014/chart" uri="{C3380CC4-5D6E-409C-BE32-E72D297353CC}">
              <c16:uniqueId val="{00000000-5A38-4E94-A430-88F6503BACCE}"/>
            </c:ext>
          </c:extLst>
        </c:ser>
        <c:dLbls>
          <c:showLegendKey val="0"/>
          <c:showVal val="0"/>
          <c:showCatName val="0"/>
          <c:showSerName val="0"/>
          <c:showPercent val="0"/>
          <c:showBubbleSize val="0"/>
        </c:dLbls>
        <c:smooth val="0"/>
        <c:axId val="399511208"/>
        <c:axId val="399511992"/>
      </c:lineChart>
      <c:catAx>
        <c:axId val="399511208"/>
        <c:scaling>
          <c:orientation val="minMax"/>
        </c:scaling>
        <c:delete val="0"/>
        <c:axPos val="b"/>
        <c:title>
          <c:tx>
            <c:rich>
              <a:bodyPr rot="-5400000" vert="horz"/>
              <a:lstStyle/>
              <a:p>
                <a:pPr algn="ctr">
                  <a:defRPr lang="en-US" sz="800" b="0" i="0" u="none" strike="noStrike" baseline="0">
                    <a:solidFill>
                      <a:srgbClr val="000000"/>
                    </a:solidFill>
                    <a:latin typeface="Arial"/>
                    <a:ea typeface="Arial"/>
                    <a:cs typeface="Arial"/>
                  </a:defRPr>
                </a:pPr>
                <a:r>
                  <a:rPr lang="en-US"/>
                  <a:t>% of GDP</a:t>
                </a:r>
              </a:p>
            </c:rich>
          </c:tx>
          <c:layout>
            <c:manualLayout>
              <c:xMode val="edge"/>
              <c:yMode val="edge"/>
              <c:x val="6.042242321628262E-3"/>
              <c:y val="0.36824321959755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399511992"/>
        <c:crossesAt val="0"/>
        <c:auto val="1"/>
        <c:lblAlgn val="ctr"/>
        <c:lblOffset val="100"/>
        <c:tickLblSkip val="1"/>
        <c:tickMarkSkip val="1"/>
        <c:noMultiLvlLbl val="0"/>
      </c:catAx>
      <c:valAx>
        <c:axId val="399511992"/>
        <c:scaling>
          <c:orientation val="minMax"/>
          <c:max val="70"/>
          <c:min val="0"/>
        </c:scaling>
        <c:delete val="0"/>
        <c:axPos val="l"/>
        <c:majorGridlines>
          <c:spPr>
            <a:ln w="3175">
              <a:solidFill>
                <a:srgbClr val="969696"/>
              </a:solidFill>
              <a:prstDash val="sysDash"/>
            </a:ln>
          </c:spPr>
        </c:majorGridlines>
        <c:numFmt formatCode="0.0" sourceLinked="1"/>
        <c:majorTickMark val="out"/>
        <c:minorTickMark val="none"/>
        <c:tickLblPos val="nextTo"/>
        <c:spPr>
          <a:ln w="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11208"/>
        <c:crosses val="autoZero"/>
        <c:crossBetween val="midCat"/>
        <c:majorUnit val="10"/>
      </c:valAx>
      <c:spPr>
        <a:solidFill>
          <a:srgbClr val="FFFFFF"/>
        </a:solidFill>
        <a:ln w="25400">
          <a:noFill/>
        </a:ln>
      </c:spPr>
    </c:plotArea>
    <c:plotVisOnly val="1"/>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horizontalDpi="200" verticalDpi="2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01330951474057E-2"/>
          <c:y val="9.9689009462052558E-2"/>
          <c:w val="0.88432337782866144"/>
          <c:h val="0.72463552350073879"/>
        </c:manualLayout>
      </c:layout>
      <c:lineChart>
        <c:grouping val="standard"/>
        <c:varyColors val="0"/>
        <c:ser>
          <c:idx val="0"/>
          <c:order val="0"/>
          <c:tx>
            <c:strRef>
              <c:f>'Government debt '!$D$8</c:f>
              <c:strCache>
                <c:ptCount val="1"/>
                <c:pt idx="0">
                  <c:v>Net Government Debt</c:v>
                </c:pt>
              </c:strCache>
            </c:strRef>
          </c:tx>
          <c:spPr>
            <a:ln w="15875">
              <a:solidFill>
                <a:srgbClr val="FF6600"/>
              </a:solidFill>
              <a:prstDash val="solid"/>
            </a:ln>
          </c:spPr>
          <c:marker>
            <c:symbol val="none"/>
          </c:marker>
          <c:cat>
            <c:strRef>
              <c:f>'Government debt '!$E$7:$X$7</c:f>
              <c:strCache>
                <c:ptCount val="20"/>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strCache>
            </c:strRef>
          </c:cat>
          <c:val>
            <c:numRef>
              <c:f>'Government debt '!$E$8:$X$8</c:f>
              <c:numCache>
                <c:formatCode>0.0</c:formatCode>
                <c:ptCount val="20"/>
                <c:pt idx="0">
                  <c:v>47</c:v>
                </c:pt>
                <c:pt idx="1">
                  <c:v>48</c:v>
                </c:pt>
                <c:pt idx="2">
                  <c:v>46.8</c:v>
                </c:pt>
                <c:pt idx="3">
                  <c:v>41.6</c:v>
                </c:pt>
                <c:pt idx="4">
                  <c:v>41.5</c:v>
                </c:pt>
                <c:pt idx="5">
                  <c:v>39.299999999999997</c:v>
                </c:pt>
                <c:pt idx="6">
                  <c:v>36.5</c:v>
                </c:pt>
                <c:pt idx="7">
                  <c:v>35.4</c:v>
                </c:pt>
                <c:pt idx="8">
                  <c:v>29.8</c:v>
                </c:pt>
                <c:pt idx="9">
                  <c:v>29</c:v>
                </c:pt>
                <c:pt idx="10">
                  <c:v>27.8</c:v>
                </c:pt>
                <c:pt idx="11">
                  <c:v>24.9</c:v>
                </c:pt>
                <c:pt idx="12">
                  <c:v>22.4</c:v>
                </c:pt>
                <c:pt idx="13">
                  <c:v>20.100000000000001</c:v>
                </c:pt>
                <c:pt idx="14">
                  <c:v>19.8</c:v>
                </c:pt>
                <c:pt idx="15">
                  <c:v>23.7</c:v>
                </c:pt>
                <c:pt idx="16">
                  <c:v>26.3</c:v>
                </c:pt>
                <c:pt idx="17">
                  <c:v>29.2</c:v>
                </c:pt>
                <c:pt idx="18">
                  <c:v>32.5</c:v>
                </c:pt>
                <c:pt idx="19">
                  <c:v>35</c:v>
                </c:pt>
              </c:numCache>
            </c:numRef>
          </c:val>
          <c:smooth val="0"/>
          <c:extLst>
            <c:ext xmlns:c16="http://schemas.microsoft.com/office/drawing/2014/chart" uri="{C3380CC4-5D6E-409C-BE32-E72D297353CC}">
              <c16:uniqueId val="{00000000-360C-4A3B-888B-6CB0ECCFBD78}"/>
            </c:ext>
          </c:extLst>
        </c:ser>
        <c:dLbls>
          <c:showLegendKey val="0"/>
          <c:showVal val="0"/>
          <c:showCatName val="0"/>
          <c:showSerName val="0"/>
          <c:showPercent val="0"/>
          <c:showBubbleSize val="0"/>
        </c:dLbls>
        <c:smooth val="0"/>
        <c:axId val="399507288"/>
        <c:axId val="399507680"/>
      </c:lineChart>
      <c:catAx>
        <c:axId val="399507288"/>
        <c:scaling>
          <c:orientation val="minMax"/>
        </c:scaling>
        <c:delete val="0"/>
        <c:axPos val="b"/>
        <c:title>
          <c:tx>
            <c:rich>
              <a:bodyPr rot="-5400000" vert="horz"/>
              <a:lstStyle/>
              <a:p>
                <a:pPr algn="ctr">
                  <a:defRPr/>
                </a:pPr>
                <a:r>
                  <a:rPr lang="en-US"/>
                  <a:t>% of GDP</a:t>
                </a:r>
              </a:p>
            </c:rich>
          </c:tx>
          <c:layout>
            <c:manualLayout>
              <c:xMode val="edge"/>
              <c:yMode val="edge"/>
              <c:x val="6.042242321628262E-3"/>
              <c:y val="0.36824321959755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399507680"/>
        <c:crosses val="autoZero"/>
        <c:auto val="1"/>
        <c:lblAlgn val="ctr"/>
        <c:lblOffset val="100"/>
        <c:tickLblSkip val="1"/>
        <c:tickMarkSkip val="1"/>
        <c:noMultiLvlLbl val="0"/>
      </c:catAx>
      <c:valAx>
        <c:axId val="399507680"/>
        <c:scaling>
          <c:orientation val="minMax"/>
          <c:max val="60"/>
          <c:min val="20"/>
        </c:scaling>
        <c:delete val="0"/>
        <c:axPos val="l"/>
        <c:majorGridlines>
          <c:spPr>
            <a:ln w="3175">
              <a:solidFill>
                <a:srgbClr val="969696"/>
              </a:solidFill>
              <a:prstDash val="sysDash"/>
            </a:ln>
          </c:spPr>
        </c:majorGridlines>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9507288"/>
        <c:crosses val="autoZero"/>
        <c:crossBetween val="midCat"/>
        <c:majorUnit val="5.5"/>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orientation="landscape" horizontalDpi="200" verticalDpi="2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INTEREST RATES</a:t>
            </a:r>
          </a:p>
        </c:rich>
      </c:tx>
      <c:layout>
        <c:manualLayout>
          <c:xMode val="edge"/>
          <c:yMode val="edge"/>
          <c:x val="7.6359892883212085E-2"/>
          <c:y val="3.560834556697362E-2"/>
        </c:manualLayout>
      </c:layout>
      <c:overlay val="0"/>
      <c:spPr>
        <a:noFill/>
        <a:ln w="25400">
          <a:noFill/>
        </a:ln>
      </c:spPr>
    </c:title>
    <c:autoTitleDeleted val="0"/>
    <c:plotArea>
      <c:layout>
        <c:manualLayout>
          <c:layoutTarget val="inner"/>
          <c:xMode val="edge"/>
          <c:yMode val="edge"/>
          <c:x val="8.3921291215116336E-2"/>
          <c:y val="0.14889020228403652"/>
          <c:w val="0.90271966527196656"/>
          <c:h val="0.58457057992537409"/>
        </c:manualLayout>
      </c:layout>
      <c:lineChart>
        <c:grouping val="standard"/>
        <c:varyColors val="0"/>
        <c:ser>
          <c:idx val="0"/>
          <c:order val="0"/>
          <c:tx>
            <c:strRef>
              <c:f>'Interest '!$D$9</c:f>
              <c:strCache>
                <c:ptCount val="1"/>
                <c:pt idx="0">
                  <c:v>Real Interest</c:v>
                </c:pt>
              </c:strCache>
            </c:strRef>
          </c:tx>
          <c:spPr>
            <a:ln w="25400">
              <a:solidFill>
                <a:srgbClr val="FF6600"/>
              </a:solidFill>
              <a:prstDash val="solid"/>
            </a:ln>
          </c:spPr>
          <c:marker>
            <c:symbol val="none"/>
          </c:marker>
          <c:cat>
            <c:strRef>
              <c:extLst>
                <c:ext xmlns:c15="http://schemas.microsoft.com/office/drawing/2012/chart" uri="{02D57815-91ED-43cb-92C2-25804820EDAC}">
                  <c15:fullRef>
                    <c15:sqref>'Interest '!$E$8:$AG$8</c15:sqref>
                  </c15:fullRef>
                </c:ext>
              </c:extLst>
              <c:f>'Interest '!$R$8:$AG$8</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strCache>
            </c:strRef>
          </c:cat>
          <c:val>
            <c:numRef>
              <c:extLst>
                <c:ext xmlns:c15="http://schemas.microsoft.com/office/drawing/2012/chart" uri="{02D57815-91ED-43cb-92C2-25804820EDAC}">
                  <c15:fullRef>
                    <c15:sqref>'Interest '!$E$9:$AG$9</c15:sqref>
                  </c15:fullRef>
                </c:ext>
              </c:extLst>
              <c:f>'Interest '!$R$9:$AG$9</c:f>
              <c:numCache>
                <c:formatCode>0.0</c:formatCode>
                <c:ptCount val="16"/>
                <c:pt idx="0">
                  <c:v>5.0458999999999996</c:v>
                </c:pt>
                <c:pt idx="1">
                  <c:v>5.0228000000000002</c:v>
                </c:pt>
                <c:pt idx="2">
                  <c:v>3.9510999999999998</c:v>
                </c:pt>
                <c:pt idx="3">
                  <c:v>5.3140000000000001</c:v>
                </c:pt>
                <c:pt idx="4">
                  <c:v>2.7332999999999998</c:v>
                </c:pt>
                <c:pt idx="5">
                  <c:v>2.649</c:v>
                </c:pt>
                <c:pt idx="6">
                  <c:v>2.9411999999999998</c:v>
                </c:pt>
                <c:pt idx="7">
                  <c:v>3.7511999999999999</c:v>
                </c:pt>
                <c:pt idx="8">
                  <c:v>4.3250999999999999</c:v>
                </c:pt>
                <c:pt idx="9">
                  <c:v>3.4643999999999999</c:v>
                </c:pt>
                <c:pt idx="10">
                  <c:v>5.3009000000000004</c:v>
                </c:pt>
                <c:pt idx="11">
                  <c:v>5.5023999999999997</c:v>
                </c:pt>
                <c:pt idx="12">
                  <c:v>5.7691999999999997</c:v>
                </c:pt>
                <c:pt idx="13">
                  <c:v>3.7827000000000002</c:v>
                </c:pt>
                <c:pt idx="14">
                  <c:v>1.2747875</c:v>
                </c:pt>
                <c:pt idx="15">
                  <c:v>3.1</c:v>
                </c:pt>
              </c:numCache>
            </c:numRef>
          </c:val>
          <c:smooth val="0"/>
          <c:extLst>
            <c:ext xmlns:c16="http://schemas.microsoft.com/office/drawing/2014/chart" uri="{C3380CC4-5D6E-409C-BE32-E72D297353CC}">
              <c16:uniqueId val="{00000000-EC9A-4BC4-A15F-27E37BEA8CFC}"/>
            </c:ext>
          </c:extLst>
        </c:ser>
        <c:ser>
          <c:idx val="1"/>
          <c:order val="1"/>
          <c:tx>
            <c:strRef>
              <c:f>'Interest '!$D$10</c:f>
              <c:strCache>
                <c:ptCount val="1"/>
                <c:pt idx="0">
                  <c:v>Nominal Interest</c:v>
                </c:pt>
              </c:strCache>
            </c:strRef>
          </c:tx>
          <c:spPr>
            <a:ln w="25400"/>
          </c:spPr>
          <c:marker>
            <c:symbol val="none"/>
          </c:marker>
          <c:cat>
            <c:strRef>
              <c:extLst>
                <c:ext xmlns:c15="http://schemas.microsoft.com/office/drawing/2012/chart" uri="{02D57815-91ED-43cb-92C2-25804820EDAC}">
                  <c15:fullRef>
                    <c15:sqref>'Interest '!$E$8:$AG$8</c15:sqref>
                  </c15:fullRef>
                </c:ext>
              </c:extLst>
              <c:f>'Interest '!$R$8:$AG$8</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strCache>
            </c:strRef>
          </c:cat>
          <c:val>
            <c:numRef>
              <c:extLst>
                <c:ext xmlns:c15="http://schemas.microsoft.com/office/drawing/2012/chart" uri="{02D57815-91ED-43cb-92C2-25804820EDAC}">
                  <c15:fullRef>
                    <c15:sqref>'Interest '!$E$10:$AG$10</c15:sqref>
                  </c15:fullRef>
                </c:ext>
              </c:extLst>
              <c:f>'Interest '!$R$10:$AG$10</c:f>
              <c:numCache>
                <c:formatCode>0.0</c:formatCode>
                <c:ptCount val="16"/>
                <c:pt idx="0">
                  <c:v>14.5</c:v>
                </c:pt>
                <c:pt idx="1">
                  <c:v>15</c:v>
                </c:pt>
                <c:pt idx="2">
                  <c:v>10.5</c:v>
                </c:pt>
                <c:pt idx="3">
                  <c:v>9</c:v>
                </c:pt>
                <c:pt idx="4">
                  <c:v>9</c:v>
                </c:pt>
                <c:pt idx="5">
                  <c:v>8.5</c:v>
                </c:pt>
                <c:pt idx="6" formatCode="General">
                  <c:v>8.5</c:v>
                </c:pt>
                <c:pt idx="7">
                  <c:v>9.25</c:v>
                </c:pt>
                <c:pt idx="8">
                  <c:v>9.75</c:v>
                </c:pt>
                <c:pt idx="9">
                  <c:v>10.5</c:v>
                </c:pt>
                <c:pt idx="10">
                  <c:v>10.25</c:v>
                </c:pt>
                <c:pt idx="11">
                  <c:v>10.25</c:v>
                </c:pt>
                <c:pt idx="12">
                  <c:v>10</c:v>
                </c:pt>
                <c:pt idx="13">
                  <c:v>7</c:v>
                </c:pt>
                <c:pt idx="14">
                  <c:v>7.25</c:v>
                </c:pt>
                <c:pt idx="15">
                  <c:v>10.5</c:v>
                </c:pt>
              </c:numCache>
            </c:numRef>
          </c:val>
          <c:smooth val="0"/>
          <c:extLst>
            <c:ext xmlns:c16="http://schemas.microsoft.com/office/drawing/2014/chart" uri="{C3380CC4-5D6E-409C-BE32-E72D297353CC}">
              <c16:uniqueId val="{00000001-EC9A-4BC4-A15F-27E37BEA8CFC}"/>
            </c:ext>
          </c:extLst>
        </c:ser>
        <c:dLbls>
          <c:showLegendKey val="0"/>
          <c:showVal val="0"/>
          <c:showCatName val="0"/>
          <c:showSerName val="0"/>
          <c:showPercent val="0"/>
          <c:showBubbleSize val="0"/>
        </c:dLbls>
        <c:smooth val="0"/>
        <c:axId val="399513560"/>
        <c:axId val="399508856"/>
      </c:lineChart>
      <c:catAx>
        <c:axId val="399513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08856"/>
        <c:crossesAt val="-5"/>
        <c:auto val="1"/>
        <c:lblAlgn val="ctr"/>
        <c:lblOffset val="100"/>
        <c:tickLblSkip val="1"/>
        <c:tickMarkSkip val="1"/>
        <c:noMultiLvlLbl val="0"/>
      </c:catAx>
      <c:valAx>
        <c:axId val="399508856"/>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rate (%)</a:t>
                </a:r>
              </a:p>
            </c:rich>
          </c:tx>
          <c:layout>
            <c:manualLayout>
              <c:xMode val="edge"/>
              <c:yMode val="edge"/>
              <c:x val="2.8242712264517231E-2"/>
              <c:y val="0.400594332488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13560"/>
        <c:crosses val="autoZero"/>
        <c:crossBetween val="between"/>
        <c:majorUnit val="4.5"/>
      </c:valAx>
      <c:spPr>
        <a:solidFill>
          <a:srgbClr val="FFFFFF"/>
        </a:solidFill>
        <a:ln w="25400">
          <a:noFill/>
        </a:ln>
      </c:spPr>
    </c:plotArea>
    <c:legend>
      <c:legendPos val="r"/>
      <c:layout>
        <c:manualLayout>
          <c:xMode val="edge"/>
          <c:yMode val="edge"/>
          <c:x val="0.34053083601236239"/>
          <c:y val="0.91270430179278428"/>
          <c:w val="0.26955314017700455"/>
          <c:h val="6.8248079159596631E-2"/>
        </c:manualLayout>
      </c:layout>
      <c:overlay val="0"/>
      <c:spPr>
        <a:solidFill>
          <a:srgbClr val="FFFFFF"/>
        </a:solidFill>
        <a:ln w="25400">
          <a:noFill/>
        </a:ln>
      </c:spPr>
      <c:txPr>
        <a:bodyPr/>
        <a:lstStyle/>
        <a:p>
          <a:pPr>
            <a:defRPr lang="en-US"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paperSize="9" orientation="landscape" horizontalDpi="0"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31000104447791"/>
          <c:y val="6.5138675924788281E-2"/>
          <c:w val="0.877045744763291"/>
          <c:h val="0.66186529037441144"/>
        </c:manualLayout>
      </c:layout>
      <c:lineChart>
        <c:grouping val="standard"/>
        <c:varyColors val="0"/>
        <c:ser>
          <c:idx val="0"/>
          <c:order val="0"/>
          <c:tx>
            <c:strRef>
              <c:f>'Interest '!$C$46</c:f>
              <c:strCache>
                <c:ptCount val="1"/>
                <c:pt idx="0">
                  <c:v>Real interest</c:v>
                </c:pt>
              </c:strCache>
            </c:strRef>
          </c:tx>
          <c:spPr>
            <a:ln w="15875">
              <a:solidFill>
                <a:srgbClr val="FF6600"/>
              </a:solidFill>
              <a:prstDash val="solid"/>
            </a:ln>
          </c:spPr>
          <c:marker>
            <c:symbol val="none"/>
          </c:marker>
          <c:cat>
            <c:multiLvlStrRef>
              <c:f>'Interest '!$E$44:$CL$45</c:f>
              <c:multiLvlStrCache>
                <c:ptCount val="86"/>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7">
                    <c:v>J</c:v>
                  </c:pt>
                  <c:pt idx="28">
                    <c:v>S</c:v>
                  </c:pt>
                  <c:pt idx="29">
                    <c:v>D</c:v>
                  </c:pt>
                  <c:pt idx="30">
                    <c:v>M</c:v>
                  </c:pt>
                  <c:pt idx="31">
                    <c:v>J</c:v>
                  </c:pt>
                  <c:pt idx="32">
                    <c:v>S</c:v>
                  </c:pt>
                  <c:pt idx="33">
                    <c:v>D</c:v>
                  </c:pt>
                  <c:pt idx="34">
                    <c:v>M</c:v>
                  </c:pt>
                  <c:pt idx="35">
                    <c:v>J</c:v>
                  </c:pt>
                  <c:pt idx="36">
                    <c:v>S</c:v>
                  </c:pt>
                  <c:pt idx="37">
                    <c:v>D</c:v>
                  </c:pt>
                  <c:pt idx="38">
                    <c:v>M</c:v>
                  </c:pt>
                  <c:pt idx="39">
                    <c:v>J</c:v>
                  </c:pt>
                  <c:pt idx="40">
                    <c:v>S</c:v>
                  </c:pt>
                  <c:pt idx="41">
                    <c:v>D</c:v>
                  </c:pt>
                  <c:pt idx="42">
                    <c:v>M</c:v>
                  </c:pt>
                  <c:pt idx="43">
                    <c:v>J</c:v>
                  </c:pt>
                  <c:pt idx="44">
                    <c:v>S</c:v>
                  </c:pt>
                  <c:pt idx="45">
                    <c:v>D</c:v>
                  </c:pt>
                  <c:pt idx="46">
                    <c:v>M</c:v>
                  </c:pt>
                  <c:pt idx="47">
                    <c:v>J</c:v>
                  </c:pt>
                  <c:pt idx="48">
                    <c:v>S</c:v>
                  </c:pt>
                  <c:pt idx="49">
                    <c:v>D</c:v>
                  </c:pt>
                  <c:pt idx="50">
                    <c:v>M</c:v>
                  </c:pt>
                  <c:pt idx="51">
                    <c:v>J</c:v>
                  </c:pt>
                  <c:pt idx="52">
                    <c:v>S</c:v>
                  </c:pt>
                  <c:pt idx="53">
                    <c:v>D</c:v>
                  </c:pt>
                  <c:pt idx="54">
                    <c:v>M</c:v>
                  </c:pt>
                  <c:pt idx="55">
                    <c:v>J</c:v>
                  </c:pt>
                  <c:pt idx="56">
                    <c:v>S</c:v>
                  </c:pt>
                  <c:pt idx="57">
                    <c:v>D</c:v>
                  </c:pt>
                  <c:pt idx="58">
                    <c:v>M</c:v>
                  </c:pt>
                  <c:pt idx="59">
                    <c:v>J</c:v>
                  </c:pt>
                  <c:pt idx="60">
                    <c:v>S</c:v>
                  </c:pt>
                  <c:pt idx="61">
                    <c:v>D</c:v>
                  </c:pt>
                  <c:pt idx="62">
                    <c:v>M</c:v>
                  </c:pt>
                  <c:pt idx="63">
                    <c:v>J</c:v>
                  </c:pt>
                  <c:pt idx="64">
                    <c:v>S</c:v>
                  </c:pt>
                  <c:pt idx="65">
                    <c:v>D</c:v>
                  </c:pt>
                  <c:pt idx="66">
                    <c:v>M</c:v>
                  </c:pt>
                  <c:pt idx="67">
                    <c:v>J</c:v>
                  </c:pt>
                  <c:pt idx="68">
                    <c:v>S</c:v>
                  </c:pt>
                  <c:pt idx="69">
                    <c:v>D</c:v>
                  </c:pt>
                  <c:pt idx="70">
                    <c:v>M</c:v>
                  </c:pt>
                  <c:pt idx="71">
                    <c:v>J</c:v>
                  </c:pt>
                  <c:pt idx="72">
                    <c:v>S</c:v>
                  </c:pt>
                  <c:pt idx="73">
                    <c:v>D</c:v>
                  </c:pt>
                  <c:pt idx="74">
                    <c:v>M</c:v>
                  </c:pt>
                  <c:pt idx="75">
                    <c:v>J</c:v>
                  </c:pt>
                  <c:pt idx="76">
                    <c:v>S</c:v>
                  </c:pt>
                  <c:pt idx="77">
                    <c:v>D</c:v>
                  </c:pt>
                  <c:pt idx="78">
                    <c:v>M</c:v>
                  </c:pt>
                  <c:pt idx="79">
                    <c:v>J</c:v>
                  </c:pt>
                  <c:pt idx="80">
                    <c:v>S</c:v>
                  </c:pt>
                  <c:pt idx="81">
                    <c:v>D</c:v>
                  </c:pt>
                  <c:pt idx="82">
                    <c:v>M</c:v>
                  </c:pt>
                  <c:pt idx="83">
                    <c:v>J</c:v>
                  </c:pt>
                  <c:pt idx="84">
                    <c:v>S</c:v>
                  </c:pt>
                  <c:pt idx="85">
                    <c:v>D</c:v>
                  </c:pt>
                </c:lvl>
                <c:lvl>
                  <c:pt idx="0">
                    <c:v>1995</c:v>
                  </c:pt>
                  <c:pt idx="4">
                    <c:v>1996</c:v>
                  </c:pt>
                  <c:pt idx="8">
                    <c:v>1997</c:v>
                  </c:pt>
                  <c:pt idx="12">
                    <c:v>1998</c:v>
                  </c:pt>
                  <c:pt idx="16">
                    <c:v>1999</c:v>
                  </c:pt>
                  <c:pt idx="20">
                    <c:v>2000</c:v>
                  </c:pt>
                  <c:pt idx="24">
                    <c:v>2001</c:v>
                  </c:pt>
                  <c:pt idx="30">
                    <c:v>2002</c:v>
                  </c:pt>
                  <c:pt idx="34">
                    <c:v>2003</c:v>
                  </c:pt>
                  <c:pt idx="38">
                    <c:v>2004</c:v>
                  </c:pt>
                  <c:pt idx="42">
                    <c:v>2005</c:v>
                  </c:pt>
                  <c:pt idx="46">
                    <c:v>2006</c:v>
                  </c:pt>
                  <c:pt idx="50">
                    <c:v>2007</c:v>
                  </c:pt>
                  <c:pt idx="54">
                    <c:v>2008</c:v>
                  </c:pt>
                  <c:pt idx="58">
                    <c:v>2009</c:v>
                  </c:pt>
                  <c:pt idx="62">
                    <c:v>2010</c:v>
                  </c:pt>
                  <c:pt idx="66">
                    <c:v>2011</c:v>
                  </c:pt>
                  <c:pt idx="70">
                    <c:v>2012</c:v>
                  </c:pt>
                  <c:pt idx="74">
                    <c:v>2013</c:v>
                  </c:pt>
                  <c:pt idx="78">
                    <c:v>2014</c:v>
                  </c:pt>
                  <c:pt idx="82">
                    <c:v>2014</c:v>
                  </c:pt>
                </c:lvl>
              </c:multiLvlStrCache>
            </c:multiLvlStrRef>
          </c:cat>
          <c:val>
            <c:numRef>
              <c:f>'Interest '!$E$46:$CL$46</c:f>
              <c:numCache>
                <c:formatCode>0.0</c:formatCode>
                <c:ptCount val="86"/>
                <c:pt idx="0">
                  <c:v>7.2843183342609361</c:v>
                </c:pt>
                <c:pt idx="1">
                  <c:v>7.7009850009276359</c:v>
                </c:pt>
                <c:pt idx="2">
                  <c:v>8.7009850009276359</c:v>
                </c:pt>
                <c:pt idx="3">
                  <c:v>8.7009850009276359</c:v>
                </c:pt>
                <c:pt idx="4">
                  <c:v>8.7009850009276359</c:v>
                </c:pt>
                <c:pt idx="5">
                  <c:v>10.367651667594336</c:v>
                </c:pt>
                <c:pt idx="6">
                  <c:v>9.7009850009276359</c:v>
                </c:pt>
                <c:pt idx="7">
                  <c:v>10.117651667594336</c:v>
                </c:pt>
                <c:pt idx="8">
                  <c:v>10.450985000927636</c:v>
                </c:pt>
                <c:pt idx="9">
                  <c:v>10.450985000927636</c:v>
                </c:pt>
                <c:pt idx="10">
                  <c:v>10.450985000927636</c:v>
                </c:pt>
                <c:pt idx="11">
                  <c:v>9.4509850009276359</c:v>
                </c:pt>
                <c:pt idx="12">
                  <c:v>9.1176516675943358</c:v>
                </c:pt>
                <c:pt idx="13">
                  <c:v>9.7843183342609361</c:v>
                </c:pt>
                <c:pt idx="14">
                  <c:v>15.200985000927636</c:v>
                </c:pt>
                <c:pt idx="15">
                  <c:v>13.867651667594336</c:v>
                </c:pt>
                <c:pt idx="16">
                  <c:v>11.200985000927636</c:v>
                </c:pt>
                <c:pt idx="17">
                  <c:v>8.8676516675943358</c:v>
                </c:pt>
                <c:pt idx="18">
                  <c:v>7.0343183342609361</c:v>
                </c:pt>
                <c:pt idx="19">
                  <c:v>5.7009850009276359</c:v>
                </c:pt>
                <c:pt idx="20">
                  <c:v>4.7009850009276359</c:v>
                </c:pt>
                <c:pt idx="21">
                  <c:v>4.7009850009276359</c:v>
                </c:pt>
                <c:pt idx="22">
                  <c:v>4.7009850009276359</c:v>
                </c:pt>
                <c:pt idx="23">
                  <c:v>4.7009850009276359</c:v>
                </c:pt>
                <c:pt idx="24">
                  <c:v>4.7009850009276359</c:v>
                </c:pt>
                <c:pt idx="27">
                  <c:v>4.4509850009276359</c:v>
                </c:pt>
                <c:pt idx="28">
                  <c:v>3.5343183342609361</c:v>
                </c:pt>
                <c:pt idx="29">
                  <c:v>3.2009850009276359</c:v>
                </c:pt>
                <c:pt idx="30">
                  <c:v>4.5343183342609361</c:v>
                </c:pt>
                <c:pt idx="31">
                  <c:v>5.5343183342609361</c:v>
                </c:pt>
                <c:pt idx="32">
                  <c:v>6.5343183342609361</c:v>
                </c:pt>
                <c:pt idx="33">
                  <c:v>7.2009850009276359</c:v>
                </c:pt>
                <c:pt idx="34">
                  <c:v>7.2009850009276359</c:v>
                </c:pt>
                <c:pt idx="35">
                  <c:v>6.7009850009276359</c:v>
                </c:pt>
                <c:pt idx="36">
                  <c:v>4.7009850009276359</c:v>
                </c:pt>
                <c:pt idx="37">
                  <c:v>2.0343183342609361</c:v>
                </c:pt>
                <c:pt idx="38">
                  <c:v>1.7009850009276359</c:v>
                </c:pt>
                <c:pt idx="39">
                  <c:v>1.7009850009276359</c:v>
                </c:pt>
                <c:pt idx="40">
                  <c:v>1.3676516675943358</c:v>
                </c:pt>
                <c:pt idx="41">
                  <c:v>1.2009850009276359</c:v>
                </c:pt>
                <c:pt idx="42">
                  <c:v>1.2009850009276359</c:v>
                </c:pt>
                <c:pt idx="43">
                  <c:v>0.70098500092763594</c:v>
                </c:pt>
                <c:pt idx="44">
                  <c:v>0.70098500092763594</c:v>
                </c:pt>
                <c:pt idx="45">
                  <c:v>0.70098500092763594</c:v>
                </c:pt>
                <c:pt idx="46">
                  <c:v>0.70098500092763594</c:v>
                </c:pt>
                <c:pt idx="47">
                  <c:v>0.86765166759433576</c:v>
                </c:pt>
                <c:pt idx="48">
                  <c:v>1.5343183342609361</c:v>
                </c:pt>
                <c:pt idx="49">
                  <c:v>2.3676516675943358</c:v>
                </c:pt>
                <c:pt idx="50">
                  <c:v>2.7009850009276359</c:v>
                </c:pt>
                <c:pt idx="51">
                  <c:v>2.8676516675943358</c:v>
                </c:pt>
                <c:pt idx="52">
                  <c:v>3.5343183342609361</c:v>
                </c:pt>
                <c:pt idx="53">
                  <c:v>4.3676516675943358</c:v>
                </c:pt>
                <c:pt idx="54">
                  <c:v>4.7009850009276359</c:v>
                </c:pt>
                <c:pt idx="55">
                  <c:v>5.3676516675943358</c:v>
                </c:pt>
                <c:pt idx="56">
                  <c:v>5.7009850009276359</c:v>
                </c:pt>
                <c:pt idx="57">
                  <c:v>5.5343183342609361</c:v>
                </c:pt>
                <c:pt idx="58">
                  <c:v>4.2009850009276359</c:v>
                </c:pt>
                <c:pt idx="59">
                  <c:v>1.8676516675943358</c:v>
                </c:pt>
                <c:pt idx="60">
                  <c:v>0.86765166759433576</c:v>
                </c:pt>
                <c:pt idx="61">
                  <c:v>0.70098500092763594</c:v>
                </c:pt>
                <c:pt idx="62">
                  <c:v>0.53431833426093611</c:v>
                </c:pt>
                <c:pt idx="63">
                  <c:v>0.20098500092763594</c:v>
                </c:pt>
                <c:pt idx="64">
                  <c:v>3.431833426096631E-2</c:v>
                </c:pt>
                <c:pt idx="65">
                  <c:v>-0.63234833240569444</c:v>
                </c:pt>
                <c:pt idx="66">
                  <c:v>-0.79901499907236406</c:v>
                </c:pt>
                <c:pt idx="67">
                  <c:v>-0.79901499907236406</c:v>
                </c:pt>
                <c:pt idx="68">
                  <c:v>-0.79901499907236406</c:v>
                </c:pt>
                <c:pt idx="69">
                  <c:v>-0.79901499907236406</c:v>
                </c:pt>
                <c:pt idx="70">
                  <c:v>-0.79901499907236406</c:v>
                </c:pt>
                <c:pt idx="71">
                  <c:v>-0.79901499907236406</c:v>
                </c:pt>
                <c:pt idx="72">
                  <c:v>-1.2990149990723641</c:v>
                </c:pt>
                <c:pt idx="73">
                  <c:v>-1.2990149990723641</c:v>
                </c:pt>
                <c:pt idx="74">
                  <c:v>-1.2990149990723641</c:v>
                </c:pt>
                <c:pt idx="75">
                  <c:v>-1.2990149990723641</c:v>
                </c:pt>
                <c:pt idx="76">
                  <c:v>-1.2990149990723641</c:v>
                </c:pt>
                <c:pt idx="77">
                  <c:v>-1.2990149990723641</c:v>
                </c:pt>
                <c:pt idx="78">
                  <c:v>-0.79901499907236406</c:v>
                </c:pt>
                <c:pt idx="79">
                  <c:v>-0.79901499907236406</c:v>
                </c:pt>
                <c:pt idx="80">
                  <c:v>-0.54901499907236406</c:v>
                </c:pt>
                <c:pt idx="81">
                  <c:v>-0.54901499907236406</c:v>
                </c:pt>
              </c:numCache>
            </c:numRef>
          </c:val>
          <c:smooth val="0"/>
          <c:extLst>
            <c:ext xmlns:c16="http://schemas.microsoft.com/office/drawing/2014/chart" uri="{C3380CC4-5D6E-409C-BE32-E72D297353CC}">
              <c16:uniqueId val="{00000000-6B70-4429-908D-9C7844890D92}"/>
            </c:ext>
          </c:extLst>
        </c:ser>
        <c:ser>
          <c:idx val="1"/>
          <c:order val="1"/>
          <c:tx>
            <c:strRef>
              <c:f>'Interest '!$C$47</c:f>
              <c:strCache>
                <c:ptCount val="1"/>
                <c:pt idx="0">
                  <c:v>Nominal interest</c:v>
                </c:pt>
              </c:strCache>
            </c:strRef>
          </c:tx>
          <c:spPr>
            <a:ln w="15875"/>
          </c:spPr>
          <c:marker>
            <c:symbol val="none"/>
          </c:marker>
          <c:cat>
            <c:multiLvlStrRef>
              <c:f>'Interest '!$E$44:$CL$45</c:f>
              <c:multiLvlStrCache>
                <c:ptCount val="86"/>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7">
                    <c:v>J</c:v>
                  </c:pt>
                  <c:pt idx="28">
                    <c:v>S</c:v>
                  </c:pt>
                  <c:pt idx="29">
                    <c:v>D</c:v>
                  </c:pt>
                  <c:pt idx="30">
                    <c:v>M</c:v>
                  </c:pt>
                  <c:pt idx="31">
                    <c:v>J</c:v>
                  </c:pt>
                  <c:pt idx="32">
                    <c:v>S</c:v>
                  </c:pt>
                  <c:pt idx="33">
                    <c:v>D</c:v>
                  </c:pt>
                  <c:pt idx="34">
                    <c:v>M</c:v>
                  </c:pt>
                  <c:pt idx="35">
                    <c:v>J</c:v>
                  </c:pt>
                  <c:pt idx="36">
                    <c:v>S</c:v>
                  </c:pt>
                  <c:pt idx="37">
                    <c:v>D</c:v>
                  </c:pt>
                  <c:pt idx="38">
                    <c:v>M</c:v>
                  </c:pt>
                  <c:pt idx="39">
                    <c:v>J</c:v>
                  </c:pt>
                  <c:pt idx="40">
                    <c:v>S</c:v>
                  </c:pt>
                  <c:pt idx="41">
                    <c:v>D</c:v>
                  </c:pt>
                  <c:pt idx="42">
                    <c:v>M</c:v>
                  </c:pt>
                  <c:pt idx="43">
                    <c:v>J</c:v>
                  </c:pt>
                  <c:pt idx="44">
                    <c:v>S</c:v>
                  </c:pt>
                  <c:pt idx="45">
                    <c:v>D</c:v>
                  </c:pt>
                  <c:pt idx="46">
                    <c:v>M</c:v>
                  </c:pt>
                  <c:pt idx="47">
                    <c:v>J</c:v>
                  </c:pt>
                  <c:pt idx="48">
                    <c:v>S</c:v>
                  </c:pt>
                  <c:pt idx="49">
                    <c:v>D</c:v>
                  </c:pt>
                  <c:pt idx="50">
                    <c:v>M</c:v>
                  </c:pt>
                  <c:pt idx="51">
                    <c:v>J</c:v>
                  </c:pt>
                  <c:pt idx="52">
                    <c:v>S</c:v>
                  </c:pt>
                  <c:pt idx="53">
                    <c:v>D</c:v>
                  </c:pt>
                  <c:pt idx="54">
                    <c:v>M</c:v>
                  </c:pt>
                  <c:pt idx="55">
                    <c:v>J</c:v>
                  </c:pt>
                  <c:pt idx="56">
                    <c:v>S</c:v>
                  </c:pt>
                  <c:pt idx="57">
                    <c:v>D</c:v>
                  </c:pt>
                  <c:pt idx="58">
                    <c:v>M</c:v>
                  </c:pt>
                  <c:pt idx="59">
                    <c:v>J</c:v>
                  </c:pt>
                  <c:pt idx="60">
                    <c:v>S</c:v>
                  </c:pt>
                  <c:pt idx="61">
                    <c:v>D</c:v>
                  </c:pt>
                  <c:pt idx="62">
                    <c:v>M</c:v>
                  </c:pt>
                  <c:pt idx="63">
                    <c:v>J</c:v>
                  </c:pt>
                  <c:pt idx="64">
                    <c:v>S</c:v>
                  </c:pt>
                  <c:pt idx="65">
                    <c:v>D</c:v>
                  </c:pt>
                  <c:pt idx="66">
                    <c:v>M</c:v>
                  </c:pt>
                  <c:pt idx="67">
                    <c:v>J</c:v>
                  </c:pt>
                  <c:pt idx="68">
                    <c:v>S</c:v>
                  </c:pt>
                  <c:pt idx="69">
                    <c:v>D</c:v>
                  </c:pt>
                  <c:pt idx="70">
                    <c:v>M</c:v>
                  </c:pt>
                  <c:pt idx="71">
                    <c:v>J</c:v>
                  </c:pt>
                  <c:pt idx="72">
                    <c:v>S</c:v>
                  </c:pt>
                  <c:pt idx="73">
                    <c:v>D</c:v>
                  </c:pt>
                  <c:pt idx="74">
                    <c:v>M</c:v>
                  </c:pt>
                  <c:pt idx="75">
                    <c:v>J</c:v>
                  </c:pt>
                  <c:pt idx="76">
                    <c:v>S</c:v>
                  </c:pt>
                  <c:pt idx="77">
                    <c:v>D</c:v>
                  </c:pt>
                  <c:pt idx="78">
                    <c:v>M</c:v>
                  </c:pt>
                  <c:pt idx="79">
                    <c:v>J</c:v>
                  </c:pt>
                  <c:pt idx="80">
                    <c:v>S</c:v>
                  </c:pt>
                  <c:pt idx="81">
                    <c:v>D</c:v>
                  </c:pt>
                  <c:pt idx="82">
                    <c:v>M</c:v>
                  </c:pt>
                  <c:pt idx="83">
                    <c:v>J</c:v>
                  </c:pt>
                  <c:pt idx="84">
                    <c:v>S</c:v>
                  </c:pt>
                  <c:pt idx="85">
                    <c:v>D</c:v>
                  </c:pt>
                </c:lvl>
                <c:lvl>
                  <c:pt idx="0">
                    <c:v>1995</c:v>
                  </c:pt>
                  <c:pt idx="4">
                    <c:v>1996</c:v>
                  </c:pt>
                  <c:pt idx="8">
                    <c:v>1997</c:v>
                  </c:pt>
                  <c:pt idx="12">
                    <c:v>1998</c:v>
                  </c:pt>
                  <c:pt idx="16">
                    <c:v>1999</c:v>
                  </c:pt>
                  <c:pt idx="20">
                    <c:v>2000</c:v>
                  </c:pt>
                  <c:pt idx="24">
                    <c:v>2001</c:v>
                  </c:pt>
                  <c:pt idx="30">
                    <c:v>2002</c:v>
                  </c:pt>
                  <c:pt idx="34">
                    <c:v>2003</c:v>
                  </c:pt>
                  <c:pt idx="38">
                    <c:v>2004</c:v>
                  </c:pt>
                  <c:pt idx="42">
                    <c:v>2005</c:v>
                  </c:pt>
                  <c:pt idx="46">
                    <c:v>2006</c:v>
                  </c:pt>
                  <c:pt idx="50">
                    <c:v>2007</c:v>
                  </c:pt>
                  <c:pt idx="54">
                    <c:v>2008</c:v>
                  </c:pt>
                  <c:pt idx="58">
                    <c:v>2009</c:v>
                  </c:pt>
                  <c:pt idx="62">
                    <c:v>2010</c:v>
                  </c:pt>
                  <c:pt idx="66">
                    <c:v>2011</c:v>
                  </c:pt>
                  <c:pt idx="70">
                    <c:v>2012</c:v>
                  </c:pt>
                  <c:pt idx="74">
                    <c:v>2013</c:v>
                  </c:pt>
                  <c:pt idx="78">
                    <c:v>2014</c:v>
                  </c:pt>
                  <c:pt idx="82">
                    <c:v>2014</c:v>
                  </c:pt>
                </c:lvl>
              </c:multiLvlStrCache>
            </c:multiLvlStrRef>
          </c:cat>
          <c:val>
            <c:numRef>
              <c:f>'Interest '!$E$47:$CL$47</c:f>
              <c:numCache>
                <c:formatCode>0.0</c:formatCode>
                <c:ptCount val="86"/>
                <c:pt idx="0">
                  <c:v>17.0833333333333</c:v>
                </c:pt>
                <c:pt idx="1">
                  <c:v>17.5</c:v>
                </c:pt>
                <c:pt idx="2">
                  <c:v>18.5</c:v>
                </c:pt>
                <c:pt idx="3">
                  <c:v>18.5</c:v>
                </c:pt>
                <c:pt idx="4">
                  <c:v>18.5</c:v>
                </c:pt>
                <c:pt idx="5">
                  <c:v>20.1666666666667</c:v>
                </c:pt>
                <c:pt idx="6">
                  <c:v>19.5</c:v>
                </c:pt>
                <c:pt idx="7">
                  <c:v>19.9166666666667</c:v>
                </c:pt>
                <c:pt idx="8">
                  <c:v>20.25</c:v>
                </c:pt>
                <c:pt idx="9">
                  <c:v>20.25</c:v>
                </c:pt>
                <c:pt idx="10">
                  <c:v>20.25</c:v>
                </c:pt>
                <c:pt idx="11">
                  <c:v>19.25</c:v>
                </c:pt>
                <c:pt idx="12">
                  <c:v>18.9166666666667</c:v>
                </c:pt>
                <c:pt idx="13">
                  <c:v>19.5833333333333</c:v>
                </c:pt>
                <c:pt idx="14">
                  <c:v>25</c:v>
                </c:pt>
                <c:pt idx="15">
                  <c:v>23.6666666666667</c:v>
                </c:pt>
                <c:pt idx="16">
                  <c:v>21</c:v>
                </c:pt>
                <c:pt idx="17">
                  <c:v>18.6666666666667</c:v>
                </c:pt>
                <c:pt idx="18">
                  <c:v>16.8333333333333</c:v>
                </c:pt>
                <c:pt idx="19">
                  <c:v>15.5</c:v>
                </c:pt>
                <c:pt idx="20">
                  <c:v>14.5</c:v>
                </c:pt>
                <c:pt idx="21">
                  <c:v>14.5</c:v>
                </c:pt>
                <c:pt idx="22">
                  <c:v>14.5</c:v>
                </c:pt>
                <c:pt idx="23">
                  <c:v>14.5</c:v>
                </c:pt>
                <c:pt idx="24">
                  <c:v>14.5</c:v>
                </c:pt>
                <c:pt idx="27">
                  <c:v>14.25</c:v>
                </c:pt>
                <c:pt idx="28">
                  <c:v>13.3333333333333</c:v>
                </c:pt>
                <c:pt idx="29">
                  <c:v>13</c:v>
                </c:pt>
                <c:pt idx="30">
                  <c:v>14.3333333333333</c:v>
                </c:pt>
                <c:pt idx="31">
                  <c:v>15.3333333333333</c:v>
                </c:pt>
                <c:pt idx="32">
                  <c:v>16.3333333333333</c:v>
                </c:pt>
                <c:pt idx="33">
                  <c:v>17</c:v>
                </c:pt>
                <c:pt idx="34">
                  <c:v>17</c:v>
                </c:pt>
                <c:pt idx="35">
                  <c:v>16.5</c:v>
                </c:pt>
                <c:pt idx="36">
                  <c:v>14.5</c:v>
                </c:pt>
                <c:pt idx="37">
                  <c:v>11.8333333333333</c:v>
                </c:pt>
                <c:pt idx="38">
                  <c:v>11.5</c:v>
                </c:pt>
                <c:pt idx="39">
                  <c:v>11.5</c:v>
                </c:pt>
                <c:pt idx="40">
                  <c:v>11.1666666666667</c:v>
                </c:pt>
                <c:pt idx="41">
                  <c:v>11</c:v>
                </c:pt>
                <c:pt idx="42">
                  <c:v>11</c:v>
                </c:pt>
                <c:pt idx="43">
                  <c:v>10.5</c:v>
                </c:pt>
                <c:pt idx="44">
                  <c:v>10.5</c:v>
                </c:pt>
                <c:pt idx="45">
                  <c:v>10.5</c:v>
                </c:pt>
                <c:pt idx="46">
                  <c:v>10.5</c:v>
                </c:pt>
                <c:pt idx="47">
                  <c:v>10.6666666666667</c:v>
                </c:pt>
                <c:pt idx="48">
                  <c:v>11.3333333333333</c:v>
                </c:pt>
                <c:pt idx="49">
                  <c:v>12.1666666666667</c:v>
                </c:pt>
                <c:pt idx="50">
                  <c:v>12.5</c:v>
                </c:pt>
                <c:pt idx="51">
                  <c:v>12.6666666666667</c:v>
                </c:pt>
                <c:pt idx="52">
                  <c:v>13.3333333333333</c:v>
                </c:pt>
                <c:pt idx="53">
                  <c:v>14.1666666666667</c:v>
                </c:pt>
                <c:pt idx="54">
                  <c:v>14.5</c:v>
                </c:pt>
                <c:pt idx="55">
                  <c:v>15.1666666666667</c:v>
                </c:pt>
                <c:pt idx="56">
                  <c:v>15.5</c:v>
                </c:pt>
                <c:pt idx="57">
                  <c:v>15.3333333333333</c:v>
                </c:pt>
                <c:pt idx="58">
                  <c:v>14</c:v>
                </c:pt>
                <c:pt idx="59">
                  <c:v>11.6666666666667</c:v>
                </c:pt>
                <c:pt idx="60">
                  <c:v>10.6666666666667</c:v>
                </c:pt>
                <c:pt idx="61">
                  <c:v>10.5</c:v>
                </c:pt>
                <c:pt idx="62">
                  <c:v>10.3333333333333</c:v>
                </c:pt>
                <c:pt idx="63">
                  <c:v>10</c:v>
                </c:pt>
                <c:pt idx="64">
                  <c:v>9.8333333333333304</c:v>
                </c:pt>
                <c:pt idx="65">
                  <c:v>9.1666666666666696</c:v>
                </c:pt>
                <c:pt idx="66">
                  <c:v>9</c:v>
                </c:pt>
                <c:pt idx="67">
                  <c:v>9</c:v>
                </c:pt>
                <c:pt idx="68">
                  <c:v>9</c:v>
                </c:pt>
                <c:pt idx="69">
                  <c:v>9</c:v>
                </c:pt>
                <c:pt idx="70">
                  <c:v>9</c:v>
                </c:pt>
                <c:pt idx="71">
                  <c:v>9</c:v>
                </c:pt>
                <c:pt idx="72">
                  <c:v>8.5</c:v>
                </c:pt>
                <c:pt idx="73">
                  <c:v>8.5</c:v>
                </c:pt>
                <c:pt idx="74">
                  <c:v>8.5</c:v>
                </c:pt>
                <c:pt idx="75">
                  <c:v>8.5</c:v>
                </c:pt>
                <c:pt idx="76">
                  <c:v>8.5</c:v>
                </c:pt>
                <c:pt idx="77">
                  <c:v>8.5</c:v>
                </c:pt>
                <c:pt idx="78">
                  <c:v>9</c:v>
                </c:pt>
                <c:pt idx="79">
                  <c:v>9</c:v>
                </c:pt>
                <c:pt idx="80">
                  <c:v>9.25</c:v>
                </c:pt>
                <c:pt idx="81">
                  <c:v>9.25</c:v>
                </c:pt>
              </c:numCache>
            </c:numRef>
          </c:val>
          <c:smooth val="0"/>
          <c:extLst>
            <c:ext xmlns:c16="http://schemas.microsoft.com/office/drawing/2014/chart" uri="{C3380CC4-5D6E-409C-BE32-E72D297353CC}">
              <c16:uniqueId val="{00000001-6B70-4429-908D-9C7844890D92}"/>
            </c:ext>
          </c:extLst>
        </c:ser>
        <c:dLbls>
          <c:showLegendKey val="0"/>
          <c:showVal val="0"/>
          <c:showCatName val="0"/>
          <c:showSerName val="0"/>
          <c:showPercent val="0"/>
          <c:showBubbleSize val="0"/>
        </c:dLbls>
        <c:smooth val="0"/>
        <c:axId val="399510424"/>
        <c:axId val="399512384"/>
      </c:lineChart>
      <c:catAx>
        <c:axId val="399510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512384"/>
        <c:crossesAt val="-4.5"/>
        <c:auto val="1"/>
        <c:lblAlgn val="ctr"/>
        <c:lblOffset val="100"/>
        <c:tickLblSkip val="1"/>
        <c:tickMarkSkip val="1"/>
        <c:noMultiLvlLbl val="0"/>
      </c:catAx>
      <c:valAx>
        <c:axId val="399512384"/>
        <c:scaling>
          <c:orientation val="minMax"/>
        </c:scaling>
        <c:delete val="0"/>
        <c:axPos val="l"/>
        <c:majorGridlines>
          <c:spPr>
            <a:ln w="3175">
              <a:solidFill>
                <a:srgbClr val="969696"/>
              </a:solidFill>
              <a:prstDash val="sysDash"/>
            </a:ln>
          </c:spPr>
        </c:majorGridlines>
        <c:title>
          <c:tx>
            <c:rich>
              <a:bodyPr/>
              <a:lstStyle/>
              <a:p>
                <a:pPr>
                  <a:defRPr/>
                </a:pPr>
                <a:r>
                  <a:rPr lang="en-US"/>
                  <a:t>rate (%)</a:t>
                </a:r>
              </a:p>
            </c:rich>
          </c:tx>
          <c:layout>
            <c:manualLayout>
              <c:xMode val="edge"/>
              <c:yMode val="edge"/>
              <c:x val="2.8242712264517231E-2"/>
              <c:y val="0.400594332488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9510424"/>
        <c:crosses val="autoZero"/>
        <c:crossBetween val="between"/>
        <c:majorUnit val="4.5"/>
      </c:valAx>
      <c:spPr>
        <a:solidFill>
          <a:srgbClr val="FFFFFF"/>
        </a:solidFill>
        <a:ln w="25400">
          <a:noFill/>
        </a:ln>
      </c:spPr>
    </c:plotArea>
    <c:legend>
      <c:legendPos val="r"/>
      <c:layout>
        <c:manualLayout>
          <c:xMode val="edge"/>
          <c:yMode val="edge"/>
          <c:x val="0.34053083601236239"/>
          <c:y val="0.91270430179278428"/>
          <c:w val="0.26955314017700455"/>
          <c:h val="6.8248079159596631E-2"/>
        </c:manualLayout>
      </c:layout>
      <c:overlay val="0"/>
      <c:spPr>
        <a:solidFill>
          <a:srgbClr val="FFFFFF"/>
        </a:solidFill>
        <a:ln w="25400">
          <a:noFill/>
        </a:ln>
      </c:sp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paperSize="9" orientation="landscape" horizontalDpi="0"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INFLATION</a:t>
            </a:r>
            <a:r>
              <a:rPr lang="en-US" baseline="0"/>
              <a:t> RATE</a:t>
            </a:r>
            <a:endParaRPr lang="en-US"/>
          </a:p>
        </c:rich>
      </c:tx>
      <c:layout>
        <c:manualLayout>
          <c:xMode val="edge"/>
          <c:yMode val="edge"/>
          <c:x val="3.6764639154443522E-2"/>
          <c:y val="2.4539758617129381E-2"/>
        </c:manualLayout>
      </c:layout>
      <c:overlay val="0"/>
      <c:spPr>
        <a:noFill/>
        <a:ln w="25400">
          <a:noFill/>
        </a:ln>
      </c:spPr>
    </c:title>
    <c:autoTitleDeleted val="0"/>
    <c:plotArea>
      <c:layout>
        <c:manualLayout>
          <c:layoutTarget val="inner"/>
          <c:xMode val="edge"/>
          <c:yMode val="edge"/>
          <c:x val="6.6662296765453752E-2"/>
          <c:y val="0.12362019964895693"/>
          <c:w val="0.92463235294117663"/>
          <c:h val="0.67851531472900795"/>
        </c:manualLayout>
      </c:layout>
      <c:lineChart>
        <c:grouping val="standard"/>
        <c:varyColors val="0"/>
        <c:ser>
          <c:idx val="0"/>
          <c:order val="0"/>
          <c:tx>
            <c:strRef>
              <c:f>Inflation!$C$45</c:f>
              <c:strCache>
                <c:ptCount val="1"/>
                <c:pt idx="0">
                  <c:v>CPI </c:v>
                </c:pt>
              </c:strCache>
            </c:strRef>
          </c:tx>
          <c:spPr>
            <a:ln w="25400">
              <a:solidFill>
                <a:srgbClr val="FF6600"/>
              </a:solidFill>
              <a:prstDash val="solid"/>
            </a:ln>
          </c:spPr>
          <c:marker>
            <c:symbol val="none"/>
          </c:marker>
          <c:cat>
            <c:strRef>
              <c:extLst>
                <c:ext xmlns:c15="http://schemas.microsoft.com/office/drawing/2012/chart" uri="{02D57815-91ED-43cb-92C2-25804820EDAC}">
                  <c15:fullRef>
                    <c15:sqref>Inflation!$E$7:$AG$7</c15:sqref>
                  </c15:fullRef>
                </c:ext>
              </c:extLst>
              <c:f>Inflation!$S$7:$AG$7</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extLst>
                <c:ext xmlns:c15="http://schemas.microsoft.com/office/drawing/2012/chart" uri="{02D57815-91ED-43cb-92C2-25804820EDAC}">
                  <c15:fullRef>
                    <c15:sqref>Inflation!$E$8:$AG$8</c15:sqref>
                  </c15:fullRef>
                </c:ext>
              </c:extLst>
              <c:f>Inflation!$S$8:$AG$8</c:f>
              <c:numCache>
                <c:formatCode>0.0</c:formatCode>
                <c:ptCount val="15"/>
                <c:pt idx="0">
                  <c:v>11.5</c:v>
                </c:pt>
                <c:pt idx="1">
                  <c:v>7.1</c:v>
                </c:pt>
                <c:pt idx="2">
                  <c:v>4.3</c:v>
                </c:pt>
                <c:pt idx="3">
                  <c:v>5</c:v>
                </c:pt>
                <c:pt idx="4">
                  <c:v>5.6</c:v>
                </c:pt>
                <c:pt idx="5">
                  <c:v>5.7</c:v>
                </c:pt>
                <c:pt idx="6">
                  <c:v>6.1</c:v>
                </c:pt>
                <c:pt idx="7">
                  <c:v>4.5999999999999996</c:v>
                </c:pt>
                <c:pt idx="8">
                  <c:v>6.4</c:v>
                </c:pt>
                <c:pt idx="9">
                  <c:v>5.3</c:v>
                </c:pt>
                <c:pt idx="10">
                  <c:v>4.7</c:v>
                </c:pt>
                <c:pt idx="11">
                  <c:v>4.0999999999999996</c:v>
                </c:pt>
                <c:pt idx="12">
                  <c:v>3.3</c:v>
                </c:pt>
                <c:pt idx="13">
                  <c:v>4.5</c:v>
                </c:pt>
                <c:pt idx="14">
                  <c:v>6.9</c:v>
                </c:pt>
              </c:numCache>
            </c:numRef>
          </c:val>
          <c:smooth val="0"/>
          <c:extLst>
            <c:ext xmlns:c16="http://schemas.microsoft.com/office/drawing/2014/chart" uri="{C3380CC4-5D6E-409C-BE32-E72D297353CC}">
              <c16:uniqueId val="{00000000-1497-41D8-A0A5-D85B67C1E6A5}"/>
            </c:ext>
          </c:extLst>
        </c:ser>
        <c:dLbls>
          <c:showLegendKey val="0"/>
          <c:showVal val="0"/>
          <c:showCatName val="0"/>
          <c:showSerName val="0"/>
          <c:showPercent val="0"/>
          <c:showBubbleSize val="0"/>
        </c:dLbls>
        <c:smooth val="0"/>
        <c:axId val="399690960"/>
        <c:axId val="399688216"/>
      </c:lineChart>
      <c:catAx>
        <c:axId val="399690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399688216"/>
        <c:crossesAt val="-3"/>
        <c:auto val="1"/>
        <c:lblAlgn val="ctr"/>
        <c:lblOffset val="100"/>
        <c:tickLblSkip val="1"/>
        <c:tickMarkSkip val="1"/>
        <c:noMultiLvlLbl val="0"/>
      </c:catAx>
      <c:valAx>
        <c:axId val="399688216"/>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rate (%)</a:t>
                </a:r>
              </a:p>
            </c:rich>
          </c:tx>
          <c:layout>
            <c:manualLayout>
              <c:xMode val="edge"/>
              <c:yMode val="edge"/>
              <c:x val="1.4705822359040966E-2"/>
              <c:y val="0.3957055368078990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90960"/>
        <c:crosses val="autoZero"/>
        <c:crossBetween val="between"/>
        <c:majorUnit val="1.5"/>
      </c:valAx>
      <c:spPr>
        <a:solidFill>
          <a:srgbClr val="FFFFFF"/>
        </a:solidFill>
        <a:ln w="25400">
          <a:noFill/>
        </a:ln>
      </c:spPr>
    </c:plotArea>
    <c:legend>
      <c:legendPos val="r"/>
      <c:layout>
        <c:manualLayout>
          <c:xMode val="edge"/>
          <c:yMode val="edge"/>
          <c:x val="0.47518392476911836"/>
          <c:y val="0.92944773207696862"/>
          <c:w val="7.3909052982895282E-2"/>
          <c:h val="4.0558920664404682E-2"/>
        </c:manualLayout>
      </c:layout>
      <c:overlay val="0"/>
      <c:spPr>
        <a:solidFill>
          <a:srgbClr val="FFFFFF"/>
        </a:solidFill>
        <a:ln w="25400">
          <a:noFill/>
        </a:ln>
      </c:spPr>
      <c:txPr>
        <a:bodyPr/>
        <a:lstStyle/>
        <a:p>
          <a:pPr>
            <a:defRPr lang="en-US"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52078697948267"/>
          <c:y val="8.6068597791534709E-2"/>
          <c:w val="0.87261154424156184"/>
          <c:h val="0.64399299343602145"/>
        </c:manualLayout>
      </c:layout>
      <c:lineChart>
        <c:grouping val="standard"/>
        <c:varyColors val="0"/>
        <c:ser>
          <c:idx val="0"/>
          <c:order val="0"/>
          <c:tx>
            <c:strRef>
              <c:f>Inflation!$C$45</c:f>
              <c:strCache>
                <c:ptCount val="1"/>
                <c:pt idx="0">
                  <c:v>CPI </c:v>
                </c:pt>
              </c:strCache>
            </c:strRef>
          </c:tx>
          <c:spPr>
            <a:ln w="15875">
              <a:solidFill>
                <a:srgbClr val="993300"/>
              </a:solidFill>
              <a:prstDash val="solid"/>
            </a:ln>
          </c:spPr>
          <c:marker>
            <c:symbol val="none"/>
          </c:marker>
          <c:cat>
            <c:multiLvlStrRef>
              <c:f>Inflation!$D$43:$CP$44</c:f>
              <c:multiLvlStrCache>
                <c:ptCount val="91"/>
                <c:lvl>
                  <c:pt idx="0">
                    <c:v>M</c:v>
                  </c:pt>
                  <c:pt idx="2">
                    <c:v>J</c:v>
                  </c:pt>
                  <c:pt idx="3">
                    <c:v>S</c:v>
                  </c:pt>
                  <c:pt idx="4">
                    <c:v>D</c:v>
                  </c:pt>
                  <c:pt idx="5">
                    <c:v>M</c:v>
                  </c:pt>
                  <c:pt idx="6">
                    <c:v>J</c:v>
                  </c:pt>
                  <c:pt idx="7">
                    <c:v>S</c:v>
                  </c:pt>
                  <c:pt idx="8">
                    <c:v>D</c:v>
                  </c:pt>
                  <c:pt idx="9">
                    <c:v>M</c:v>
                  </c:pt>
                  <c:pt idx="10">
                    <c:v>J</c:v>
                  </c:pt>
                  <c:pt idx="11">
                    <c:v>S</c:v>
                  </c:pt>
                  <c:pt idx="12">
                    <c:v>D</c:v>
                  </c:pt>
                  <c:pt idx="13">
                    <c:v>M</c:v>
                  </c:pt>
                  <c:pt idx="14">
                    <c:v>J</c:v>
                  </c:pt>
                  <c:pt idx="15">
                    <c:v>S</c:v>
                  </c:pt>
                  <c:pt idx="16">
                    <c:v>D</c:v>
                  </c:pt>
                  <c:pt idx="17">
                    <c:v>M</c:v>
                  </c:pt>
                  <c:pt idx="18">
                    <c:v>J</c:v>
                  </c:pt>
                  <c:pt idx="19">
                    <c:v>S</c:v>
                  </c:pt>
                  <c:pt idx="20">
                    <c:v>D</c:v>
                  </c:pt>
                  <c:pt idx="21">
                    <c:v>M</c:v>
                  </c:pt>
                  <c:pt idx="22">
                    <c:v>J</c:v>
                  </c:pt>
                  <c:pt idx="23">
                    <c:v>S</c:v>
                  </c:pt>
                  <c:pt idx="24">
                    <c:v>D</c:v>
                  </c:pt>
                  <c:pt idx="25">
                    <c:v>M</c:v>
                  </c:pt>
                  <c:pt idx="28">
                    <c:v>J</c:v>
                  </c:pt>
                  <c:pt idx="29">
                    <c:v>S</c:v>
                  </c:pt>
                  <c:pt idx="30">
                    <c:v>D</c:v>
                  </c:pt>
                  <c:pt idx="31">
                    <c:v>M</c:v>
                  </c:pt>
                  <c:pt idx="32">
                    <c:v>J</c:v>
                  </c:pt>
                  <c:pt idx="33">
                    <c:v>S</c:v>
                  </c:pt>
                  <c:pt idx="34">
                    <c:v>D</c:v>
                  </c:pt>
                  <c:pt idx="35">
                    <c:v>M</c:v>
                  </c:pt>
                  <c:pt idx="36">
                    <c:v>J</c:v>
                  </c:pt>
                  <c:pt idx="37">
                    <c:v>S</c:v>
                  </c:pt>
                  <c:pt idx="38">
                    <c:v>D</c:v>
                  </c:pt>
                  <c:pt idx="39">
                    <c:v>M</c:v>
                  </c:pt>
                  <c:pt idx="40">
                    <c:v>J</c:v>
                  </c:pt>
                  <c:pt idx="41">
                    <c:v>S</c:v>
                  </c:pt>
                  <c:pt idx="42">
                    <c:v>D</c:v>
                  </c:pt>
                  <c:pt idx="43">
                    <c:v>M</c:v>
                  </c:pt>
                  <c:pt idx="44">
                    <c:v>J</c:v>
                  </c:pt>
                  <c:pt idx="45">
                    <c:v>S</c:v>
                  </c:pt>
                  <c:pt idx="46">
                    <c:v>D</c:v>
                  </c:pt>
                  <c:pt idx="47">
                    <c:v>M</c:v>
                  </c:pt>
                  <c:pt idx="48">
                    <c:v>J</c:v>
                  </c:pt>
                  <c:pt idx="49">
                    <c:v>S</c:v>
                  </c:pt>
                  <c:pt idx="50">
                    <c:v>D</c:v>
                  </c:pt>
                  <c:pt idx="51">
                    <c:v>M</c:v>
                  </c:pt>
                  <c:pt idx="52">
                    <c:v>J</c:v>
                  </c:pt>
                  <c:pt idx="53">
                    <c:v>S</c:v>
                  </c:pt>
                  <c:pt idx="54">
                    <c:v>D</c:v>
                  </c:pt>
                  <c:pt idx="55">
                    <c:v>M</c:v>
                  </c:pt>
                  <c:pt idx="56">
                    <c:v>J</c:v>
                  </c:pt>
                  <c:pt idx="57">
                    <c:v>S</c:v>
                  </c:pt>
                  <c:pt idx="58">
                    <c:v>D</c:v>
                  </c:pt>
                  <c:pt idx="59">
                    <c:v>M</c:v>
                  </c:pt>
                  <c:pt idx="60">
                    <c:v>J</c:v>
                  </c:pt>
                  <c:pt idx="61">
                    <c:v>S</c:v>
                  </c:pt>
                  <c:pt idx="62">
                    <c:v>D</c:v>
                  </c:pt>
                  <c:pt idx="63">
                    <c:v>M</c:v>
                  </c:pt>
                  <c:pt idx="64">
                    <c:v>J</c:v>
                  </c:pt>
                  <c:pt idx="65">
                    <c:v>S</c:v>
                  </c:pt>
                  <c:pt idx="66">
                    <c:v>D</c:v>
                  </c:pt>
                  <c:pt idx="67">
                    <c:v>M</c:v>
                  </c:pt>
                  <c:pt idx="68">
                    <c:v>J</c:v>
                  </c:pt>
                  <c:pt idx="69">
                    <c:v>S</c:v>
                  </c:pt>
                  <c:pt idx="70">
                    <c:v>D</c:v>
                  </c:pt>
                  <c:pt idx="71">
                    <c:v>M</c:v>
                  </c:pt>
                  <c:pt idx="72">
                    <c:v>J</c:v>
                  </c:pt>
                  <c:pt idx="73">
                    <c:v>S</c:v>
                  </c:pt>
                  <c:pt idx="74">
                    <c:v>D</c:v>
                  </c:pt>
                  <c:pt idx="75">
                    <c:v>M</c:v>
                  </c:pt>
                  <c:pt idx="76">
                    <c:v>J</c:v>
                  </c:pt>
                  <c:pt idx="77">
                    <c:v>S</c:v>
                  </c:pt>
                  <c:pt idx="78">
                    <c:v>D</c:v>
                  </c:pt>
                  <c:pt idx="79">
                    <c:v>M</c:v>
                  </c:pt>
                  <c:pt idx="80">
                    <c:v>J</c:v>
                  </c:pt>
                  <c:pt idx="81">
                    <c:v>S</c:v>
                  </c:pt>
                  <c:pt idx="82">
                    <c:v>D</c:v>
                  </c:pt>
                  <c:pt idx="83">
                    <c:v>M</c:v>
                  </c:pt>
                  <c:pt idx="84">
                    <c:v>J</c:v>
                  </c:pt>
                  <c:pt idx="85">
                    <c:v>S</c:v>
                  </c:pt>
                  <c:pt idx="86">
                    <c:v>D</c:v>
                  </c:pt>
                  <c:pt idx="87">
                    <c:v>M</c:v>
                  </c:pt>
                  <c:pt idx="88">
                    <c:v>J</c:v>
                  </c:pt>
                  <c:pt idx="89">
                    <c:v>S</c:v>
                  </c:pt>
                  <c:pt idx="90">
                    <c:v>D</c:v>
                  </c:pt>
                </c:lvl>
                <c:lvl>
                  <c:pt idx="0">
                    <c:v>1994</c:v>
                  </c:pt>
                  <c:pt idx="5">
                    <c:v>1995</c:v>
                  </c:pt>
                  <c:pt idx="9">
                    <c:v>1996</c:v>
                  </c:pt>
                  <c:pt idx="13">
                    <c:v>1997</c:v>
                  </c:pt>
                  <c:pt idx="17">
                    <c:v>1998</c:v>
                  </c:pt>
                  <c:pt idx="21">
                    <c:v>1999</c:v>
                  </c:pt>
                  <c:pt idx="25">
                    <c:v>2000</c:v>
                  </c:pt>
                  <c:pt idx="31">
                    <c:v>2001</c:v>
                  </c:pt>
                  <c:pt idx="35">
                    <c:v>2002</c:v>
                  </c:pt>
                  <c:pt idx="39">
                    <c:v>2003</c:v>
                  </c:pt>
                  <c:pt idx="43">
                    <c:v>2004</c:v>
                  </c:pt>
                  <c:pt idx="47">
                    <c:v>2005</c:v>
                  </c:pt>
                  <c:pt idx="51">
                    <c:v>2006</c:v>
                  </c:pt>
                  <c:pt idx="55">
                    <c:v>2007</c:v>
                  </c:pt>
                  <c:pt idx="59">
                    <c:v>2008</c:v>
                  </c:pt>
                  <c:pt idx="63">
                    <c:v>2009</c:v>
                  </c:pt>
                  <c:pt idx="67">
                    <c:v>2010</c:v>
                  </c:pt>
                  <c:pt idx="71">
                    <c:v>2011</c:v>
                  </c:pt>
                  <c:pt idx="75">
                    <c:v>2012</c:v>
                  </c:pt>
                  <c:pt idx="79">
                    <c:v>2013</c:v>
                  </c:pt>
                  <c:pt idx="83">
                    <c:v>2014</c:v>
                  </c:pt>
                  <c:pt idx="87">
                    <c:v>2014</c:v>
                  </c:pt>
                </c:lvl>
              </c:multiLvlStrCache>
            </c:multiLvlStrRef>
          </c:cat>
          <c:val>
            <c:numRef>
              <c:f>Inflation!$D$45:$CP$45</c:f>
              <c:numCache>
                <c:formatCode>0.0</c:formatCode>
                <c:ptCount val="91"/>
                <c:pt idx="0">
                  <c:v>9.6690745326061922</c:v>
                </c:pt>
                <c:pt idx="2">
                  <c:v>7.1544990447711898</c:v>
                </c:pt>
                <c:pt idx="3">
                  <c:v>9.1298236892189308</c:v>
                </c:pt>
                <c:pt idx="4">
                  <c:v>9.7990149990723641</c:v>
                </c:pt>
                <c:pt idx="5">
                  <c:v>9.9593442253082856</c:v>
                </c:pt>
                <c:pt idx="6">
                  <c:v>10.65216088388572</c:v>
                </c:pt>
                <c:pt idx="7">
                  <c:v>7.7265495256930494</c:v>
                </c:pt>
                <c:pt idx="8">
                  <c:v>6.5617362329769779</c:v>
                </c:pt>
                <c:pt idx="9">
                  <c:v>6.5085679673837493</c:v>
                </c:pt>
                <c:pt idx="10">
                  <c:v>6.0804774256866922</c:v>
                </c:pt>
                <c:pt idx="11">
                  <c:v>7.6291228387665333</c:v>
                </c:pt>
                <c:pt idx="12">
                  <c:v>9.1451219295645814</c:v>
                </c:pt>
                <c:pt idx="13">
                  <c:v>9.6107740626719895</c:v>
                </c:pt>
                <c:pt idx="14">
                  <c:v>9.3789086252066056</c:v>
                </c:pt>
                <c:pt idx="15">
                  <c:v>8.6163234263308741</c:v>
                </c:pt>
                <c:pt idx="16">
                  <c:v>6.8816620113169469</c:v>
                </c:pt>
                <c:pt idx="17">
                  <c:v>6.5767284991568031</c:v>
                </c:pt>
                <c:pt idx="18">
                  <c:v>6.9565217391304168</c:v>
                </c:pt>
                <c:pt idx="19">
                  <c:v>7.2505091649695208</c:v>
                </c:pt>
                <c:pt idx="20">
                  <c:v>7.4074074074073737</c:v>
                </c:pt>
                <c:pt idx="21">
                  <c:v>7.2784810126582</c:v>
                </c:pt>
                <c:pt idx="22">
                  <c:v>7.00735578784355</c:v>
                </c:pt>
                <c:pt idx="23">
                  <c:v>6.7603494113178675</c:v>
                </c:pt>
                <c:pt idx="24">
                  <c:v>6.7091454272864004</c:v>
                </c:pt>
                <c:pt idx="25">
                  <c:v>7.1902654867256555</c:v>
                </c:pt>
                <c:pt idx="28">
                  <c:v>7.8509406657019554</c:v>
                </c:pt>
                <c:pt idx="29">
                  <c:v>8.0398434720736276</c:v>
                </c:pt>
                <c:pt idx="30">
                  <c:v>7.7976817702845036</c:v>
                </c:pt>
                <c:pt idx="31">
                  <c:v>7.602339181286899</c:v>
                </c:pt>
                <c:pt idx="32">
                  <c:v>6.5414290506544459</c:v>
                </c:pt>
                <c:pt idx="33">
                  <c:v>6.0915377016796501</c:v>
                </c:pt>
                <c:pt idx="34">
                  <c:v>6.2235255783646082</c:v>
                </c:pt>
                <c:pt idx="35">
                  <c:v>7.4168797953960697</c:v>
                </c:pt>
                <c:pt idx="36">
                  <c:v>8.7216624685135145</c:v>
                </c:pt>
                <c:pt idx="37">
                  <c:v>9.9317194289264332</c:v>
                </c:pt>
                <c:pt idx="38">
                  <c:v>11.134969325153342</c:v>
                </c:pt>
                <c:pt idx="39">
                  <c:v>9.5238095238098239</c:v>
                </c:pt>
                <c:pt idx="40">
                  <c:v>7.5296843324648144</c:v>
                </c:pt>
                <c:pt idx="41">
                  <c:v>6.0700169395815573</c:v>
                </c:pt>
                <c:pt idx="42">
                  <c:v>4.1954181617438469</c:v>
                </c:pt>
                <c:pt idx="43">
                  <c:v>4.4565217391298928</c:v>
                </c:pt>
                <c:pt idx="44">
                  <c:v>4.6054403447347125</c:v>
                </c:pt>
                <c:pt idx="45">
                  <c:v>3.8860793186055398</c:v>
                </c:pt>
                <c:pt idx="46">
                  <c:v>4.3708609271523313</c:v>
                </c:pt>
                <c:pt idx="47">
                  <c:v>3.4339229968782359</c:v>
                </c:pt>
                <c:pt idx="48">
                  <c:v>3.7332646755918963</c:v>
                </c:pt>
                <c:pt idx="49">
                  <c:v>4.5605944145526545</c:v>
                </c:pt>
                <c:pt idx="50">
                  <c:v>4.0609137055842792</c:v>
                </c:pt>
                <c:pt idx="51">
                  <c:v>4.2002012072437367</c:v>
                </c:pt>
                <c:pt idx="52">
                  <c:v>4.2194092827006591</c:v>
                </c:pt>
                <c:pt idx="53">
                  <c:v>4.9742710120071365</c:v>
                </c:pt>
                <c:pt idx="54">
                  <c:v>4.9756097560975654</c:v>
                </c:pt>
                <c:pt idx="55">
                  <c:v>5.2377504223990012</c:v>
                </c:pt>
                <c:pt idx="56">
                  <c:v>6.3586568230530771</c:v>
                </c:pt>
                <c:pt idx="57">
                  <c:v>6.489262371615534</c:v>
                </c:pt>
                <c:pt idx="58">
                  <c:v>7.9228624535311098</c:v>
                </c:pt>
                <c:pt idx="59">
                  <c:v>9.4036697247708911</c:v>
                </c:pt>
                <c:pt idx="60">
                  <c:v>10.971786833855557</c:v>
                </c:pt>
                <c:pt idx="61">
                  <c:v>13.217886891714127</c:v>
                </c:pt>
                <c:pt idx="62">
                  <c:v>11.603875134553521</c:v>
                </c:pt>
                <c:pt idx="63">
                  <c:v>8.377192982456183</c:v>
                </c:pt>
                <c:pt idx="64">
                  <c:v>7.7711357813833315</c:v>
                </c:pt>
                <c:pt idx="65">
                  <c:v>6.4182194616977606</c:v>
                </c:pt>
                <c:pt idx="66">
                  <c:v>6.0805258833197318</c:v>
                </c:pt>
                <c:pt idx="67">
                  <c:v>5.6657223796034328</c:v>
                </c:pt>
                <c:pt idx="68">
                  <c:v>4.5166402535657735</c:v>
                </c:pt>
                <c:pt idx="69">
                  <c:v>3.463035019455174</c:v>
                </c:pt>
                <c:pt idx="70">
                  <c:v>3.4469403563129664</c:v>
                </c:pt>
                <c:pt idx="71">
                  <c:v>3.8299502106472261</c:v>
                </c:pt>
                <c:pt idx="72">
                  <c:v>4.624715693707393</c:v>
                </c:pt>
                <c:pt idx="73">
                  <c:v>5.4531778864234326</c:v>
                </c:pt>
                <c:pt idx="74">
                  <c:v>6.0651441407711282</c:v>
                </c:pt>
                <c:pt idx="75">
                  <c:v>6.1232017705643349</c:v>
                </c:pt>
                <c:pt idx="76">
                  <c:v>5.7608695652173969</c:v>
                </c:pt>
                <c:pt idx="77">
                  <c:v>5.0998573466476849</c:v>
                </c:pt>
                <c:pt idx="78">
                  <c:v>5.6477232615602668</c:v>
                </c:pt>
                <c:pt idx="79">
                  <c:v>5.7003823427184575</c:v>
                </c:pt>
                <c:pt idx="80">
                  <c:v>5.6526207605344325</c:v>
                </c:pt>
                <c:pt idx="81">
                  <c:v>6.2436375975572167</c:v>
                </c:pt>
                <c:pt idx="82">
                  <c:v>5.4126294687607546</c:v>
                </c:pt>
                <c:pt idx="83">
                  <c:v>5.9191055573824203</c:v>
                </c:pt>
                <c:pt idx="84">
                  <c:v>6.4526588845651656</c:v>
                </c:pt>
                <c:pt idx="85">
                  <c:v>6.228042159054592</c:v>
                </c:pt>
                <c:pt idx="86">
                  <c:v>5.7369255150551357</c:v>
                </c:pt>
              </c:numCache>
            </c:numRef>
          </c:val>
          <c:smooth val="0"/>
          <c:extLst>
            <c:ext xmlns:c16="http://schemas.microsoft.com/office/drawing/2014/chart" uri="{C3380CC4-5D6E-409C-BE32-E72D297353CC}">
              <c16:uniqueId val="{00000000-0E84-4252-A4B4-1C94844FC158}"/>
            </c:ext>
          </c:extLst>
        </c:ser>
        <c:dLbls>
          <c:showLegendKey val="0"/>
          <c:showVal val="0"/>
          <c:showCatName val="0"/>
          <c:showSerName val="0"/>
          <c:showPercent val="0"/>
          <c:showBubbleSize val="0"/>
        </c:dLbls>
        <c:smooth val="0"/>
        <c:axId val="399687432"/>
        <c:axId val="399688608"/>
      </c:lineChart>
      <c:catAx>
        <c:axId val="399687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688608"/>
        <c:crossesAt val="-3"/>
        <c:auto val="1"/>
        <c:lblAlgn val="ctr"/>
        <c:lblOffset val="100"/>
        <c:tickLblSkip val="1"/>
        <c:tickMarkSkip val="1"/>
        <c:noMultiLvlLbl val="0"/>
      </c:catAx>
      <c:valAx>
        <c:axId val="399688608"/>
        <c:scaling>
          <c:orientation val="minMax"/>
        </c:scaling>
        <c:delete val="0"/>
        <c:axPos val="l"/>
        <c:majorGridlines>
          <c:spPr>
            <a:ln w="3175">
              <a:solidFill>
                <a:srgbClr val="969696"/>
              </a:solidFill>
              <a:prstDash val="sysDash"/>
            </a:ln>
          </c:spPr>
        </c:majorGridlines>
        <c:title>
          <c:tx>
            <c:rich>
              <a:bodyPr/>
              <a:lstStyle/>
              <a:p>
                <a:pPr>
                  <a:defRPr/>
                </a:pPr>
                <a:r>
                  <a:rPr lang="en-US"/>
                  <a:t>rate (%)</a:t>
                </a:r>
              </a:p>
            </c:rich>
          </c:tx>
          <c:layout>
            <c:manualLayout>
              <c:xMode val="edge"/>
              <c:yMode val="edge"/>
              <c:x val="1.4705822359040966E-2"/>
              <c:y val="0.3957055368078990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9687432"/>
        <c:crosses val="autoZero"/>
        <c:crossBetween val="between"/>
        <c:majorUnit val="1.5"/>
      </c:valAx>
      <c:spPr>
        <a:solidFill>
          <a:srgbClr val="FFFFFF"/>
        </a:solidFill>
        <a:ln w="25400">
          <a:noFill/>
        </a:ln>
      </c:spPr>
    </c:plotArea>
    <c:legend>
      <c:legendPos val="r"/>
      <c:layout>
        <c:manualLayout>
          <c:xMode val="edge"/>
          <c:yMode val="edge"/>
          <c:x val="0.47518392476911836"/>
          <c:y val="0.92944773207696862"/>
          <c:w val="0.10386024506651176"/>
          <c:h val="6.1349722589024158E-2"/>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977" r="0.75000000000000977"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BOND POINTS SPREAD</a:t>
            </a:r>
          </a:p>
        </c:rich>
      </c:tx>
      <c:layout>
        <c:manualLayout>
          <c:xMode val="edge"/>
          <c:yMode val="edge"/>
          <c:x val="4.3325571657628403E-2"/>
          <c:y val="3.2608794271086483E-2"/>
        </c:manualLayout>
      </c:layout>
      <c:overlay val="0"/>
      <c:spPr>
        <a:noFill/>
        <a:ln w="25400">
          <a:noFill/>
        </a:ln>
      </c:spPr>
    </c:title>
    <c:autoTitleDeleted val="0"/>
    <c:plotArea>
      <c:layout>
        <c:manualLayout>
          <c:layoutTarget val="inner"/>
          <c:xMode val="edge"/>
          <c:yMode val="edge"/>
          <c:x val="7.2599531615925514E-2"/>
          <c:y val="0.15217445147776687"/>
          <c:w val="0.91100702576112358"/>
          <c:h val="0.61232100713672544"/>
        </c:manualLayout>
      </c:layout>
      <c:lineChart>
        <c:grouping val="standard"/>
        <c:varyColors val="0"/>
        <c:ser>
          <c:idx val="0"/>
          <c:order val="0"/>
          <c:tx>
            <c:strRef>
              <c:f>'Bond Points Spread'!$D$9</c:f>
              <c:strCache>
                <c:ptCount val="1"/>
                <c:pt idx="0">
                  <c:v>Bond Points Spread</c:v>
                </c:pt>
              </c:strCache>
            </c:strRef>
          </c:tx>
          <c:spPr>
            <a:ln w="25400">
              <a:solidFill>
                <a:srgbClr val="FF6600"/>
              </a:solidFill>
              <a:prstDash val="solid"/>
            </a:ln>
          </c:spPr>
          <c:marker>
            <c:symbol val="none"/>
          </c:marker>
          <c:cat>
            <c:strRef>
              <c:extLst>
                <c:ext xmlns:c15="http://schemas.microsoft.com/office/drawing/2012/chart" uri="{02D57815-91ED-43cb-92C2-25804820EDAC}">
                  <c15:fullRef>
                    <c15:sqref>'Bond Points Spread'!$E$8:$AC$8</c15:sqref>
                  </c15:fullRef>
                </c:ext>
              </c:extLst>
              <c:f>'Bond Points Spread'!$O$8:$AC$8</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extLst>
                <c:ext xmlns:c15="http://schemas.microsoft.com/office/drawing/2012/chart" uri="{02D57815-91ED-43cb-92C2-25804820EDAC}">
                  <c15:fullRef>
                    <c15:sqref>'Bond Points Spread'!$E$9:$AC$9</c15:sqref>
                  </c15:fullRef>
                </c:ext>
              </c:extLst>
              <c:f>'Bond Points Spread'!$O$9:$AC$9</c:f>
              <c:numCache>
                <c:formatCode>General</c:formatCode>
                <c:ptCount val="15"/>
                <c:pt idx="0">
                  <c:v>328</c:v>
                </c:pt>
                <c:pt idx="1">
                  <c:v>299</c:v>
                </c:pt>
                <c:pt idx="2">
                  <c:v>167</c:v>
                </c:pt>
                <c:pt idx="3">
                  <c:v>195</c:v>
                </c:pt>
                <c:pt idx="4">
                  <c:v>206</c:v>
                </c:pt>
                <c:pt idx="5">
                  <c:v>234</c:v>
                </c:pt>
                <c:pt idx="6">
                  <c:v>231</c:v>
                </c:pt>
                <c:pt idx="7">
                  <c:v>296</c:v>
                </c:pt>
                <c:pt idx="8">
                  <c:v>343</c:v>
                </c:pt>
                <c:pt idx="9">
                  <c:v>267</c:v>
                </c:pt>
                <c:pt idx="10">
                  <c:v>288</c:v>
                </c:pt>
                <c:pt idx="11">
                  <c:v>313</c:v>
                </c:pt>
                <c:pt idx="12">
                  <c:v>491.8</c:v>
                </c:pt>
                <c:pt idx="13">
                  <c:v>353</c:v>
                </c:pt>
                <c:pt idx="14">
                  <c:v>403</c:v>
                </c:pt>
              </c:numCache>
            </c:numRef>
          </c:val>
          <c:smooth val="0"/>
          <c:extLst>
            <c:ext xmlns:c16="http://schemas.microsoft.com/office/drawing/2014/chart" uri="{C3380CC4-5D6E-409C-BE32-E72D297353CC}">
              <c16:uniqueId val="{00000000-6880-4BF3-AA25-FA54DB62DD26}"/>
            </c:ext>
          </c:extLst>
        </c:ser>
        <c:dLbls>
          <c:showLegendKey val="0"/>
          <c:showVal val="0"/>
          <c:showCatName val="0"/>
          <c:showSerName val="0"/>
          <c:showPercent val="0"/>
          <c:showBubbleSize val="0"/>
        </c:dLbls>
        <c:smooth val="0"/>
        <c:axId val="399685472"/>
        <c:axId val="399691744"/>
      </c:lineChart>
      <c:catAx>
        <c:axId val="399685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91744"/>
        <c:crosses val="autoZero"/>
        <c:auto val="0"/>
        <c:lblAlgn val="ctr"/>
        <c:lblOffset val="100"/>
        <c:tickLblSkip val="1"/>
        <c:tickMarkSkip val="1"/>
        <c:noMultiLvlLbl val="1"/>
      </c:catAx>
      <c:valAx>
        <c:axId val="399691744"/>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basis points</a:t>
                </a:r>
              </a:p>
            </c:rich>
          </c:tx>
          <c:layout>
            <c:manualLayout>
              <c:xMode val="edge"/>
              <c:yMode val="edge"/>
              <c:x val="1.522248434898945E-2"/>
              <c:y val="0.344204011535595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8547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'[4]Foreign Trade'!$A$53</c:f>
              <c:strCache>
                <c:ptCount val="1"/>
                <c:pt idx="0">
                  <c:v>Exports (constant 2000 prices) R'billions</c:v>
                </c:pt>
              </c:strCache>
            </c:strRef>
          </c:tx>
          <c:cat>
            <c:numRef>
              <c:f>'[4]Foreign Trade'!$B$52:$P$52</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'[4]Foreign Trade'!$B$53:$P$53</c:f>
              <c:numCache>
                <c:formatCode>General</c:formatCode>
                <c:ptCount val="15"/>
                <c:pt idx="0">
                  <c:v>160.21498</c:v>
                </c:pt>
                <c:pt idx="1">
                  <c:v>176.84388000000001</c:v>
                </c:pt>
                <c:pt idx="2">
                  <c:v>181.23876999999999</c:v>
                </c:pt>
                <c:pt idx="3">
                  <c:v>201.06291000000002</c:v>
                </c:pt>
                <c:pt idx="4">
                  <c:v>215.54748000000001</c:v>
                </c:pt>
                <c:pt idx="5">
                  <c:v>226.96107999999998</c:v>
                </c:pt>
                <c:pt idx="6">
                  <c:v>234.32900000000001</c:v>
                </c:pt>
                <c:pt idx="7">
                  <c:v>237.28399999999999</c:v>
                </c:pt>
                <c:pt idx="8">
                  <c:v>257.01100000000002</c:v>
                </c:pt>
                <c:pt idx="9">
                  <c:v>263.161</c:v>
                </c:pt>
                <c:pt idx="10">
                  <c:v>265.76400000000001</c:v>
                </c:pt>
                <c:pt idx="11">
                  <c:v>266.05500000000001</c:v>
                </c:pt>
                <c:pt idx="12">
                  <c:v>273.69400000000002</c:v>
                </c:pt>
                <c:pt idx="13">
                  <c:v>295.58</c:v>
                </c:pt>
                <c:pt idx="14">
                  <c:v>312.173</c:v>
                </c:pt>
              </c:numCache>
            </c:numRef>
          </c:val>
          <c:smooth val="0"/>
          <c:extLst>
            <c:ext xmlns:c16="http://schemas.microsoft.com/office/drawing/2014/chart" uri="{C3380CC4-5D6E-409C-BE32-E72D297353CC}">
              <c16:uniqueId val="{00000000-F17E-46D6-BFF8-EAC8045E3F51}"/>
            </c:ext>
          </c:extLst>
        </c:ser>
        <c:ser>
          <c:idx val="2"/>
          <c:order val="2"/>
          <c:tx>
            <c:strRef>
              <c:f>'[4]Foreign Trade'!$A$55</c:f>
              <c:strCache>
                <c:ptCount val="1"/>
                <c:pt idx="0">
                  <c:v>Volume of Trade (2000=base)</c:v>
                </c:pt>
              </c:strCache>
            </c:strRef>
          </c:tx>
          <c:cat>
            <c:numRef>
              <c:f>'[4]Foreign Trade'!$B$52:$P$52</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'[4]Foreign Trade'!$B$55:$P$55</c:f>
              <c:numCache>
                <c:formatCode>General</c:formatCode>
                <c:ptCount val="15"/>
                <c:pt idx="0">
                  <c:v>62.34</c:v>
                </c:pt>
                <c:pt idx="1">
                  <c:v>68.81</c:v>
                </c:pt>
                <c:pt idx="2">
                  <c:v>70.52</c:v>
                </c:pt>
                <c:pt idx="3">
                  <c:v>78.23</c:v>
                </c:pt>
                <c:pt idx="4">
                  <c:v>83.87</c:v>
                </c:pt>
                <c:pt idx="5">
                  <c:v>87.14</c:v>
                </c:pt>
                <c:pt idx="6">
                  <c:v>91.17</c:v>
                </c:pt>
                <c:pt idx="7">
                  <c:v>85.65</c:v>
                </c:pt>
                <c:pt idx="8">
                  <c:v>100</c:v>
                </c:pt>
                <c:pt idx="9">
                  <c:v>102.31</c:v>
                </c:pt>
                <c:pt idx="10">
                  <c:v>103.41</c:v>
                </c:pt>
                <c:pt idx="11">
                  <c:v>103.52</c:v>
                </c:pt>
                <c:pt idx="12">
                  <c:v>106.49</c:v>
                </c:pt>
                <c:pt idx="13">
                  <c:v>115.01</c:v>
                </c:pt>
                <c:pt idx="14">
                  <c:v>121.46</c:v>
                </c:pt>
              </c:numCache>
            </c:numRef>
          </c:val>
          <c:smooth val="0"/>
          <c:extLst>
            <c:ext xmlns:c16="http://schemas.microsoft.com/office/drawing/2014/chart" uri="{C3380CC4-5D6E-409C-BE32-E72D297353CC}">
              <c16:uniqueId val="{00000001-F17E-46D6-BFF8-EAC8045E3F51}"/>
            </c:ext>
          </c:extLst>
        </c:ser>
        <c:dLbls>
          <c:showLegendKey val="0"/>
          <c:showVal val="0"/>
          <c:showCatName val="0"/>
          <c:showSerName val="0"/>
          <c:showPercent val="0"/>
          <c:showBubbleSize val="0"/>
        </c:dLbls>
        <c:marker val="1"/>
        <c:smooth val="0"/>
        <c:axId val="401320416"/>
        <c:axId val="401316496"/>
      </c:lineChart>
      <c:lineChart>
        <c:grouping val="standard"/>
        <c:varyColors val="0"/>
        <c:ser>
          <c:idx val="1"/>
          <c:order val="1"/>
          <c:tx>
            <c:strRef>
              <c:f>'[4]Foreign Trade'!$A$54</c:f>
              <c:strCache>
                <c:ptCount val="1"/>
                <c:pt idx="0">
                  <c:v>Ratio of exports to GDP </c:v>
                </c:pt>
              </c:strCache>
            </c:strRef>
          </c:tx>
          <c:cat>
            <c:numRef>
              <c:f>'[4]Foreign Trade'!$B$52:$P$52</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'[4]Foreign Trade'!$B$54:$P$54</c:f>
              <c:numCache>
                <c:formatCode>General</c:formatCode>
                <c:ptCount val="15"/>
                <c:pt idx="0">
                  <c:v>21.34</c:v>
                </c:pt>
                <c:pt idx="1">
                  <c:v>22.48</c:v>
                </c:pt>
                <c:pt idx="2">
                  <c:v>22.1</c:v>
                </c:pt>
                <c:pt idx="3">
                  <c:v>22.77</c:v>
                </c:pt>
                <c:pt idx="4">
                  <c:v>24.73</c:v>
                </c:pt>
                <c:pt idx="5">
                  <c:v>24.6</c:v>
                </c:pt>
                <c:pt idx="6">
                  <c:v>25.65</c:v>
                </c:pt>
                <c:pt idx="7">
                  <c:v>25.33</c:v>
                </c:pt>
                <c:pt idx="8">
                  <c:v>27.87</c:v>
                </c:pt>
                <c:pt idx="9">
                  <c:v>30.13</c:v>
                </c:pt>
                <c:pt idx="10">
                  <c:v>32.99</c:v>
                </c:pt>
                <c:pt idx="11">
                  <c:v>28.06</c:v>
                </c:pt>
                <c:pt idx="12">
                  <c:v>26.71</c:v>
                </c:pt>
                <c:pt idx="13">
                  <c:v>27.45</c:v>
                </c:pt>
                <c:pt idx="14">
                  <c:v>29.63</c:v>
                </c:pt>
              </c:numCache>
            </c:numRef>
          </c:val>
          <c:smooth val="0"/>
          <c:extLst>
            <c:ext xmlns:c16="http://schemas.microsoft.com/office/drawing/2014/chart" uri="{C3380CC4-5D6E-409C-BE32-E72D297353CC}">
              <c16:uniqueId val="{00000002-F17E-46D6-BFF8-EAC8045E3F51}"/>
            </c:ext>
          </c:extLst>
        </c:ser>
        <c:dLbls>
          <c:showLegendKey val="0"/>
          <c:showVal val="0"/>
          <c:showCatName val="0"/>
          <c:showSerName val="0"/>
          <c:showPercent val="0"/>
          <c:showBubbleSize val="0"/>
        </c:dLbls>
        <c:marker val="1"/>
        <c:smooth val="0"/>
        <c:axId val="401318456"/>
        <c:axId val="401319240"/>
      </c:lineChart>
      <c:catAx>
        <c:axId val="401320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75" b="0" i="0" u="none" strike="noStrike" baseline="0">
                <a:solidFill>
                  <a:srgbClr val="000000"/>
                </a:solidFill>
                <a:latin typeface="Arial"/>
                <a:ea typeface="Arial"/>
                <a:cs typeface="Arial"/>
              </a:defRPr>
            </a:pPr>
            <a:endParaRPr lang="en-US"/>
          </a:p>
        </c:txPr>
        <c:crossAx val="401316496"/>
        <c:crosses val="autoZero"/>
        <c:auto val="1"/>
        <c:lblAlgn val="ctr"/>
        <c:lblOffset val="100"/>
        <c:tickMarkSkip val="1"/>
        <c:noMultiLvlLbl val="0"/>
      </c:catAx>
      <c:valAx>
        <c:axId val="4013164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20416"/>
        <c:crosses val="autoZero"/>
        <c:crossBetween val="between"/>
      </c:valAx>
      <c:catAx>
        <c:axId val="401318456"/>
        <c:scaling>
          <c:orientation val="minMax"/>
        </c:scaling>
        <c:delete val="1"/>
        <c:axPos val="b"/>
        <c:numFmt formatCode="General" sourceLinked="1"/>
        <c:majorTickMark val="out"/>
        <c:minorTickMark val="none"/>
        <c:tickLblPos val="nextTo"/>
        <c:crossAx val="401319240"/>
        <c:crosses val="autoZero"/>
        <c:auto val="1"/>
        <c:lblAlgn val="ctr"/>
        <c:lblOffset val="100"/>
        <c:noMultiLvlLbl val="0"/>
      </c:catAx>
      <c:valAx>
        <c:axId val="401319240"/>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18456"/>
        <c:crosses val="max"/>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ZA"/>
              <a:t>TAX REGISTER AND REVENUE COLLECTION</a:t>
            </a:r>
          </a:p>
        </c:rich>
      </c:tx>
      <c:layout>
        <c:manualLayout>
          <c:xMode val="edge"/>
          <c:yMode val="edge"/>
          <c:x val="5.8645046570290071E-2"/>
          <c:y val="3.5608408186513715E-2"/>
        </c:manualLayout>
      </c:layout>
      <c:overlay val="0"/>
      <c:spPr>
        <a:noFill/>
        <a:ln w="25400">
          <a:noFill/>
        </a:ln>
      </c:spPr>
    </c:title>
    <c:autoTitleDeleted val="0"/>
    <c:plotArea>
      <c:layout>
        <c:manualLayout>
          <c:layoutTarget val="inner"/>
          <c:xMode val="edge"/>
          <c:yMode val="edge"/>
          <c:x val="4.5489675236378584E-2"/>
          <c:y val="0.14593175853018373"/>
          <c:w val="0.86190917516219323"/>
          <c:h val="0.73766281091036223"/>
        </c:manualLayout>
      </c:layout>
      <c:barChart>
        <c:barDir val="col"/>
        <c:grouping val="stacked"/>
        <c:varyColors val="0"/>
        <c:ser>
          <c:idx val="0"/>
          <c:order val="0"/>
          <c:tx>
            <c:strRef>
              <c:f>'Revenue Collection'!$D$68</c:f>
              <c:strCache>
                <c:ptCount val="1"/>
                <c:pt idx="0">
                  <c:v>Personal Income Tax (PIT)</c:v>
                </c:pt>
              </c:strCache>
            </c:strRef>
          </c:tx>
          <c:spPr>
            <a:solidFill>
              <a:srgbClr val="FCD5B5"/>
            </a:solidFill>
          </c:spPr>
          <c:invertIfNegative val="0"/>
          <c:cat>
            <c:strRef>
              <c:f>'Revenue Collection'!$F$67:$AF$67</c:f>
              <c:strCache>
                <c:ptCount val="27"/>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pt idx="21">
                  <c:v>2017/18</c:v>
                </c:pt>
                <c:pt idx="22">
                  <c:v>2018/19</c:v>
                </c:pt>
                <c:pt idx="23">
                  <c:v>2019/20</c:v>
                </c:pt>
                <c:pt idx="24">
                  <c:v>2020/21</c:v>
                </c:pt>
                <c:pt idx="25">
                  <c:v>2021/22</c:v>
                </c:pt>
                <c:pt idx="26">
                  <c:v>2022/23</c:v>
                </c:pt>
              </c:strCache>
            </c:strRef>
          </c:cat>
          <c:val>
            <c:numRef>
              <c:f>'Revenue Collection'!$F$68:$AF$68</c:f>
              <c:numCache>
                <c:formatCode>_-* #\ ##0.0_-;\-* #\ ##0.0_-;_-* "-"?_-;_-@_-</c:formatCode>
                <c:ptCount val="27"/>
                <c:pt idx="0">
                  <c:v>59.908999999999999</c:v>
                </c:pt>
                <c:pt idx="1">
                  <c:v>68.718399999999988</c:v>
                </c:pt>
                <c:pt idx="2">
                  <c:v>78.079499999999996</c:v>
                </c:pt>
                <c:pt idx="3">
                  <c:v>86.162700000000001</c:v>
                </c:pt>
                <c:pt idx="4">
                  <c:v>79.756</c:v>
                </c:pt>
                <c:pt idx="5">
                  <c:v>90.977000000000004</c:v>
                </c:pt>
                <c:pt idx="6">
                  <c:v>95.366900000000001</c:v>
                </c:pt>
                <c:pt idx="7">
                  <c:v>99.020499999999998</c:v>
                </c:pt>
                <c:pt idx="8">
                  <c:v>111.696561</c:v>
                </c:pt>
                <c:pt idx="9">
                  <c:v>126.4164</c:v>
                </c:pt>
                <c:pt idx="10">
                  <c:v>141.39708000000002</c:v>
                </c:pt>
                <c:pt idx="11">
                  <c:v>169.53925300000003</c:v>
                </c:pt>
                <c:pt idx="12">
                  <c:v>196.068037</c:v>
                </c:pt>
                <c:pt idx="13">
                  <c:v>206.48353338388009</c:v>
                </c:pt>
                <c:pt idx="14">
                  <c:v>228.09611159448002</c:v>
                </c:pt>
                <c:pt idx="15">
                  <c:v>251.33914729868999</c:v>
                </c:pt>
                <c:pt idx="16">
                  <c:v>276.67857430246005</c:v>
                </c:pt>
                <c:pt idx="17">
                  <c:v>310.92899241367002</c:v>
                </c:pt>
                <c:pt idx="18">
                  <c:v>353.91810976956992</c:v>
                </c:pt>
                <c:pt idx="19">
                  <c:v>389.27970173759996</c:v>
                </c:pt>
                <c:pt idx="20">
                  <c:v>425.92406663148006</c:v>
                </c:pt>
                <c:pt idx="21">
                  <c:v>462.90313275247996</c:v>
                </c:pt>
                <c:pt idx="22">
                  <c:v>493.82877995540997</c:v>
                </c:pt>
                <c:pt idx="23">
                  <c:v>529.17240000000004</c:v>
                </c:pt>
                <c:pt idx="24">
                  <c:v>488.44579999999996</c:v>
                </c:pt>
                <c:pt idx="25">
                  <c:v>555.50740000000008</c:v>
                </c:pt>
                <c:pt idx="26">
                  <c:v>601.9831999999999</c:v>
                </c:pt>
              </c:numCache>
            </c:numRef>
          </c:val>
          <c:extLst>
            <c:ext xmlns:c16="http://schemas.microsoft.com/office/drawing/2014/chart" uri="{C3380CC4-5D6E-409C-BE32-E72D297353CC}">
              <c16:uniqueId val="{00000000-D63D-40A5-BC98-02FC0D449A36}"/>
            </c:ext>
          </c:extLst>
        </c:ser>
        <c:ser>
          <c:idx val="1"/>
          <c:order val="1"/>
          <c:tx>
            <c:strRef>
              <c:f>'Revenue Collection'!$D$69</c:f>
              <c:strCache>
                <c:ptCount val="1"/>
                <c:pt idx="0">
                  <c:v>Corporate Income Tax (CIT)</c:v>
                </c:pt>
              </c:strCache>
            </c:strRef>
          </c:tx>
          <c:spPr>
            <a:solidFill>
              <a:srgbClr val="F8A662"/>
            </a:solidFill>
          </c:spPr>
          <c:invertIfNegative val="0"/>
          <c:cat>
            <c:strRef>
              <c:f>'Revenue Collection'!$F$67:$AF$67</c:f>
              <c:strCache>
                <c:ptCount val="27"/>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pt idx="21">
                  <c:v>2017/18</c:v>
                </c:pt>
                <c:pt idx="22">
                  <c:v>2018/19</c:v>
                </c:pt>
                <c:pt idx="23">
                  <c:v>2019/20</c:v>
                </c:pt>
                <c:pt idx="24">
                  <c:v>2020/21</c:v>
                </c:pt>
                <c:pt idx="25">
                  <c:v>2021/22</c:v>
                </c:pt>
                <c:pt idx="26">
                  <c:v>2022/23</c:v>
                </c:pt>
              </c:strCache>
            </c:strRef>
          </c:cat>
          <c:val>
            <c:numRef>
              <c:f>'Revenue Collection'!$F$69:$AF$69</c:f>
              <c:numCache>
                <c:formatCode>_-* #\ ##0.0_-;\-* #\ ##0.0_-;_-* "-"?_-;_-@_-</c:formatCode>
                <c:ptCount val="27"/>
                <c:pt idx="0">
                  <c:v>19.059999999999999</c:v>
                </c:pt>
                <c:pt idx="1">
                  <c:v>21.608700000000002</c:v>
                </c:pt>
                <c:pt idx="2">
                  <c:v>22.9253</c:v>
                </c:pt>
                <c:pt idx="3">
                  <c:v>20.658300000000001</c:v>
                </c:pt>
                <c:pt idx="4">
                  <c:v>30.049199999999999</c:v>
                </c:pt>
                <c:pt idx="5">
                  <c:v>42.723699999999994</c:v>
                </c:pt>
                <c:pt idx="6">
                  <c:v>56.431899999999999</c:v>
                </c:pt>
                <c:pt idx="7">
                  <c:v>60.560400000000001</c:v>
                </c:pt>
                <c:pt idx="8">
                  <c:v>71.62936000000002</c:v>
                </c:pt>
                <c:pt idx="9">
                  <c:v>87.326499999999996</c:v>
                </c:pt>
                <c:pt idx="10">
                  <c:v>120.11160000000001</c:v>
                </c:pt>
                <c:pt idx="11">
                  <c:v>141.635435</c:v>
                </c:pt>
                <c:pt idx="12">
                  <c:v>167.20223999999999</c:v>
                </c:pt>
                <c:pt idx="13">
                  <c:v>136.97793176756997</c:v>
                </c:pt>
                <c:pt idx="14">
                  <c:v>134.63507949267003</c:v>
                </c:pt>
                <c:pt idx="15">
                  <c:v>153.27217884888</c:v>
                </c:pt>
                <c:pt idx="16">
                  <c:v>160.89579553077999</c:v>
                </c:pt>
                <c:pt idx="17">
                  <c:v>179.52012193793001</c:v>
                </c:pt>
                <c:pt idx="18">
                  <c:v>186.62155362948002</c:v>
                </c:pt>
                <c:pt idx="19">
                  <c:v>193.38529987314004</c:v>
                </c:pt>
                <c:pt idx="20">
                  <c:v>207.0273</c:v>
                </c:pt>
                <c:pt idx="21">
                  <c:v>220.23855604764</c:v>
                </c:pt>
                <c:pt idx="22">
                  <c:v>214.38837708902</c:v>
                </c:pt>
                <c:pt idx="23">
                  <c:v>214.98599999999999</c:v>
                </c:pt>
                <c:pt idx="24">
                  <c:v>204.3989</c:v>
                </c:pt>
                <c:pt idx="25">
                  <c:v>323.46459999999996</c:v>
                </c:pt>
                <c:pt idx="26">
                  <c:v>347.67740000000003</c:v>
                </c:pt>
              </c:numCache>
            </c:numRef>
          </c:val>
          <c:extLst>
            <c:ext xmlns:c16="http://schemas.microsoft.com/office/drawing/2014/chart" uri="{C3380CC4-5D6E-409C-BE32-E72D297353CC}">
              <c16:uniqueId val="{00000001-D63D-40A5-BC98-02FC0D449A36}"/>
            </c:ext>
          </c:extLst>
        </c:ser>
        <c:ser>
          <c:idx val="2"/>
          <c:order val="2"/>
          <c:tx>
            <c:strRef>
              <c:f>'Revenue Collection'!$D$70</c:f>
              <c:strCache>
                <c:ptCount val="1"/>
                <c:pt idx="0">
                  <c:v>Value Added Tax (VAT)</c:v>
                </c:pt>
              </c:strCache>
            </c:strRef>
          </c:tx>
          <c:spPr>
            <a:solidFill>
              <a:srgbClr val="E46C0A"/>
            </a:solidFill>
          </c:spPr>
          <c:invertIfNegative val="0"/>
          <c:cat>
            <c:strRef>
              <c:f>'Revenue Collection'!$F$67:$AF$67</c:f>
              <c:strCache>
                <c:ptCount val="27"/>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pt idx="21">
                  <c:v>2017/18</c:v>
                </c:pt>
                <c:pt idx="22">
                  <c:v>2018/19</c:v>
                </c:pt>
                <c:pt idx="23">
                  <c:v>2019/20</c:v>
                </c:pt>
                <c:pt idx="24">
                  <c:v>2020/21</c:v>
                </c:pt>
                <c:pt idx="25">
                  <c:v>2021/22</c:v>
                </c:pt>
                <c:pt idx="26">
                  <c:v>2022/23</c:v>
                </c:pt>
              </c:strCache>
            </c:strRef>
          </c:cat>
          <c:val>
            <c:numRef>
              <c:f>'Revenue Collection'!$F$70:$AF$70</c:f>
              <c:numCache>
                <c:formatCode>_-* #\ ##0.0_-;\-* #\ ##0.0_-;_-* "-"?_-;_-@_-</c:formatCode>
                <c:ptCount val="27"/>
                <c:pt idx="0">
                  <c:v>35.902999999999999</c:v>
                </c:pt>
                <c:pt idx="1">
                  <c:v>40.095999999999997</c:v>
                </c:pt>
                <c:pt idx="2">
                  <c:v>43.677</c:v>
                </c:pt>
                <c:pt idx="3">
                  <c:v>48.376839999999994</c:v>
                </c:pt>
                <c:pt idx="4">
                  <c:v>54.455193000000001</c:v>
                </c:pt>
                <c:pt idx="5">
                  <c:v>61.056608999999995</c:v>
                </c:pt>
                <c:pt idx="6">
                  <c:v>69.784300000000002</c:v>
                </c:pt>
                <c:pt idx="7">
                  <c:v>80.602899999999991</c:v>
                </c:pt>
                <c:pt idx="8">
                  <c:v>98.157875000000004</c:v>
                </c:pt>
                <c:pt idx="9">
                  <c:v>114.3516</c:v>
                </c:pt>
                <c:pt idx="10">
                  <c:v>134.46259899999998</c:v>
                </c:pt>
                <c:pt idx="11">
                  <c:v>150.442849</c:v>
                </c:pt>
                <c:pt idx="12">
                  <c:v>154.34312100000002</c:v>
                </c:pt>
                <c:pt idx="13">
                  <c:v>147.94132226163995</c:v>
                </c:pt>
                <c:pt idx="14">
                  <c:v>183.57143947361001</c:v>
                </c:pt>
                <c:pt idx="15">
                  <c:v>191.02019853625001</c:v>
                </c:pt>
                <c:pt idx="16">
                  <c:v>215.02303517332999</c:v>
                </c:pt>
                <c:pt idx="17">
                  <c:v>237.66657887254004</c:v>
                </c:pt>
                <c:pt idx="18">
                  <c:v>261.29478794094996</c:v>
                </c:pt>
                <c:pt idx="19">
                  <c:v>281.11141002235991</c:v>
                </c:pt>
                <c:pt idx="20">
                  <c:v>289.16672246190001</c:v>
                </c:pt>
                <c:pt idx="21">
                  <c:v>297.99759999999998</c:v>
                </c:pt>
                <c:pt idx="22">
                  <c:v>324.76596133560002</c:v>
                </c:pt>
                <c:pt idx="23">
                  <c:v>346.76079999999996</c:v>
                </c:pt>
                <c:pt idx="24">
                  <c:v>331.1968</c:v>
                </c:pt>
                <c:pt idx="25">
                  <c:v>390.89509999999996</c:v>
                </c:pt>
                <c:pt idx="26">
                  <c:v>422.41640000000001</c:v>
                </c:pt>
              </c:numCache>
            </c:numRef>
          </c:val>
          <c:extLst>
            <c:ext xmlns:c16="http://schemas.microsoft.com/office/drawing/2014/chart" uri="{C3380CC4-5D6E-409C-BE32-E72D297353CC}">
              <c16:uniqueId val="{00000002-D63D-40A5-BC98-02FC0D449A36}"/>
            </c:ext>
          </c:extLst>
        </c:ser>
        <c:ser>
          <c:idx val="3"/>
          <c:order val="4"/>
          <c:tx>
            <c:strRef>
              <c:f>'Revenue Collection'!$D$72</c:f>
              <c:strCache>
                <c:ptCount val="1"/>
                <c:pt idx="0">
                  <c:v>Other tax types</c:v>
                </c:pt>
              </c:strCache>
            </c:strRef>
          </c:tx>
          <c:spPr>
            <a:solidFill>
              <a:srgbClr val="984807"/>
            </a:solidFill>
            <a:ln>
              <a:noFill/>
            </a:ln>
          </c:spPr>
          <c:invertIfNegative val="0"/>
          <c:cat>
            <c:strRef>
              <c:f>'Revenue Collection'!$F$67:$AF$67</c:f>
              <c:strCache>
                <c:ptCount val="27"/>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pt idx="21">
                  <c:v>2017/18</c:v>
                </c:pt>
                <c:pt idx="22">
                  <c:v>2018/19</c:v>
                </c:pt>
                <c:pt idx="23">
                  <c:v>2019/20</c:v>
                </c:pt>
                <c:pt idx="24">
                  <c:v>2020/21</c:v>
                </c:pt>
                <c:pt idx="25">
                  <c:v>2021/22</c:v>
                </c:pt>
                <c:pt idx="26">
                  <c:v>2022/23</c:v>
                </c:pt>
              </c:strCache>
            </c:strRef>
          </c:cat>
          <c:val>
            <c:numRef>
              <c:f>'Revenue Collection'!$F$72:$AF$72</c:f>
              <c:numCache>
                <c:formatCode>_-* #\ ##0.0_-;\-* #\ ##0.0_-;_-* "-"?_-;_-@_-</c:formatCode>
                <c:ptCount val="27"/>
                <c:pt idx="0">
                  <c:v>25.91</c:v>
                </c:pt>
                <c:pt idx="1">
                  <c:v>28.848340000000025</c:v>
                </c:pt>
                <c:pt idx="2">
                  <c:v>32.851900000000022</c:v>
                </c:pt>
                <c:pt idx="3">
                  <c:v>38.483959999999989</c:v>
                </c:pt>
                <c:pt idx="4">
                  <c:v>47.486007000000015</c:v>
                </c:pt>
                <c:pt idx="5">
                  <c:v>45.809990999999982</c:v>
                </c:pt>
                <c:pt idx="6">
                  <c:v>47.55540000000002</c:v>
                </c:pt>
                <c:pt idx="7">
                  <c:v>53.821350084689996</c:v>
                </c:pt>
                <c:pt idx="8">
                  <c:v>60.62783899999998</c:v>
                </c:pt>
                <c:pt idx="9">
                  <c:v>70.902000000000001</c:v>
                </c:pt>
                <c:pt idx="10">
                  <c:v>75.631717999999992</c:v>
                </c:pt>
                <c:pt idx="11">
                  <c:v>84.812702999999985</c:v>
                </c:pt>
                <c:pt idx="12">
                  <c:v>84.735743978859858</c:v>
                </c:pt>
                <c:pt idx="13">
                  <c:v>87.725541454540036</c:v>
                </c:pt>
                <c:pt idx="14">
                  <c:v>101.24307753865001</c:v>
                </c:pt>
                <c:pt idx="15">
                  <c:v>112.82028786277992</c:v>
                </c:pt>
                <c:pt idx="16">
                  <c:v>122.23047644531982</c:v>
                </c:pt>
                <c:pt idx="17">
                  <c:v>127.7202989750409</c:v>
                </c:pt>
                <c:pt idx="18">
                  <c:v>143.78675380502</c:v>
                </c:pt>
                <c:pt idx="19">
                  <c:v>159.97346288720007</c:v>
                </c:pt>
                <c:pt idx="20">
                  <c:v>176.40282805450983</c:v>
                </c:pt>
                <c:pt idx="21">
                  <c:v>186.16901119988003</c:v>
                </c:pt>
                <c:pt idx="22">
                  <c:v>199.74878161996998</c:v>
                </c:pt>
                <c:pt idx="23">
                  <c:v>209.45240000000015</c:v>
                </c:pt>
                <c:pt idx="24">
                  <c:v>178.36810000000008</c:v>
                </c:pt>
                <c:pt idx="25">
                  <c:v>235.93909999999985</c:v>
                </c:pt>
                <c:pt idx="26">
                  <c:v>237.47760000000008</c:v>
                </c:pt>
              </c:numCache>
            </c:numRef>
          </c:val>
          <c:extLst>
            <c:ext xmlns:c16="http://schemas.microsoft.com/office/drawing/2014/chart" uri="{C3380CC4-5D6E-409C-BE32-E72D297353CC}">
              <c16:uniqueId val="{00000003-D63D-40A5-BC98-02FC0D449A36}"/>
            </c:ext>
          </c:extLst>
        </c:ser>
        <c:dLbls>
          <c:showLegendKey val="0"/>
          <c:showVal val="0"/>
          <c:showCatName val="0"/>
          <c:showSerName val="0"/>
          <c:showPercent val="0"/>
          <c:showBubbleSize val="0"/>
        </c:dLbls>
        <c:gapWidth val="150"/>
        <c:overlap val="100"/>
        <c:axId val="532763856"/>
        <c:axId val="532762680"/>
      </c:barChart>
      <c:lineChart>
        <c:grouping val="standard"/>
        <c:varyColors val="0"/>
        <c:ser>
          <c:idx val="5"/>
          <c:order val="3"/>
          <c:tx>
            <c:strRef>
              <c:f>'Revenue Collection'!$D$10</c:f>
              <c:strCache>
                <c:ptCount val="1"/>
                <c:pt idx="0">
                  <c:v>Income Tax register</c:v>
                </c:pt>
              </c:strCache>
            </c:strRef>
          </c:tx>
          <c:spPr>
            <a:ln w="31750">
              <a:solidFill>
                <a:schemeClr val="accent2">
                  <a:lumMod val="50000"/>
                </a:schemeClr>
              </a:solidFill>
            </a:ln>
          </c:spPr>
          <c:marker>
            <c:symbol val="none"/>
          </c:marker>
          <c:cat>
            <c:strRef>
              <c:f>'Revenue Collection'!$F$67:$AF$67</c:f>
              <c:strCache>
                <c:ptCount val="27"/>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pt idx="20">
                  <c:v>2016/17</c:v>
                </c:pt>
                <c:pt idx="21">
                  <c:v>2017/18</c:v>
                </c:pt>
                <c:pt idx="22">
                  <c:v>2018/19</c:v>
                </c:pt>
                <c:pt idx="23">
                  <c:v>2019/20</c:v>
                </c:pt>
                <c:pt idx="24">
                  <c:v>2020/21</c:v>
                </c:pt>
                <c:pt idx="25">
                  <c:v>2021/22</c:v>
                </c:pt>
                <c:pt idx="26">
                  <c:v>2022/23</c:v>
                </c:pt>
              </c:strCache>
            </c:strRef>
          </c:cat>
          <c:val>
            <c:numRef>
              <c:f>'Revenue Collection'!$F$76:$AF$76</c:f>
              <c:numCache>
                <c:formatCode>#\ ###\ ##0</c:formatCode>
                <c:ptCount val="27"/>
                <c:pt idx="0">
                  <c:v>2.7626879999999998</c:v>
                </c:pt>
                <c:pt idx="1">
                  <c:v>3.02393</c:v>
                </c:pt>
                <c:pt idx="2">
                  <c:v>3.260567</c:v>
                </c:pt>
                <c:pt idx="3">
                  <c:v>3.8183850000000001</c:v>
                </c:pt>
                <c:pt idx="4">
                  <c:v>4.3657690000000002</c:v>
                </c:pt>
                <c:pt idx="5">
                  <c:v>4.8727929999999997</c:v>
                </c:pt>
                <c:pt idx="6">
                  <c:v>5.1041290000000004</c:v>
                </c:pt>
                <c:pt idx="7">
                  <c:v>5.5582159999999998</c:v>
                </c:pt>
                <c:pt idx="8">
                  <c:v>5.69529</c:v>
                </c:pt>
                <c:pt idx="9">
                  <c:v>6.0400479999999996</c:v>
                </c:pt>
                <c:pt idx="10">
                  <c:v>6.722518</c:v>
                </c:pt>
                <c:pt idx="11">
                  <c:v>7.4235610000000003</c:v>
                </c:pt>
                <c:pt idx="12">
                  <c:v>7.766915</c:v>
                </c:pt>
                <c:pt idx="13">
                  <c:v>8.1314220000000006</c:v>
                </c:pt>
                <c:pt idx="14">
                  <c:v>12.751006</c:v>
                </c:pt>
                <c:pt idx="15">
                  <c:v>16.039801000000001</c:v>
                </c:pt>
                <c:pt idx="16">
                  <c:v>17.926869</c:v>
                </c:pt>
                <c:pt idx="17">
                  <c:v>19.787303999999999</c:v>
                </c:pt>
                <c:pt idx="18">
                  <c:v>21.452507000000001</c:v>
                </c:pt>
                <c:pt idx="19">
                  <c:v>22.693978000000001</c:v>
                </c:pt>
                <c:pt idx="20">
                  <c:v>24.057573999999999</c:v>
                </c:pt>
                <c:pt idx="21">
                  <c:v>24.657945999999999</c:v>
                </c:pt>
                <c:pt idx="22">
                  <c:v>24.549130999999999</c:v>
                </c:pt>
                <c:pt idx="23">
                  <c:v>25.832536000000001</c:v>
                </c:pt>
                <c:pt idx="24">
                  <c:v>27.330717</c:v>
                </c:pt>
                <c:pt idx="25">
                  <c:v>28.737835</c:v>
                </c:pt>
                <c:pt idx="26">
                  <c:v>30.250094000000001</c:v>
                </c:pt>
              </c:numCache>
            </c:numRef>
          </c:val>
          <c:smooth val="0"/>
          <c:extLst>
            <c:ext xmlns:c16="http://schemas.microsoft.com/office/drawing/2014/chart" uri="{C3380CC4-5D6E-409C-BE32-E72D297353CC}">
              <c16:uniqueId val="{00000004-D63D-40A5-BC98-02FC0D449A36}"/>
            </c:ext>
          </c:extLst>
        </c:ser>
        <c:dLbls>
          <c:showLegendKey val="0"/>
          <c:showVal val="0"/>
          <c:showCatName val="0"/>
          <c:showSerName val="0"/>
          <c:showPercent val="0"/>
          <c:showBubbleSize val="0"/>
        </c:dLbls>
        <c:marker val="1"/>
        <c:smooth val="0"/>
        <c:axId val="532773264"/>
        <c:axId val="532770520"/>
      </c:lineChart>
      <c:catAx>
        <c:axId val="532763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2680"/>
        <c:crosses val="autoZero"/>
        <c:auto val="1"/>
        <c:lblAlgn val="ctr"/>
        <c:lblOffset val="100"/>
        <c:tickLblSkip val="1"/>
        <c:tickMarkSkip val="1"/>
        <c:noMultiLvlLbl val="0"/>
      </c:catAx>
      <c:valAx>
        <c:axId val="532762680"/>
        <c:scaling>
          <c:orientation val="minMax"/>
          <c:max val="1600"/>
          <c:min val="0"/>
        </c:scaling>
        <c:delete val="0"/>
        <c:axPos val="l"/>
        <c:majorGridlines>
          <c:spPr>
            <a:ln w="3175">
              <a:solidFill>
                <a:srgbClr val="969696"/>
              </a:solidFill>
              <a:prstDash val="sysDash"/>
            </a:ln>
          </c:spPr>
        </c:majorGridlines>
        <c:title>
          <c:tx>
            <c:rich>
              <a:bodyPr/>
              <a:lstStyle/>
              <a:p>
                <a:pPr>
                  <a:defRPr sz="900" b="0" i="0" u="none" strike="noStrike" baseline="0">
                    <a:solidFill>
                      <a:srgbClr val="000000"/>
                    </a:solidFill>
                    <a:latin typeface="Arial"/>
                    <a:ea typeface="Arial"/>
                    <a:cs typeface="Arial"/>
                  </a:defRPr>
                </a:pPr>
                <a:r>
                  <a:rPr lang="en-ZA" sz="900"/>
                  <a:t>R</a:t>
                </a:r>
                <a:r>
                  <a:rPr lang="en-ZA" sz="900" baseline="0"/>
                  <a:t> 'M</a:t>
                </a:r>
                <a:endParaRPr lang="en-ZA" sz="900"/>
              </a:p>
            </c:rich>
          </c:tx>
          <c:layout>
            <c:manualLayout>
              <c:xMode val="edge"/>
              <c:yMode val="edge"/>
              <c:x val="4.5806849445024188E-3"/>
              <c:y val="0.4708767648933499"/>
            </c:manualLayout>
          </c:layout>
          <c:overlay val="0"/>
          <c:spPr>
            <a:noFill/>
            <a:ln w="25400">
              <a:noFill/>
            </a:ln>
          </c:spPr>
        </c:title>
        <c:numFmt formatCode="#\ ##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3856"/>
        <c:crosses val="autoZero"/>
        <c:crossBetween val="midCat"/>
        <c:majorUnit val="200"/>
      </c:valAx>
      <c:catAx>
        <c:axId val="532773264"/>
        <c:scaling>
          <c:orientation val="minMax"/>
        </c:scaling>
        <c:delete val="1"/>
        <c:axPos val="b"/>
        <c:numFmt formatCode="General" sourceLinked="1"/>
        <c:majorTickMark val="out"/>
        <c:minorTickMark val="none"/>
        <c:tickLblPos val="none"/>
        <c:crossAx val="532770520"/>
        <c:crosses val="autoZero"/>
        <c:auto val="1"/>
        <c:lblAlgn val="ctr"/>
        <c:lblOffset val="100"/>
        <c:noMultiLvlLbl val="0"/>
      </c:catAx>
      <c:valAx>
        <c:axId val="532770520"/>
        <c:scaling>
          <c:orientation val="minMax"/>
          <c:max val="35"/>
          <c:min val="0"/>
        </c:scaling>
        <c:delete val="0"/>
        <c:axPos val="r"/>
        <c:title>
          <c:tx>
            <c:rich>
              <a:bodyPr/>
              <a:lstStyle/>
              <a:p>
                <a:pPr>
                  <a:defRPr sz="1000" b="0" i="0" u="none" strike="noStrike" baseline="0">
                    <a:solidFill>
                      <a:srgbClr val="000000"/>
                    </a:solidFill>
                    <a:latin typeface="Arial"/>
                    <a:ea typeface="Arial"/>
                    <a:cs typeface="Arial"/>
                  </a:defRPr>
                </a:pPr>
                <a:r>
                  <a:rPr lang="en-ZA"/>
                  <a:t>Number (Million)</a:t>
                </a:r>
              </a:p>
            </c:rich>
          </c:tx>
          <c:layout>
            <c:manualLayout>
              <c:xMode val="edge"/>
              <c:yMode val="edge"/>
              <c:x val="0.95118987762071905"/>
              <c:y val="0.37751527481795755"/>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73264"/>
        <c:crosses val="max"/>
        <c:crossBetween val="between"/>
        <c:majorUnit val="5"/>
      </c:valAx>
      <c:spPr>
        <a:solidFill>
          <a:srgbClr val="FFFFFF"/>
        </a:solidFill>
        <a:ln w="12700">
          <a:solidFill>
            <a:srgbClr val="808080"/>
          </a:solidFill>
          <a:prstDash val="solid"/>
        </a:ln>
      </c:spPr>
    </c:plotArea>
    <c:legend>
      <c:legendPos val="b"/>
      <c:layout>
        <c:manualLayout>
          <c:xMode val="edge"/>
          <c:yMode val="edge"/>
          <c:x val="7.2463780935763916E-2"/>
          <c:y val="0.93176791739861264"/>
          <c:w val="0.52290026246719157"/>
          <c:h val="5.2578530913398702E-2"/>
        </c:manualLayout>
      </c:layout>
      <c:overlay val="0"/>
      <c:spPr>
        <a:solidFill>
          <a:srgbClr val="FFFFFF"/>
        </a:solidFill>
        <a:ln w="25400">
          <a:noFill/>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'[4]Foreign Trade'!$B$74</c:f>
              <c:strCache>
                <c:ptCount val="1"/>
                <c:pt idx="0">
                  <c:v>Ratio of exports to GDP (%)</c:v>
                </c:pt>
              </c:strCache>
            </c:strRef>
          </c:tx>
          <c:cat>
            <c:numRef>
              <c:f>'[4]Foreign Trade'!$C$73:$Q$73</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'[4]Foreign Trade'!$C$74:$Q$74</c:f>
              <c:numCache>
                <c:formatCode>General</c:formatCode>
                <c:ptCount val="15"/>
                <c:pt idx="0">
                  <c:v>21.34</c:v>
                </c:pt>
                <c:pt idx="1">
                  <c:v>22.48</c:v>
                </c:pt>
                <c:pt idx="2">
                  <c:v>22.1</c:v>
                </c:pt>
                <c:pt idx="3">
                  <c:v>22.77</c:v>
                </c:pt>
                <c:pt idx="4">
                  <c:v>24.73</c:v>
                </c:pt>
                <c:pt idx="5">
                  <c:v>24.6</c:v>
                </c:pt>
                <c:pt idx="6">
                  <c:v>25.65</c:v>
                </c:pt>
                <c:pt idx="7">
                  <c:v>25.33</c:v>
                </c:pt>
                <c:pt idx="8">
                  <c:v>27.87</c:v>
                </c:pt>
                <c:pt idx="9">
                  <c:v>30.13</c:v>
                </c:pt>
                <c:pt idx="10">
                  <c:v>32.99</c:v>
                </c:pt>
                <c:pt idx="11">
                  <c:v>28.06</c:v>
                </c:pt>
                <c:pt idx="12">
                  <c:v>26.71</c:v>
                </c:pt>
                <c:pt idx="13">
                  <c:v>27.45</c:v>
                </c:pt>
                <c:pt idx="14">
                  <c:v>29.63</c:v>
                </c:pt>
              </c:numCache>
            </c:numRef>
          </c:val>
          <c:smooth val="0"/>
          <c:extLst>
            <c:ext xmlns:c16="http://schemas.microsoft.com/office/drawing/2014/chart" uri="{C3380CC4-5D6E-409C-BE32-E72D297353CC}">
              <c16:uniqueId val="{00000000-52B3-4336-806E-23CB7D5D4257}"/>
            </c:ext>
          </c:extLst>
        </c:ser>
        <c:ser>
          <c:idx val="1"/>
          <c:order val="1"/>
          <c:tx>
            <c:strRef>
              <c:f>'[4]Foreign Trade'!$B$75</c:f>
              <c:strCache>
                <c:ptCount val="1"/>
                <c:pt idx="0">
                  <c:v>Trade balance to GDP ratio</c:v>
                </c:pt>
              </c:strCache>
            </c:strRef>
          </c:tx>
          <c:cat>
            <c:numRef>
              <c:f>'[4]Foreign Trade'!$C$73:$Q$73</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'[4]Foreign Trade'!$C$75:$Q$75</c:f>
              <c:numCache>
                <c:formatCode>General</c:formatCode>
                <c:ptCount val="15"/>
                <c:pt idx="0">
                  <c:v>1.5</c:v>
                </c:pt>
                <c:pt idx="1">
                  <c:v>2.13</c:v>
                </c:pt>
                <c:pt idx="2">
                  <c:v>0.01</c:v>
                </c:pt>
                <c:pt idx="3">
                  <c:v>-1.65</c:v>
                </c:pt>
                <c:pt idx="4">
                  <c:v>-1.1499999999999999</c:v>
                </c:pt>
                <c:pt idx="5">
                  <c:v>-1.49</c:v>
                </c:pt>
                <c:pt idx="6">
                  <c:v>-1.76</c:v>
                </c:pt>
                <c:pt idx="7">
                  <c:v>-0.51</c:v>
                </c:pt>
                <c:pt idx="8">
                  <c:v>-0.13</c:v>
                </c:pt>
                <c:pt idx="9">
                  <c:v>0.28000000000000003</c:v>
                </c:pt>
                <c:pt idx="10">
                  <c:v>0.83</c:v>
                </c:pt>
                <c:pt idx="11">
                  <c:v>-1.08</c:v>
                </c:pt>
                <c:pt idx="12">
                  <c:v>-3.2</c:v>
                </c:pt>
                <c:pt idx="13">
                  <c:v>-4.03</c:v>
                </c:pt>
                <c:pt idx="14">
                  <c:v>-6.45</c:v>
                </c:pt>
              </c:numCache>
            </c:numRef>
          </c:val>
          <c:smooth val="0"/>
          <c:extLst>
            <c:ext xmlns:c16="http://schemas.microsoft.com/office/drawing/2014/chart" uri="{C3380CC4-5D6E-409C-BE32-E72D297353CC}">
              <c16:uniqueId val="{00000001-52B3-4336-806E-23CB7D5D4257}"/>
            </c:ext>
          </c:extLst>
        </c:ser>
        <c:dLbls>
          <c:showLegendKey val="0"/>
          <c:showVal val="0"/>
          <c:showCatName val="0"/>
          <c:showSerName val="0"/>
          <c:showPercent val="0"/>
          <c:showBubbleSize val="0"/>
        </c:dLbls>
        <c:marker val="1"/>
        <c:smooth val="0"/>
        <c:axId val="401319632"/>
        <c:axId val="401316888"/>
      </c:lineChart>
      <c:lineChart>
        <c:grouping val="standard"/>
        <c:varyColors val="0"/>
        <c:ser>
          <c:idx val="2"/>
          <c:order val="2"/>
          <c:tx>
            <c:strRef>
              <c:f>'[4]Foreign Trade'!$B$76</c:f>
              <c:strCache>
                <c:ptCount val="1"/>
                <c:pt idx="0">
                  <c:v>ZAR/US$</c:v>
                </c:pt>
              </c:strCache>
            </c:strRef>
          </c:tx>
          <c:val>
            <c:numRef>
              <c:f>'[4]Foreign Trade'!$C$76:$Q$76</c:f>
              <c:numCache>
                <c:formatCode>General</c:formatCode>
                <c:ptCount val="15"/>
                <c:pt idx="0">
                  <c:v>2.8516000000000004</c:v>
                </c:pt>
                <c:pt idx="1">
                  <c:v>3.2667000000000002</c:v>
                </c:pt>
                <c:pt idx="2">
                  <c:v>3.5497000000000001</c:v>
                </c:pt>
                <c:pt idx="3">
                  <c:v>3.6269999999999998</c:v>
                </c:pt>
                <c:pt idx="4">
                  <c:v>4.2964000000000002</c:v>
                </c:pt>
                <c:pt idx="5">
                  <c:v>4.6073000000000004</c:v>
                </c:pt>
                <c:pt idx="6">
                  <c:v>5.5316000000000001</c:v>
                </c:pt>
                <c:pt idx="7">
                  <c:v>6.1130999999999993</c:v>
                </c:pt>
                <c:pt idx="8">
                  <c:v>6.9352999999999998</c:v>
                </c:pt>
                <c:pt idx="9">
                  <c:v>8.6030999999999995</c:v>
                </c:pt>
                <c:pt idx="10">
                  <c:v>10.516500000000001</c:v>
                </c:pt>
                <c:pt idx="11">
                  <c:v>7.5647000000000002</c:v>
                </c:pt>
                <c:pt idx="12">
                  <c:v>6.4499000000000004</c:v>
                </c:pt>
                <c:pt idx="13">
                  <c:v>6.3623000000000003</c:v>
                </c:pt>
                <c:pt idx="14">
                  <c:v>6.7671999999999999</c:v>
                </c:pt>
              </c:numCache>
            </c:numRef>
          </c:val>
          <c:smooth val="0"/>
          <c:extLst>
            <c:ext xmlns:c16="http://schemas.microsoft.com/office/drawing/2014/chart" uri="{C3380CC4-5D6E-409C-BE32-E72D297353CC}">
              <c16:uniqueId val="{00000002-52B3-4336-806E-23CB7D5D4257}"/>
            </c:ext>
          </c:extLst>
        </c:ser>
        <c:dLbls>
          <c:showLegendKey val="0"/>
          <c:showVal val="0"/>
          <c:showCatName val="0"/>
          <c:showSerName val="0"/>
          <c:showPercent val="0"/>
          <c:showBubbleSize val="0"/>
        </c:dLbls>
        <c:marker val="1"/>
        <c:smooth val="0"/>
        <c:axId val="401320024"/>
        <c:axId val="401320808"/>
      </c:lineChart>
      <c:catAx>
        <c:axId val="401319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16888"/>
        <c:crosses val="autoZero"/>
        <c:auto val="1"/>
        <c:lblAlgn val="ctr"/>
        <c:lblOffset val="100"/>
        <c:tickMarkSkip val="1"/>
        <c:noMultiLvlLbl val="0"/>
      </c:catAx>
      <c:valAx>
        <c:axId val="4013168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19632"/>
        <c:crosses val="autoZero"/>
        <c:crossBetween val="between"/>
      </c:valAx>
      <c:catAx>
        <c:axId val="401320024"/>
        <c:scaling>
          <c:orientation val="minMax"/>
        </c:scaling>
        <c:delete val="1"/>
        <c:axPos val="b"/>
        <c:majorTickMark val="out"/>
        <c:minorTickMark val="none"/>
        <c:tickLblPos val="nextTo"/>
        <c:crossAx val="401320808"/>
        <c:crosses val="autoZero"/>
        <c:auto val="1"/>
        <c:lblAlgn val="ctr"/>
        <c:lblOffset val="100"/>
        <c:noMultiLvlLbl val="0"/>
      </c:catAx>
      <c:valAx>
        <c:axId val="401320808"/>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20024"/>
        <c:crosses val="max"/>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'Balance of Payments'!$D$124</c:f>
              <c:strCache>
                <c:ptCount val="1"/>
                <c:pt idx="0">
                  <c:v>Merchandise Imports (% of GDP) </c:v>
                </c:pt>
              </c:strCache>
            </c:strRef>
          </c:tx>
          <c:marker>
            <c:symbol val="none"/>
          </c:marker>
          <c:cat>
            <c:multiLvlStrRef>
              <c:f>'Balance of Payments'!$V$122:$DF$123</c:f>
              <c:multiLvlStrCache>
                <c:ptCount val="89"/>
                <c:lvl>
                  <c:pt idx="0">
                    <c:v>M</c:v>
                  </c:pt>
                  <c:pt idx="1">
                    <c:v>J</c:v>
                  </c:pt>
                  <c:pt idx="2">
                    <c:v>S</c:v>
                  </c:pt>
                  <c:pt idx="3">
                    <c:v>D</c:v>
                  </c:pt>
                  <c:pt idx="4">
                    <c:v>M</c:v>
                  </c:pt>
                  <c:pt idx="5">
                    <c:v>J</c:v>
                  </c:pt>
                  <c:pt idx="6">
                    <c:v>S</c:v>
                  </c:pt>
                  <c:pt idx="7">
                    <c:v>D</c:v>
                  </c:pt>
                  <c:pt idx="10">
                    <c:v>M</c:v>
                  </c:pt>
                  <c:pt idx="11">
                    <c:v>J</c:v>
                  </c:pt>
                  <c:pt idx="12">
                    <c:v>S</c:v>
                  </c:pt>
                  <c:pt idx="13">
                    <c:v>D</c:v>
                  </c:pt>
                  <c:pt idx="14">
                    <c:v>M</c:v>
                  </c:pt>
                  <c:pt idx="15">
                    <c:v>J</c:v>
                  </c:pt>
                  <c:pt idx="16">
                    <c:v>S</c:v>
                  </c:pt>
                  <c:pt idx="17">
                    <c:v>D</c:v>
                  </c:pt>
                  <c:pt idx="18">
                    <c:v>M</c:v>
                  </c:pt>
                  <c:pt idx="19">
                    <c:v>J</c:v>
                  </c:pt>
                  <c:pt idx="20">
                    <c:v>S</c:v>
                  </c:pt>
                  <c:pt idx="21">
                    <c:v>D</c:v>
                  </c:pt>
                  <c:pt idx="22">
                    <c:v>M</c:v>
                  </c:pt>
                  <c:pt idx="23">
                    <c:v>J</c:v>
                  </c:pt>
                  <c:pt idx="24">
                    <c:v>S</c:v>
                  </c:pt>
                  <c:pt idx="25">
                    <c:v>D</c:v>
                  </c:pt>
                  <c:pt idx="26">
                    <c:v>M</c:v>
                  </c:pt>
                  <c:pt idx="27">
                    <c:v>J</c:v>
                  </c:pt>
                  <c:pt idx="28">
                    <c:v>S</c:v>
                  </c:pt>
                  <c:pt idx="29">
                    <c:v>D</c:v>
                  </c:pt>
                  <c:pt idx="30">
                    <c:v>M</c:v>
                  </c:pt>
                  <c:pt idx="31">
                    <c:v>J</c:v>
                  </c:pt>
                  <c:pt idx="32">
                    <c:v>S</c:v>
                  </c:pt>
                  <c:pt idx="33">
                    <c:v>D</c:v>
                  </c:pt>
                  <c:pt idx="34">
                    <c:v>M</c:v>
                  </c:pt>
                  <c:pt idx="35">
                    <c:v>J</c:v>
                  </c:pt>
                  <c:pt idx="36">
                    <c:v>S</c:v>
                  </c:pt>
                  <c:pt idx="37">
                    <c:v>D</c:v>
                  </c:pt>
                  <c:pt idx="38">
                    <c:v>M</c:v>
                  </c:pt>
                  <c:pt idx="39">
                    <c:v>J</c:v>
                  </c:pt>
                  <c:pt idx="40">
                    <c:v>S</c:v>
                  </c:pt>
                  <c:pt idx="41">
                    <c:v>D</c:v>
                  </c:pt>
                  <c:pt idx="42">
                    <c:v>M</c:v>
                  </c:pt>
                  <c:pt idx="43">
                    <c:v>J</c:v>
                  </c:pt>
                  <c:pt idx="44">
                    <c:v>S</c:v>
                  </c:pt>
                  <c:pt idx="45">
                    <c:v>D</c:v>
                  </c:pt>
                  <c:pt idx="46">
                    <c:v>M</c:v>
                  </c:pt>
                  <c:pt idx="47">
                    <c:v>J</c:v>
                  </c:pt>
                  <c:pt idx="48">
                    <c:v>S</c:v>
                  </c:pt>
                  <c:pt idx="49">
                    <c:v>D</c:v>
                  </c:pt>
                  <c:pt idx="50">
                    <c:v>M</c:v>
                  </c:pt>
                  <c:pt idx="51">
                    <c:v>J</c:v>
                  </c:pt>
                  <c:pt idx="52">
                    <c:v>S</c:v>
                  </c:pt>
                  <c:pt idx="53">
                    <c:v>D</c:v>
                  </c:pt>
                  <c:pt idx="54">
                    <c:v>M</c:v>
                  </c:pt>
                  <c:pt idx="55">
                    <c:v>J</c:v>
                  </c:pt>
                  <c:pt idx="56">
                    <c:v>S</c:v>
                  </c:pt>
                  <c:pt idx="57">
                    <c:v>D</c:v>
                  </c:pt>
                  <c:pt idx="58">
                    <c:v>M</c:v>
                  </c:pt>
                  <c:pt idx="59">
                    <c:v>J</c:v>
                  </c:pt>
                  <c:pt idx="60">
                    <c:v>S</c:v>
                  </c:pt>
                  <c:pt idx="61">
                    <c:v>D</c:v>
                  </c:pt>
                  <c:pt idx="62">
                    <c:v>M</c:v>
                  </c:pt>
                  <c:pt idx="63">
                    <c:v>J</c:v>
                  </c:pt>
                  <c:pt idx="64">
                    <c:v>S</c:v>
                  </c:pt>
                  <c:pt idx="65">
                    <c:v>D</c:v>
                  </c:pt>
                  <c:pt idx="66">
                    <c:v>M</c:v>
                  </c:pt>
                  <c:pt idx="67">
                    <c:v>J</c:v>
                  </c:pt>
                  <c:pt idx="68">
                    <c:v>S</c:v>
                  </c:pt>
                  <c:pt idx="69">
                    <c:v>D</c:v>
                  </c:pt>
                  <c:pt idx="70">
                    <c:v>M</c:v>
                  </c:pt>
                  <c:pt idx="71">
                    <c:v>J</c:v>
                  </c:pt>
                  <c:pt idx="72">
                    <c:v>S</c:v>
                  </c:pt>
                  <c:pt idx="73">
                    <c:v>D</c:v>
                  </c:pt>
                  <c:pt idx="74">
                    <c:v>M</c:v>
                  </c:pt>
                  <c:pt idx="75">
                    <c:v>J</c:v>
                  </c:pt>
                  <c:pt idx="76">
                    <c:v>S</c:v>
                  </c:pt>
                  <c:pt idx="77">
                    <c:v>D</c:v>
                  </c:pt>
                  <c:pt idx="78">
                    <c:v>M</c:v>
                  </c:pt>
                  <c:pt idx="79">
                    <c:v>J</c:v>
                  </c:pt>
                  <c:pt idx="80">
                    <c:v>S</c:v>
                  </c:pt>
                  <c:pt idx="81">
                    <c:v>D</c:v>
                  </c:pt>
                  <c:pt idx="82">
                    <c:v>M</c:v>
                  </c:pt>
                  <c:pt idx="83">
                    <c:v>J</c:v>
                  </c:pt>
                  <c:pt idx="84">
                    <c:v>S</c:v>
                  </c:pt>
                  <c:pt idx="85">
                    <c:v>D</c:v>
                  </c:pt>
                  <c:pt idx="86">
                    <c:v>M</c:v>
                  </c:pt>
                  <c:pt idx="87">
                    <c:v>J</c:v>
                  </c:pt>
                  <c:pt idx="88">
                    <c:v>S</c:v>
                  </c:pt>
                </c:lvl>
                <c:lvl>
                  <c:pt idx="0">
                    <c:v>1994</c:v>
                  </c:pt>
                  <c:pt idx="4">
                    <c:v>1995</c:v>
                  </c:pt>
                  <c:pt idx="10">
                    <c:v>1996</c:v>
                  </c:pt>
                  <c:pt idx="14">
                    <c:v>1997</c:v>
                  </c:pt>
                  <c:pt idx="18">
                    <c:v>1998</c:v>
                  </c:pt>
                  <c:pt idx="22">
                    <c:v>1999</c:v>
                  </c:pt>
                  <c:pt idx="26">
                    <c:v>2000</c:v>
                  </c:pt>
                  <c:pt idx="30">
                    <c:v>2001</c:v>
                  </c:pt>
                  <c:pt idx="34">
                    <c:v>2002</c:v>
                  </c:pt>
                  <c:pt idx="38">
                    <c:v>2003</c:v>
                  </c:pt>
                  <c:pt idx="42">
                    <c:v>2004</c:v>
                  </c:pt>
                  <c:pt idx="46">
                    <c:v>2005</c:v>
                  </c:pt>
                  <c:pt idx="50">
                    <c:v>2006</c:v>
                  </c:pt>
                  <c:pt idx="54">
                    <c:v>2007</c:v>
                  </c:pt>
                  <c:pt idx="58">
                    <c:v>2008</c:v>
                  </c:pt>
                  <c:pt idx="62">
                    <c:v>2009</c:v>
                  </c:pt>
                  <c:pt idx="66">
                    <c:v>2010</c:v>
                  </c:pt>
                  <c:pt idx="70">
                    <c:v>2011</c:v>
                  </c:pt>
                  <c:pt idx="74">
                    <c:v>2012</c:v>
                  </c:pt>
                  <c:pt idx="78">
                    <c:v>2013</c:v>
                  </c:pt>
                  <c:pt idx="82">
                    <c:v>2014</c:v>
                  </c:pt>
                  <c:pt idx="86">
                    <c:v>2015</c:v>
                  </c:pt>
                </c:lvl>
              </c:multiLvlStrCache>
            </c:multiLvlStrRef>
          </c:cat>
          <c:val>
            <c:numRef>
              <c:f>'Balance of Payments'!$V$124:$DF$124</c:f>
              <c:numCache>
                <c:formatCode>0.0</c:formatCode>
                <c:ptCount val="89"/>
                <c:pt idx="0">
                  <c:v>14.263418577950587</c:v>
                </c:pt>
                <c:pt idx="1">
                  <c:v>14.746592888615636</c:v>
                </c:pt>
                <c:pt idx="2">
                  <c:v>16.801768904562273</c:v>
                </c:pt>
                <c:pt idx="3">
                  <c:v>16.687923743035508</c:v>
                </c:pt>
                <c:pt idx="4">
                  <c:v>17.773807780905592</c:v>
                </c:pt>
                <c:pt idx="5">
                  <c:v>17.944480445430752</c:v>
                </c:pt>
                <c:pt idx="6">
                  <c:v>17.412025636995512</c:v>
                </c:pt>
                <c:pt idx="7">
                  <c:v>17.42581832153321</c:v>
                </c:pt>
                <c:pt idx="10">
                  <c:v>17.510038169830963</c:v>
                </c:pt>
                <c:pt idx="11">
                  <c:v>18.526482283739661</c:v>
                </c:pt>
                <c:pt idx="12">
                  <c:v>19.495465592580853</c:v>
                </c:pt>
                <c:pt idx="13">
                  <c:v>19.172426540772637</c:v>
                </c:pt>
                <c:pt idx="14">
                  <c:v>18.367557299681199</c:v>
                </c:pt>
                <c:pt idx="15">
                  <c:v>18.029394690102716</c:v>
                </c:pt>
                <c:pt idx="16">
                  <c:v>19.45032277296497</c:v>
                </c:pt>
                <c:pt idx="17">
                  <c:v>19.787848663176707</c:v>
                </c:pt>
                <c:pt idx="18">
                  <c:v>19.124995930592181</c:v>
                </c:pt>
                <c:pt idx="19">
                  <c:v>18.070323288649455</c:v>
                </c:pt>
                <c:pt idx="20">
                  <c:v>21.659955753656195</c:v>
                </c:pt>
                <c:pt idx="21">
                  <c:v>20.246511990970781</c:v>
                </c:pt>
                <c:pt idx="22">
                  <c:v>17.686328829025744</c:v>
                </c:pt>
                <c:pt idx="23">
                  <c:v>17.433413152045439</c:v>
                </c:pt>
                <c:pt idx="24">
                  <c:v>17.802757751473166</c:v>
                </c:pt>
                <c:pt idx="25">
                  <c:v>18.82459395688727</c:v>
                </c:pt>
                <c:pt idx="26">
                  <c:v>19.771484401200148</c:v>
                </c:pt>
                <c:pt idx="27">
                  <c:v>19.231601789877821</c:v>
                </c:pt>
                <c:pt idx="28">
                  <c:v>19.773784951144034</c:v>
                </c:pt>
                <c:pt idx="29">
                  <c:v>21.203027796394579</c:v>
                </c:pt>
                <c:pt idx="30">
                  <c:v>20.81968067274806</c:v>
                </c:pt>
                <c:pt idx="31">
                  <c:v>21.170367702026951</c:v>
                </c:pt>
                <c:pt idx="32">
                  <c:v>20.26189913107163</c:v>
                </c:pt>
                <c:pt idx="33">
                  <c:v>22.288528170615713</c:v>
                </c:pt>
                <c:pt idx="34">
                  <c:v>24.01068113408817</c:v>
                </c:pt>
                <c:pt idx="35">
                  <c:v>23.411910835236998</c:v>
                </c:pt>
                <c:pt idx="36">
                  <c:v>22.520406517180191</c:v>
                </c:pt>
                <c:pt idx="37">
                  <c:v>23.113174152928352</c:v>
                </c:pt>
                <c:pt idx="38">
                  <c:v>20.402369813903189</c:v>
                </c:pt>
                <c:pt idx="39">
                  <c:v>19.895686611667003</c:v>
                </c:pt>
                <c:pt idx="40">
                  <c:v>19.884091168022834</c:v>
                </c:pt>
                <c:pt idx="41">
                  <c:v>19.715241543646627</c:v>
                </c:pt>
                <c:pt idx="42">
                  <c:v>19.392974485578161</c:v>
                </c:pt>
                <c:pt idx="43">
                  <c:v>21.785363403844254</c:v>
                </c:pt>
                <c:pt idx="44">
                  <c:v>21.309168638171375</c:v>
                </c:pt>
                <c:pt idx="45">
                  <c:v>21.873306800862242</c:v>
                </c:pt>
                <c:pt idx="46">
                  <c:v>20.512435908810357</c:v>
                </c:pt>
                <c:pt idx="47">
                  <c:v>22.070297526751688</c:v>
                </c:pt>
                <c:pt idx="48">
                  <c:v>23.121537375261163</c:v>
                </c:pt>
                <c:pt idx="49">
                  <c:v>22.143450515976081</c:v>
                </c:pt>
                <c:pt idx="50">
                  <c:v>22.548713133512972</c:v>
                </c:pt>
                <c:pt idx="51">
                  <c:v>24.950401574680424</c:v>
                </c:pt>
                <c:pt idx="52">
                  <c:v>25.895490593177129</c:v>
                </c:pt>
                <c:pt idx="53">
                  <c:v>29.344604830950701</c:v>
                </c:pt>
                <c:pt idx="54">
                  <c:v>26.610244958115164</c:v>
                </c:pt>
                <c:pt idx="55">
                  <c:v>27.435914311099413</c:v>
                </c:pt>
                <c:pt idx="56">
                  <c:v>27.660327764843167</c:v>
                </c:pt>
                <c:pt idx="57">
                  <c:v>26.671676073535817</c:v>
                </c:pt>
                <c:pt idx="58">
                  <c:v>29.462094819336997</c:v>
                </c:pt>
                <c:pt idx="59">
                  <c:v>32.393499552903442</c:v>
                </c:pt>
                <c:pt idx="60">
                  <c:v>33.406501039075373</c:v>
                </c:pt>
                <c:pt idx="61">
                  <c:v>30.180155761551109</c:v>
                </c:pt>
                <c:pt idx="62">
                  <c:v>25.730666879393894</c:v>
                </c:pt>
                <c:pt idx="63">
                  <c:v>21.249792361924232</c:v>
                </c:pt>
                <c:pt idx="64">
                  <c:v>20.564345747643291</c:v>
                </c:pt>
                <c:pt idx="65">
                  <c:v>22.057612090004291</c:v>
                </c:pt>
                <c:pt idx="66">
                  <c:v>22.365665056130794</c:v>
                </c:pt>
                <c:pt idx="67">
                  <c:v>22.338568107761837</c:v>
                </c:pt>
                <c:pt idx="68">
                  <c:v>22.721010826827513</c:v>
                </c:pt>
                <c:pt idx="69">
                  <c:v>21.275510651469741</c:v>
                </c:pt>
                <c:pt idx="70">
                  <c:v>22.696340529552568</c:v>
                </c:pt>
                <c:pt idx="71">
                  <c:v>23.962228229060571</c:v>
                </c:pt>
                <c:pt idx="72">
                  <c:v>24.997231228055835</c:v>
                </c:pt>
                <c:pt idx="73">
                  <c:v>26.556315358630091</c:v>
                </c:pt>
                <c:pt idx="74">
                  <c:v>26.077037922144452</c:v>
                </c:pt>
                <c:pt idx="75">
                  <c:v>26.45944407396162</c:v>
                </c:pt>
                <c:pt idx="76">
                  <c:v>26.089156749989932</c:v>
                </c:pt>
                <c:pt idx="77">
                  <c:v>26.386230996191063</c:v>
                </c:pt>
                <c:pt idx="78">
                  <c:v>27.614466132618219</c:v>
                </c:pt>
                <c:pt idx="79">
                  <c:v>28.512244382224711</c:v>
                </c:pt>
                <c:pt idx="80">
                  <c:v>29.448844459996305</c:v>
                </c:pt>
                <c:pt idx="81">
                  <c:v>27.700989440503211</c:v>
                </c:pt>
                <c:pt idx="82">
                  <c:v>29.402143113695427</c:v>
                </c:pt>
                <c:pt idx="83">
                  <c:v>28.494982453254448</c:v>
                </c:pt>
                <c:pt idx="84">
                  <c:v>28.08707891546387</c:v>
                </c:pt>
                <c:pt idx="85">
                  <c:v>27.067012631793695</c:v>
                </c:pt>
              </c:numCache>
            </c:numRef>
          </c:val>
          <c:smooth val="0"/>
          <c:extLst>
            <c:ext xmlns:c16="http://schemas.microsoft.com/office/drawing/2014/chart" uri="{C3380CC4-5D6E-409C-BE32-E72D297353CC}">
              <c16:uniqueId val="{00000000-1F2F-44FD-B239-6D019D6D1EF9}"/>
            </c:ext>
          </c:extLst>
        </c:ser>
        <c:ser>
          <c:idx val="1"/>
          <c:order val="1"/>
          <c:tx>
            <c:strRef>
              <c:f>'Balance of Payments'!$D$125</c:f>
              <c:strCache>
                <c:ptCount val="1"/>
                <c:pt idx="0">
                  <c:v>Merchandise Exports (% of GDP) </c:v>
                </c:pt>
              </c:strCache>
            </c:strRef>
          </c:tx>
          <c:marker>
            <c:symbol val="none"/>
          </c:marker>
          <c:cat>
            <c:multiLvlStrRef>
              <c:f>'Balance of Payments'!$V$122:$DF$123</c:f>
              <c:multiLvlStrCache>
                <c:ptCount val="89"/>
                <c:lvl>
                  <c:pt idx="0">
                    <c:v>M</c:v>
                  </c:pt>
                  <c:pt idx="1">
                    <c:v>J</c:v>
                  </c:pt>
                  <c:pt idx="2">
                    <c:v>S</c:v>
                  </c:pt>
                  <c:pt idx="3">
                    <c:v>D</c:v>
                  </c:pt>
                  <c:pt idx="4">
                    <c:v>M</c:v>
                  </c:pt>
                  <c:pt idx="5">
                    <c:v>J</c:v>
                  </c:pt>
                  <c:pt idx="6">
                    <c:v>S</c:v>
                  </c:pt>
                  <c:pt idx="7">
                    <c:v>D</c:v>
                  </c:pt>
                  <c:pt idx="10">
                    <c:v>M</c:v>
                  </c:pt>
                  <c:pt idx="11">
                    <c:v>J</c:v>
                  </c:pt>
                  <c:pt idx="12">
                    <c:v>S</c:v>
                  </c:pt>
                  <c:pt idx="13">
                    <c:v>D</c:v>
                  </c:pt>
                  <c:pt idx="14">
                    <c:v>M</c:v>
                  </c:pt>
                  <c:pt idx="15">
                    <c:v>J</c:v>
                  </c:pt>
                  <c:pt idx="16">
                    <c:v>S</c:v>
                  </c:pt>
                  <c:pt idx="17">
                    <c:v>D</c:v>
                  </c:pt>
                  <c:pt idx="18">
                    <c:v>M</c:v>
                  </c:pt>
                  <c:pt idx="19">
                    <c:v>J</c:v>
                  </c:pt>
                  <c:pt idx="20">
                    <c:v>S</c:v>
                  </c:pt>
                  <c:pt idx="21">
                    <c:v>D</c:v>
                  </c:pt>
                  <c:pt idx="22">
                    <c:v>M</c:v>
                  </c:pt>
                  <c:pt idx="23">
                    <c:v>J</c:v>
                  </c:pt>
                  <c:pt idx="24">
                    <c:v>S</c:v>
                  </c:pt>
                  <c:pt idx="25">
                    <c:v>D</c:v>
                  </c:pt>
                  <c:pt idx="26">
                    <c:v>M</c:v>
                  </c:pt>
                  <c:pt idx="27">
                    <c:v>J</c:v>
                  </c:pt>
                  <c:pt idx="28">
                    <c:v>S</c:v>
                  </c:pt>
                  <c:pt idx="29">
                    <c:v>D</c:v>
                  </c:pt>
                  <c:pt idx="30">
                    <c:v>M</c:v>
                  </c:pt>
                  <c:pt idx="31">
                    <c:v>J</c:v>
                  </c:pt>
                  <c:pt idx="32">
                    <c:v>S</c:v>
                  </c:pt>
                  <c:pt idx="33">
                    <c:v>D</c:v>
                  </c:pt>
                  <c:pt idx="34">
                    <c:v>M</c:v>
                  </c:pt>
                  <c:pt idx="35">
                    <c:v>J</c:v>
                  </c:pt>
                  <c:pt idx="36">
                    <c:v>S</c:v>
                  </c:pt>
                  <c:pt idx="37">
                    <c:v>D</c:v>
                  </c:pt>
                  <c:pt idx="38">
                    <c:v>M</c:v>
                  </c:pt>
                  <c:pt idx="39">
                    <c:v>J</c:v>
                  </c:pt>
                  <c:pt idx="40">
                    <c:v>S</c:v>
                  </c:pt>
                  <c:pt idx="41">
                    <c:v>D</c:v>
                  </c:pt>
                  <c:pt idx="42">
                    <c:v>M</c:v>
                  </c:pt>
                  <c:pt idx="43">
                    <c:v>J</c:v>
                  </c:pt>
                  <c:pt idx="44">
                    <c:v>S</c:v>
                  </c:pt>
                  <c:pt idx="45">
                    <c:v>D</c:v>
                  </c:pt>
                  <c:pt idx="46">
                    <c:v>M</c:v>
                  </c:pt>
                  <c:pt idx="47">
                    <c:v>J</c:v>
                  </c:pt>
                  <c:pt idx="48">
                    <c:v>S</c:v>
                  </c:pt>
                  <c:pt idx="49">
                    <c:v>D</c:v>
                  </c:pt>
                  <c:pt idx="50">
                    <c:v>M</c:v>
                  </c:pt>
                  <c:pt idx="51">
                    <c:v>J</c:v>
                  </c:pt>
                  <c:pt idx="52">
                    <c:v>S</c:v>
                  </c:pt>
                  <c:pt idx="53">
                    <c:v>D</c:v>
                  </c:pt>
                  <c:pt idx="54">
                    <c:v>M</c:v>
                  </c:pt>
                  <c:pt idx="55">
                    <c:v>J</c:v>
                  </c:pt>
                  <c:pt idx="56">
                    <c:v>S</c:v>
                  </c:pt>
                  <c:pt idx="57">
                    <c:v>D</c:v>
                  </c:pt>
                  <c:pt idx="58">
                    <c:v>M</c:v>
                  </c:pt>
                  <c:pt idx="59">
                    <c:v>J</c:v>
                  </c:pt>
                  <c:pt idx="60">
                    <c:v>S</c:v>
                  </c:pt>
                  <c:pt idx="61">
                    <c:v>D</c:v>
                  </c:pt>
                  <c:pt idx="62">
                    <c:v>M</c:v>
                  </c:pt>
                  <c:pt idx="63">
                    <c:v>J</c:v>
                  </c:pt>
                  <c:pt idx="64">
                    <c:v>S</c:v>
                  </c:pt>
                  <c:pt idx="65">
                    <c:v>D</c:v>
                  </c:pt>
                  <c:pt idx="66">
                    <c:v>M</c:v>
                  </c:pt>
                  <c:pt idx="67">
                    <c:v>J</c:v>
                  </c:pt>
                  <c:pt idx="68">
                    <c:v>S</c:v>
                  </c:pt>
                  <c:pt idx="69">
                    <c:v>D</c:v>
                  </c:pt>
                  <c:pt idx="70">
                    <c:v>M</c:v>
                  </c:pt>
                  <c:pt idx="71">
                    <c:v>J</c:v>
                  </c:pt>
                  <c:pt idx="72">
                    <c:v>S</c:v>
                  </c:pt>
                  <c:pt idx="73">
                    <c:v>D</c:v>
                  </c:pt>
                  <c:pt idx="74">
                    <c:v>M</c:v>
                  </c:pt>
                  <c:pt idx="75">
                    <c:v>J</c:v>
                  </c:pt>
                  <c:pt idx="76">
                    <c:v>S</c:v>
                  </c:pt>
                  <c:pt idx="77">
                    <c:v>D</c:v>
                  </c:pt>
                  <c:pt idx="78">
                    <c:v>M</c:v>
                  </c:pt>
                  <c:pt idx="79">
                    <c:v>J</c:v>
                  </c:pt>
                  <c:pt idx="80">
                    <c:v>S</c:v>
                  </c:pt>
                  <c:pt idx="81">
                    <c:v>D</c:v>
                  </c:pt>
                  <c:pt idx="82">
                    <c:v>M</c:v>
                  </c:pt>
                  <c:pt idx="83">
                    <c:v>J</c:v>
                  </c:pt>
                  <c:pt idx="84">
                    <c:v>S</c:v>
                  </c:pt>
                  <c:pt idx="85">
                    <c:v>D</c:v>
                  </c:pt>
                  <c:pt idx="86">
                    <c:v>M</c:v>
                  </c:pt>
                  <c:pt idx="87">
                    <c:v>J</c:v>
                  </c:pt>
                  <c:pt idx="88">
                    <c:v>S</c:v>
                  </c:pt>
                </c:lvl>
                <c:lvl>
                  <c:pt idx="0">
                    <c:v>1994</c:v>
                  </c:pt>
                  <c:pt idx="4">
                    <c:v>1995</c:v>
                  </c:pt>
                  <c:pt idx="10">
                    <c:v>1996</c:v>
                  </c:pt>
                  <c:pt idx="14">
                    <c:v>1997</c:v>
                  </c:pt>
                  <c:pt idx="18">
                    <c:v>1998</c:v>
                  </c:pt>
                  <c:pt idx="22">
                    <c:v>1999</c:v>
                  </c:pt>
                  <c:pt idx="26">
                    <c:v>2000</c:v>
                  </c:pt>
                  <c:pt idx="30">
                    <c:v>2001</c:v>
                  </c:pt>
                  <c:pt idx="34">
                    <c:v>2002</c:v>
                  </c:pt>
                  <c:pt idx="38">
                    <c:v>2003</c:v>
                  </c:pt>
                  <c:pt idx="42">
                    <c:v>2004</c:v>
                  </c:pt>
                  <c:pt idx="46">
                    <c:v>2005</c:v>
                  </c:pt>
                  <c:pt idx="50">
                    <c:v>2006</c:v>
                  </c:pt>
                  <c:pt idx="54">
                    <c:v>2007</c:v>
                  </c:pt>
                  <c:pt idx="58">
                    <c:v>2008</c:v>
                  </c:pt>
                  <c:pt idx="62">
                    <c:v>2009</c:v>
                  </c:pt>
                  <c:pt idx="66">
                    <c:v>2010</c:v>
                  </c:pt>
                  <c:pt idx="70">
                    <c:v>2011</c:v>
                  </c:pt>
                  <c:pt idx="74">
                    <c:v>2012</c:v>
                  </c:pt>
                  <c:pt idx="78">
                    <c:v>2013</c:v>
                  </c:pt>
                  <c:pt idx="82">
                    <c:v>2014</c:v>
                  </c:pt>
                  <c:pt idx="86">
                    <c:v>2015</c:v>
                  </c:pt>
                </c:lvl>
              </c:multiLvlStrCache>
            </c:multiLvlStrRef>
          </c:cat>
          <c:val>
            <c:numRef>
              <c:f>'Balance of Payments'!$V$125:$DF$125</c:f>
              <c:numCache>
                <c:formatCode>0.0</c:formatCode>
                <c:ptCount val="89"/>
                <c:pt idx="0">
                  <c:v>13.607883095477721</c:v>
                </c:pt>
                <c:pt idx="1">
                  <c:v>12.899067527410596</c:v>
                </c:pt>
                <c:pt idx="2">
                  <c:v>13.802216779576899</c:v>
                </c:pt>
                <c:pt idx="3">
                  <c:v>15.881049875813922</c:v>
                </c:pt>
                <c:pt idx="4">
                  <c:v>14.932459604561132</c:v>
                </c:pt>
                <c:pt idx="5">
                  <c:v>14.508357256893786</c:v>
                </c:pt>
                <c:pt idx="6">
                  <c:v>16.136812140898694</c:v>
                </c:pt>
                <c:pt idx="7">
                  <c:v>15.773349604697257</c:v>
                </c:pt>
                <c:pt idx="10">
                  <c:v>15.493811860737949</c:v>
                </c:pt>
                <c:pt idx="11">
                  <c:v>15.482671223304918</c:v>
                </c:pt>
                <c:pt idx="12">
                  <c:v>17.301918809554888</c:v>
                </c:pt>
                <c:pt idx="13">
                  <c:v>17.123567859447959</c:v>
                </c:pt>
                <c:pt idx="14">
                  <c:v>15.585218780600938</c:v>
                </c:pt>
                <c:pt idx="15">
                  <c:v>15.949809457571979</c:v>
                </c:pt>
                <c:pt idx="16">
                  <c:v>17.553196724884383</c:v>
                </c:pt>
                <c:pt idx="17">
                  <c:v>17.951489382794922</c:v>
                </c:pt>
                <c:pt idx="18">
                  <c:v>18.010385128756063</c:v>
                </c:pt>
                <c:pt idx="19">
                  <c:v>17.218389175054739</c:v>
                </c:pt>
                <c:pt idx="20">
                  <c:v>18.757708848616158</c:v>
                </c:pt>
                <c:pt idx="21">
                  <c:v>17.044696933827961</c:v>
                </c:pt>
                <c:pt idx="22">
                  <c:v>18.590479378398058</c:v>
                </c:pt>
                <c:pt idx="23">
                  <c:v>17.153945380435783</c:v>
                </c:pt>
                <c:pt idx="24">
                  <c:v>17.699295042725396</c:v>
                </c:pt>
                <c:pt idx="25">
                  <c:v>18.70753441916936</c:v>
                </c:pt>
                <c:pt idx="26">
                  <c:v>19.465634348212969</c:v>
                </c:pt>
                <c:pt idx="27">
                  <c:v>19.842658754731815</c:v>
                </c:pt>
                <c:pt idx="28">
                  <c:v>19.767383028088954</c:v>
                </c:pt>
                <c:pt idx="29">
                  <c:v>22.850564441304748</c:v>
                </c:pt>
                <c:pt idx="30">
                  <c:v>22.513446211712338</c:v>
                </c:pt>
                <c:pt idx="31">
                  <c:v>23.7059933145086</c:v>
                </c:pt>
                <c:pt idx="32">
                  <c:v>21.102791403788498</c:v>
                </c:pt>
                <c:pt idx="33">
                  <c:v>23.122012664323606</c:v>
                </c:pt>
                <c:pt idx="34">
                  <c:v>24.502034048924365</c:v>
                </c:pt>
                <c:pt idx="35">
                  <c:v>24.434811420655482</c:v>
                </c:pt>
                <c:pt idx="36">
                  <c:v>22.654702371350218</c:v>
                </c:pt>
                <c:pt idx="37">
                  <c:v>23.646502451894261</c:v>
                </c:pt>
                <c:pt idx="38">
                  <c:v>20.661631108878133</c:v>
                </c:pt>
                <c:pt idx="39">
                  <c:v>19.570155060030121</c:v>
                </c:pt>
                <c:pt idx="40">
                  <c:v>19.95889523832367</c:v>
                </c:pt>
                <c:pt idx="41">
                  <c:v>18.120406663848922</c:v>
                </c:pt>
                <c:pt idx="42">
                  <c:v>18.606924115825365</c:v>
                </c:pt>
                <c:pt idx="43">
                  <c:v>19.264561401582927</c:v>
                </c:pt>
                <c:pt idx="44">
                  <c:v>19.410750586080685</c:v>
                </c:pt>
                <c:pt idx="45">
                  <c:v>19.044324299039918</c:v>
                </c:pt>
                <c:pt idx="46">
                  <c:v>18.490176567118546</c:v>
                </c:pt>
                <c:pt idx="47">
                  <c:v>21.156090877841169</c:v>
                </c:pt>
                <c:pt idx="48">
                  <c:v>20.993235606686795</c:v>
                </c:pt>
                <c:pt idx="49">
                  <c:v>20.141135234946152</c:v>
                </c:pt>
                <c:pt idx="50">
                  <c:v>20.249979236646855</c:v>
                </c:pt>
                <c:pt idx="51">
                  <c:v>21.896953287301244</c:v>
                </c:pt>
                <c:pt idx="52">
                  <c:v>23.563933446840931</c:v>
                </c:pt>
                <c:pt idx="53">
                  <c:v>24.182705746270848</c:v>
                </c:pt>
                <c:pt idx="54">
                  <c:v>25.137606807684783</c:v>
                </c:pt>
                <c:pt idx="55">
                  <c:v>24.00820343274366</c:v>
                </c:pt>
                <c:pt idx="56">
                  <c:v>23.689780904742751</c:v>
                </c:pt>
                <c:pt idx="57">
                  <c:v>24.533929668466847</c:v>
                </c:pt>
                <c:pt idx="58">
                  <c:v>26.848880723659292</c:v>
                </c:pt>
                <c:pt idx="59">
                  <c:v>29.436180750670221</c:v>
                </c:pt>
                <c:pt idx="60">
                  <c:v>30.115902287955265</c:v>
                </c:pt>
                <c:pt idx="61">
                  <c:v>28.380897936923304</c:v>
                </c:pt>
                <c:pt idx="62">
                  <c:v>23.644835535264651</c:v>
                </c:pt>
                <c:pt idx="63">
                  <c:v>20.923338600943783</c:v>
                </c:pt>
                <c:pt idx="64">
                  <c:v>20.205675869786312</c:v>
                </c:pt>
                <c:pt idx="65">
                  <c:v>20.878455813731161</c:v>
                </c:pt>
                <c:pt idx="66">
                  <c:v>21.574813973234015</c:v>
                </c:pt>
                <c:pt idx="67">
                  <c:v>22.050441492567369</c:v>
                </c:pt>
                <c:pt idx="68">
                  <c:v>22.624711309301109</c:v>
                </c:pt>
                <c:pt idx="69">
                  <c:v>22.410860693472326</c:v>
                </c:pt>
                <c:pt idx="70">
                  <c:v>23.033237267684026</c:v>
                </c:pt>
                <c:pt idx="71">
                  <c:v>23.697201527931576</c:v>
                </c:pt>
                <c:pt idx="72">
                  <c:v>24.160336946360978</c:v>
                </c:pt>
                <c:pt idx="73">
                  <c:v>24.205805783139581</c:v>
                </c:pt>
                <c:pt idx="74">
                  <c:v>23.510631821240175</c:v>
                </c:pt>
                <c:pt idx="75">
                  <c:v>23.48515853353048</c:v>
                </c:pt>
                <c:pt idx="76">
                  <c:v>22.613683366704123</c:v>
                </c:pt>
                <c:pt idx="77">
                  <c:v>22.855192060862127</c:v>
                </c:pt>
                <c:pt idx="78">
                  <c:v>23.909977069883119</c:v>
                </c:pt>
                <c:pt idx="79">
                  <c:v>24.273573802618372</c:v>
                </c:pt>
                <c:pt idx="80">
                  <c:v>25.164834424178974</c:v>
                </c:pt>
                <c:pt idx="81">
                  <c:v>24.930303812050443</c:v>
                </c:pt>
                <c:pt idx="82">
                  <c:v>25.845389441256224</c:v>
                </c:pt>
                <c:pt idx="83">
                  <c:v>24.376376536188939</c:v>
                </c:pt>
                <c:pt idx="84">
                  <c:v>24.419348864928214</c:v>
                </c:pt>
                <c:pt idx="85">
                  <c:v>24.579047000032293</c:v>
                </c:pt>
              </c:numCache>
            </c:numRef>
          </c:val>
          <c:smooth val="0"/>
          <c:extLst>
            <c:ext xmlns:c16="http://schemas.microsoft.com/office/drawing/2014/chart" uri="{C3380CC4-5D6E-409C-BE32-E72D297353CC}">
              <c16:uniqueId val="{00000001-1F2F-44FD-B239-6D019D6D1EF9}"/>
            </c:ext>
          </c:extLst>
        </c:ser>
        <c:dLbls>
          <c:showLegendKey val="0"/>
          <c:showVal val="0"/>
          <c:showCatName val="0"/>
          <c:showSerName val="0"/>
          <c:showPercent val="0"/>
          <c:showBubbleSize val="0"/>
        </c:dLbls>
        <c:marker val="1"/>
        <c:smooth val="0"/>
        <c:axId val="401313752"/>
        <c:axId val="401314536"/>
      </c:lineChart>
      <c:lineChart>
        <c:grouping val="standard"/>
        <c:varyColors val="0"/>
        <c:ser>
          <c:idx val="2"/>
          <c:order val="2"/>
          <c:tx>
            <c:strRef>
              <c:f>'Balance of Payments'!$D$126</c:f>
              <c:strCache>
                <c:ptCount val="1"/>
                <c:pt idx="0">
                  <c:v>Balance on current account  (% GDP)</c:v>
                </c:pt>
              </c:strCache>
            </c:strRef>
          </c:tx>
          <c:marker>
            <c:symbol val="none"/>
          </c:marker>
          <c:cat>
            <c:multiLvlStrRef>
              <c:f>'Balance of Payments'!$V$122:$DF$123</c:f>
              <c:multiLvlStrCache>
                <c:ptCount val="89"/>
                <c:lvl>
                  <c:pt idx="0">
                    <c:v>M</c:v>
                  </c:pt>
                  <c:pt idx="1">
                    <c:v>J</c:v>
                  </c:pt>
                  <c:pt idx="2">
                    <c:v>S</c:v>
                  </c:pt>
                  <c:pt idx="3">
                    <c:v>D</c:v>
                  </c:pt>
                  <c:pt idx="4">
                    <c:v>M</c:v>
                  </c:pt>
                  <c:pt idx="5">
                    <c:v>J</c:v>
                  </c:pt>
                  <c:pt idx="6">
                    <c:v>S</c:v>
                  </c:pt>
                  <c:pt idx="7">
                    <c:v>D</c:v>
                  </c:pt>
                  <c:pt idx="10">
                    <c:v>M</c:v>
                  </c:pt>
                  <c:pt idx="11">
                    <c:v>J</c:v>
                  </c:pt>
                  <c:pt idx="12">
                    <c:v>S</c:v>
                  </c:pt>
                  <c:pt idx="13">
                    <c:v>D</c:v>
                  </c:pt>
                  <c:pt idx="14">
                    <c:v>M</c:v>
                  </c:pt>
                  <c:pt idx="15">
                    <c:v>J</c:v>
                  </c:pt>
                  <c:pt idx="16">
                    <c:v>S</c:v>
                  </c:pt>
                  <c:pt idx="17">
                    <c:v>D</c:v>
                  </c:pt>
                  <c:pt idx="18">
                    <c:v>M</c:v>
                  </c:pt>
                  <c:pt idx="19">
                    <c:v>J</c:v>
                  </c:pt>
                  <c:pt idx="20">
                    <c:v>S</c:v>
                  </c:pt>
                  <c:pt idx="21">
                    <c:v>D</c:v>
                  </c:pt>
                  <c:pt idx="22">
                    <c:v>M</c:v>
                  </c:pt>
                  <c:pt idx="23">
                    <c:v>J</c:v>
                  </c:pt>
                  <c:pt idx="24">
                    <c:v>S</c:v>
                  </c:pt>
                  <c:pt idx="25">
                    <c:v>D</c:v>
                  </c:pt>
                  <c:pt idx="26">
                    <c:v>M</c:v>
                  </c:pt>
                  <c:pt idx="27">
                    <c:v>J</c:v>
                  </c:pt>
                  <c:pt idx="28">
                    <c:v>S</c:v>
                  </c:pt>
                  <c:pt idx="29">
                    <c:v>D</c:v>
                  </c:pt>
                  <c:pt idx="30">
                    <c:v>M</c:v>
                  </c:pt>
                  <c:pt idx="31">
                    <c:v>J</c:v>
                  </c:pt>
                  <c:pt idx="32">
                    <c:v>S</c:v>
                  </c:pt>
                  <c:pt idx="33">
                    <c:v>D</c:v>
                  </c:pt>
                  <c:pt idx="34">
                    <c:v>M</c:v>
                  </c:pt>
                  <c:pt idx="35">
                    <c:v>J</c:v>
                  </c:pt>
                  <c:pt idx="36">
                    <c:v>S</c:v>
                  </c:pt>
                  <c:pt idx="37">
                    <c:v>D</c:v>
                  </c:pt>
                  <c:pt idx="38">
                    <c:v>M</c:v>
                  </c:pt>
                  <c:pt idx="39">
                    <c:v>J</c:v>
                  </c:pt>
                  <c:pt idx="40">
                    <c:v>S</c:v>
                  </c:pt>
                  <c:pt idx="41">
                    <c:v>D</c:v>
                  </c:pt>
                  <c:pt idx="42">
                    <c:v>M</c:v>
                  </c:pt>
                  <c:pt idx="43">
                    <c:v>J</c:v>
                  </c:pt>
                  <c:pt idx="44">
                    <c:v>S</c:v>
                  </c:pt>
                  <c:pt idx="45">
                    <c:v>D</c:v>
                  </c:pt>
                  <c:pt idx="46">
                    <c:v>M</c:v>
                  </c:pt>
                  <c:pt idx="47">
                    <c:v>J</c:v>
                  </c:pt>
                  <c:pt idx="48">
                    <c:v>S</c:v>
                  </c:pt>
                  <c:pt idx="49">
                    <c:v>D</c:v>
                  </c:pt>
                  <c:pt idx="50">
                    <c:v>M</c:v>
                  </c:pt>
                  <c:pt idx="51">
                    <c:v>J</c:v>
                  </c:pt>
                  <c:pt idx="52">
                    <c:v>S</c:v>
                  </c:pt>
                  <c:pt idx="53">
                    <c:v>D</c:v>
                  </c:pt>
                  <c:pt idx="54">
                    <c:v>M</c:v>
                  </c:pt>
                  <c:pt idx="55">
                    <c:v>J</c:v>
                  </c:pt>
                  <c:pt idx="56">
                    <c:v>S</c:v>
                  </c:pt>
                  <c:pt idx="57">
                    <c:v>D</c:v>
                  </c:pt>
                  <c:pt idx="58">
                    <c:v>M</c:v>
                  </c:pt>
                  <c:pt idx="59">
                    <c:v>J</c:v>
                  </c:pt>
                  <c:pt idx="60">
                    <c:v>S</c:v>
                  </c:pt>
                  <c:pt idx="61">
                    <c:v>D</c:v>
                  </c:pt>
                  <c:pt idx="62">
                    <c:v>M</c:v>
                  </c:pt>
                  <c:pt idx="63">
                    <c:v>J</c:v>
                  </c:pt>
                  <c:pt idx="64">
                    <c:v>S</c:v>
                  </c:pt>
                  <c:pt idx="65">
                    <c:v>D</c:v>
                  </c:pt>
                  <c:pt idx="66">
                    <c:v>M</c:v>
                  </c:pt>
                  <c:pt idx="67">
                    <c:v>J</c:v>
                  </c:pt>
                  <c:pt idx="68">
                    <c:v>S</c:v>
                  </c:pt>
                  <c:pt idx="69">
                    <c:v>D</c:v>
                  </c:pt>
                  <c:pt idx="70">
                    <c:v>M</c:v>
                  </c:pt>
                  <c:pt idx="71">
                    <c:v>J</c:v>
                  </c:pt>
                  <c:pt idx="72">
                    <c:v>S</c:v>
                  </c:pt>
                  <c:pt idx="73">
                    <c:v>D</c:v>
                  </c:pt>
                  <c:pt idx="74">
                    <c:v>M</c:v>
                  </c:pt>
                  <c:pt idx="75">
                    <c:v>J</c:v>
                  </c:pt>
                  <c:pt idx="76">
                    <c:v>S</c:v>
                  </c:pt>
                  <c:pt idx="77">
                    <c:v>D</c:v>
                  </c:pt>
                  <c:pt idx="78">
                    <c:v>M</c:v>
                  </c:pt>
                  <c:pt idx="79">
                    <c:v>J</c:v>
                  </c:pt>
                  <c:pt idx="80">
                    <c:v>S</c:v>
                  </c:pt>
                  <c:pt idx="81">
                    <c:v>D</c:v>
                  </c:pt>
                  <c:pt idx="82">
                    <c:v>M</c:v>
                  </c:pt>
                  <c:pt idx="83">
                    <c:v>J</c:v>
                  </c:pt>
                  <c:pt idx="84">
                    <c:v>S</c:v>
                  </c:pt>
                  <c:pt idx="85">
                    <c:v>D</c:v>
                  </c:pt>
                  <c:pt idx="86">
                    <c:v>M</c:v>
                  </c:pt>
                  <c:pt idx="87">
                    <c:v>J</c:v>
                  </c:pt>
                  <c:pt idx="88">
                    <c:v>S</c:v>
                  </c:pt>
                </c:lvl>
                <c:lvl>
                  <c:pt idx="0">
                    <c:v>1994</c:v>
                  </c:pt>
                  <c:pt idx="4">
                    <c:v>1995</c:v>
                  </c:pt>
                  <c:pt idx="10">
                    <c:v>1996</c:v>
                  </c:pt>
                  <c:pt idx="14">
                    <c:v>1997</c:v>
                  </c:pt>
                  <c:pt idx="18">
                    <c:v>1998</c:v>
                  </c:pt>
                  <c:pt idx="22">
                    <c:v>1999</c:v>
                  </c:pt>
                  <c:pt idx="26">
                    <c:v>2000</c:v>
                  </c:pt>
                  <c:pt idx="30">
                    <c:v>2001</c:v>
                  </c:pt>
                  <c:pt idx="34">
                    <c:v>2002</c:v>
                  </c:pt>
                  <c:pt idx="38">
                    <c:v>2003</c:v>
                  </c:pt>
                  <c:pt idx="42">
                    <c:v>2004</c:v>
                  </c:pt>
                  <c:pt idx="46">
                    <c:v>2005</c:v>
                  </c:pt>
                  <c:pt idx="50">
                    <c:v>2006</c:v>
                  </c:pt>
                  <c:pt idx="54">
                    <c:v>2007</c:v>
                  </c:pt>
                  <c:pt idx="58">
                    <c:v>2008</c:v>
                  </c:pt>
                  <c:pt idx="62">
                    <c:v>2009</c:v>
                  </c:pt>
                  <c:pt idx="66">
                    <c:v>2010</c:v>
                  </c:pt>
                  <c:pt idx="70">
                    <c:v>2011</c:v>
                  </c:pt>
                  <c:pt idx="74">
                    <c:v>2012</c:v>
                  </c:pt>
                  <c:pt idx="78">
                    <c:v>2013</c:v>
                  </c:pt>
                  <c:pt idx="82">
                    <c:v>2014</c:v>
                  </c:pt>
                  <c:pt idx="86">
                    <c:v>2015</c:v>
                  </c:pt>
                </c:lvl>
              </c:multiLvlStrCache>
            </c:multiLvlStrRef>
          </c:cat>
          <c:val>
            <c:numRef>
              <c:f>'Balance of Payments'!$V$126:$DF$126</c:f>
              <c:numCache>
                <c:formatCode>0.0</c:formatCode>
                <c:ptCount val="89"/>
                <c:pt idx="0">
                  <c:v>1.2</c:v>
                </c:pt>
                <c:pt idx="1">
                  <c:v>0</c:v>
                </c:pt>
                <c:pt idx="2">
                  <c:v>-0.8</c:v>
                </c:pt>
                <c:pt idx="3">
                  <c:v>-0.2</c:v>
                </c:pt>
                <c:pt idx="4">
                  <c:v>-1.5</c:v>
                </c:pt>
                <c:pt idx="5">
                  <c:v>-3.3</c:v>
                </c:pt>
                <c:pt idx="6">
                  <c:v>-0.8</c:v>
                </c:pt>
                <c:pt idx="7">
                  <c:v>-0.9</c:v>
                </c:pt>
                <c:pt idx="10">
                  <c:v>-1.2</c:v>
                </c:pt>
                <c:pt idx="11">
                  <c:v>-1.9</c:v>
                </c:pt>
                <c:pt idx="12">
                  <c:v>-0.2</c:v>
                </c:pt>
                <c:pt idx="13">
                  <c:v>-1.1000000000000001</c:v>
                </c:pt>
                <c:pt idx="14">
                  <c:v>-1.6</c:v>
                </c:pt>
                <c:pt idx="15">
                  <c:v>-1.3</c:v>
                </c:pt>
                <c:pt idx="16">
                  <c:v>-1.2</c:v>
                </c:pt>
                <c:pt idx="17">
                  <c:v>-1.7</c:v>
                </c:pt>
                <c:pt idx="18">
                  <c:v>-0.5</c:v>
                </c:pt>
                <c:pt idx="19">
                  <c:v>-1</c:v>
                </c:pt>
                <c:pt idx="20">
                  <c:v>-2.6</c:v>
                </c:pt>
                <c:pt idx="21">
                  <c:v>-2.7</c:v>
                </c:pt>
                <c:pt idx="22">
                  <c:v>1.3</c:v>
                </c:pt>
                <c:pt idx="23">
                  <c:v>-0.9</c:v>
                </c:pt>
                <c:pt idx="24">
                  <c:v>-0.8</c:v>
                </c:pt>
                <c:pt idx="25">
                  <c:v>-1.4</c:v>
                </c:pt>
                <c:pt idx="26">
                  <c:v>-0.1</c:v>
                </c:pt>
                <c:pt idx="27">
                  <c:v>-0.1</c:v>
                </c:pt>
                <c:pt idx="28">
                  <c:v>-1</c:v>
                </c:pt>
                <c:pt idx="29">
                  <c:v>0.7</c:v>
                </c:pt>
                <c:pt idx="30">
                  <c:v>0.7</c:v>
                </c:pt>
                <c:pt idx="31">
                  <c:v>0.5</c:v>
                </c:pt>
                <c:pt idx="32">
                  <c:v>-0.7</c:v>
                </c:pt>
                <c:pt idx="33">
                  <c:v>0.6</c:v>
                </c:pt>
                <c:pt idx="34">
                  <c:v>1.2</c:v>
                </c:pt>
                <c:pt idx="35">
                  <c:v>0.4</c:v>
                </c:pt>
                <c:pt idx="36">
                  <c:v>0.8</c:v>
                </c:pt>
                <c:pt idx="37">
                  <c:v>1.2</c:v>
                </c:pt>
                <c:pt idx="38">
                  <c:v>0.3</c:v>
                </c:pt>
                <c:pt idx="39">
                  <c:v>-2.5</c:v>
                </c:pt>
                <c:pt idx="40">
                  <c:v>0</c:v>
                </c:pt>
                <c:pt idx="41">
                  <c:v>-1.1000000000000001</c:v>
                </c:pt>
                <c:pt idx="42">
                  <c:v>-1.4</c:v>
                </c:pt>
                <c:pt idx="43">
                  <c:v>-3.1</c:v>
                </c:pt>
                <c:pt idx="44">
                  <c:v>-2.9</c:v>
                </c:pt>
                <c:pt idx="45">
                  <c:v>-3.5</c:v>
                </c:pt>
                <c:pt idx="46">
                  <c:v>-3.2</c:v>
                </c:pt>
                <c:pt idx="47">
                  <c:v>-2.4</c:v>
                </c:pt>
                <c:pt idx="48">
                  <c:v>-3.3</c:v>
                </c:pt>
                <c:pt idx="49">
                  <c:v>-3.6</c:v>
                </c:pt>
                <c:pt idx="50">
                  <c:v>-4.5</c:v>
                </c:pt>
                <c:pt idx="51">
                  <c:v>-3.8</c:v>
                </c:pt>
                <c:pt idx="52">
                  <c:v>-3.1</c:v>
                </c:pt>
                <c:pt idx="53">
                  <c:v>-6.5</c:v>
                </c:pt>
                <c:pt idx="54">
                  <c:v>-3.4</c:v>
                </c:pt>
                <c:pt idx="55">
                  <c:v>-5.4</c:v>
                </c:pt>
                <c:pt idx="56">
                  <c:v>-6.9</c:v>
                </c:pt>
                <c:pt idx="57">
                  <c:v>-5.7</c:v>
                </c:pt>
                <c:pt idx="58">
                  <c:v>-5.9</c:v>
                </c:pt>
                <c:pt idx="59">
                  <c:v>-5.8</c:v>
                </c:pt>
                <c:pt idx="60">
                  <c:v>-6.6</c:v>
                </c:pt>
                <c:pt idx="61">
                  <c:v>-3.8</c:v>
                </c:pt>
                <c:pt idx="62">
                  <c:v>-4</c:v>
                </c:pt>
                <c:pt idx="63">
                  <c:v>-1.9</c:v>
                </c:pt>
                <c:pt idx="64">
                  <c:v>-2.2999999999999998</c:v>
                </c:pt>
                <c:pt idx="65">
                  <c:v>-2.7</c:v>
                </c:pt>
                <c:pt idx="66">
                  <c:v>-2.7</c:v>
                </c:pt>
                <c:pt idx="67">
                  <c:v>-1.2</c:v>
                </c:pt>
                <c:pt idx="68">
                  <c:v>-1.9</c:v>
                </c:pt>
                <c:pt idx="69">
                  <c:v>-0.4</c:v>
                </c:pt>
                <c:pt idx="70">
                  <c:v>-1.4</c:v>
                </c:pt>
                <c:pt idx="71">
                  <c:v>-1.9</c:v>
                </c:pt>
                <c:pt idx="72">
                  <c:v>-2.7</c:v>
                </c:pt>
                <c:pt idx="73">
                  <c:v>-2.7</c:v>
                </c:pt>
                <c:pt idx="74">
                  <c:v>-3.6</c:v>
                </c:pt>
                <c:pt idx="75">
                  <c:v>-4.8</c:v>
                </c:pt>
                <c:pt idx="76">
                  <c:v>-5.5</c:v>
                </c:pt>
                <c:pt idx="77">
                  <c:v>-5.8</c:v>
                </c:pt>
                <c:pt idx="78">
                  <c:v>-5.2</c:v>
                </c:pt>
                <c:pt idx="79">
                  <c:v>-6.1</c:v>
                </c:pt>
                <c:pt idx="80">
                  <c:v>-6.4</c:v>
                </c:pt>
                <c:pt idx="81">
                  <c:v>-5.3</c:v>
                </c:pt>
                <c:pt idx="82" formatCode="General">
                  <c:v>-4.5999999999999996</c:v>
                </c:pt>
                <c:pt idx="83" formatCode="General">
                  <c:v>-6.2</c:v>
                </c:pt>
                <c:pt idx="84" formatCode="General">
                  <c:v>-5.8</c:v>
                </c:pt>
                <c:pt idx="85" formatCode="General">
                  <c:v>-5.0999999999999996</c:v>
                </c:pt>
              </c:numCache>
            </c:numRef>
          </c:val>
          <c:smooth val="0"/>
          <c:extLst>
            <c:ext xmlns:c16="http://schemas.microsoft.com/office/drawing/2014/chart" uri="{C3380CC4-5D6E-409C-BE32-E72D297353CC}">
              <c16:uniqueId val="{00000002-1F2F-44FD-B239-6D019D6D1EF9}"/>
            </c:ext>
          </c:extLst>
        </c:ser>
        <c:dLbls>
          <c:showLegendKey val="0"/>
          <c:showVal val="0"/>
          <c:showCatName val="0"/>
          <c:showSerName val="0"/>
          <c:showPercent val="0"/>
          <c:showBubbleSize val="0"/>
        </c:dLbls>
        <c:marker val="1"/>
        <c:smooth val="0"/>
        <c:axId val="401315320"/>
        <c:axId val="401314928"/>
      </c:lineChart>
      <c:catAx>
        <c:axId val="401313752"/>
        <c:scaling>
          <c:orientation val="minMax"/>
        </c:scaling>
        <c:delete val="0"/>
        <c:axPos val="b"/>
        <c:numFmt formatCode="General" sourceLinked="0"/>
        <c:majorTickMark val="out"/>
        <c:minorTickMark val="none"/>
        <c:tickLblPos val="nextTo"/>
        <c:crossAx val="401314536"/>
        <c:crosses val="autoZero"/>
        <c:auto val="1"/>
        <c:lblAlgn val="ctr"/>
        <c:lblOffset val="100"/>
        <c:noMultiLvlLbl val="0"/>
      </c:catAx>
      <c:valAx>
        <c:axId val="401314536"/>
        <c:scaling>
          <c:orientation val="minMax"/>
        </c:scaling>
        <c:delete val="0"/>
        <c:axPos val="l"/>
        <c:majorGridlines/>
        <c:numFmt formatCode="0.0" sourceLinked="1"/>
        <c:majorTickMark val="out"/>
        <c:minorTickMark val="none"/>
        <c:tickLblPos val="nextTo"/>
        <c:crossAx val="401313752"/>
        <c:crosses val="autoZero"/>
        <c:crossBetween val="between"/>
      </c:valAx>
      <c:valAx>
        <c:axId val="401314928"/>
        <c:scaling>
          <c:orientation val="minMax"/>
        </c:scaling>
        <c:delete val="0"/>
        <c:axPos val="r"/>
        <c:numFmt formatCode="0.0" sourceLinked="1"/>
        <c:majorTickMark val="out"/>
        <c:minorTickMark val="none"/>
        <c:tickLblPos val="nextTo"/>
        <c:crossAx val="401315320"/>
        <c:crosses val="max"/>
        <c:crossBetween val="between"/>
      </c:valAx>
      <c:catAx>
        <c:axId val="401315320"/>
        <c:scaling>
          <c:orientation val="minMax"/>
        </c:scaling>
        <c:delete val="1"/>
        <c:axPos val="b"/>
        <c:numFmt formatCode="General" sourceLinked="1"/>
        <c:majorTickMark val="out"/>
        <c:minorTickMark val="none"/>
        <c:tickLblPos val="nextTo"/>
        <c:crossAx val="401314928"/>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BALANCE</a:t>
            </a:r>
            <a:r>
              <a:rPr lang="en-US" sz="1000" baseline="0">
                <a:latin typeface="Arial" panose="020B0604020202020204" pitchFamily="34" charset="0"/>
                <a:cs typeface="Arial" panose="020B0604020202020204" pitchFamily="34" charset="0"/>
              </a:rPr>
              <a:t> ON CURRENT ACCOUNT</a:t>
            </a:r>
            <a:r>
              <a:rPr lang="en-US" sz="1000">
                <a:latin typeface="Arial" panose="020B0604020202020204" pitchFamily="34" charset="0"/>
                <a:cs typeface="Arial" panose="020B0604020202020204" pitchFamily="34" charset="0"/>
              </a:rPr>
              <a:t> </a:t>
            </a:r>
          </a:p>
        </c:rich>
      </c:tx>
      <c:layout>
        <c:manualLayout>
          <c:xMode val="edge"/>
          <c:yMode val="edge"/>
          <c:x val="1.9444860314547868E-2"/>
          <c:y val="1.4619883040935672E-2"/>
        </c:manualLayout>
      </c:layout>
      <c:overlay val="0"/>
    </c:title>
    <c:autoTitleDeleted val="0"/>
    <c:plotArea>
      <c:layout>
        <c:manualLayout>
          <c:layoutTarget val="inner"/>
          <c:xMode val="edge"/>
          <c:yMode val="edge"/>
          <c:x val="5.5608813112897809E-2"/>
          <c:y val="0.11345029239766082"/>
          <c:w val="0.89338147283172253"/>
          <c:h val="0.63483590044665472"/>
        </c:manualLayout>
      </c:layout>
      <c:lineChart>
        <c:grouping val="standard"/>
        <c:varyColors val="0"/>
        <c:ser>
          <c:idx val="0"/>
          <c:order val="0"/>
          <c:tx>
            <c:strRef>
              <c:f>'Balance of Payments'!$D$124</c:f>
              <c:strCache>
                <c:ptCount val="1"/>
                <c:pt idx="0">
                  <c:v>Merchandise Imports (% of GDP) </c:v>
                </c:pt>
              </c:strCache>
            </c:strRef>
          </c:tx>
          <c:spPr>
            <a:ln w="25400">
              <a:solidFill>
                <a:srgbClr val="FF6600"/>
              </a:solidFill>
            </a:ln>
          </c:spPr>
          <c:marker>
            <c:symbol val="none"/>
          </c:marker>
          <c:cat>
            <c:strRef>
              <c:extLst>
                <c:ext xmlns:c15="http://schemas.microsoft.com/office/drawing/2012/chart" uri="{02D57815-91ED-43cb-92C2-25804820EDAC}">
                  <c15:fullRef>
                    <c15:sqref>'Balance of Payments'!$E$7:$AG$7</c15:sqref>
                  </c15:fullRef>
                </c:ext>
              </c:extLst>
              <c:f>'Balance of Payments'!$R$7:$AG$7</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strCache>
            </c:strRef>
          </c:cat>
          <c:val>
            <c:numRef>
              <c:extLst>
                <c:ext xmlns:c15="http://schemas.microsoft.com/office/drawing/2012/chart" uri="{02D57815-91ED-43cb-92C2-25804820EDAC}">
                  <c15:fullRef>
                    <c15:sqref>'Balance of Payments'!$E$8:$AG$8</c15:sqref>
                  </c15:fullRef>
                </c:ext>
              </c:extLst>
              <c:f>'Balance of Payments'!$R$8:$AG$8</c:f>
              <c:numCache>
                <c:formatCode>0.0</c:formatCode>
                <c:ptCount val="16"/>
                <c:pt idx="0">
                  <c:v>24.354377516885773</c:v>
                </c:pt>
                <c:pt idx="1">
                  <c:v>28.462098971868539</c:v>
                </c:pt>
                <c:pt idx="2">
                  <c:v>20.082928063519489</c:v>
                </c:pt>
                <c:pt idx="3">
                  <c:v>19.983518855300066</c:v>
                </c:pt>
                <c:pt idx="4">
                  <c:v>22.45597973217691</c:v>
                </c:pt>
                <c:pt idx="5">
                  <c:v>24.136036911326176</c:v>
                </c:pt>
                <c:pt idx="6">
                  <c:v>26.010810028356289</c:v>
                </c:pt>
                <c:pt idx="7">
                  <c:v>26.000508481997393</c:v>
                </c:pt>
                <c:pt idx="8">
                  <c:v>24.481512705978318</c:v>
                </c:pt>
                <c:pt idx="9">
                  <c:v>22.999776239585422</c:v>
                </c:pt>
                <c:pt idx="10">
                  <c:v>21.839375840604625</c:v>
                </c:pt>
                <c:pt idx="11">
                  <c:v>22.9</c:v>
                </c:pt>
                <c:pt idx="12">
                  <c:v>22.5</c:v>
                </c:pt>
                <c:pt idx="13">
                  <c:v>19.899999999999999</c:v>
                </c:pt>
                <c:pt idx="14">
                  <c:v>21.8</c:v>
                </c:pt>
                <c:pt idx="15">
                  <c:v>27</c:v>
                </c:pt>
              </c:numCache>
            </c:numRef>
          </c:val>
          <c:smooth val="0"/>
          <c:extLst>
            <c:ext xmlns:c16="http://schemas.microsoft.com/office/drawing/2014/chart" uri="{C3380CC4-5D6E-409C-BE32-E72D297353CC}">
              <c16:uniqueId val="{00000000-49F2-400F-89E9-344B518264FE}"/>
            </c:ext>
          </c:extLst>
        </c:ser>
        <c:ser>
          <c:idx val="1"/>
          <c:order val="1"/>
          <c:tx>
            <c:strRef>
              <c:f>'Balance of Payments'!$D$125</c:f>
              <c:strCache>
                <c:ptCount val="1"/>
                <c:pt idx="0">
                  <c:v>Merchandise Exports (% of GDP) </c:v>
                </c:pt>
              </c:strCache>
            </c:strRef>
          </c:tx>
          <c:spPr>
            <a:ln w="25400">
              <a:solidFill>
                <a:srgbClr val="BE4B48"/>
              </a:solidFill>
            </a:ln>
          </c:spPr>
          <c:marker>
            <c:symbol val="none"/>
          </c:marker>
          <c:cat>
            <c:strRef>
              <c:extLst>
                <c:ext xmlns:c15="http://schemas.microsoft.com/office/drawing/2012/chart" uri="{02D57815-91ED-43cb-92C2-25804820EDAC}">
                  <c15:fullRef>
                    <c15:sqref>'Balance of Payments'!$E$7:$AG$7</c15:sqref>
                  </c15:fullRef>
                </c:ext>
              </c:extLst>
              <c:f>'Balance of Payments'!$R$7:$AG$7</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strCache>
            </c:strRef>
          </c:cat>
          <c:val>
            <c:numRef>
              <c:extLst>
                <c:ext xmlns:c15="http://schemas.microsoft.com/office/drawing/2012/chart" uri="{02D57815-91ED-43cb-92C2-25804820EDAC}">
                  <c15:fullRef>
                    <c15:sqref>'Balance of Payments'!$E$9:$AG$9</c15:sqref>
                  </c15:fullRef>
                </c:ext>
              </c:extLst>
              <c:f>'Balance of Payments'!$R$9:$AG$9</c:f>
              <c:numCache>
                <c:formatCode>0.0</c:formatCode>
                <c:ptCount val="16"/>
                <c:pt idx="0">
                  <c:v>23.578974282487803</c:v>
                </c:pt>
                <c:pt idx="1">
                  <c:v>27.906009692793511</c:v>
                </c:pt>
                <c:pt idx="2">
                  <c:v>21.088715348670419</c:v>
                </c:pt>
                <c:pt idx="3">
                  <c:v>21.907028147870818</c:v>
                </c:pt>
                <c:pt idx="4">
                  <c:v>23.87612798977592</c:v>
                </c:pt>
                <c:pt idx="5">
                  <c:v>23.021378791128832</c:v>
                </c:pt>
                <c:pt idx="6">
                  <c:v>24.110343971897027</c:v>
                </c:pt>
                <c:pt idx="7">
                  <c:v>24.483383983978221</c:v>
                </c:pt>
                <c:pt idx="8">
                  <c:v>23.232551263992683</c:v>
                </c:pt>
                <c:pt idx="9">
                  <c:v>23.539700665293289</c:v>
                </c:pt>
                <c:pt idx="10">
                  <c:v>23.000537593118807</c:v>
                </c:pt>
                <c:pt idx="11">
                  <c:v>23.285476441119599</c:v>
                </c:pt>
                <c:pt idx="12">
                  <c:v>23.243962480869875</c:v>
                </c:pt>
                <c:pt idx="13">
                  <c:v>25.1</c:v>
                </c:pt>
                <c:pt idx="14">
                  <c:v>29</c:v>
                </c:pt>
                <c:pt idx="15">
                  <c:v>30.3</c:v>
                </c:pt>
              </c:numCache>
            </c:numRef>
          </c:val>
          <c:smooth val="0"/>
          <c:extLst>
            <c:ext xmlns:c16="http://schemas.microsoft.com/office/drawing/2014/chart" uri="{C3380CC4-5D6E-409C-BE32-E72D297353CC}">
              <c16:uniqueId val="{00000001-49F2-400F-89E9-344B518264FE}"/>
            </c:ext>
          </c:extLst>
        </c:ser>
        <c:dLbls>
          <c:showLegendKey val="0"/>
          <c:showVal val="0"/>
          <c:showCatName val="0"/>
          <c:showSerName val="0"/>
          <c:showPercent val="0"/>
          <c:showBubbleSize val="0"/>
        </c:dLbls>
        <c:marker val="1"/>
        <c:smooth val="0"/>
        <c:axId val="402111440"/>
        <c:axId val="402106736"/>
      </c:lineChart>
      <c:lineChart>
        <c:grouping val="standard"/>
        <c:varyColors val="0"/>
        <c:ser>
          <c:idx val="2"/>
          <c:order val="2"/>
          <c:tx>
            <c:strRef>
              <c:f>'Balance of Payments'!$D$126</c:f>
              <c:strCache>
                <c:ptCount val="1"/>
                <c:pt idx="0">
                  <c:v>Balance on current account  (% GDP)</c:v>
                </c:pt>
              </c:strCache>
            </c:strRef>
          </c:tx>
          <c:spPr>
            <a:ln w="25400">
              <a:solidFill>
                <a:srgbClr val="FFC600"/>
              </a:solidFill>
            </a:ln>
          </c:spPr>
          <c:marker>
            <c:symbol val="none"/>
          </c:marker>
          <c:cat>
            <c:strRef>
              <c:extLst>
                <c:ext xmlns:c15="http://schemas.microsoft.com/office/drawing/2012/chart" uri="{02D57815-91ED-43cb-92C2-25804820EDAC}">
                  <c15:fullRef>
                    <c15:sqref>'Balance of Payments'!$E$7:$AG$7</c15:sqref>
                  </c15:fullRef>
                </c:ext>
              </c:extLst>
              <c:f>'Balance of Payments'!$R$7:$AG$7</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strCache>
            </c:strRef>
          </c:cat>
          <c:val>
            <c:numRef>
              <c:extLst>
                <c:ext xmlns:c15="http://schemas.microsoft.com/office/drawing/2012/chart" uri="{02D57815-91ED-43cb-92C2-25804820EDAC}">
                  <c15:fullRef>
                    <c15:sqref>'Balance of Payments'!$E$11:$AG$11</c15:sqref>
                  </c15:fullRef>
                </c:ext>
              </c:extLst>
              <c:f>'Balance of Payments'!$R$11:$AG$11</c:f>
              <c:numCache>
                <c:formatCode>0.0</c:formatCode>
                <c:ptCount val="16"/>
                <c:pt idx="0">
                  <c:v>-4.8</c:v>
                </c:pt>
                <c:pt idx="1">
                  <c:v>-5</c:v>
                </c:pt>
                <c:pt idx="2">
                  <c:v>-2.4</c:v>
                </c:pt>
                <c:pt idx="3">
                  <c:v>-1.3</c:v>
                </c:pt>
                <c:pt idx="4">
                  <c:v>-2</c:v>
                </c:pt>
                <c:pt idx="5">
                  <c:v>-4.7</c:v>
                </c:pt>
                <c:pt idx="6">
                  <c:v>-5.3</c:v>
                </c:pt>
                <c:pt idx="7">
                  <c:v>-4.8</c:v>
                </c:pt>
                <c:pt idx="8">
                  <c:v>-4.3</c:v>
                </c:pt>
                <c:pt idx="9">
                  <c:v>-2.7</c:v>
                </c:pt>
                <c:pt idx="10">
                  <c:v>-2.4</c:v>
                </c:pt>
                <c:pt idx="11">
                  <c:v>-3</c:v>
                </c:pt>
                <c:pt idx="12">
                  <c:v>-2.6</c:v>
                </c:pt>
                <c:pt idx="13">
                  <c:v>2</c:v>
                </c:pt>
                <c:pt idx="14">
                  <c:v>3.7</c:v>
                </c:pt>
                <c:pt idx="15">
                  <c:v>-0.5</c:v>
                </c:pt>
              </c:numCache>
            </c:numRef>
          </c:val>
          <c:smooth val="0"/>
          <c:extLst>
            <c:ext xmlns:c16="http://schemas.microsoft.com/office/drawing/2014/chart" uri="{C3380CC4-5D6E-409C-BE32-E72D297353CC}">
              <c16:uniqueId val="{00000002-49F2-400F-89E9-344B518264FE}"/>
            </c:ext>
          </c:extLst>
        </c:ser>
        <c:dLbls>
          <c:showLegendKey val="0"/>
          <c:showVal val="0"/>
          <c:showCatName val="0"/>
          <c:showSerName val="0"/>
          <c:showPercent val="0"/>
          <c:showBubbleSize val="0"/>
        </c:dLbls>
        <c:marker val="1"/>
        <c:smooth val="0"/>
        <c:axId val="402111832"/>
        <c:axId val="402109480"/>
      </c:lineChart>
      <c:catAx>
        <c:axId val="402111440"/>
        <c:scaling>
          <c:orientation val="minMax"/>
        </c:scaling>
        <c:delete val="0"/>
        <c:axPos val="b"/>
        <c:numFmt formatCode="General" sourceLinked="1"/>
        <c:majorTickMark val="out"/>
        <c:minorTickMark val="none"/>
        <c:tickLblPos val="nextTo"/>
        <c:crossAx val="402106736"/>
        <c:crosses val="autoZero"/>
        <c:auto val="1"/>
        <c:lblAlgn val="ctr"/>
        <c:lblOffset val="100"/>
        <c:noMultiLvlLbl val="0"/>
      </c:catAx>
      <c:valAx>
        <c:axId val="402106736"/>
        <c:scaling>
          <c:orientation val="minMax"/>
        </c:scaling>
        <c:delete val="0"/>
        <c:axPos val="l"/>
        <c:majorGridlines>
          <c:spPr>
            <a:ln w="6350">
              <a:prstDash val="sysDash"/>
            </a:ln>
          </c:spPr>
        </c:majorGridlines>
        <c:title>
          <c:tx>
            <c:rich>
              <a:bodyPr/>
              <a:lstStyle/>
              <a:p>
                <a:pPr>
                  <a:defRPr/>
                </a:pPr>
                <a:r>
                  <a:rPr lang="en-US"/>
                  <a:t>Imports and Exports as % of GDP</a:t>
                </a:r>
              </a:p>
            </c:rich>
          </c:tx>
          <c:layout>
            <c:manualLayout>
              <c:xMode val="edge"/>
              <c:yMode val="edge"/>
              <c:x val="1.6339869281045753E-2"/>
              <c:y val="0.21231005663765715"/>
            </c:manualLayout>
          </c:layout>
          <c:overlay val="0"/>
        </c:title>
        <c:numFmt formatCode="0.0" sourceLinked="1"/>
        <c:majorTickMark val="none"/>
        <c:minorTickMark val="none"/>
        <c:tickLblPos val="nextTo"/>
        <c:crossAx val="402111440"/>
        <c:crosses val="autoZero"/>
        <c:crossBetween val="between"/>
      </c:valAx>
      <c:valAx>
        <c:axId val="402109480"/>
        <c:scaling>
          <c:orientation val="minMax"/>
        </c:scaling>
        <c:delete val="0"/>
        <c:axPos val="r"/>
        <c:title>
          <c:tx>
            <c:rich>
              <a:bodyPr rot="-5400000" vert="horz"/>
              <a:lstStyle/>
              <a:p>
                <a:pPr>
                  <a:defRPr/>
                </a:pPr>
                <a:r>
                  <a:rPr lang="en-US"/>
                  <a:t>Balance on current account as % of GDP</a:t>
                </a:r>
              </a:p>
            </c:rich>
          </c:tx>
          <c:layout>
            <c:manualLayout>
              <c:xMode val="edge"/>
              <c:yMode val="edge"/>
              <c:x val="0.97567395000271062"/>
              <c:y val="0.15099482304119646"/>
            </c:manualLayout>
          </c:layout>
          <c:overlay val="0"/>
        </c:title>
        <c:numFmt formatCode="0.0" sourceLinked="1"/>
        <c:majorTickMark val="out"/>
        <c:minorTickMark val="none"/>
        <c:tickLblPos val="nextTo"/>
        <c:crossAx val="402111832"/>
        <c:crosses val="max"/>
        <c:crossBetween val="between"/>
      </c:valAx>
      <c:catAx>
        <c:axId val="402111832"/>
        <c:scaling>
          <c:orientation val="minMax"/>
        </c:scaling>
        <c:delete val="1"/>
        <c:axPos val="b"/>
        <c:numFmt formatCode="General" sourceLinked="1"/>
        <c:majorTickMark val="out"/>
        <c:minorTickMark val="none"/>
        <c:tickLblPos val="nextTo"/>
        <c:crossAx val="402109480"/>
        <c:crosses val="autoZero"/>
        <c:auto val="1"/>
        <c:lblAlgn val="ctr"/>
        <c:lblOffset val="100"/>
        <c:noMultiLvlLbl val="0"/>
      </c:catAx>
    </c:plotArea>
    <c:legend>
      <c:legendPos val="b"/>
      <c:overlay val="0"/>
    </c:legend>
    <c:plotVisOnly val="1"/>
    <c:dispBlanksAs val="gap"/>
    <c:showDLblsOverMax val="0"/>
  </c:chart>
  <c:txPr>
    <a:bodyPr/>
    <a:lstStyle/>
    <a:p>
      <a:pPr>
        <a:defRPr sz="1000">
          <a:latin typeface="Arial Narrow" panose="020B060602020203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'Balance of Payments'!$D$124</c:f>
              <c:strCache>
                <c:ptCount val="1"/>
                <c:pt idx="0">
                  <c:v>Merchandise Imports (% of GDP) </c:v>
                </c:pt>
              </c:strCache>
            </c:strRef>
          </c:tx>
          <c:spPr>
            <a:ln w="12700">
              <a:solidFill>
                <a:srgbClr val="FFC000"/>
              </a:solidFill>
            </a:ln>
          </c:spPr>
          <c:marker>
            <c:symbol val="none"/>
          </c:marker>
          <c:cat>
            <c:multiLvlStrRef>
              <c:f>'Balance of Payments'!$V$122:$DG$123</c:f>
              <c:multiLvlStrCache>
                <c:ptCount val="90"/>
                <c:lvl>
                  <c:pt idx="0">
                    <c:v>M</c:v>
                  </c:pt>
                  <c:pt idx="1">
                    <c:v>J</c:v>
                  </c:pt>
                  <c:pt idx="2">
                    <c:v>S</c:v>
                  </c:pt>
                  <c:pt idx="3">
                    <c:v>D</c:v>
                  </c:pt>
                  <c:pt idx="4">
                    <c:v>M</c:v>
                  </c:pt>
                  <c:pt idx="5">
                    <c:v>J</c:v>
                  </c:pt>
                  <c:pt idx="6">
                    <c:v>S</c:v>
                  </c:pt>
                  <c:pt idx="7">
                    <c:v>D</c:v>
                  </c:pt>
                  <c:pt idx="10">
                    <c:v>M</c:v>
                  </c:pt>
                  <c:pt idx="11">
                    <c:v>J</c:v>
                  </c:pt>
                  <c:pt idx="12">
                    <c:v>S</c:v>
                  </c:pt>
                  <c:pt idx="13">
                    <c:v>D</c:v>
                  </c:pt>
                  <c:pt idx="14">
                    <c:v>M</c:v>
                  </c:pt>
                  <c:pt idx="15">
                    <c:v>J</c:v>
                  </c:pt>
                  <c:pt idx="16">
                    <c:v>S</c:v>
                  </c:pt>
                  <c:pt idx="17">
                    <c:v>D</c:v>
                  </c:pt>
                  <c:pt idx="18">
                    <c:v>M</c:v>
                  </c:pt>
                  <c:pt idx="19">
                    <c:v>J</c:v>
                  </c:pt>
                  <c:pt idx="20">
                    <c:v>S</c:v>
                  </c:pt>
                  <c:pt idx="21">
                    <c:v>D</c:v>
                  </c:pt>
                  <c:pt idx="22">
                    <c:v>M</c:v>
                  </c:pt>
                  <c:pt idx="23">
                    <c:v>J</c:v>
                  </c:pt>
                  <c:pt idx="24">
                    <c:v>S</c:v>
                  </c:pt>
                  <c:pt idx="25">
                    <c:v>D</c:v>
                  </c:pt>
                  <c:pt idx="26">
                    <c:v>M</c:v>
                  </c:pt>
                  <c:pt idx="27">
                    <c:v>J</c:v>
                  </c:pt>
                  <c:pt idx="28">
                    <c:v>S</c:v>
                  </c:pt>
                  <c:pt idx="29">
                    <c:v>D</c:v>
                  </c:pt>
                  <c:pt idx="30">
                    <c:v>M</c:v>
                  </c:pt>
                  <c:pt idx="31">
                    <c:v>J</c:v>
                  </c:pt>
                  <c:pt idx="32">
                    <c:v>S</c:v>
                  </c:pt>
                  <c:pt idx="33">
                    <c:v>D</c:v>
                  </c:pt>
                  <c:pt idx="34">
                    <c:v>M</c:v>
                  </c:pt>
                  <c:pt idx="35">
                    <c:v>J</c:v>
                  </c:pt>
                  <c:pt idx="36">
                    <c:v>S</c:v>
                  </c:pt>
                  <c:pt idx="37">
                    <c:v>D</c:v>
                  </c:pt>
                  <c:pt idx="38">
                    <c:v>M</c:v>
                  </c:pt>
                  <c:pt idx="39">
                    <c:v>J</c:v>
                  </c:pt>
                  <c:pt idx="40">
                    <c:v>S</c:v>
                  </c:pt>
                  <c:pt idx="41">
                    <c:v>D</c:v>
                  </c:pt>
                  <c:pt idx="42">
                    <c:v>M</c:v>
                  </c:pt>
                  <c:pt idx="43">
                    <c:v>J</c:v>
                  </c:pt>
                  <c:pt idx="44">
                    <c:v>S</c:v>
                  </c:pt>
                  <c:pt idx="45">
                    <c:v>D</c:v>
                  </c:pt>
                  <c:pt idx="46">
                    <c:v>M</c:v>
                  </c:pt>
                  <c:pt idx="47">
                    <c:v>J</c:v>
                  </c:pt>
                  <c:pt idx="48">
                    <c:v>S</c:v>
                  </c:pt>
                  <c:pt idx="49">
                    <c:v>D</c:v>
                  </c:pt>
                  <c:pt idx="50">
                    <c:v>M</c:v>
                  </c:pt>
                  <c:pt idx="51">
                    <c:v>J</c:v>
                  </c:pt>
                  <c:pt idx="52">
                    <c:v>S</c:v>
                  </c:pt>
                  <c:pt idx="53">
                    <c:v>D</c:v>
                  </c:pt>
                  <c:pt idx="54">
                    <c:v>M</c:v>
                  </c:pt>
                  <c:pt idx="55">
                    <c:v>J</c:v>
                  </c:pt>
                  <c:pt idx="56">
                    <c:v>S</c:v>
                  </c:pt>
                  <c:pt idx="57">
                    <c:v>D</c:v>
                  </c:pt>
                  <c:pt idx="58">
                    <c:v>M</c:v>
                  </c:pt>
                  <c:pt idx="59">
                    <c:v>J</c:v>
                  </c:pt>
                  <c:pt idx="60">
                    <c:v>S</c:v>
                  </c:pt>
                  <c:pt idx="61">
                    <c:v>D</c:v>
                  </c:pt>
                  <c:pt idx="62">
                    <c:v>M</c:v>
                  </c:pt>
                  <c:pt idx="63">
                    <c:v>J</c:v>
                  </c:pt>
                  <c:pt idx="64">
                    <c:v>S</c:v>
                  </c:pt>
                  <c:pt idx="65">
                    <c:v>D</c:v>
                  </c:pt>
                  <c:pt idx="66">
                    <c:v>M</c:v>
                  </c:pt>
                  <c:pt idx="67">
                    <c:v>J</c:v>
                  </c:pt>
                  <c:pt idx="68">
                    <c:v>S</c:v>
                  </c:pt>
                  <c:pt idx="69">
                    <c:v>D</c:v>
                  </c:pt>
                  <c:pt idx="70">
                    <c:v>M</c:v>
                  </c:pt>
                  <c:pt idx="71">
                    <c:v>J</c:v>
                  </c:pt>
                  <c:pt idx="72">
                    <c:v>S</c:v>
                  </c:pt>
                  <c:pt idx="73">
                    <c:v>D</c:v>
                  </c:pt>
                  <c:pt idx="74">
                    <c:v>M</c:v>
                  </c:pt>
                  <c:pt idx="75">
                    <c:v>J</c:v>
                  </c:pt>
                  <c:pt idx="76">
                    <c:v>S</c:v>
                  </c:pt>
                  <c:pt idx="77">
                    <c:v>D</c:v>
                  </c:pt>
                  <c:pt idx="78">
                    <c:v>M</c:v>
                  </c:pt>
                  <c:pt idx="79">
                    <c:v>J</c:v>
                  </c:pt>
                  <c:pt idx="80">
                    <c:v>S</c:v>
                  </c:pt>
                  <c:pt idx="81">
                    <c:v>D</c:v>
                  </c:pt>
                  <c:pt idx="82">
                    <c:v>M</c:v>
                  </c:pt>
                  <c:pt idx="83">
                    <c:v>J</c:v>
                  </c:pt>
                  <c:pt idx="84">
                    <c:v>S</c:v>
                  </c:pt>
                  <c:pt idx="85">
                    <c:v>D</c:v>
                  </c:pt>
                  <c:pt idx="86">
                    <c:v>M</c:v>
                  </c:pt>
                  <c:pt idx="87">
                    <c:v>J</c:v>
                  </c:pt>
                  <c:pt idx="88">
                    <c:v>S</c:v>
                  </c:pt>
                  <c:pt idx="89">
                    <c:v>D</c:v>
                  </c:pt>
                </c:lvl>
                <c:lvl>
                  <c:pt idx="0">
                    <c:v>1994</c:v>
                  </c:pt>
                  <c:pt idx="4">
                    <c:v>1995</c:v>
                  </c:pt>
                  <c:pt idx="10">
                    <c:v>1996</c:v>
                  </c:pt>
                  <c:pt idx="14">
                    <c:v>1997</c:v>
                  </c:pt>
                  <c:pt idx="18">
                    <c:v>1998</c:v>
                  </c:pt>
                  <c:pt idx="22">
                    <c:v>1999</c:v>
                  </c:pt>
                  <c:pt idx="26">
                    <c:v>2000</c:v>
                  </c:pt>
                  <c:pt idx="30">
                    <c:v>2001</c:v>
                  </c:pt>
                  <c:pt idx="34">
                    <c:v>2002</c:v>
                  </c:pt>
                  <c:pt idx="38">
                    <c:v>2003</c:v>
                  </c:pt>
                  <c:pt idx="42">
                    <c:v>2004</c:v>
                  </c:pt>
                  <c:pt idx="46">
                    <c:v>2005</c:v>
                  </c:pt>
                  <c:pt idx="50">
                    <c:v>2006</c:v>
                  </c:pt>
                  <c:pt idx="54">
                    <c:v>2007</c:v>
                  </c:pt>
                  <c:pt idx="58">
                    <c:v>2008</c:v>
                  </c:pt>
                  <c:pt idx="62">
                    <c:v>2009</c:v>
                  </c:pt>
                  <c:pt idx="66">
                    <c:v>2010</c:v>
                  </c:pt>
                  <c:pt idx="70">
                    <c:v>2011</c:v>
                  </c:pt>
                  <c:pt idx="74">
                    <c:v>2012</c:v>
                  </c:pt>
                  <c:pt idx="78">
                    <c:v>2013</c:v>
                  </c:pt>
                  <c:pt idx="82">
                    <c:v>2014</c:v>
                  </c:pt>
                  <c:pt idx="86">
                    <c:v>2015</c:v>
                  </c:pt>
                </c:lvl>
              </c:multiLvlStrCache>
            </c:multiLvlStrRef>
          </c:cat>
          <c:val>
            <c:numRef>
              <c:f>'Balance of Payments'!$V$124:$DG$124</c:f>
              <c:numCache>
                <c:formatCode>0.0</c:formatCode>
                <c:ptCount val="90"/>
                <c:pt idx="0">
                  <c:v>14.263418577950587</c:v>
                </c:pt>
                <c:pt idx="1">
                  <c:v>14.746592888615636</c:v>
                </c:pt>
                <c:pt idx="2">
                  <c:v>16.801768904562273</c:v>
                </c:pt>
                <c:pt idx="3">
                  <c:v>16.687923743035508</c:v>
                </c:pt>
                <c:pt idx="4">
                  <c:v>17.773807780905592</c:v>
                </c:pt>
                <c:pt idx="5">
                  <c:v>17.944480445430752</c:v>
                </c:pt>
                <c:pt idx="6">
                  <c:v>17.412025636995512</c:v>
                </c:pt>
                <c:pt idx="7">
                  <c:v>17.42581832153321</c:v>
                </c:pt>
                <c:pt idx="10">
                  <c:v>17.510038169830963</c:v>
                </c:pt>
                <c:pt idx="11">
                  <c:v>18.526482283739661</c:v>
                </c:pt>
                <c:pt idx="12">
                  <c:v>19.495465592580853</c:v>
                </c:pt>
                <c:pt idx="13">
                  <c:v>19.172426540772637</c:v>
                </c:pt>
                <c:pt idx="14">
                  <c:v>18.367557299681199</c:v>
                </c:pt>
                <c:pt idx="15">
                  <c:v>18.029394690102716</c:v>
                </c:pt>
                <c:pt idx="16">
                  <c:v>19.45032277296497</c:v>
                </c:pt>
                <c:pt idx="17">
                  <c:v>19.787848663176707</c:v>
                </c:pt>
                <c:pt idx="18">
                  <c:v>19.124995930592181</c:v>
                </c:pt>
                <c:pt idx="19">
                  <c:v>18.070323288649455</c:v>
                </c:pt>
                <c:pt idx="20">
                  <c:v>21.659955753656195</c:v>
                </c:pt>
                <c:pt idx="21">
                  <c:v>20.246511990970781</c:v>
                </c:pt>
                <c:pt idx="22">
                  <c:v>17.686328829025744</c:v>
                </c:pt>
                <c:pt idx="23">
                  <c:v>17.433413152045439</c:v>
                </c:pt>
                <c:pt idx="24">
                  <c:v>17.802757751473166</c:v>
                </c:pt>
                <c:pt idx="25">
                  <c:v>18.82459395688727</c:v>
                </c:pt>
                <c:pt idx="26">
                  <c:v>19.771484401200148</c:v>
                </c:pt>
                <c:pt idx="27">
                  <c:v>19.231601789877821</c:v>
                </c:pt>
                <c:pt idx="28">
                  <c:v>19.773784951144034</c:v>
                </c:pt>
                <c:pt idx="29">
                  <c:v>21.203027796394579</c:v>
                </c:pt>
                <c:pt idx="30">
                  <c:v>20.81968067274806</c:v>
                </c:pt>
                <c:pt idx="31">
                  <c:v>21.170367702026951</c:v>
                </c:pt>
                <c:pt idx="32">
                  <c:v>20.26189913107163</c:v>
                </c:pt>
                <c:pt idx="33">
                  <c:v>22.288528170615713</c:v>
                </c:pt>
                <c:pt idx="34">
                  <c:v>24.01068113408817</c:v>
                </c:pt>
                <c:pt idx="35">
                  <c:v>23.411910835236998</c:v>
                </c:pt>
                <c:pt idx="36">
                  <c:v>22.520406517180191</c:v>
                </c:pt>
                <c:pt idx="37">
                  <c:v>23.113174152928352</c:v>
                </c:pt>
                <c:pt idx="38">
                  <c:v>20.402369813903189</c:v>
                </c:pt>
                <c:pt idx="39">
                  <c:v>19.895686611667003</c:v>
                </c:pt>
                <c:pt idx="40">
                  <c:v>19.884091168022834</c:v>
                </c:pt>
                <c:pt idx="41">
                  <c:v>19.715241543646627</c:v>
                </c:pt>
                <c:pt idx="42">
                  <c:v>19.392974485578161</c:v>
                </c:pt>
                <c:pt idx="43">
                  <c:v>21.785363403844254</c:v>
                </c:pt>
                <c:pt idx="44">
                  <c:v>21.309168638171375</c:v>
                </c:pt>
                <c:pt idx="45">
                  <c:v>21.873306800862242</c:v>
                </c:pt>
                <c:pt idx="46">
                  <c:v>20.512435908810357</c:v>
                </c:pt>
                <c:pt idx="47">
                  <c:v>22.070297526751688</c:v>
                </c:pt>
                <c:pt idx="48">
                  <c:v>23.121537375261163</c:v>
                </c:pt>
                <c:pt idx="49">
                  <c:v>22.143450515976081</c:v>
                </c:pt>
                <c:pt idx="50">
                  <c:v>22.548713133512972</c:v>
                </c:pt>
                <c:pt idx="51">
                  <c:v>24.950401574680424</c:v>
                </c:pt>
                <c:pt idx="52">
                  <c:v>25.895490593177129</c:v>
                </c:pt>
                <c:pt idx="53">
                  <c:v>29.344604830950701</c:v>
                </c:pt>
                <c:pt idx="54">
                  <c:v>26.610244958115164</c:v>
                </c:pt>
                <c:pt idx="55">
                  <c:v>27.435914311099413</c:v>
                </c:pt>
                <c:pt idx="56">
                  <c:v>27.660327764843167</c:v>
                </c:pt>
                <c:pt idx="57">
                  <c:v>26.671676073535817</c:v>
                </c:pt>
                <c:pt idx="58">
                  <c:v>29.462094819336997</c:v>
                </c:pt>
                <c:pt idx="59">
                  <c:v>32.393499552903442</c:v>
                </c:pt>
                <c:pt idx="60">
                  <c:v>33.406501039075373</c:v>
                </c:pt>
                <c:pt idx="61">
                  <c:v>30.180155761551109</c:v>
                </c:pt>
                <c:pt idx="62">
                  <c:v>25.730666879393894</c:v>
                </c:pt>
                <c:pt idx="63">
                  <c:v>21.249792361924232</c:v>
                </c:pt>
                <c:pt idx="64">
                  <c:v>20.564345747643291</c:v>
                </c:pt>
                <c:pt idx="65">
                  <c:v>22.057612090004291</c:v>
                </c:pt>
                <c:pt idx="66">
                  <c:v>22.365665056130794</c:v>
                </c:pt>
                <c:pt idx="67">
                  <c:v>22.338568107761837</c:v>
                </c:pt>
                <c:pt idx="68">
                  <c:v>22.721010826827513</c:v>
                </c:pt>
                <c:pt idx="69">
                  <c:v>21.275510651469741</c:v>
                </c:pt>
                <c:pt idx="70">
                  <c:v>22.696340529552568</c:v>
                </c:pt>
                <c:pt idx="71">
                  <c:v>23.962228229060571</c:v>
                </c:pt>
                <c:pt idx="72">
                  <c:v>24.997231228055835</c:v>
                </c:pt>
                <c:pt idx="73">
                  <c:v>26.556315358630091</c:v>
                </c:pt>
                <c:pt idx="74">
                  <c:v>26.077037922144452</c:v>
                </c:pt>
                <c:pt idx="75">
                  <c:v>26.45944407396162</c:v>
                </c:pt>
                <c:pt idx="76">
                  <c:v>26.089156749989932</c:v>
                </c:pt>
                <c:pt idx="77">
                  <c:v>26.386230996191063</c:v>
                </c:pt>
                <c:pt idx="78">
                  <c:v>27.614466132618219</c:v>
                </c:pt>
                <c:pt idx="79">
                  <c:v>28.512244382224711</c:v>
                </c:pt>
                <c:pt idx="80">
                  <c:v>29.448844459996305</c:v>
                </c:pt>
                <c:pt idx="81">
                  <c:v>27.700989440503211</c:v>
                </c:pt>
                <c:pt idx="82">
                  <c:v>29.402143113695427</c:v>
                </c:pt>
                <c:pt idx="83">
                  <c:v>28.494982453254448</c:v>
                </c:pt>
                <c:pt idx="84">
                  <c:v>28.08707891546387</c:v>
                </c:pt>
                <c:pt idx="85">
                  <c:v>27.067012631793695</c:v>
                </c:pt>
              </c:numCache>
            </c:numRef>
          </c:val>
          <c:smooth val="0"/>
          <c:extLst>
            <c:ext xmlns:c16="http://schemas.microsoft.com/office/drawing/2014/chart" uri="{C3380CC4-5D6E-409C-BE32-E72D297353CC}">
              <c16:uniqueId val="{00000000-099C-43FE-8C62-AD5A98F68CCB}"/>
            </c:ext>
          </c:extLst>
        </c:ser>
        <c:ser>
          <c:idx val="1"/>
          <c:order val="1"/>
          <c:tx>
            <c:strRef>
              <c:f>'Balance of Payments'!$D$125</c:f>
              <c:strCache>
                <c:ptCount val="1"/>
                <c:pt idx="0">
                  <c:v>Merchandise Exports (% of GDP) </c:v>
                </c:pt>
              </c:strCache>
            </c:strRef>
          </c:tx>
          <c:spPr>
            <a:ln w="12700">
              <a:solidFill>
                <a:schemeClr val="accent6">
                  <a:lumMod val="50000"/>
                </a:schemeClr>
              </a:solidFill>
            </a:ln>
          </c:spPr>
          <c:marker>
            <c:symbol val="none"/>
          </c:marker>
          <c:cat>
            <c:multiLvlStrRef>
              <c:f>'Balance of Payments'!$V$122:$DG$123</c:f>
              <c:multiLvlStrCache>
                <c:ptCount val="90"/>
                <c:lvl>
                  <c:pt idx="0">
                    <c:v>M</c:v>
                  </c:pt>
                  <c:pt idx="1">
                    <c:v>J</c:v>
                  </c:pt>
                  <c:pt idx="2">
                    <c:v>S</c:v>
                  </c:pt>
                  <c:pt idx="3">
                    <c:v>D</c:v>
                  </c:pt>
                  <c:pt idx="4">
                    <c:v>M</c:v>
                  </c:pt>
                  <c:pt idx="5">
                    <c:v>J</c:v>
                  </c:pt>
                  <c:pt idx="6">
                    <c:v>S</c:v>
                  </c:pt>
                  <c:pt idx="7">
                    <c:v>D</c:v>
                  </c:pt>
                  <c:pt idx="10">
                    <c:v>M</c:v>
                  </c:pt>
                  <c:pt idx="11">
                    <c:v>J</c:v>
                  </c:pt>
                  <c:pt idx="12">
                    <c:v>S</c:v>
                  </c:pt>
                  <c:pt idx="13">
                    <c:v>D</c:v>
                  </c:pt>
                  <c:pt idx="14">
                    <c:v>M</c:v>
                  </c:pt>
                  <c:pt idx="15">
                    <c:v>J</c:v>
                  </c:pt>
                  <c:pt idx="16">
                    <c:v>S</c:v>
                  </c:pt>
                  <c:pt idx="17">
                    <c:v>D</c:v>
                  </c:pt>
                  <c:pt idx="18">
                    <c:v>M</c:v>
                  </c:pt>
                  <c:pt idx="19">
                    <c:v>J</c:v>
                  </c:pt>
                  <c:pt idx="20">
                    <c:v>S</c:v>
                  </c:pt>
                  <c:pt idx="21">
                    <c:v>D</c:v>
                  </c:pt>
                  <c:pt idx="22">
                    <c:v>M</c:v>
                  </c:pt>
                  <c:pt idx="23">
                    <c:v>J</c:v>
                  </c:pt>
                  <c:pt idx="24">
                    <c:v>S</c:v>
                  </c:pt>
                  <c:pt idx="25">
                    <c:v>D</c:v>
                  </c:pt>
                  <c:pt idx="26">
                    <c:v>M</c:v>
                  </c:pt>
                  <c:pt idx="27">
                    <c:v>J</c:v>
                  </c:pt>
                  <c:pt idx="28">
                    <c:v>S</c:v>
                  </c:pt>
                  <c:pt idx="29">
                    <c:v>D</c:v>
                  </c:pt>
                  <c:pt idx="30">
                    <c:v>M</c:v>
                  </c:pt>
                  <c:pt idx="31">
                    <c:v>J</c:v>
                  </c:pt>
                  <c:pt idx="32">
                    <c:v>S</c:v>
                  </c:pt>
                  <c:pt idx="33">
                    <c:v>D</c:v>
                  </c:pt>
                  <c:pt idx="34">
                    <c:v>M</c:v>
                  </c:pt>
                  <c:pt idx="35">
                    <c:v>J</c:v>
                  </c:pt>
                  <c:pt idx="36">
                    <c:v>S</c:v>
                  </c:pt>
                  <c:pt idx="37">
                    <c:v>D</c:v>
                  </c:pt>
                  <c:pt idx="38">
                    <c:v>M</c:v>
                  </c:pt>
                  <c:pt idx="39">
                    <c:v>J</c:v>
                  </c:pt>
                  <c:pt idx="40">
                    <c:v>S</c:v>
                  </c:pt>
                  <c:pt idx="41">
                    <c:v>D</c:v>
                  </c:pt>
                  <c:pt idx="42">
                    <c:v>M</c:v>
                  </c:pt>
                  <c:pt idx="43">
                    <c:v>J</c:v>
                  </c:pt>
                  <c:pt idx="44">
                    <c:v>S</c:v>
                  </c:pt>
                  <c:pt idx="45">
                    <c:v>D</c:v>
                  </c:pt>
                  <c:pt idx="46">
                    <c:v>M</c:v>
                  </c:pt>
                  <c:pt idx="47">
                    <c:v>J</c:v>
                  </c:pt>
                  <c:pt idx="48">
                    <c:v>S</c:v>
                  </c:pt>
                  <c:pt idx="49">
                    <c:v>D</c:v>
                  </c:pt>
                  <c:pt idx="50">
                    <c:v>M</c:v>
                  </c:pt>
                  <c:pt idx="51">
                    <c:v>J</c:v>
                  </c:pt>
                  <c:pt idx="52">
                    <c:v>S</c:v>
                  </c:pt>
                  <c:pt idx="53">
                    <c:v>D</c:v>
                  </c:pt>
                  <c:pt idx="54">
                    <c:v>M</c:v>
                  </c:pt>
                  <c:pt idx="55">
                    <c:v>J</c:v>
                  </c:pt>
                  <c:pt idx="56">
                    <c:v>S</c:v>
                  </c:pt>
                  <c:pt idx="57">
                    <c:v>D</c:v>
                  </c:pt>
                  <c:pt idx="58">
                    <c:v>M</c:v>
                  </c:pt>
                  <c:pt idx="59">
                    <c:v>J</c:v>
                  </c:pt>
                  <c:pt idx="60">
                    <c:v>S</c:v>
                  </c:pt>
                  <c:pt idx="61">
                    <c:v>D</c:v>
                  </c:pt>
                  <c:pt idx="62">
                    <c:v>M</c:v>
                  </c:pt>
                  <c:pt idx="63">
                    <c:v>J</c:v>
                  </c:pt>
                  <c:pt idx="64">
                    <c:v>S</c:v>
                  </c:pt>
                  <c:pt idx="65">
                    <c:v>D</c:v>
                  </c:pt>
                  <c:pt idx="66">
                    <c:v>M</c:v>
                  </c:pt>
                  <c:pt idx="67">
                    <c:v>J</c:v>
                  </c:pt>
                  <c:pt idx="68">
                    <c:v>S</c:v>
                  </c:pt>
                  <c:pt idx="69">
                    <c:v>D</c:v>
                  </c:pt>
                  <c:pt idx="70">
                    <c:v>M</c:v>
                  </c:pt>
                  <c:pt idx="71">
                    <c:v>J</c:v>
                  </c:pt>
                  <c:pt idx="72">
                    <c:v>S</c:v>
                  </c:pt>
                  <c:pt idx="73">
                    <c:v>D</c:v>
                  </c:pt>
                  <c:pt idx="74">
                    <c:v>M</c:v>
                  </c:pt>
                  <c:pt idx="75">
                    <c:v>J</c:v>
                  </c:pt>
                  <c:pt idx="76">
                    <c:v>S</c:v>
                  </c:pt>
                  <c:pt idx="77">
                    <c:v>D</c:v>
                  </c:pt>
                  <c:pt idx="78">
                    <c:v>M</c:v>
                  </c:pt>
                  <c:pt idx="79">
                    <c:v>J</c:v>
                  </c:pt>
                  <c:pt idx="80">
                    <c:v>S</c:v>
                  </c:pt>
                  <c:pt idx="81">
                    <c:v>D</c:v>
                  </c:pt>
                  <c:pt idx="82">
                    <c:v>M</c:v>
                  </c:pt>
                  <c:pt idx="83">
                    <c:v>J</c:v>
                  </c:pt>
                  <c:pt idx="84">
                    <c:v>S</c:v>
                  </c:pt>
                  <c:pt idx="85">
                    <c:v>D</c:v>
                  </c:pt>
                  <c:pt idx="86">
                    <c:v>M</c:v>
                  </c:pt>
                  <c:pt idx="87">
                    <c:v>J</c:v>
                  </c:pt>
                  <c:pt idx="88">
                    <c:v>S</c:v>
                  </c:pt>
                  <c:pt idx="89">
                    <c:v>D</c:v>
                  </c:pt>
                </c:lvl>
                <c:lvl>
                  <c:pt idx="0">
                    <c:v>1994</c:v>
                  </c:pt>
                  <c:pt idx="4">
                    <c:v>1995</c:v>
                  </c:pt>
                  <c:pt idx="10">
                    <c:v>1996</c:v>
                  </c:pt>
                  <c:pt idx="14">
                    <c:v>1997</c:v>
                  </c:pt>
                  <c:pt idx="18">
                    <c:v>1998</c:v>
                  </c:pt>
                  <c:pt idx="22">
                    <c:v>1999</c:v>
                  </c:pt>
                  <c:pt idx="26">
                    <c:v>2000</c:v>
                  </c:pt>
                  <c:pt idx="30">
                    <c:v>2001</c:v>
                  </c:pt>
                  <c:pt idx="34">
                    <c:v>2002</c:v>
                  </c:pt>
                  <c:pt idx="38">
                    <c:v>2003</c:v>
                  </c:pt>
                  <c:pt idx="42">
                    <c:v>2004</c:v>
                  </c:pt>
                  <c:pt idx="46">
                    <c:v>2005</c:v>
                  </c:pt>
                  <c:pt idx="50">
                    <c:v>2006</c:v>
                  </c:pt>
                  <c:pt idx="54">
                    <c:v>2007</c:v>
                  </c:pt>
                  <c:pt idx="58">
                    <c:v>2008</c:v>
                  </c:pt>
                  <c:pt idx="62">
                    <c:v>2009</c:v>
                  </c:pt>
                  <c:pt idx="66">
                    <c:v>2010</c:v>
                  </c:pt>
                  <c:pt idx="70">
                    <c:v>2011</c:v>
                  </c:pt>
                  <c:pt idx="74">
                    <c:v>2012</c:v>
                  </c:pt>
                  <c:pt idx="78">
                    <c:v>2013</c:v>
                  </c:pt>
                  <c:pt idx="82">
                    <c:v>2014</c:v>
                  </c:pt>
                  <c:pt idx="86">
                    <c:v>2015</c:v>
                  </c:pt>
                </c:lvl>
              </c:multiLvlStrCache>
            </c:multiLvlStrRef>
          </c:cat>
          <c:val>
            <c:numRef>
              <c:f>'Balance of Payments'!$V$125:$DG$125</c:f>
              <c:numCache>
                <c:formatCode>0.0</c:formatCode>
                <c:ptCount val="90"/>
                <c:pt idx="0">
                  <c:v>13.607883095477721</c:v>
                </c:pt>
                <c:pt idx="1">
                  <c:v>12.899067527410596</c:v>
                </c:pt>
                <c:pt idx="2">
                  <c:v>13.802216779576899</c:v>
                </c:pt>
                <c:pt idx="3">
                  <c:v>15.881049875813922</c:v>
                </c:pt>
                <c:pt idx="4">
                  <c:v>14.932459604561132</c:v>
                </c:pt>
                <c:pt idx="5">
                  <c:v>14.508357256893786</c:v>
                </c:pt>
                <c:pt idx="6">
                  <c:v>16.136812140898694</c:v>
                </c:pt>
                <c:pt idx="7">
                  <c:v>15.773349604697257</c:v>
                </c:pt>
                <c:pt idx="10">
                  <c:v>15.493811860737949</c:v>
                </c:pt>
                <c:pt idx="11">
                  <c:v>15.482671223304918</c:v>
                </c:pt>
                <c:pt idx="12">
                  <c:v>17.301918809554888</c:v>
                </c:pt>
                <c:pt idx="13">
                  <c:v>17.123567859447959</c:v>
                </c:pt>
                <c:pt idx="14">
                  <c:v>15.585218780600938</c:v>
                </c:pt>
                <c:pt idx="15">
                  <c:v>15.949809457571979</c:v>
                </c:pt>
                <c:pt idx="16">
                  <c:v>17.553196724884383</c:v>
                </c:pt>
                <c:pt idx="17">
                  <c:v>17.951489382794922</c:v>
                </c:pt>
                <c:pt idx="18">
                  <c:v>18.010385128756063</c:v>
                </c:pt>
                <c:pt idx="19">
                  <c:v>17.218389175054739</c:v>
                </c:pt>
                <c:pt idx="20">
                  <c:v>18.757708848616158</c:v>
                </c:pt>
                <c:pt idx="21">
                  <c:v>17.044696933827961</c:v>
                </c:pt>
                <c:pt idx="22">
                  <c:v>18.590479378398058</c:v>
                </c:pt>
                <c:pt idx="23">
                  <c:v>17.153945380435783</c:v>
                </c:pt>
                <c:pt idx="24">
                  <c:v>17.699295042725396</c:v>
                </c:pt>
                <c:pt idx="25">
                  <c:v>18.70753441916936</c:v>
                </c:pt>
                <c:pt idx="26">
                  <c:v>19.465634348212969</c:v>
                </c:pt>
                <c:pt idx="27">
                  <c:v>19.842658754731815</c:v>
                </c:pt>
                <c:pt idx="28">
                  <c:v>19.767383028088954</c:v>
                </c:pt>
                <c:pt idx="29">
                  <c:v>22.850564441304748</c:v>
                </c:pt>
                <c:pt idx="30">
                  <c:v>22.513446211712338</c:v>
                </c:pt>
                <c:pt idx="31">
                  <c:v>23.7059933145086</c:v>
                </c:pt>
                <c:pt idx="32">
                  <c:v>21.102791403788498</c:v>
                </c:pt>
                <c:pt idx="33">
                  <c:v>23.122012664323606</c:v>
                </c:pt>
                <c:pt idx="34">
                  <c:v>24.502034048924365</c:v>
                </c:pt>
                <c:pt idx="35">
                  <c:v>24.434811420655482</c:v>
                </c:pt>
                <c:pt idx="36">
                  <c:v>22.654702371350218</c:v>
                </c:pt>
                <c:pt idx="37">
                  <c:v>23.646502451894261</c:v>
                </c:pt>
                <c:pt idx="38">
                  <c:v>20.661631108878133</c:v>
                </c:pt>
                <c:pt idx="39">
                  <c:v>19.570155060030121</c:v>
                </c:pt>
                <c:pt idx="40">
                  <c:v>19.95889523832367</c:v>
                </c:pt>
                <c:pt idx="41">
                  <c:v>18.120406663848922</c:v>
                </c:pt>
                <c:pt idx="42">
                  <c:v>18.606924115825365</c:v>
                </c:pt>
                <c:pt idx="43">
                  <c:v>19.264561401582927</c:v>
                </c:pt>
                <c:pt idx="44">
                  <c:v>19.410750586080685</c:v>
                </c:pt>
                <c:pt idx="45">
                  <c:v>19.044324299039918</c:v>
                </c:pt>
                <c:pt idx="46">
                  <c:v>18.490176567118546</c:v>
                </c:pt>
                <c:pt idx="47">
                  <c:v>21.156090877841169</c:v>
                </c:pt>
                <c:pt idx="48">
                  <c:v>20.993235606686795</c:v>
                </c:pt>
                <c:pt idx="49">
                  <c:v>20.141135234946152</c:v>
                </c:pt>
                <c:pt idx="50">
                  <c:v>20.249979236646855</c:v>
                </c:pt>
                <c:pt idx="51">
                  <c:v>21.896953287301244</c:v>
                </c:pt>
                <c:pt idx="52">
                  <c:v>23.563933446840931</c:v>
                </c:pt>
                <c:pt idx="53">
                  <c:v>24.182705746270848</c:v>
                </c:pt>
                <c:pt idx="54">
                  <c:v>25.137606807684783</c:v>
                </c:pt>
                <c:pt idx="55">
                  <c:v>24.00820343274366</c:v>
                </c:pt>
                <c:pt idx="56">
                  <c:v>23.689780904742751</c:v>
                </c:pt>
                <c:pt idx="57">
                  <c:v>24.533929668466847</c:v>
                </c:pt>
                <c:pt idx="58">
                  <c:v>26.848880723659292</c:v>
                </c:pt>
                <c:pt idx="59">
                  <c:v>29.436180750670221</c:v>
                </c:pt>
                <c:pt idx="60">
                  <c:v>30.115902287955265</c:v>
                </c:pt>
                <c:pt idx="61">
                  <c:v>28.380897936923304</c:v>
                </c:pt>
                <c:pt idx="62">
                  <c:v>23.644835535264651</c:v>
                </c:pt>
                <c:pt idx="63">
                  <c:v>20.923338600943783</c:v>
                </c:pt>
                <c:pt idx="64">
                  <c:v>20.205675869786312</c:v>
                </c:pt>
                <c:pt idx="65">
                  <c:v>20.878455813731161</c:v>
                </c:pt>
                <c:pt idx="66">
                  <c:v>21.574813973234015</c:v>
                </c:pt>
                <c:pt idx="67">
                  <c:v>22.050441492567369</c:v>
                </c:pt>
                <c:pt idx="68">
                  <c:v>22.624711309301109</c:v>
                </c:pt>
                <c:pt idx="69">
                  <c:v>22.410860693472326</c:v>
                </c:pt>
                <c:pt idx="70">
                  <c:v>23.033237267684026</c:v>
                </c:pt>
                <c:pt idx="71">
                  <c:v>23.697201527931576</c:v>
                </c:pt>
                <c:pt idx="72">
                  <c:v>24.160336946360978</c:v>
                </c:pt>
                <c:pt idx="73">
                  <c:v>24.205805783139581</c:v>
                </c:pt>
                <c:pt idx="74">
                  <c:v>23.510631821240175</c:v>
                </c:pt>
                <c:pt idx="75">
                  <c:v>23.48515853353048</c:v>
                </c:pt>
                <c:pt idx="76">
                  <c:v>22.613683366704123</c:v>
                </c:pt>
                <c:pt idx="77">
                  <c:v>22.855192060862127</c:v>
                </c:pt>
                <c:pt idx="78">
                  <c:v>23.909977069883119</c:v>
                </c:pt>
                <c:pt idx="79">
                  <c:v>24.273573802618372</c:v>
                </c:pt>
                <c:pt idx="80">
                  <c:v>25.164834424178974</c:v>
                </c:pt>
                <c:pt idx="81">
                  <c:v>24.930303812050443</c:v>
                </c:pt>
                <c:pt idx="82">
                  <c:v>25.845389441256224</c:v>
                </c:pt>
                <c:pt idx="83">
                  <c:v>24.376376536188939</c:v>
                </c:pt>
                <c:pt idx="84">
                  <c:v>24.419348864928214</c:v>
                </c:pt>
                <c:pt idx="85">
                  <c:v>24.579047000032293</c:v>
                </c:pt>
              </c:numCache>
            </c:numRef>
          </c:val>
          <c:smooth val="0"/>
          <c:extLst>
            <c:ext xmlns:c16="http://schemas.microsoft.com/office/drawing/2014/chart" uri="{C3380CC4-5D6E-409C-BE32-E72D297353CC}">
              <c16:uniqueId val="{00000001-099C-43FE-8C62-AD5A98F68CCB}"/>
            </c:ext>
          </c:extLst>
        </c:ser>
        <c:dLbls>
          <c:showLegendKey val="0"/>
          <c:showVal val="0"/>
          <c:showCatName val="0"/>
          <c:showSerName val="0"/>
          <c:showPercent val="0"/>
          <c:showBubbleSize val="0"/>
        </c:dLbls>
        <c:marker val="1"/>
        <c:smooth val="0"/>
        <c:axId val="402109872"/>
        <c:axId val="402113008"/>
      </c:lineChart>
      <c:lineChart>
        <c:grouping val="standard"/>
        <c:varyColors val="0"/>
        <c:ser>
          <c:idx val="2"/>
          <c:order val="2"/>
          <c:tx>
            <c:strRef>
              <c:f>'Balance of Payments'!$D$126</c:f>
              <c:strCache>
                <c:ptCount val="1"/>
                <c:pt idx="0">
                  <c:v>Balance on current account  (% GDP)</c:v>
                </c:pt>
              </c:strCache>
            </c:strRef>
          </c:tx>
          <c:spPr>
            <a:ln w="12700">
              <a:solidFill>
                <a:schemeClr val="accent6">
                  <a:lumMod val="75000"/>
                </a:schemeClr>
              </a:solidFill>
            </a:ln>
          </c:spPr>
          <c:marker>
            <c:symbol val="none"/>
          </c:marker>
          <c:cat>
            <c:multiLvlStrRef>
              <c:f>'Balance of Payments'!$V$122:$DG$123</c:f>
              <c:multiLvlStrCache>
                <c:ptCount val="90"/>
                <c:lvl>
                  <c:pt idx="0">
                    <c:v>M</c:v>
                  </c:pt>
                  <c:pt idx="1">
                    <c:v>J</c:v>
                  </c:pt>
                  <c:pt idx="2">
                    <c:v>S</c:v>
                  </c:pt>
                  <c:pt idx="3">
                    <c:v>D</c:v>
                  </c:pt>
                  <c:pt idx="4">
                    <c:v>M</c:v>
                  </c:pt>
                  <c:pt idx="5">
                    <c:v>J</c:v>
                  </c:pt>
                  <c:pt idx="6">
                    <c:v>S</c:v>
                  </c:pt>
                  <c:pt idx="7">
                    <c:v>D</c:v>
                  </c:pt>
                  <c:pt idx="10">
                    <c:v>M</c:v>
                  </c:pt>
                  <c:pt idx="11">
                    <c:v>J</c:v>
                  </c:pt>
                  <c:pt idx="12">
                    <c:v>S</c:v>
                  </c:pt>
                  <c:pt idx="13">
                    <c:v>D</c:v>
                  </c:pt>
                  <c:pt idx="14">
                    <c:v>M</c:v>
                  </c:pt>
                  <c:pt idx="15">
                    <c:v>J</c:v>
                  </c:pt>
                  <c:pt idx="16">
                    <c:v>S</c:v>
                  </c:pt>
                  <c:pt idx="17">
                    <c:v>D</c:v>
                  </c:pt>
                  <c:pt idx="18">
                    <c:v>M</c:v>
                  </c:pt>
                  <c:pt idx="19">
                    <c:v>J</c:v>
                  </c:pt>
                  <c:pt idx="20">
                    <c:v>S</c:v>
                  </c:pt>
                  <c:pt idx="21">
                    <c:v>D</c:v>
                  </c:pt>
                  <c:pt idx="22">
                    <c:v>M</c:v>
                  </c:pt>
                  <c:pt idx="23">
                    <c:v>J</c:v>
                  </c:pt>
                  <c:pt idx="24">
                    <c:v>S</c:v>
                  </c:pt>
                  <c:pt idx="25">
                    <c:v>D</c:v>
                  </c:pt>
                  <c:pt idx="26">
                    <c:v>M</c:v>
                  </c:pt>
                  <c:pt idx="27">
                    <c:v>J</c:v>
                  </c:pt>
                  <c:pt idx="28">
                    <c:v>S</c:v>
                  </c:pt>
                  <c:pt idx="29">
                    <c:v>D</c:v>
                  </c:pt>
                  <c:pt idx="30">
                    <c:v>M</c:v>
                  </c:pt>
                  <c:pt idx="31">
                    <c:v>J</c:v>
                  </c:pt>
                  <c:pt idx="32">
                    <c:v>S</c:v>
                  </c:pt>
                  <c:pt idx="33">
                    <c:v>D</c:v>
                  </c:pt>
                  <c:pt idx="34">
                    <c:v>M</c:v>
                  </c:pt>
                  <c:pt idx="35">
                    <c:v>J</c:v>
                  </c:pt>
                  <c:pt idx="36">
                    <c:v>S</c:v>
                  </c:pt>
                  <c:pt idx="37">
                    <c:v>D</c:v>
                  </c:pt>
                  <c:pt idx="38">
                    <c:v>M</c:v>
                  </c:pt>
                  <c:pt idx="39">
                    <c:v>J</c:v>
                  </c:pt>
                  <c:pt idx="40">
                    <c:v>S</c:v>
                  </c:pt>
                  <c:pt idx="41">
                    <c:v>D</c:v>
                  </c:pt>
                  <c:pt idx="42">
                    <c:v>M</c:v>
                  </c:pt>
                  <c:pt idx="43">
                    <c:v>J</c:v>
                  </c:pt>
                  <c:pt idx="44">
                    <c:v>S</c:v>
                  </c:pt>
                  <c:pt idx="45">
                    <c:v>D</c:v>
                  </c:pt>
                  <c:pt idx="46">
                    <c:v>M</c:v>
                  </c:pt>
                  <c:pt idx="47">
                    <c:v>J</c:v>
                  </c:pt>
                  <c:pt idx="48">
                    <c:v>S</c:v>
                  </c:pt>
                  <c:pt idx="49">
                    <c:v>D</c:v>
                  </c:pt>
                  <c:pt idx="50">
                    <c:v>M</c:v>
                  </c:pt>
                  <c:pt idx="51">
                    <c:v>J</c:v>
                  </c:pt>
                  <c:pt idx="52">
                    <c:v>S</c:v>
                  </c:pt>
                  <c:pt idx="53">
                    <c:v>D</c:v>
                  </c:pt>
                  <c:pt idx="54">
                    <c:v>M</c:v>
                  </c:pt>
                  <c:pt idx="55">
                    <c:v>J</c:v>
                  </c:pt>
                  <c:pt idx="56">
                    <c:v>S</c:v>
                  </c:pt>
                  <c:pt idx="57">
                    <c:v>D</c:v>
                  </c:pt>
                  <c:pt idx="58">
                    <c:v>M</c:v>
                  </c:pt>
                  <c:pt idx="59">
                    <c:v>J</c:v>
                  </c:pt>
                  <c:pt idx="60">
                    <c:v>S</c:v>
                  </c:pt>
                  <c:pt idx="61">
                    <c:v>D</c:v>
                  </c:pt>
                  <c:pt idx="62">
                    <c:v>M</c:v>
                  </c:pt>
                  <c:pt idx="63">
                    <c:v>J</c:v>
                  </c:pt>
                  <c:pt idx="64">
                    <c:v>S</c:v>
                  </c:pt>
                  <c:pt idx="65">
                    <c:v>D</c:v>
                  </c:pt>
                  <c:pt idx="66">
                    <c:v>M</c:v>
                  </c:pt>
                  <c:pt idx="67">
                    <c:v>J</c:v>
                  </c:pt>
                  <c:pt idx="68">
                    <c:v>S</c:v>
                  </c:pt>
                  <c:pt idx="69">
                    <c:v>D</c:v>
                  </c:pt>
                  <c:pt idx="70">
                    <c:v>M</c:v>
                  </c:pt>
                  <c:pt idx="71">
                    <c:v>J</c:v>
                  </c:pt>
                  <c:pt idx="72">
                    <c:v>S</c:v>
                  </c:pt>
                  <c:pt idx="73">
                    <c:v>D</c:v>
                  </c:pt>
                  <c:pt idx="74">
                    <c:v>M</c:v>
                  </c:pt>
                  <c:pt idx="75">
                    <c:v>J</c:v>
                  </c:pt>
                  <c:pt idx="76">
                    <c:v>S</c:v>
                  </c:pt>
                  <c:pt idx="77">
                    <c:v>D</c:v>
                  </c:pt>
                  <c:pt idx="78">
                    <c:v>M</c:v>
                  </c:pt>
                  <c:pt idx="79">
                    <c:v>J</c:v>
                  </c:pt>
                  <c:pt idx="80">
                    <c:v>S</c:v>
                  </c:pt>
                  <c:pt idx="81">
                    <c:v>D</c:v>
                  </c:pt>
                  <c:pt idx="82">
                    <c:v>M</c:v>
                  </c:pt>
                  <c:pt idx="83">
                    <c:v>J</c:v>
                  </c:pt>
                  <c:pt idx="84">
                    <c:v>S</c:v>
                  </c:pt>
                  <c:pt idx="85">
                    <c:v>D</c:v>
                  </c:pt>
                  <c:pt idx="86">
                    <c:v>M</c:v>
                  </c:pt>
                  <c:pt idx="87">
                    <c:v>J</c:v>
                  </c:pt>
                  <c:pt idx="88">
                    <c:v>S</c:v>
                  </c:pt>
                  <c:pt idx="89">
                    <c:v>D</c:v>
                  </c:pt>
                </c:lvl>
                <c:lvl>
                  <c:pt idx="0">
                    <c:v>1994</c:v>
                  </c:pt>
                  <c:pt idx="4">
                    <c:v>1995</c:v>
                  </c:pt>
                  <c:pt idx="10">
                    <c:v>1996</c:v>
                  </c:pt>
                  <c:pt idx="14">
                    <c:v>1997</c:v>
                  </c:pt>
                  <c:pt idx="18">
                    <c:v>1998</c:v>
                  </c:pt>
                  <c:pt idx="22">
                    <c:v>1999</c:v>
                  </c:pt>
                  <c:pt idx="26">
                    <c:v>2000</c:v>
                  </c:pt>
                  <c:pt idx="30">
                    <c:v>2001</c:v>
                  </c:pt>
                  <c:pt idx="34">
                    <c:v>2002</c:v>
                  </c:pt>
                  <c:pt idx="38">
                    <c:v>2003</c:v>
                  </c:pt>
                  <c:pt idx="42">
                    <c:v>2004</c:v>
                  </c:pt>
                  <c:pt idx="46">
                    <c:v>2005</c:v>
                  </c:pt>
                  <c:pt idx="50">
                    <c:v>2006</c:v>
                  </c:pt>
                  <c:pt idx="54">
                    <c:v>2007</c:v>
                  </c:pt>
                  <c:pt idx="58">
                    <c:v>2008</c:v>
                  </c:pt>
                  <c:pt idx="62">
                    <c:v>2009</c:v>
                  </c:pt>
                  <c:pt idx="66">
                    <c:v>2010</c:v>
                  </c:pt>
                  <c:pt idx="70">
                    <c:v>2011</c:v>
                  </c:pt>
                  <c:pt idx="74">
                    <c:v>2012</c:v>
                  </c:pt>
                  <c:pt idx="78">
                    <c:v>2013</c:v>
                  </c:pt>
                  <c:pt idx="82">
                    <c:v>2014</c:v>
                  </c:pt>
                  <c:pt idx="86">
                    <c:v>2015</c:v>
                  </c:pt>
                </c:lvl>
              </c:multiLvlStrCache>
            </c:multiLvlStrRef>
          </c:cat>
          <c:val>
            <c:numRef>
              <c:f>'Balance of Payments'!$V$126:$DG$126</c:f>
              <c:numCache>
                <c:formatCode>0.0</c:formatCode>
                <c:ptCount val="90"/>
                <c:pt idx="0">
                  <c:v>1.2</c:v>
                </c:pt>
                <c:pt idx="1">
                  <c:v>0</c:v>
                </c:pt>
                <c:pt idx="2">
                  <c:v>-0.8</c:v>
                </c:pt>
                <c:pt idx="3">
                  <c:v>-0.2</c:v>
                </c:pt>
                <c:pt idx="4">
                  <c:v>-1.5</c:v>
                </c:pt>
                <c:pt idx="5">
                  <c:v>-3.3</c:v>
                </c:pt>
                <c:pt idx="6">
                  <c:v>-0.8</c:v>
                </c:pt>
                <c:pt idx="7">
                  <c:v>-0.9</c:v>
                </c:pt>
                <c:pt idx="10">
                  <c:v>-1.2</c:v>
                </c:pt>
                <c:pt idx="11">
                  <c:v>-1.9</c:v>
                </c:pt>
                <c:pt idx="12">
                  <c:v>-0.2</c:v>
                </c:pt>
                <c:pt idx="13">
                  <c:v>-1.1000000000000001</c:v>
                </c:pt>
                <c:pt idx="14">
                  <c:v>-1.6</c:v>
                </c:pt>
                <c:pt idx="15">
                  <c:v>-1.3</c:v>
                </c:pt>
                <c:pt idx="16">
                  <c:v>-1.2</c:v>
                </c:pt>
                <c:pt idx="17">
                  <c:v>-1.7</c:v>
                </c:pt>
                <c:pt idx="18">
                  <c:v>-0.5</c:v>
                </c:pt>
                <c:pt idx="19">
                  <c:v>-1</c:v>
                </c:pt>
                <c:pt idx="20">
                  <c:v>-2.6</c:v>
                </c:pt>
                <c:pt idx="21">
                  <c:v>-2.7</c:v>
                </c:pt>
                <c:pt idx="22">
                  <c:v>1.3</c:v>
                </c:pt>
                <c:pt idx="23">
                  <c:v>-0.9</c:v>
                </c:pt>
                <c:pt idx="24">
                  <c:v>-0.8</c:v>
                </c:pt>
                <c:pt idx="25">
                  <c:v>-1.4</c:v>
                </c:pt>
                <c:pt idx="26">
                  <c:v>-0.1</c:v>
                </c:pt>
                <c:pt idx="27">
                  <c:v>-0.1</c:v>
                </c:pt>
                <c:pt idx="28">
                  <c:v>-1</c:v>
                </c:pt>
                <c:pt idx="29">
                  <c:v>0.7</c:v>
                </c:pt>
                <c:pt idx="30">
                  <c:v>0.7</c:v>
                </c:pt>
                <c:pt idx="31">
                  <c:v>0.5</c:v>
                </c:pt>
                <c:pt idx="32">
                  <c:v>-0.7</c:v>
                </c:pt>
                <c:pt idx="33">
                  <c:v>0.6</c:v>
                </c:pt>
                <c:pt idx="34">
                  <c:v>1.2</c:v>
                </c:pt>
                <c:pt idx="35">
                  <c:v>0.4</c:v>
                </c:pt>
                <c:pt idx="36">
                  <c:v>0.8</c:v>
                </c:pt>
                <c:pt idx="37">
                  <c:v>1.2</c:v>
                </c:pt>
                <c:pt idx="38">
                  <c:v>0.3</c:v>
                </c:pt>
                <c:pt idx="39">
                  <c:v>-2.5</c:v>
                </c:pt>
                <c:pt idx="40">
                  <c:v>0</c:v>
                </c:pt>
                <c:pt idx="41">
                  <c:v>-1.1000000000000001</c:v>
                </c:pt>
                <c:pt idx="42">
                  <c:v>-1.4</c:v>
                </c:pt>
                <c:pt idx="43">
                  <c:v>-3.1</c:v>
                </c:pt>
                <c:pt idx="44">
                  <c:v>-2.9</c:v>
                </c:pt>
                <c:pt idx="45">
                  <c:v>-3.5</c:v>
                </c:pt>
                <c:pt idx="46">
                  <c:v>-3.2</c:v>
                </c:pt>
                <c:pt idx="47">
                  <c:v>-2.4</c:v>
                </c:pt>
                <c:pt idx="48">
                  <c:v>-3.3</c:v>
                </c:pt>
                <c:pt idx="49">
                  <c:v>-3.6</c:v>
                </c:pt>
                <c:pt idx="50">
                  <c:v>-4.5</c:v>
                </c:pt>
                <c:pt idx="51">
                  <c:v>-3.8</c:v>
                </c:pt>
                <c:pt idx="52">
                  <c:v>-3.1</c:v>
                </c:pt>
                <c:pt idx="53">
                  <c:v>-6.5</c:v>
                </c:pt>
                <c:pt idx="54">
                  <c:v>-3.4</c:v>
                </c:pt>
                <c:pt idx="55">
                  <c:v>-5.4</c:v>
                </c:pt>
                <c:pt idx="56">
                  <c:v>-6.9</c:v>
                </c:pt>
                <c:pt idx="57">
                  <c:v>-5.7</c:v>
                </c:pt>
                <c:pt idx="58">
                  <c:v>-5.9</c:v>
                </c:pt>
                <c:pt idx="59">
                  <c:v>-5.8</c:v>
                </c:pt>
                <c:pt idx="60">
                  <c:v>-6.6</c:v>
                </c:pt>
                <c:pt idx="61">
                  <c:v>-3.8</c:v>
                </c:pt>
                <c:pt idx="62">
                  <c:v>-4</c:v>
                </c:pt>
                <c:pt idx="63">
                  <c:v>-1.9</c:v>
                </c:pt>
                <c:pt idx="64">
                  <c:v>-2.2999999999999998</c:v>
                </c:pt>
                <c:pt idx="65">
                  <c:v>-2.7</c:v>
                </c:pt>
                <c:pt idx="66">
                  <c:v>-2.7</c:v>
                </c:pt>
                <c:pt idx="67">
                  <c:v>-1.2</c:v>
                </c:pt>
                <c:pt idx="68">
                  <c:v>-1.9</c:v>
                </c:pt>
                <c:pt idx="69">
                  <c:v>-0.4</c:v>
                </c:pt>
                <c:pt idx="70">
                  <c:v>-1.4</c:v>
                </c:pt>
                <c:pt idx="71">
                  <c:v>-1.9</c:v>
                </c:pt>
                <c:pt idx="72">
                  <c:v>-2.7</c:v>
                </c:pt>
                <c:pt idx="73">
                  <c:v>-2.7</c:v>
                </c:pt>
                <c:pt idx="74">
                  <c:v>-3.6</c:v>
                </c:pt>
                <c:pt idx="75">
                  <c:v>-4.8</c:v>
                </c:pt>
                <c:pt idx="76">
                  <c:v>-5.5</c:v>
                </c:pt>
                <c:pt idx="77">
                  <c:v>-5.8</c:v>
                </c:pt>
                <c:pt idx="78">
                  <c:v>-5.2</c:v>
                </c:pt>
                <c:pt idx="79">
                  <c:v>-6.1</c:v>
                </c:pt>
                <c:pt idx="80">
                  <c:v>-6.4</c:v>
                </c:pt>
                <c:pt idx="81">
                  <c:v>-5.3</c:v>
                </c:pt>
                <c:pt idx="82" formatCode="General">
                  <c:v>-4.5999999999999996</c:v>
                </c:pt>
                <c:pt idx="83" formatCode="General">
                  <c:v>-6.2</c:v>
                </c:pt>
                <c:pt idx="84" formatCode="General">
                  <c:v>-5.8</c:v>
                </c:pt>
                <c:pt idx="85" formatCode="General">
                  <c:v>-5.0999999999999996</c:v>
                </c:pt>
              </c:numCache>
            </c:numRef>
          </c:val>
          <c:smooth val="0"/>
          <c:extLst>
            <c:ext xmlns:c16="http://schemas.microsoft.com/office/drawing/2014/chart" uri="{C3380CC4-5D6E-409C-BE32-E72D297353CC}">
              <c16:uniqueId val="{00000002-099C-43FE-8C62-AD5A98F68CCB}"/>
            </c:ext>
          </c:extLst>
        </c:ser>
        <c:ser>
          <c:idx val="3"/>
          <c:order val="3"/>
          <c:tx>
            <c:strRef>
              <c:f>'Balance of Payments'!$D$127</c:f>
              <c:strCache>
                <c:ptCount val="1"/>
                <c:pt idx="0">
                  <c:v>Trade balance</c:v>
                </c:pt>
              </c:strCache>
            </c:strRef>
          </c:tx>
          <c:marker>
            <c:symbol val="none"/>
          </c:marker>
          <c:cat>
            <c:multiLvlStrRef>
              <c:f>'Balance of Payments'!$V$122:$DG$123</c:f>
              <c:multiLvlStrCache>
                <c:ptCount val="90"/>
                <c:lvl>
                  <c:pt idx="0">
                    <c:v>M</c:v>
                  </c:pt>
                  <c:pt idx="1">
                    <c:v>J</c:v>
                  </c:pt>
                  <c:pt idx="2">
                    <c:v>S</c:v>
                  </c:pt>
                  <c:pt idx="3">
                    <c:v>D</c:v>
                  </c:pt>
                  <c:pt idx="4">
                    <c:v>M</c:v>
                  </c:pt>
                  <c:pt idx="5">
                    <c:v>J</c:v>
                  </c:pt>
                  <c:pt idx="6">
                    <c:v>S</c:v>
                  </c:pt>
                  <c:pt idx="7">
                    <c:v>D</c:v>
                  </c:pt>
                  <c:pt idx="10">
                    <c:v>M</c:v>
                  </c:pt>
                  <c:pt idx="11">
                    <c:v>J</c:v>
                  </c:pt>
                  <c:pt idx="12">
                    <c:v>S</c:v>
                  </c:pt>
                  <c:pt idx="13">
                    <c:v>D</c:v>
                  </c:pt>
                  <c:pt idx="14">
                    <c:v>M</c:v>
                  </c:pt>
                  <c:pt idx="15">
                    <c:v>J</c:v>
                  </c:pt>
                  <c:pt idx="16">
                    <c:v>S</c:v>
                  </c:pt>
                  <c:pt idx="17">
                    <c:v>D</c:v>
                  </c:pt>
                  <c:pt idx="18">
                    <c:v>M</c:v>
                  </c:pt>
                  <c:pt idx="19">
                    <c:v>J</c:v>
                  </c:pt>
                  <c:pt idx="20">
                    <c:v>S</c:v>
                  </c:pt>
                  <c:pt idx="21">
                    <c:v>D</c:v>
                  </c:pt>
                  <c:pt idx="22">
                    <c:v>M</c:v>
                  </c:pt>
                  <c:pt idx="23">
                    <c:v>J</c:v>
                  </c:pt>
                  <c:pt idx="24">
                    <c:v>S</c:v>
                  </c:pt>
                  <c:pt idx="25">
                    <c:v>D</c:v>
                  </c:pt>
                  <c:pt idx="26">
                    <c:v>M</c:v>
                  </c:pt>
                  <c:pt idx="27">
                    <c:v>J</c:v>
                  </c:pt>
                  <c:pt idx="28">
                    <c:v>S</c:v>
                  </c:pt>
                  <c:pt idx="29">
                    <c:v>D</c:v>
                  </c:pt>
                  <c:pt idx="30">
                    <c:v>M</c:v>
                  </c:pt>
                  <c:pt idx="31">
                    <c:v>J</c:v>
                  </c:pt>
                  <c:pt idx="32">
                    <c:v>S</c:v>
                  </c:pt>
                  <c:pt idx="33">
                    <c:v>D</c:v>
                  </c:pt>
                  <c:pt idx="34">
                    <c:v>M</c:v>
                  </c:pt>
                  <c:pt idx="35">
                    <c:v>J</c:v>
                  </c:pt>
                  <c:pt idx="36">
                    <c:v>S</c:v>
                  </c:pt>
                  <c:pt idx="37">
                    <c:v>D</c:v>
                  </c:pt>
                  <c:pt idx="38">
                    <c:v>M</c:v>
                  </c:pt>
                  <c:pt idx="39">
                    <c:v>J</c:v>
                  </c:pt>
                  <c:pt idx="40">
                    <c:v>S</c:v>
                  </c:pt>
                  <c:pt idx="41">
                    <c:v>D</c:v>
                  </c:pt>
                  <c:pt idx="42">
                    <c:v>M</c:v>
                  </c:pt>
                  <c:pt idx="43">
                    <c:v>J</c:v>
                  </c:pt>
                  <c:pt idx="44">
                    <c:v>S</c:v>
                  </c:pt>
                  <c:pt idx="45">
                    <c:v>D</c:v>
                  </c:pt>
                  <c:pt idx="46">
                    <c:v>M</c:v>
                  </c:pt>
                  <c:pt idx="47">
                    <c:v>J</c:v>
                  </c:pt>
                  <c:pt idx="48">
                    <c:v>S</c:v>
                  </c:pt>
                  <c:pt idx="49">
                    <c:v>D</c:v>
                  </c:pt>
                  <c:pt idx="50">
                    <c:v>M</c:v>
                  </c:pt>
                  <c:pt idx="51">
                    <c:v>J</c:v>
                  </c:pt>
                  <c:pt idx="52">
                    <c:v>S</c:v>
                  </c:pt>
                  <c:pt idx="53">
                    <c:v>D</c:v>
                  </c:pt>
                  <c:pt idx="54">
                    <c:v>M</c:v>
                  </c:pt>
                  <c:pt idx="55">
                    <c:v>J</c:v>
                  </c:pt>
                  <c:pt idx="56">
                    <c:v>S</c:v>
                  </c:pt>
                  <c:pt idx="57">
                    <c:v>D</c:v>
                  </c:pt>
                  <c:pt idx="58">
                    <c:v>M</c:v>
                  </c:pt>
                  <c:pt idx="59">
                    <c:v>J</c:v>
                  </c:pt>
                  <c:pt idx="60">
                    <c:v>S</c:v>
                  </c:pt>
                  <c:pt idx="61">
                    <c:v>D</c:v>
                  </c:pt>
                  <c:pt idx="62">
                    <c:v>M</c:v>
                  </c:pt>
                  <c:pt idx="63">
                    <c:v>J</c:v>
                  </c:pt>
                  <c:pt idx="64">
                    <c:v>S</c:v>
                  </c:pt>
                  <c:pt idx="65">
                    <c:v>D</c:v>
                  </c:pt>
                  <c:pt idx="66">
                    <c:v>M</c:v>
                  </c:pt>
                  <c:pt idx="67">
                    <c:v>J</c:v>
                  </c:pt>
                  <c:pt idx="68">
                    <c:v>S</c:v>
                  </c:pt>
                  <c:pt idx="69">
                    <c:v>D</c:v>
                  </c:pt>
                  <c:pt idx="70">
                    <c:v>M</c:v>
                  </c:pt>
                  <c:pt idx="71">
                    <c:v>J</c:v>
                  </c:pt>
                  <c:pt idx="72">
                    <c:v>S</c:v>
                  </c:pt>
                  <c:pt idx="73">
                    <c:v>D</c:v>
                  </c:pt>
                  <c:pt idx="74">
                    <c:v>M</c:v>
                  </c:pt>
                  <c:pt idx="75">
                    <c:v>J</c:v>
                  </c:pt>
                  <c:pt idx="76">
                    <c:v>S</c:v>
                  </c:pt>
                  <c:pt idx="77">
                    <c:v>D</c:v>
                  </c:pt>
                  <c:pt idx="78">
                    <c:v>M</c:v>
                  </c:pt>
                  <c:pt idx="79">
                    <c:v>J</c:v>
                  </c:pt>
                  <c:pt idx="80">
                    <c:v>S</c:v>
                  </c:pt>
                  <c:pt idx="81">
                    <c:v>D</c:v>
                  </c:pt>
                  <c:pt idx="82">
                    <c:v>M</c:v>
                  </c:pt>
                  <c:pt idx="83">
                    <c:v>J</c:v>
                  </c:pt>
                  <c:pt idx="84">
                    <c:v>S</c:v>
                  </c:pt>
                  <c:pt idx="85">
                    <c:v>D</c:v>
                  </c:pt>
                  <c:pt idx="86">
                    <c:v>M</c:v>
                  </c:pt>
                  <c:pt idx="87">
                    <c:v>J</c:v>
                  </c:pt>
                  <c:pt idx="88">
                    <c:v>S</c:v>
                  </c:pt>
                  <c:pt idx="89">
                    <c:v>D</c:v>
                  </c:pt>
                </c:lvl>
                <c:lvl>
                  <c:pt idx="0">
                    <c:v>1994</c:v>
                  </c:pt>
                  <c:pt idx="4">
                    <c:v>1995</c:v>
                  </c:pt>
                  <c:pt idx="10">
                    <c:v>1996</c:v>
                  </c:pt>
                  <c:pt idx="14">
                    <c:v>1997</c:v>
                  </c:pt>
                  <c:pt idx="18">
                    <c:v>1998</c:v>
                  </c:pt>
                  <c:pt idx="22">
                    <c:v>1999</c:v>
                  </c:pt>
                  <c:pt idx="26">
                    <c:v>2000</c:v>
                  </c:pt>
                  <c:pt idx="30">
                    <c:v>2001</c:v>
                  </c:pt>
                  <c:pt idx="34">
                    <c:v>2002</c:v>
                  </c:pt>
                  <c:pt idx="38">
                    <c:v>2003</c:v>
                  </c:pt>
                  <c:pt idx="42">
                    <c:v>2004</c:v>
                  </c:pt>
                  <c:pt idx="46">
                    <c:v>2005</c:v>
                  </c:pt>
                  <c:pt idx="50">
                    <c:v>2006</c:v>
                  </c:pt>
                  <c:pt idx="54">
                    <c:v>2007</c:v>
                  </c:pt>
                  <c:pt idx="58">
                    <c:v>2008</c:v>
                  </c:pt>
                  <c:pt idx="62">
                    <c:v>2009</c:v>
                  </c:pt>
                  <c:pt idx="66">
                    <c:v>2010</c:v>
                  </c:pt>
                  <c:pt idx="70">
                    <c:v>2011</c:v>
                  </c:pt>
                  <c:pt idx="74">
                    <c:v>2012</c:v>
                  </c:pt>
                  <c:pt idx="78">
                    <c:v>2013</c:v>
                  </c:pt>
                  <c:pt idx="82">
                    <c:v>2014</c:v>
                  </c:pt>
                  <c:pt idx="86">
                    <c:v>2015</c:v>
                  </c:pt>
                </c:lvl>
              </c:multiLvlStrCache>
            </c:multiLvlStrRef>
          </c:cat>
          <c:val>
            <c:numRef>
              <c:f>'Balance of Payments'!$V$127:$DG$127</c:f>
              <c:numCache>
                <c:formatCode>0.0</c:formatCode>
                <c:ptCount val="90"/>
                <c:pt idx="0">
                  <c:v>4.4349705050707104</c:v>
                </c:pt>
                <c:pt idx="1">
                  <c:v>3.1326980223383547</c:v>
                </c:pt>
                <c:pt idx="2">
                  <c:v>2.3678869579602724</c:v>
                </c:pt>
                <c:pt idx="3">
                  <c:v>2.6883648673270746</c:v>
                </c:pt>
                <c:pt idx="4">
                  <c:v>1.6095166261121601</c:v>
                </c:pt>
                <c:pt idx="5">
                  <c:v>-0.18318267222248366</c:v>
                </c:pt>
                <c:pt idx="6">
                  <c:v>2.5666684130560067</c:v>
                </c:pt>
                <c:pt idx="7">
                  <c:v>2.0625815613400516</c:v>
                </c:pt>
                <c:pt idx="10">
                  <c:v>1.6419636808275087</c:v>
                </c:pt>
                <c:pt idx="11">
                  <c:v>1.2640859832556248</c:v>
                </c:pt>
                <c:pt idx="12">
                  <c:v>2.8827207687669767</c:v>
                </c:pt>
                <c:pt idx="13">
                  <c:v>1.9908306642465599</c:v>
                </c:pt>
                <c:pt idx="14">
                  <c:v>1.3155550319906348</c:v>
                </c:pt>
                <c:pt idx="15">
                  <c:v>1.3520465348867954</c:v>
                </c:pt>
                <c:pt idx="16">
                  <c:v>1.9332631214838418</c:v>
                </c:pt>
                <c:pt idx="17">
                  <c:v>1.4936511564505957</c:v>
                </c:pt>
                <c:pt idx="18">
                  <c:v>2.3717865242916516</c:v>
                </c:pt>
                <c:pt idx="19">
                  <c:v>2.0673513644072692</c:v>
                </c:pt>
                <c:pt idx="20">
                  <c:v>0.63954892222954585</c:v>
                </c:pt>
                <c:pt idx="21">
                  <c:v>0.26847080411996477</c:v>
                </c:pt>
                <c:pt idx="22">
                  <c:v>4.7247143226489774</c:v>
                </c:pt>
                <c:pt idx="23">
                  <c:v>2.3700143477305669</c:v>
                </c:pt>
                <c:pt idx="24">
                  <c:v>2.6852100057845059</c:v>
                </c:pt>
                <c:pt idx="25">
                  <c:v>2.0483128307332827</c:v>
                </c:pt>
                <c:pt idx="26">
                  <c:v>3.2629595016969311</c:v>
                </c:pt>
                <c:pt idx="27">
                  <c:v>3.4716306519269184</c:v>
                </c:pt>
                <c:pt idx="28">
                  <c:v>2.8881966092524309</c:v>
                </c:pt>
                <c:pt idx="29">
                  <c:v>4.1464146052332334</c:v>
                </c:pt>
                <c:pt idx="30">
                  <c:v>4.250880602752062</c:v>
                </c:pt>
                <c:pt idx="31">
                  <c:v>4.8681881388691988</c:v>
                </c:pt>
                <c:pt idx="32">
                  <c:v>3.756074488293498</c:v>
                </c:pt>
                <c:pt idx="33">
                  <c:v>4.1883240350520188</c:v>
                </c:pt>
                <c:pt idx="34">
                  <c:v>4.2944970893996057</c:v>
                </c:pt>
                <c:pt idx="35">
                  <c:v>4.6776035804434262</c:v>
                </c:pt>
                <c:pt idx="36">
                  <c:v>3.8022261655105658</c:v>
                </c:pt>
                <c:pt idx="37">
                  <c:v>3.7743596520622811</c:v>
                </c:pt>
                <c:pt idx="38">
                  <c:v>3.0804019672582941</c:v>
                </c:pt>
                <c:pt idx="39">
                  <c:v>2.014621862061817</c:v>
                </c:pt>
                <c:pt idx="40">
                  <c:v>2.1322158194868353</c:v>
                </c:pt>
                <c:pt idx="41">
                  <c:v>0.88326837133018399</c:v>
                </c:pt>
                <c:pt idx="42">
                  <c:v>1.2634687614865598</c:v>
                </c:pt>
                <c:pt idx="43">
                  <c:v>-0.51058212674402015</c:v>
                </c:pt>
                <c:pt idx="44">
                  <c:v>-0.16723104065909572</c:v>
                </c:pt>
                <c:pt idx="45">
                  <c:v>-0.84106114292322354</c:v>
                </c:pt>
                <c:pt idx="46">
                  <c:v>-0.43268933110276098</c:v>
                </c:pt>
                <c:pt idx="47">
                  <c:v>0.68681420590701014</c:v>
                </c:pt>
                <c:pt idx="48">
                  <c:v>-0.56311706714027865</c:v>
                </c:pt>
                <c:pt idx="49">
                  <c:v>-0.17437580525485896</c:v>
                </c:pt>
                <c:pt idx="50">
                  <c:v>-0.52831198553024994</c:v>
                </c:pt>
                <c:pt idx="51">
                  <c:v>-1.0994039282398183</c:v>
                </c:pt>
                <c:pt idx="52">
                  <c:v>-0.26714432531864984</c:v>
                </c:pt>
                <c:pt idx="53">
                  <c:v>-3.2483801340369265</c:v>
                </c:pt>
                <c:pt idx="54">
                  <c:v>0.45038093035663129</c:v>
                </c:pt>
                <c:pt idx="55">
                  <c:v>-1.5888101925425804</c:v>
                </c:pt>
                <c:pt idx="56">
                  <c:v>-2.0510322194464745</c:v>
                </c:pt>
                <c:pt idx="57">
                  <c:v>-0.25337651849518256</c:v>
                </c:pt>
                <c:pt idx="58">
                  <c:v>-0.52527048539564991</c:v>
                </c:pt>
                <c:pt idx="59">
                  <c:v>-0.84865195163937535</c:v>
                </c:pt>
                <c:pt idx="60">
                  <c:v>-1.2660803855562306</c:v>
                </c:pt>
                <c:pt idx="61">
                  <c:v>0.17868553809357191</c:v>
                </c:pt>
                <c:pt idx="62">
                  <c:v>0.10026815902996386</c:v>
                </c:pt>
                <c:pt idx="63">
                  <c:v>1.7011498174206416</c:v>
                </c:pt>
                <c:pt idx="64">
                  <c:v>1.7084449482845785</c:v>
                </c:pt>
                <c:pt idx="65">
                  <c:v>0.95819698451473179</c:v>
                </c:pt>
                <c:pt idx="66">
                  <c:v>1.1754355054049908</c:v>
                </c:pt>
                <c:pt idx="67">
                  <c:v>1.9678923782520952</c:v>
                </c:pt>
                <c:pt idx="68">
                  <c:v>2.1319643185706605</c:v>
                </c:pt>
                <c:pt idx="69">
                  <c:v>3.3356541442258281</c:v>
                </c:pt>
                <c:pt idx="70">
                  <c:v>2.4890815477308816</c:v>
                </c:pt>
                <c:pt idx="71">
                  <c:v>2.0894020265679263</c:v>
                </c:pt>
                <c:pt idx="72">
                  <c:v>1.8935103941017248</c:v>
                </c:pt>
                <c:pt idx="73">
                  <c:v>0.34954404394885863</c:v>
                </c:pt>
                <c:pt idx="74">
                  <c:v>-0.15298946139192651</c:v>
                </c:pt>
                <c:pt idx="75">
                  <c:v>-0.57933286527916306</c:v>
                </c:pt>
                <c:pt idx="76">
                  <c:v>-1.3942829184251915</c:v>
                </c:pt>
                <c:pt idx="77">
                  <c:v>-1.6903008566093396</c:v>
                </c:pt>
                <c:pt idx="78">
                  <c:v>-1.7447105907860088</c:v>
                </c:pt>
                <c:pt idx="79">
                  <c:v>-2.2401111120353874</c:v>
                </c:pt>
                <c:pt idx="80">
                  <c:v>-2.5172669640866245</c:v>
                </c:pt>
                <c:pt idx="81">
                  <c:v>-1.2492813801449001</c:v>
                </c:pt>
                <c:pt idx="82">
                  <c:v>-1.9270746554220102</c:v>
                </c:pt>
                <c:pt idx="83">
                  <c:v>-2.4153934481612152</c:v>
                </c:pt>
                <c:pt idx="84">
                  <c:v>-2.026357440723038</c:v>
                </c:pt>
                <c:pt idx="85">
                  <c:v>-0.89926499496891377</c:v>
                </c:pt>
              </c:numCache>
            </c:numRef>
          </c:val>
          <c:smooth val="0"/>
          <c:extLst>
            <c:ext xmlns:c16="http://schemas.microsoft.com/office/drawing/2014/chart" uri="{C3380CC4-5D6E-409C-BE32-E72D297353CC}">
              <c16:uniqueId val="{00000000-E945-40B7-B355-D5694A40C543}"/>
            </c:ext>
          </c:extLst>
        </c:ser>
        <c:dLbls>
          <c:showLegendKey val="0"/>
          <c:showVal val="0"/>
          <c:showCatName val="0"/>
          <c:showSerName val="0"/>
          <c:showPercent val="0"/>
          <c:showBubbleSize val="0"/>
        </c:dLbls>
        <c:marker val="1"/>
        <c:smooth val="0"/>
        <c:axId val="402112224"/>
        <c:axId val="402107128"/>
      </c:lineChart>
      <c:catAx>
        <c:axId val="402109872"/>
        <c:scaling>
          <c:orientation val="minMax"/>
        </c:scaling>
        <c:delete val="0"/>
        <c:axPos val="b"/>
        <c:numFmt formatCode="General" sourceLinked="0"/>
        <c:majorTickMark val="out"/>
        <c:minorTickMark val="none"/>
        <c:tickLblPos val="nextTo"/>
        <c:crossAx val="402113008"/>
        <c:crosses val="autoZero"/>
        <c:auto val="1"/>
        <c:lblAlgn val="ctr"/>
        <c:lblOffset val="100"/>
        <c:noMultiLvlLbl val="0"/>
      </c:catAx>
      <c:valAx>
        <c:axId val="402113008"/>
        <c:scaling>
          <c:orientation val="minMax"/>
        </c:scaling>
        <c:delete val="0"/>
        <c:axPos val="l"/>
        <c:majorGridlines>
          <c:spPr>
            <a:ln>
              <a:prstDash val="sysDash"/>
            </a:ln>
          </c:spPr>
        </c:majorGridlines>
        <c:title>
          <c:tx>
            <c:rich>
              <a:bodyPr rot="-5400000" vert="horz"/>
              <a:lstStyle/>
              <a:p>
                <a:pPr>
                  <a:defRPr b="0"/>
                </a:pPr>
                <a:r>
                  <a:rPr lang="en-US" b="0"/>
                  <a:t>% of GDP</a:t>
                </a:r>
              </a:p>
            </c:rich>
          </c:tx>
          <c:overlay val="0"/>
        </c:title>
        <c:numFmt formatCode="0.0" sourceLinked="1"/>
        <c:majorTickMark val="out"/>
        <c:minorTickMark val="none"/>
        <c:tickLblPos val="nextTo"/>
        <c:crossAx val="402109872"/>
        <c:crosses val="autoZero"/>
        <c:crossBetween val="between"/>
      </c:valAx>
      <c:valAx>
        <c:axId val="402107128"/>
        <c:scaling>
          <c:orientation val="minMax"/>
        </c:scaling>
        <c:delete val="0"/>
        <c:axPos val="r"/>
        <c:title>
          <c:tx>
            <c:rich>
              <a:bodyPr rot="-5400000" vert="horz"/>
              <a:lstStyle/>
              <a:p>
                <a:pPr>
                  <a:defRPr b="0"/>
                </a:pPr>
                <a:r>
                  <a:rPr lang="en-US" b="0"/>
                  <a:t>Balance on current account</a:t>
                </a:r>
              </a:p>
            </c:rich>
          </c:tx>
          <c:overlay val="0"/>
        </c:title>
        <c:numFmt formatCode="0.0" sourceLinked="1"/>
        <c:majorTickMark val="out"/>
        <c:minorTickMark val="none"/>
        <c:tickLblPos val="nextTo"/>
        <c:crossAx val="402112224"/>
        <c:crosses val="max"/>
        <c:crossBetween val="between"/>
      </c:valAx>
      <c:catAx>
        <c:axId val="402112224"/>
        <c:scaling>
          <c:orientation val="minMax"/>
        </c:scaling>
        <c:delete val="1"/>
        <c:axPos val="b"/>
        <c:numFmt formatCode="General" sourceLinked="1"/>
        <c:majorTickMark val="out"/>
        <c:minorTickMark val="none"/>
        <c:tickLblPos val="nextTo"/>
        <c:crossAx val="402107128"/>
        <c:crosses val="autoZero"/>
        <c:auto val="1"/>
        <c:lblAlgn val="ctr"/>
        <c:lblOffset val="100"/>
        <c:noMultiLvlLbl val="0"/>
      </c:catAx>
    </c:plotArea>
    <c:legend>
      <c:legendPos val="b"/>
      <c:overlay val="0"/>
    </c:legend>
    <c:plotVisOnly val="1"/>
    <c:dispBlanksAs val="gap"/>
    <c:showDLblsOverMax val="0"/>
  </c:chart>
  <c:txPr>
    <a:bodyPr/>
    <a:lstStyle/>
    <a:p>
      <a:pPr>
        <a:defRPr sz="800">
          <a:latin typeface="Arial Narrow" panose="020B060602020203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00" b="0" i="0" u="none" strike="noStrike" baseline="0">
                <a:solidFill>
                  <a:srgbClr val="000000"/>
                </a:solidFill>
                <a:latin typeface="Arial"/>
                <a:ea typeface="Arial"/>
                <a:cs typeface="Arial"/>
              </a:defRPr>
            </a:pPr>
            <a:r>
              <a:rPr lang="en-US"/>
              <a:t>SA'Competitivie Outlook </a:t>
            </a:r>
          </a:p>
        </c:rich>
      </c:tx>
      <c:overlay val="0"/>
      <c:spPr>
        <a:noFill/>
        <a:ln w="25400">
          <a:noFill/>
        </a:ln>
      </c:spPr>
    </c:title>
    <c:autoTitleDeleted val="0"/>
    <c:plotArea>
      <c:layout/>
      <c:barChart>
        <c:barDir val="col"/>
        <c:grouping val="clustered"/>
        <c:varyColors val="0"/>
        <c:ser>
          <c:idx val="0"/>
          <c:order val="0"/>
          <c:tx>
            <c:strRef>
              <c:f>[4]Competitiveness!$E$8</c:f>
              <c:strCache>
                <c:ptCount val="1"/>
                <c:pt idx="0">
                  <c:v>2005-2006 </c:v>
                </c:pt>
              </c:strCache>
            </c:strRef>
          </c:tx>
          <c:spPr>
            <a:solidFill>
              <a:srgbClr val="9999FF"/>
            </a:solidFill>
            <a:ln w="25400">
              <a:solidFill>
                <a:srgbClr val="000080"/>
              </a:solidFill>
              <a:prstDash val="solid"/>
            </a:ln>
          </c:spPr>
          <c:invertIfNegative val="0"/>
          <c:cat>
            <c:strRef>
              <c:f>[4]Competitiveness!$D$9:$D$22</c:f>
              <c:strCache>
                <c:ptCount val="14"/>
                <c:pt idx="0">
                  <c:v>Malaysia</c:v>
                </c:pt>
                <c:pt idx="1">
                  <c:v>Chile</c:v>
                </c:pt>
                <c:pt idx="2">
                  <c:v>Estonia</c:v>
                </c:pt>
                <c:pt idx="3">
                  <c:v>Lithuania</c:v>
                </c:pt>
                <c:pt idx="4">
                  <c:v>Slovakia</c:v>
                </c:pt>
                <c:pt idx="5">
                  <c:v>South Africa</c:v>
                </c:pt>
                <c:pt idx="6">
                  <c:v>Latvia</c:v>
                </c:pt>
                <c:pt idx="7">
                  <c:v>Hungary</c:v>
                </c:pt>
                <c:pt idx="8">
                  <c:v>Poland</c:v>
                </c:pt>
                <c:pt idx="9">
                  <c:v>Mexico</c:v>
                </c:pt>
                <c:pt idx="10">
                  <c:v>Mauritius</c:v>
                </c:pt>
                <c:pt idx="11">
                  <c:v>Brazil</c:v>
                </c:pt>
                <c:pt idx="12">
                  <c:v>Romania</c:v>
                </c:pt>
                <c:pt idx="13">
                  <c:v>Botswana</c:v>
                </c:pt>
              </c:strCache>
            </c:strRef>
          </c:cat>
          <c:val>
            <c:numRef>
              <c:f>[4]Competitiveness!$E$9:$E$22</c:f>
              <c:numCache>
                <c:formatCode>General</c:formatCode>
                <c:ptCount val="14"/>
                <c:pt idx="0">
                  <c:v>26</c:v>
                </c:pt>
                <c:pt idx="1">
                  <c:v>27</c:v>
                </c:pt>
                <c:pt idx="2">
                  <c:v>25</c:v>
                </c:pt>
                <c:pt idx="3">
                  <c:v>40</c:v>
                </c:pt>
                <c:pt idx="4">
                  <c:v>37</c:v>
                </c:pt>
                <c:pt idx="5">
                  <c:v>45</c:v>
                </c:pt>
                <c:pt idx="6">
                  <c:v>36</c:v>
                </c:pt>
                <c:pt idx="7">
                  <c:v>41</c:v>
                </c:pt>
                <c:pt idx="8">
                  <c:v>48</c:v>
                </c:pt>
                <c:pt idx="9">
                  <c:v>58</c:v>
                </c:pt>
                <c:pt idx="10">
                  <c:v>55</c:v>
                </c:pt>
                <c:pt idx="11">
                  <c:v>66</c:v>
                </c:pt>
                <c:pt idx="12">
                  <c:v>68</c:v>
                </c:pt>
                <c:pt idx="13">
                  <c:v>81</c:v>
                </c:pt>
              </c:numCache>
            </c:numRef>
          </c:val>
          <c:extLst>
            <c:ext xmlns:c16="http://schemas.microsoft.com/office/drawing/2014/chart" uri="{C3380CC4-5D6E-409C-BE32-E72D297353CC}">
              <c16:uniqueId val="{00000000-9D72-416E-80C1-6F2434186934}"/>
            </c:ext>
          </c:extLst>
        </c:ser>
        <c:ser>
          <c:idx val="1"/>
          <c:order val="1"/>
          <c:tx>
            <c:strRef>
              <c:f>[4]Competitiveness!$F$8</c:f>
              <c:strCache>
                <c:ptCount val="1"/>
                <c:pt idx="0">
                  <c:v>2006-2007 </c:v>
                </c:pt>
              </c:strCache>
            </c:strRef>
          </c:tx>
          <c:spPr>
            <a:solidFill>
              <a:srgbClr val="993366"/>
            </a:solidFill>
            <a:ln w="25400">
              <a:noFill/>
            </a:ln>
          </c:spPr>
          <c:invertIfNegative val="0"/>
          <c:cat>
            <c:strRef>
              <c:f>[4]Competitiveness!$D$9:$D$22</c:f>
              <c:strCache>
                <c:ptCount val="14"/>
                <c:pt idx="0">
                  <c:v>Malaysia</c:v>
                </c:pt>
                <c:pt idx="1">
                  <c:v>Chile</c:v>
                </c:pt>
                <c:pt idx="2">
                  <c:v>Estonia</c:v>
                </c:pt>
                <c:pt idx="3">
                  <c:v>Lithuania</c:v>
                </c:pt>
                <c:pt idx="4">
                  <c:v>Slovakia</c:v>
                </c:pt>
                <c:pt idx="5">
                  <c:v>South Africa</c:v>
                </c:pt>
                <c:pt idx="6">
                  <c:v>Latvia</c:v>
                </c:pt>
                <c:pt idx="7">
                  <c:v>Hungary</c:v>
                </c:pt>
                <c:pt idx="8">
                  <c:v>Poland</c:v>
                </c:pt>
                <c:pt idx="9">
                  <c:v>Mexico</c:v>
                </c:pt>
                <c:pt idx="10">
                  <c:v>Mauritius</c:v>
                </c:pt>
                <c:pt idx="11">
                  <c:v>Brazil</c:v>
                </c:pt>
                <c:pt idx="12">
                  <c:v>Romania</c:v>
                </c:pt>
                <c:pt idx="13">
                  <c:v>Botswana</c:v>
                </c:pt>
              </c:strCache>
            </c:strRef>
          </c:cat>
          <c:val>
            <c:numRef>
              <c:f>[4]Competitiveness!$F$9:$F$22</c:f>
              <c:numCache>
                <c:formatCode>General</c:formatCode>
                <c:ptCount val="14"/>
                <c:pt idx="0">
                  <c:v>19</c:v>
                </c:pt>
                <c:pt idx="1">
                  <c:v>27</c:v>
                </c:pt>
                <c:pt idx="2">
                  <c:v>26</c:v>
                </c:pt>
                <c:pt idx="3">
                  <c:v>39</c:v>
                </c:pt>
                <c:pt idx="4">
                  <c:v>37</c:v>
                </c:pt>
                <c:pt idx="5">
                  <c:v>36</c:v>
                </c:pt>
                <c:pt idx="6">
                  <c:v>44</c:v>
                </c:pt>
                <c:pt idx="7">
                  <c:v>38</c:v>
                </c:pt>
                <c:pt idx="8">
                  <c:v>45</c:v>
                </c:pt>
                <c:pt idx="9">
                  <c:v>52</c:v>
                </c:pt>
                <c:pt idx="10">
                  <c:v>55</c:v>
                </c:pt>
                <c:pt idx="11">
                  <c:v>66</c:v>
                </c:pt>
                <c:pt idx="12">
                  <c:v>73</c:v>
                </c:pt>
                <c:pt idx="13">
                  <c:v>57</c:v>
                </c:pt>
              </c:numCache>
            </c:numRef>
          </c:val>
          <c:extLst>
            <c:ext xmlns:c16="http://schemas.microsoft.com/office/drawing/2014/chart" uri="{C3380CC4-5D6E-409C-BE32-E72D297353CC}">
              <c16:uniqueId val="{00000001-9D72-416E-80C1-6F2434186934}"/>
            </c:ext>
          </c:extLst>
        </c:ser>
        <c:ser>
          <c:idx val="2"/>
          <c:order val="2"/>
          <c:tx>
            <c:strRef>
              <c:f>[4]Competitiveness!$G$8</c:f>
              <c:strCache>
                <c:ptCount val="1"/>
                <c:pt idx="0">
                  <c:v>2007-2008</c:v>
                </c:pt>
              </c:strCache>
            </c:strRef>
          </c:tx>
          <c:spPr>
            <a:solidFill>
              <a:srgbClr val="FFFFCC"/>
            </a:solidFill>
            <a:ln w="12700">
              <a:solidFill>
                <a:srgbClr val="000000"/>
              </a:solidFill>
              <a:prstDash val="solid"/>
            </a:ln>
          </c:spPr>
          <c:invertIfNegative val="0"/>
          <c:cat>
            <c:strRef>
              <c:f>[4]Competitiveness!$D$9:$D$22</c:f>
              <c:strCache>
                <c:ptCount val="14"/>
                <c:pt idx="0">
                  <c:v>Malaysia</c:v>
                </c:pt>
                <c:pt idx="1">
                  <c:v>Chile</c:v>
                </c:pt>
                <c:pt idx="2">
                  <c:v>Estonia</c:v>
                </c:pt>
                <c:pt idx="3">
                  <c:v>Lithuania</c:v>
                </c:pt>
                <c:pt idx="4">
                  <c:v>Slovakia</c:v>
                </c:pt>
                <c:pt idx="5">
                  <c:v>South Africa</c:v>
                </c:pt>
                <c:pt idx="6">
                  <c:v>Latvia</c:v>
                </c:pt>
                <c:pt idx="7">
                  <c:v>Hungary</c:v>
                </c:pt>
                <c:pt idx="8">
                  <c:v>Poland</c:v>
                </c:pt>
                <c:pt idx="9">
                  <c:v>Mexico</c:v>
                </c:pt>
                <c:pt idx="10">
                  <c:v>Mauritius</c:v>
                </c:pt>
                <c:pt idx="11">
                  <c:v>Brazil</c:v>
                </c:pt>
                <c:pt idx="12">
                  <c:v>Romania</c:v>
                </c:pt>
                <c:pt idx="13">
                  <c:v>Botswana</c:v>
                </c:pt>
              </c:strCache>
            </c:strRef>
          </c:cat>
          <c:val>
            <c:numRef>
              <c:f>[4]Competitiveness!$G$9:$G$22</c:f>
              <c:numCache>
                <c:formatCode>General</c:formatCode>
                <c:ptCount val="14"/>
                <c:pt idx="0">
                  <c:v>21</c:v>
                </c:pt>
                <c:pt idx="1">
                  <c:v>26</c:v>
                </c:pt>
                <c:pt idx="2">
                  <c:v>27</c:v>
                </c:pt>
                <c:pt idx="3">
                  <c:v>38</c:v>
                </c:pt>
                <c:pt idx="4">
                  <c:v>41</c:v>
                </c:pt>
                <c:pt idx="5">
                  <c:v>44</c:v>
                </c:pt>
                <c:pt idx="6">
                  <c:v>45</c:v>
                </c:pt>
                <c:pt idx="7">
                  <c:v>47</c:v>
                </c:pt>
                <c:pt idx="8">
                  <c:v>51</c:v>
                </c:pt>
                <c:pt idx="9">
                  <c:v>52</c:v>
                </c:pt>
                <c:pt idx="10">
                  <c:v>60</c:v>
                </c:pt>
                <c:pt idx="11">
                  <c:v>72</c:v>
                </c:pt>
                <c:pt idx="12">
                  <c:v>74</c:v>
                </c:pt>
                <c:pt idx="13">
                  <c:v>76</c:v>
                </c:pt>
              </c:numCache>
            </c:numRef>
          </c:val>
          <c:extLst>
            <c:ext xmlns:c16="http://schemas.microsoft.com/office/drawing/2014/chart" uri="{C3380CC4-5D6E-409C-BE32-E72D297353CC}">
              <c16:uniqueId val="{00000002-9D72-416E-80C1-6F2434186934}"/>
            </c:ext>
          </c:extLst>
        </c:ser>
        <c:dLbls>
          <c:showLegendKey val="0"/>
          <c:showVal val="0"/>
          <c:showCatName val="0"/>
          <c:showSerName val="0"/>
          <c:showPercent val="0"/>
          <c:showBubbleSize val="0"/>
        </c:dLbls>
        <c:gapWidth val="150"/>
        <c:axId val="402112616"/>
        <c:axId val="402113400"/>
      </c:barChart>
      <c:catAx>
        <c:axId val="402112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2113400"/>
        <c:crosses val="autoZero"/>
        <c:auto val="1"/>
        <c:lblAlgn val="ctr"/>
        <c:lblOffset val="100"/>
        <c:tickLblSkip val="1"/>
        <c:tickMarkSkip val="1"/>
        <c:noMultiLvlLbl val="0"/>
      </c:catAx>
      <c:valAx>
        <c:axId val="402113400"/>
        <c:scaling>
          <c:orientation val="minMax"/>
        </c:scaling>
        <c:delete val="0"/>
        <c:axPos val="l"/>
        <c:majorGridlines>
          <c:spPr>
            <a:ln w="3175">
              <a:solidFill>
                <a:srgbClr val="000000"/>
              </a:solidFill>
              <a:prstDash val="solid"/>
            </a:ln>
          </c:spPr>
        </c:majorGridlines>
        <c:title>
          <c:tx>
            <c:rich>
              <a:bodyPr/>
              <a:lstStyle/>
              <a:p>
                <a:pPr>
                  <a:defRPr lang="en-US" sz="200" b="0" i="0" u="none" strike="noStrike" baseline="0">
                    <a:solidFill>
                      <a:srgbClr val="000000"/>
                    </a:solidFill>
                    <a:latin typeface="Arial"/>
                    <a:ea typeface="Arial"/>
                    <a:cs typeface="Arial"/>
                  </a:defRPr>
                </a:pPr>
                <a:r>
                  <a:rPr lang="en-US"/>
                  <a:t>ranking</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211261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 Global competitiveness - WEF </a:t>
            </a:r>
          </a:p>
        </c:rich>
      </c:tx>
      <c:layout>
        <c:manualLayout>
          <c:xMode val="edge"/>
          <c:yMode val="edge"/>
          <c:x val="0.19384114418852727"/>
          <c:y val="1.5920398009950248E-2"/>
        </c:manualLayout>
      </c:layout>
      <c:overlay val="0"/>
    </c:title>
    <c:autoTitleDeleted val="0"/>
    <c:plotArea>
      <c:layout>
        <c:manualLayout>
          <c:layoutTarget val="inner"/>
          <c:xMode val="edge"/>
          <c:yMode val="edge"/>
          <c:x val="0.16351144609597598"/>
          <c:y val="0.14506710541779291"/>
          <c:w val="0.79813417674255149"/>
          <c:h val="0.67398215474261891"/>
        </c:manualLayout>
      </c:layout>
      <c:lineChart>
        <c:grouping val="standard"/>
        <c:varyColors val="0"/>
        <c:ser>
          <c:idx val="0"/>
          <c:order val="0"/>
          <c:tx>
            <c:strRef>
              <c:f>'Competitiveness_SA_Outlook '!$D$32</c:f>
              <c:strCache>
                <c:ptCount val="1"/>
                <c:pt idx="0">
                  <c:v>South Africa </c:v>
                </c:pt>
              </c:strCache>
            </c:strRef>
          </c:tx>
          <c:spPr>
            <a:ln w="25400">
              <a:solidFill>
                <a:schemeClr val="accent4">
                  <a:lumMod val="60000"/>
                  <a:lumOff val="40000"/>
                </a:schemeClr>
              </a:solidFill>
            </a:ln>
          </c:spPr>
          <c:marker>
            <c:symbol val="none"/>
          </c:marker>
          <c:cat>
            <c:strRef>
              <c:extLst>
                <c:ext xmlns:c15="http://schemas.microsoft.com/office/drawing/2012/chart" uri="{02D57815-91ED-43cb-92C2-25804820EDAC}">
                  <c15:fullRef>
                    <c15:sqref>'Competitiveness_SA_Outlook '!$E$7:$S$7</c15:sqref>
                  </c15:fullRef>
                </c:ext>
              </c:extLst>
              <c:f>'Competitiveness_SA_Outlook '!$J$7:$S$7</c:f>
              <c:strCache>
                <c:ptCount val="10"/>
                <c:pt idx="0">
                  <c:v> 2010/11 </c:v>
                </c:pt>
                <c:pt idx="1">
                  <c:v> 2011/12 </c:v>
                </c:pt>
                <c:pt idx="2">
                  <c:v> 2012/13 </c:v>
                </c:pt>
                <c:pt idx="3">
                  <c:v> 2013/14 </c:v>
                </c:pt>
                <c:pt idx="4">
                  <c:v> 2014/15 </c:v>
                </c:pt>
                <c:pt idx="5">
                  <c:v> 2015/16 </c:v>
                </c:pt>
                <c:pt idx="6">
                  <c:v> 2016/17 </c:v>
                </c:pt>
                <c:pt idx="7">
                  <c:v> 2017/18 </c:v>
                </c:pt>
                <c:pt idx="8">
                  <c:v> 2018/19 </c:v>
                </c:pt>
                <c:pt idx="9">
                  <c:v> 2019/20 </c:v>
                </c:pt>
              </c:strCache>
            </c:strRef>
          </c:cat>
          <c:val>
            <c:numRef>
              <c:extLst>
                <c:ext xmlns:c15="http://schemas.microsoft.com/office/drawing/2012/chart" uri="{02D57815-91ED-43cb-92C2-25804820EDAC}">
                  <c15:fullRef>
                    <c15:sqref>'Competitiveness_SA_Outlook '!$E$13:$S$13</c15:sqref>
                  </c15:fullRef>
                </c:ext>
              </c:extLst>
              <c:f>'Competitiveness_SA_Outlook '!$J$13:$S$13</c:f>
              <c:numCache>
                <c:formatCode>General</c:formatCode>
                <c:ptCount val="10"/>
                <c:pt idx="0">
                  <c:v>54</c:v>
                </c:pt>
                <c:pt idx="1">
                  <c:v>50</c:v>
                </c:pt>
                <c:pt idx="2">
                  <c:v>52</c:v>
                </c:pt>
                <c:pt idx="3">
                  <c:v>53</c:v>
                </c:pt>
                <c:pt idx="4">
                  <c:v>56</c:v>
                </c:pt>
                <c:pt idx="5">
                  <c:v>49</c:v>
                </c:pt>
                <c:pt idx="6">
                  <c:v>47</c:v>
                </c:pt>
                <c:pt idx="7">
                  <c:v>61</c:v>
                </c:pt>
                <c:pt idx="8">
                  <c:v>67</c:v>
                </c:pt>
                <c:pt idx="9">
                  <c:v>60</c:v>
                </c:pt>
              </c:numCache>
            </c:numRef>
          </c:val>
          <c:smooth val="0"/>
          <c:extLst>
            <c:ext xmlns:c16="http://schemas.microsoft.com/office/drawing/2014/chart" uri="{C3380CC4-5D6E-409C-BE32-E72D297353CC}">
              <c16:uniqueId val="{00000000-0392-4C29-9FE3-084DEFB58AC3}"/>
            </c:ext>
          </c:extLst>
        </c:ser>
        <c:dLbls>
          <c:showLegendKey val="0"/>
          <c:showVal val="0"/>
          <c:showCatName val="0"/>
          <c:showSerName val="0"/>
          <c:showPercent val="0"/>
          <c:showBubbleSize val="0"/>
        </c:dLbls>
        <c:smooth val="0"/>
        <c:axId val="400475776"/>
        <c:axId val="400479304"/>
      </c:lineChart>
      <c:catAx>
        <c:axId val="400475776"/>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400479304"/>
        <c:crosses val="max"/>
        <c:auto val="1"/>
        <c:lblAlgn val="ctr"/>
        <c:lblOffset val="100"/>
        <c:noMultiLvlLbl val="0"/>
      </c:catAx>
      <c:valAx>
        <c:axId val="400479304"/>
        <c:scaling>
          <c:orientation val="maxMin"/>
          <c:min val="30"/>
        </c:scaling>
        <c:delete val="0"/>
        <c:axPos val="l"/>
        <c:majorGridlines>
          <c:spPr>
            <a:ln>
              <a:prstDash val="dash"/>
            </a:ln>
          </c:spPr>
        </c:majorGridlines>
        <c:title>
          <c:tx>
            <c:rich>
              <a:bodyPr/>
              <a:lstStyle/>
              <a:p>
                <a:pPr>
                  <a:defRPr b="0"/>
                </a:pPr>
                <a:r>
                  <a:rPr lang="en-US" b="0"/>
                  <a:t>Rank</a:t>
                </a:r>
              </a:p>
            </c:rich>
          </c:tx>
          <c:layout>
            <c:manualLayout>
              <c:xMode val="edge"/>
              <c:yMode val="edge"/>
              <c:x val="4.1841070134329722E-2"/>
              <c:y val="0.41584893205714552"/>
            </c:manualLayout>
          </c:layout>
          <c:overlay val="0"/>
        </c:title>
        <c:numFmt formatCode="General" sourceLinked="1"/>
        <c:majorTickMark val="none"/>
        <c:minorTickMark val="none"/>
        <c:tickLblPos val="nextTo"/>
        <c:crossAx val="400475776"/>
        <c:crosses val="autoZero"/>
        <c:crossBetween val="between"/>
      </c:valAx>
    </c:plotArea>
    <c:plotVisOnly val="1"/>
    <c:dispBlanksAs val="gap"/>
    <c:showDLblsOverMax val="0"/>
  </c:chart>
  <c:txPr>
    <a:bodyPr/>
    <a:lstStyle/>
    <a:p>
      <a:pPr>
        <a:defRPr sz="900">
          <a:latin typeface="Arial Narrow" pitchFamily="34" charset="0"/>
        </a:defRPr>
      </a:pPr>
      <a:endParaRPr lang="en-US"/>
    </a:p>
  </c:txPr>
  <c:printSettings>
    <c:headerFooter/>
    <c:pageMargins b="0.750000000000004" l="0.70000000000000062" r="0.70000000000000062" t="0.750000000000004"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50" b="1" i="0" baseline="0">
                <a:effectLst/>
              </a:rPr>
              <a:t>SA Global competitiveness -IMD</a:t>
            </a:r>
            <a:endParaRPr lang="en-ZA" sz="1050">
              <a:effectLst/>
            </a:endParaRPr>
          </a:p>
        </c:rich>
      </c:tx>
      <c:layout>
        <c:manualLayout>
          <c:xMode val="edge"/>
          <c:yMode val="edge"/>
          <c:x val="0.27089297645894128"/>
          <c:y val="4.0016759953198623E-2"/>
        </c:manualLayout>
      </c:layout>
      <c:overlay val="0"/>
    </c:title>
    <c:autoTitleDeleted val="0"/>
    <c:plotArea>
      <c:layout>
        <c:manualLayout>
          <c:layoutTarget val="inner"/>
          <c:xMode val="edge"/>
          <c:yMode val="edge"/>
          <c:x val="0.16351144609597598"/>
          <c:y val="0.14506710541779291"/>
          <c:w val="0.79813417674255149"/>
          <c:h val="0.67398215474261891"/>
        </c:manualLayout>
      </c:layout>
      <c:lineChart>
        <c:grouping val="standard"/>
        <c:varyColors val="0"/>
        <c:ser>
          <c:idx val="0"/>
          <c:order val="0"/>
          <c:tx>
            <c:strRef>
              <c:f>'Competitiveness_SA_Outlook '!$D$32</c:f>
              <c:strCache>
                <c:ptCount val="1"/>
                <c:pt idx="0">
                  <c:v>South Africa </c:v>
                </c:pt>
              </c:strCache>
            </c:strRef>
          </c:tx>
          <c:marker>
            <c:symbol val="none"/>
          </c:marker>
          <c:cat>
            <c:numRef>
              <c:f>'Competitiveness_SA_Outlook '!$E$25:$V$25</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'Competitiveness_SA_Outlook '!$E$32:$V$32</c:f>
              <c:numCache>
                <c:formatCode>General</c:formatCode>
                <c:ptCount val="18"/>
                <c:pt idx="0">
                  <c:v>37</c:v>
                </c:pt>
                <c:pt idx="1">
                  <c:v>38</c:v>
                </c:pt>
                <c:pt idx="2">
                  <c:v>50</c:v>
                </c:pt>
                <c:pt idx="3">
                  <c:v>53</c:v>
                </c:pt>
                <c:pt idx="4">
                  <c:v>48</c:v>
                </c:pt>
                <c:pt idx="5">
                  <c:v>44</c:v>
                </c:pt>
                <c:pt idx="6">
                  <c:v>52</c:v>
                </c:pt>
                <c:pt idx="7">
                  <c:v>50</c:v>
                </c:pt>
                <c:pt idx="8">
                  <c:v>53</c:v>
                </c:pt>
                <c:pt idx="9">
                  <c:v>52</c:v>
                </c:pt>
                <c:pt idx="10">
                  <c:v>53</c:v>
                </c:pt>
                <c:pt idx="11">
                  <c:v>52</c:v>
                </c:pt>
                <c:pt idx="12">
                  <c:v>53</c:v>
                </c:pt>
                <c:pt idx="13">
                  <c:v>53</c:v>
                </c:pt>
                <c:pt idx="14">
                  <c:v>56</c:v>
                </c:pt>
                <c:pt idx="15">
                  <c:v>59</c:v>
                </c:pt>
                <c:pt idx="16">
                  <c:v>62</c:v>
                </c:pt>
                <c:pt idx="17">
                  <c:v>60</c:v>
                </c:pt>
              </c:numCache>
            </c:numRef>
          </c:val>
          <c:smooth val="0"/>
          <c:extLst>
            <c:ext xmlns:c16="http://schemas.microsoft.com/office/drawing/2014/chart" uri="{C3380CC4-5D6E-409C-BE32-E72D297353CC}">
              <c16:uniqueId val="{00000000-6429-478B-8998-890D6B81EE84}"/>
            </c:ext>
          </c:extLst>
        </c:ser>
        <c:dLbls>
          <c:showLegendKey val="0"/>
          <c:showVal val="0"/>
          <c:showCatName val="0"/>
          <c:showSerName val="0"/>
          <c:showPercent val="0"/>
          <c:showBubbleSize val="0"/>
        </c:dLbls>
        <c:smooth val="0"/>
        <c:axId val="400475776"/>
        <c:axId val="400479304"/>
      </c:lineChart>
      <c:catAx>
        <c:axId val="400475776"/>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400479304"/>
        <c:crosses val="max"/>
        <c:auto val="1"/>
        <c:lblAlgn val="ctr"/>
        <c:lblOffset val="100"/>
        <c:noMultiLvlLbl val="0"/>
      </c:catAx>
      <c:valAx>
        <c:axId val="400479304"/>
        <c:scaling>
          <c:orientation val="maxMin"/>
          <c:min val="30"/>
        </c:scaling>
        <c:delete val="0"/>
        <c:axPos val="l"/>
        <c:majorGridlines>
          <c:spPr>
            <a:ln>
              <a:prstDash val="dash"/>
            </a:ln>
          </c:spPr>
        </c:majorGridlines>
        <c:title>
          <c:tx>
            <c:rich>
              <a:bodyPr/>
              <a:lstStyle/>
              <a:p>
                <a:pPr>
                  <a:defRPr b="0"/>
                </a:pPr>
                <a:r>
                  <a:rPr lang="en-US" b="0"/>
                  <a:t>Rank</a:t>
                </a:r>
              </a:p>
            </c:rich>
          </c:tx>
          <c:layout>
            <c:manualLayout>
              <c:xMode val="edge"/>
              <c:yMode val="edge"/>
              <c:x val="4.1841070134329722E-2"/>
              <c:y val="0.41584893205714552"/>
            </c:manualLayout>
          </c:layout>
          <c:overlay val="0"/>
        </c:title>
        <c:numFmt formatCode="General" sourceLinked="1"/>
        <c:majorTickMark val="none"/>
        <c:minorTickMark val="none"/>
        <c:tickLblPos val="nextTo"/>
        <c:crossAx val="400475776"/>
        <c:crosses val="autoZero"/>
        <c:crossBetween val="between"/>
      </c:valAx>
    </c:plotArea>
    <c:plotVisOnly val="1"/>
    <c:dispBlanksAs val="gap"/>
    <c:showDLblsOverMax val="0"/>
  </c:chart>
  <c:txPr>
    <a:bodyPr/>
    <a:lstStyle/>
    <a:p>
      <a:pPr>
        <a:defRPr sz="900">
          <a:latin typeface="Arial Narrow" pitchFamily="34" charset="0"/>
        </a:defRPr>
      </a:pPr>
      <a:endParaRPr lang="en-US"/>
    </a:p>
  </c:txPr>
  <c:printSettings>
    <c:headerFooter/>
    <c:pageMargins b="0.750000000000004" l="0.70000000000000062" r="0.70000000000000062" t="0.750000000000004"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390084471676737E-2"/>
          <c:y val="4.1522491349480967E-2"/>
          <c:w val="0.94652210501416956"/>
          <c:h val="0.74482994124004398"/>
        </c:manualLayout>
      </c:layout>
      <c:barChart>
        <c:barDir val="col"/>
        <c:grouping val="clustered"/>
        <c:varyColors val="0"/>
        <c:ser>
          <c:idx val="5"/>
          <c:order val="0"/>
          <c:tx>
            <c:strRef>
              <c:f>'Black &amp; Female Managers'!$D$48</c:f>
              <c:strCache>
                <c:ptCount val="1"/>
                <c:pt idx="0">
                  <c:v>Black Top managers</c:v>
                </c:pt>
              </c:strCache>
            </c:strRef>
          </c:tx>
          <c:spPr>
            <a:solidFill>
              <a:srgbClr val="FCD5B5"/>
            </a:solidFill>
          </c:spPr>
          <c:invertIfNegative val="0"/>
          <c:cat>
            <c:strRef>
              <c:extLst>
                <c:ext xmlns:c15="http://schemas.microsoft.com/office/drawing/2012/chart" uri="{02D57815-91ED-43cb-92C2-25804820EDAC}">
                  <c15:fullRef>
                    <c15:sqref>'Black &amp; Female Managers'!$E$47:$Z$47</c15:sqref>
                  </c15:fullRef>
                </c:ext>
              </c:extLst>
              <c:f>'Black &amp; Female Managers'!$M$47:$Z$47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extLst>
                <c:ext xmlns:c15="http://schemas.microsoft.com/office/drawing/2012/chart" uri="{02D57815-91ED-43cb-92C2-25804820EDAC}">
                  <c15:fullRef>
                    <c15:sqref>'Black &amp; Female Managers'!$E$48:$Z$48</c15:sqref>
                  </c15:fullRef>
                </c:ext>
              </c:extLst>
              <c:f>'Black &amp; Female Managers'!$M$48:$Z$48</c:f>
              <c:numCache>
                <c:formatCode>0.0%</c:formatCode>
                <c:ptCount val="14"/>
                <c:pt idx="0">
                  <c:v>0.24200000000000002</c:v>
                </c:pt>
                <c:pt idx="1">
                  <c:v>0.32200000000000001</c:v>
                </c:pt>
                <c:pt idx="2">
                  <c:v>0.24099999999999999</c:v>
                </c:pt>
                <c:pt idx="3">
                  <c:v>0.308</c:v>
                </c:pt>
                <c:pt idx="4">
                  <c:v>0.24199999999999999</c:v>
                </c:pt>
                <c:pt idx="5">
                  <c:v>0.33299999999999996</c:v>
                </c:pt>
                <c:pt idx="6">
                  <c:v>0.26700000000000002</c:v>
                </c:pt>
                <c:pt idx="7">
                  <c:v>0.27600000000000002</c:v>
                </c:pt>
                <c:pt idx="8">
                  <c:v>0.28199999999999997</c:v>
                </c:pt>
                <c:pt idx="9">
                  <c:v>0.28799999999999998</c:v>
                </c:pt>
                <c:pt idx="10">
                  <c:v>0.30099999999999999</c:v>
                </c:pt>
                <c:pt idx="11">
                  <c:v>0.311</c:v>
                </c:pt>
                <c:pt idx="12">
                  <c:v>0.32100000000000001</c:v>
                </c:pt>
                <c:pt idx="13">
                  <c:v>0.33800000000000002</c:v>
                </c:pt>
              </c:numCache>
            </c:numRef>
          </c:val>
          <c:extLst>
            <c:ext xmlns:c16="http://schemas.microsoft.com/office/drawing/2014/chart" uri="{C3380CC4-5D6E-409C-BE32-E72D297353CC}">
              <c16:uniqueId val="{00000000-2089-46C7-B57F-8F461569631D}"/>
            </c:ext>
          </c:extLst>
        </c:ser>
        <c:ser>
          <c:idx val="6"/>
          <c:order val="1"/>
          <c:tx>
            <c:strRef>
              <c:f>'Black &amp; Female Managers'!$D$49</c:f>
              <c:strCache>
                <c:ptCount val="1"/>
                <c:pt idx="0">
                  <c:v>Black Senior Managers</c:v>
                </c:pt>
              </c:strCache>
            </c:strRef>
          </c:tx>
          <c:spPr>
            <a:solidFill>
              <a:srgbClr val="F8A662"/>
            </a:solidFill>
          </c:spPr>
          <c:invertIfNegative val="0"/>
          <c:cat>
            <c:strRef>
              <c:extLst>
                <c:ext xmlns:c15="http://schemas.microsoft.com/office/drawing/2012/chart" uri="{02D57815-91ED-43cb-92C2-25804820EDAC}">
                  <c15:fullRef>
                    <c15:sqref>'Black &amp; Female Managers'!$E$47:$Z$47</c15:sqref>
                  </c15:fullRef>
                </c:ext>
              </c:extLst>
              <c:f>'Black &amp; Female Managers'!$M$47:$Z$47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extLst>
                <c:ext xmlns:c15="http://schemas.microsoft.com/office/drawing/2012/chart" uri="{02D57815-91ED-43cb-92C2-25804820EDAC}">
                  <c15:fullRef>
                    <c15:sqref>'Black &amp; Female Managers'!$E$49:$Z$49</c15:sqref>
                  </c15:fullRef>
                </c:ext>
              </c:extLst>
              <c:f>'Black &amp; Female Managers'!$M$49:$Z$49</c:f>
              <c:numCache>
                <c:formatCode>0.0%</c:formatCode>
                <c:ptCount val="14"/>
                <c:pt idx="0">
                  <c:v>0.32500000000000001</c:v>
                </c:pt>
                <c:pt idx="1">
                  <c:v>0.35499999999999998</c:v>
                </c:pt>
                <c:pt idx="2">
                  <c:v>0.24099999999999999</c:v>
                </c:pt>
                <c:pt idx="3">
                  <c:v>0.29399999999999998</c:v>
                </c:pt>
                <c:pt idx="4">
                  <c:v>0.35</c:v>
                </c:pt>
                <c:pt idx="5">
                  <c:v>0.40100000000000002</c:v>
                </c:pt>
                <c:pt idx="6">
                  <c:v>0.376</c:v>
                </c:pt>
                <c:pt idx="7">
                  <c:v>0.38800000000000001</c:v>
                </c:pt>
                <c:pt idx="8">
                  <c:v>0.40400000000000003</c:v>
                </c:pt>
                <c:pt idx="9">
                  <c:v>0.40699999999999997</c:v>
                </c:pt>
                <c:pt idx="10">
                  <c:v>0.42299999999999999</c:v>
                </c:pt>
                <c:pt idx="11">
                  <c:v>0.42899999999999999</c:v>
                </c:pt>
                <c:pt idx="12">
                  <c:v>0.443</c:v>
                </c:pt>
                <c:pt idx="13">
                  <c:v>0.45600000000000002</c:v>
                </c:pt>
              </c:numCache>
            </c:numRef>
          </c:val>
          <c:extLst>
            <c:ext xmlns:c16="http://schemas.microsoft.com/office/drawing/2014/chart" uri="{C3380CC4-5D6E-409C-BE32-E72D297353CC}">
              <c16:uniqueId val="{00000001-2089-46C7-B57F-8F461569631D}"/>
            </c:ext>
          </c:extLst>
        </c:ser>
        <c:ser>
          <c:idx val="7"/>
          <c:order val="2"/>
          <c:tx>
            <c:strRef>
              <c:f>'Black &amp; Female Managers'!$D$53</c:f>
              <c:strCache>
                <c:ptCount val="1"/>
                <c:pt idx="0">
                  <c:v>Female Top Managers</c:v>
                </c:pt>
              </c:strCache>
            </c:strRef>
          </c:tx>
          <c:spPr>
            <a:solidFill>
              <a:srgbClr val="E46C0A"/>
            </a:solidFill>
          </c:spPr>
          <c:invertIfNegative val="0"/>
          <c:cat>
            <c:strRef>
              <c:extLst>
                <c:ext xmlns:c15="http://schemas.microsoft.com/office/drawing/2012/chart" uri="{02D57815-91ED-43cb-92C2-25804820EDAC}">
                  <c15:fullRef>
                    <c15:sqref>'Black &amp; Female Managers'!$E$47:$Z$47</c15:sqref>
                  </c15:fullRef>
                </c:ext>
              </c:extLst>
              <c:f>'Black &amp; Female Managers'!$M$47:$Z$47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extLst>
                <c:ext xmlns:c15="http://schemas.microsoft.com/office/drawing/2012/chart" uri="{02D57815-91ED-43cb-92C2-25804820EDAC}">
                  <c15:fullRef>
                    <c15:sqref>'Black &amp; Female Managers'!$E$53:$Z$53</c15:sqref>
                  </c15:fullRef>
                </c:ext>
              </c:extLst>
              <c:f>'Black &amp; Female Managers'!$M$53:$Z$53</c:f>
              <c:numCache>
                <c:formatCode>0.0%</c:formatCode>
                <c:ptCount val="14"/>
                <c:pt idx="0">
                  <c:v>0.182</c:v>
                </c:pt>
                <c:pt idx="1">
                  <c:v>0.184</c:v>
                </c:pt>
                <c:pt idx="2">
                  <c:v>0.19</c:v>
                </c:pt>
                <c:pt idx="3">
                  <c:v>0.19</c:v>
                </c:pt>
                <c:pt idx="4">
                  <c:v>0.19800000000000001</c:v>
                </c:pt>
                <c:pt idx="5">
                  <c:v>0.20599999999999999</c:v>
                </c:pt>
                <c:pt idx="6">
                  <c:v>0.20899999999999999</c:v>
                </c:pt>
                <c:pt idx="7">
                  <c:v>0.214</c:v>
                </c:pt>
                <c:pt idx="8">
                  <c:v>0.22</c:v>
                </c:pt>
                <c:pt idx="9">
                  <c:v>0.22900000000000001</c:v>
                </c:pt>
                <c:pt idx="10">
                  <c:v>0.23499999999999999</c:v>
                </c:pt>
                <c:pt idx="11">
                  <c:v>0.24399999999999999</c:v>
                </c:pt>
                <c:pt idx="12">
                  <c:v>0.249</c:v>
                </c:pt>
                <c:pt idx="13">
                  <c:v>0.25800000000000001</c:v>
                </c:pt>
              </c:numCache>
            </c:numRef>
          </c:val>
          <c:extLst>
            <c:ext xmlns:c16="http://schemas.microsoft.com/office/drawing/2014/chart" uri="{C3380CC4-5D6E-409C-BE32-E72D297353CC}">
              <c16:uniqueId val="{00000002-2089-46C7-B57F-8F461569631D}"/>
            </c:ext>
          </c:extLst>
        </c:ser>
        <c:ser>
          <c:idx val="8"/>
          <c:order val="3"/>
          <c:tx>
            <c:strRef>
              <c:f>'Black &amp; Female Managers'!$D$54</c:f>
              <c:strCache>
                <c:ptCount val="1"/>
                <c:pt idx="0">
                  <c:v>Female Senior Managers</c:v>
                </c:pt>
              </c:strCache>
            </c:strRef>
          </c:tx>
          <c:spPr>
            <a:solidFill>
              <a:srgbClr val="984807"/>
            </a:solidFill>
          </c:spPr>
          <c:invertIfNegative val="0"/>
          <c:cat>
            <c:strRef>
              <c:extLst>
                <c:ext xmlns:c15="http://schemas.microsoft.com/office/drawing/2012/chart" uri="{02D57815-91ED-43cb-92C2-25804820EDAC}">
                  <c15:fullRef>
                    <c15:sqref>'Black &amp; Female Managers'!$E$47:$Z$47</c15:sqref>
                  </c15:fullRef>
                </c:ext>
              </c:extLst>
              <c:f>'Black &amp; Female Managers'!$M$47:$Z$47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strCache>
            </c:strRef>
          </c:cat>
          <c:val>
            <c:numRef>
              <c:extLst>
                <c:ext xmlns:c15="http://schemas.microsoft.com/office/drawing/2012/chart" uri="{02D57815-91ED-43cb-92C2-25804820EDAC}">
                  <c15:fullRef>
                    <c15:sqref>'Black &amp; Female Managers'!$E$54:$Z$54</c15:sqref>
                  </c15:fullRef>
                </c:ext>
              </c:extLst>
              <c:f>'Black &amp; Female Managers'!$M$54:$Z$54</c:f>
              <c:numCache>
                <c:formatCode>0.0%</c:formatCode>
                <c:ptCount val="14"/>
                <c:pt idx="0">
                  <c:v>0.28299999999999997</c:v>
                </c:pt>
                <c:pt idx="1">
                  <c:v>0.27200000000000002</c:v>
                </c:pt>
                <c:pt idx="2">
                  <c:v>0.19</c:v>
                </c:pt>
                <c:pt idx="3">
                  <c:v>0.28199999999999997</c:v>
                </c:pt>
                <c:pt idx="4">
                  <c:v>0.307</c:v>
                </c:pt>
                <c:pt idx="5">
                  <c:v>0.29899999999999999</c:v>
                </c:pt>
                <c:pt idx="6">
                  <c:v>0.32100000000000001</c:v>
                </c:pt>
                <c:pt idx="7">
                  <c:v>0.32400000000000001</c:v>
                </c:pt>
                <c:pt idx="8">
                  <c:v>0.33329999999999999</c:v>
                </c:pt>
                <c:pt idx="9">
                  <c:v>0.33800000000000002</c:v>
                </c:pt>
                <c:pt idx="10">
                  <c:v>0.34499999999999997</c:v>
                </c:pt>
                <c:pt idx="11">
                  <c:v>0.35299999999999998</c:v>
                </c:pt>
                <c:pt idx="12">
                  <c:v>0.35699999999999998</c:v>
                </c:pt>
                <c:pt idx="13">
                  <c:v>0.36399999999999999</c:v>
                </c:pt>
              </c:numCache>
            </c:numRef>
          </c:val>
          <c:extLst>
            <c:ext xmlns:c16="http://schemas.microsoft.com/office/drawing/2014/chart" uri="{C3380CC4-5D6E-409C-BE32-E72D297353CC}">
              <c16:uniqueId val="{00000003-2089-46C7-B57F-8F461569631D}"/>
            </c:ext>
          </c:extLst>
        </c:ser>
        <c:dLbls>
          <c:showLegendKey val="0"/>
          <c:showVal val="0"/>
          <c:showCatName val="0"/>
          <c:showSerName val="0"/>
          <c:showPercent val="0"/>
          <c:showBubbleSize val="0"/>
        </c:dLbls>
        <c:gapWidth val="150"/>
        <c:axId val="400476560"/>
        <c:axId val="400481264"/>
      </c:barChart>
      <c:catAx>
        <c:axId val="400476560"/>
        <c:scaling>
          <c:orientation val="minMax"/>
        </c:scaling>
        <c:delete val="0"/>
        <c:axPos val="b"/>
        <c:numFmt formatCode="General" sourceLinked="1"/>
        <c:majorTickMark val="out"/>
        <c:minorTickMark val="none"/>
        <c:tickLblPos val="nextTo"/>
        <c:crossAx val="400481264"/>
        <c:crosses val="autoZero"/>
        <c:auto val="1"/>
        <c:lblAlgn val="ctr"/>
        <c:lblOffset val="100"/>
        <c:noMultiLvlLbl val="0"/>
      </c:catAx>
      <c:valAx>
        <c:axId val="400481264"/>
        <c:scaling>
          <c:orientation val="minMax"/>
          <c:min val="0"/>
        </c:scaling>
        <c:delete val="0"/>
        <c:axPos val="l"/>
        <c:majorGridlines>
          <c:spPr>
            <a:ln>
              <a:prstDash val="dash"/>
            </a:ln>
          </c:spPr>
        </c:majorGridlines>
        <c:numFmt formatCode="0%" sourceLinked="0"/>
        <c:majorTickMark val="out"/>
        <c:minorTickMark val="none"/>
        <c:tickLblPos val="nextTo"/>
        <c:crossAx val="400476560"/>
        <c:crosses val="autoZero"/>
        <c:crossBetween val="between"/>
      </c:valAx>
    </c:plotArea>
    <c:legend>
      <c:legendPos val="b"/>
      <c:overlay val="0"/>
      <c:spPr>
        <a:ln>
          <a:noFill/>
        </a:ln>
      </c:spPr>
    </c:legend>
    <c:plotVisOnly val="1"/>
    <c:dispBlanksAs val="gap"/>
    <c:showDLblsOverMax val="0"/>
  </c:chart>
  <c:txPr>
    <a:bodyPr/>
    <a:lstStyle/>
    <a:p>
      <a:pPr>
        <a:defRPr sz="900">
          <a:latin typeface="Arial Narrow" pitchFamily="34" charset="0"/>
        </a:defRPr>
      </a:pPr>
      <a:endParaRPr lang="en-US"/>
    </a:p>
  </c:txPr>
  <c:printSettings>
    <c:headerFooter/>
    <c:pageMargins b="0.750000000000004" l="0.70000000000000062" r="0.70000000000000062" t="0.750000000000004"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91837243944392E-2"/>
          <c:y val="0.12738726533271627"/>
          <c:w val="0.90312608027655084"/>
          <c:h val="0.66822858484971714"/>
        </c:manualLayout>
      </c:layout>
      <c:lineChart>
        <c:grouping val="standard"/>
        <c:varyColors val="0"/>
        <c:ser>
          <c:idx val="1"/>
          <c:order val="0"/>
          <c:tx>
            <c:strRef>
              <c:f>Unemployment!$D$79</c:f>
              <c:strCache>
                <c:ptCount val="1"/>
                <c:pt idx="0">
                  <c:v>15 - 24</c:v>
                </c:pt>
              </c:strCache>
            </c:strRef>
          </c:tx>
          <c:spPr>
            <a:ln w="15875"/>
          </c:spPr>
          <c:marker>
            <c:symbol val="none"/>
          </c:marker>
          <c:cat>
            <c:numRef>
              <c:extLst>
                <c:ext xmlns:c15="http://schemas.microsoft.com/office/drawing/2012/chart" uri="{02D57815-91ED-43cb-92C2-25804820EDAC}">
                  <c15:fullRef>
                    <c15:sqref>Unemployment!$E$78:$Z$78</c15:sqref>
                  </c15:fullRef>
                </c:ext>
              </c:extLst>
              <c:f>Unemployment!$N$78:$Z$78</c:f>
              <c:numCache>
                <c:formatCode>General</c:formatCode>
                <c:ptCount val="13"/>
                <c:pt idx="0" formatCode="0">
                  <c:v>2010</c:v>
                </c:pt>
                <c:pt idx="1" formatCode="0">
                  <c:v>2011</c:v>
                </c:pt>
                <c:pt idx="2" formatCode="0">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extLst>
                <c:ext xmlns:c15="http://schemas.microsoft.com/office/drawing/2012/chart" uri="{02D57815-91ED-43cb-92C2-25804820EDAC}">
                  <c15:fullRef>
                    <c15:sqref>Unemployment!$E$79:$Z$79</c15:sqref>
                  </c15:fullRef>
                </c:ext>
              </c:extLst>
              <c:f>Unemployment!$N$79:$Z$79</c:f>
              <c:numCache>
                <c:formatCode>0.0</c:formatCode>
                <c:ptCount val="13"/>
                <c:pt idx="0">
                  <c:v>51.211586095188466</c:v>
                </c:pt>
                <c:pt idx="1">
                  <c:v>50.281651701226124</c:v>
                </c:pt>
                <c:pt idx="2">
                  <c:v>51.698207753618561</c:v>
                </c:pt>
                <c:pt idx="3">
                  <c:v>51.425685294707677</c:v>
                </c:pt>
                <c:pt idx="4">
                  <c:v>51.290864961635428</c:v>
                </c:pt>
                <c:pt idx="5">
                  <c:v>50.130442400407723</c:v>
                </c:pt>
                <c:pt idx="6">
                  <c:v>53.348435626122793</c:v>
                </c:pt>
                <c:pt idx="7">
                  <c:v>53.393903405785714</c:v>
                </c:pt>
                <c:pt idx="8">
                  <c:v>53.4</c:v>
                </c:pt>
                <c:pt idx="9">
                  <c:v>57.011983750759796</c:v>
                </c:pt>
                <c:pt idx="10">
                  <c:v>59.3</c:v>
                </c:pt>
                <c:pt idx="11">
                  <c:v>65.2</c:v>
                </c:pt>
                <c:pt idx="12">
                  <c:v>61.461355083924666</c:v>
                </c:pt>
              </c:numCache>
            </c:numRef>
          </c:val>
          <c:smooth val="1"/>
          <c:extLst>
            <c:ext xmlns:c16="http://schemas.microsoft.com/office/drawing/2014/chart" uri="{C3380CC4-5D6E-409C-BE32-E72D297353CC}">
              <c16:uniqueId val="{00000000-8165-45E8-9D9D-05DAFAAFF167}"/>
            </c:ext>
          </c:extLst>
        </c:ser>
        <c:ser>
          <c:idx val="2"/>
          <c:order val="1"/>
          <c:tx>
            <c:strRef>
              <c:f>Unemployment!$D$80</c:f>
              <c:strCache>
                <c:ptCount val="1"/>
                <c:pt idx="0">
                  <c:v>25 - 34</c:v>
                </c:pt>
              </c:strCache>
            </c:strRef>
          </c:tx>
          <c:spPr>
            <a:ln w="25400">
              <a:solidFill>
                <a:srgbClr val="BE4B48"/>
              </a:solidFill>
            </a:ln>
          </c:spPr>
          <c:marker>
            <c:symbol val="none"/>
          </c:marker>
          <c:cat>
            <c:numRef>
              <c:extLst>
                <c:ext xmlns:c15="http://schemas.microsoft.com/office/drawing/2012/chart" uri="{02D57815-91ED-43cb-92C2-25804820EDAC}">
                  <c15:fullRef>
                    <c15:sqref>Unemployment!$E$78:$Z$78</c15:sqref>
                  </c15:fullRef>
                </c:ext>
              </c:extLst>
              <c:f>Unemployment!$N$78:$Z$78</c:f>
              <c:numCache>
                <c:formatCode>General</c:formatCode>
                <c:ptCount val="13"/>
                <c:pt idx="0" formatCode="0">
                  <c:v>2010</c:v>
                </c:pt>
                <c:pt idx="1" formatCode="0">
                  <c:v>2011</c:v>
                </c:pt>
                <c:pt idx="2" formatCode="0">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extLst>
                <c:ext xmlns:c15="http://schemas.microsoft.com/office/drawing/2012/chart" uri="{02D57815-91ED-43cb-92C2-25804820EDAC}">
                  <c15:fullRef>
                    <c15:sqref>Unemployment!$E$80:$Z$80</c15:sqref>
                  </c15:fullRef>
                </c:ext>
              </c:extLst>
              <c:f>Unemployment!$N$80:$Z$80</c:f>
              <c:numCache>
                <c:formatCode>0.0</c:formatCode>
                <c:ptCount val="13"/>
                <c:pt idx="0">
                  <c:v>29.261616346284651</c:v>
                </c:pt>
                <c:pt idx="1">
                  <c:v>29.899373983783157</c:v>
                </c:pt>
                <c:pt idx="2">
                  <c:v>29.565182557813518</c:v>
                </c:pt>
                <c:pt idx="3">
                  <c:v>29.111088787376804</c:v>
                </c:pt>
                <c:pt idx="4">
                  <c:v>30.077564142101188</c:v>
                </c:pt>
                <c:pt idx="5">
                  <c:v>30.186378438074414</c:v>
                </c:pt>
                <c:pt idx="6">
                  <c:v>31.664757250929309</c:v>
                </c:pt>
                <c:pt idx="7">
                  <c:v>33.056109109497648</c:v>
                </c:pt>
                <c:pt idx="8">
                  <c:v>33.4</c:v>
                </c:pt>
                <c:pt idx="9">
                  <c:v>35.39398411184245</c:v>
                </c:pt>
                <c:pt idx="10">
                  <c:v>36.700000000000003</c:v>
                </c:pt>
                <c:pt idx="11">
                  <c:v>42.9</c:v>
                </c:pt>
                <c:pt idx="12">
                  <c:v>40.90832381900011</c:v>
                </c:pt>
              </c:numCache>
            </c:numRef>
          </c:val>
          <c:smooth val="1"/>
          <c:extLst>
            <c:ext xmlns:c16="http://schemas.microsoft.com/office/drawing/2014/chart" uri="{C3380CC4-5D6E-409C-BE32-E72D297353CC}">
              <c16:uniqueId val="{00000001-8165-45E8-9D9D-05DAFAAFF167}"/>
            </c:ext>
          </c:extLst>
        </c:ser>
        <c:ser>
          <c:idx val="3"/>
          <c:order val="2"/>
          <c:tx>
            <c:strRef>
              <c:f>Unemployment!$D$81</c:f>
              <c:strCache>
                <c:ptCount val="1"/>
                <c:pt idx="0">
                  <c:v>35 - 44</c:v>
                </c:pt>
              </c:strCache>
            </c:strRef>
          </c:tx>
          <c:spPr>
            <a:ln w="25400">
              <a:solidFill>
                <a:srgbClr val="FFC600"/>
              </a:solidFill>
            </a:ln>
          </c:spPr>
          <c:marker>
            <c:symbol val="none"/>
          </c:marker>
          <c:cat>
            <c:numRef>
              <c:extLst>
                <c:ext xmlns:c15="http://schemas.microsoft.com/office/drawing/2012/chart" uri="{02D57815-91ED-43cb-92C2-25804820EDAC}">
                  <c15:fullRef>
                    <c15:sqref>Unemployment!$E$78:$Z$78</c15:sqref>
                  </c15:fullRef>
                </c:ext>
              </c:extLst>
              <c:f>Unemployment!$N$78:$Z$78</c:f>
              <c:numCache>
                <c:formatCode>General</c:formatCode>
                <c:ptCount val="13"/>
                <c:pt idx="0" formatCode="0">
                  <c:v>2010</c:v>
                </c:pt>
                <c:pt idx="1" formatCode="0">
                  <c:v>2011</c:v>
                </c:pt>
                <c:pt idx="2" formatCode="0">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extLst>
                <c:ext xmlns:c15="http://schemas.microsoft.com/office/drawing/2012/chart" uri="{02D57815-91ED-43cb-92C2-25804820EDAC}">
                  <c15:fullRef>
                    <c15:sqref>Unemployment!$E$81:$Z$81</c15:sqref>
                  </c15:fullRef>
                </c:ext>
              </c:extLst>
              <c:f>Unemployment!$N$81:$Z$81</c:f>
              <c:numCache>
                <c:formatCode>0.0</c:formatCode>
                <c:ptCount val="13"/>
                <c:pt idx="0">
                  <c:v>17.693728516011891</c:v>
                </c:pt>
                <c:pt idx="1">
                  <c:v>18.090229302861054</c:v>
                </c:pt>
                <c:pt idx="2">
                  <c:v>18.187009451508718</c:v>
                </c:pt>
                <c:pt idx="3">
                  <c:v>18.588248762915565</c:v>
                </c:pt>
                <c:pt idx="4">
                  <c:v>19.094579058322445</c:v>
                </c:pt>
                <c:pt idx="5">
                  <c:v>19.518242457226449</c:v>
                </c:pt>
                <c:pt idx="6">
                  <c:v>21.140483132434824</c:v>
                </c:pt>
                <c:pt idx="7">
                  <c:v>21.985828119422994</c:v>
                </c:pt>
                <c:pt idx="8">
                  <c:v>21.5</c:v>
                </c:pt>
                <c:pt idx="9">
                  <c:v>22.748197409294306</c:v>
                </c:pt>
                <c:pt idx="10">
                  <c:v>24.4</c:v>
                </c:pt>
                <c:pt idx="11">
                  <c:v>28.9</c:v>
                </c:pt>
                <c:pt idx="12">
                  <c:v>28.45797709184054</c:v>
                </c:pt>
              </c:numCache>
            </c:numRef>
          </c:val>
          <c:smooth val="1"/>
          <c:extLst>
            <c:ext xmlns:c16="http://schemas.microsoft.com/office/drawing/2014/chart" uri="{C3380CC4-5D6E-409C-BE32-E72D297353CC}">
              <c16:uniqueId val="{00000002-8165-45E8-9D9D-05DAFAAFF167}"/>
            </c:ext>
          </c:extLst>
        </c:ser>
        <c:ser>
          <c:idx val="4"/>
          <c:order val="3"/>
          <c:tx>
            <c:strRef>
              <c:f>Unemployment!$D$82</c:f>
              <c:strCache>
                <c:ptCount val="1"/>
                <c:pt idx="0">
                  <c:v>45 - 54</c:v>
                </c:pt>
              </c:strCache>
            </c:strRef>
          </c:tx>
          <c:spPr>
            <a:ln w="25400">
              <a:solidFill>
                <a:srgbClr val="00B050"/>
              </a:solidFill>
            </a:ln>
          </c:spPr>
          <c:marker>
            <c:symbol val="none"/>
          </c:marker>
          <c:cat>
            <c:numRef>
              <c:extLst>
                <c:ext xmlns:c15="http://schemas.microsoft.com/office/drawing/2012/chart" uri="{02D57815-91ED-43cb-92C2-25804820EDAC}">
                  <c15:fullRef>
                    <c15:sqref>Unemployment!$E$78:$Z$78</c15:sqref>
                  </c15:fullRef>
                </c:ext>
              </c:extLst>
              <c:f>Unemployment!$N$78:$Z$78</c:f>
              <c:numCache>
                <c:formatCode>General</c:formatCode>
                <c:ptCount val="13"/>
                <c:pt idx="0" formatCode="0">
                  <c:v>2010</c:v>
                </c:pt>
                <c:pt idx="1" formatCode="0">
                  <c:v>2011</c:v>
                </c:pt>
                <c:pt idx="2" formatCode="0">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extLst>
                <c:ext xmlns:c15="http://schemas.microsoft.com/office/drawing/2012/chart" uri="{02D57815-91ED-43cb-92C2-25804820EDAC}">
                  <c15:fullRef>
                    <c15:sqref>Unemployment!$E$82:$Z$82</c15:sqref>
                  </c15:fullRef>
                </c:ext>
              </c:extLst>
              <c:f>Unemployment!$N$82:$Z$82</c:f>
              <c:numCache>
                <c:formatCode>0.0</c:formatCode>
                <c:ptCount val="13"/>
                <c:pt idx="0">
                  <c:v>12.601007273356682</c:v>
                </c:pt>
                <c:pt idx="1">
                  <c:v>12.601867539017034</c:v>
                </c:pt>
                <c:pt idx="2">
                  <c:v>12.80590961334333</c:v>
                </c:pt>
                <c:pt idx="3">
                  <c:v>12.769495079856002</c:v>
                </c:pt>
                <c:pt idx="4">
                  <c:v>13.374628573906866</c:v>
                </c:pt>
                <c:pt idx="5">
                  <c:v>14.07522840397036</c:v>
                </c:pt>
                <c:pt idx="6">
                  <c:v>14.843637471922699</c:v>
                </c:pt>
                <c:pt idx="7">
                  <c:v>15.920460816512314</c:v>
                </c:pt>
                <c:pt idx="8">
                  <c:v>15.8</c:v>
                </c:pt>
                <c:pt idx="9">
                  <c:v>16.889222397049497</c:v>
                </c:pt>
                <c:pt idx="10">
                  <c:v>17.600000000000001</c:v>
                </c:pt>
                <c:pt idx="11">
                  <c:v>21.4</c:v>
                </c:pt>
                <c:pt idx="12">
                  <c:v>20.984941250172326</c:v>
                </c:pt>
              </c:numCache>
            </c:numRef>
          </c:val>
          <c:smooth val="1"/>
          <c:extLst>
            <c:ext xmlns:c16="http://schemas.microsoft.com/office/drawing/2014/chart" uri="{C3380CC4-5D6E-409C-BE32-E72D297353CC}">
              <c16:uniqueId val="{00000003-8165-45E8-9D9D-05DAFAAFF167}"/>
            </c:ext>
          </c:extLst>
        </c:ser>
        <c:ser>
          <c:idx val="5"/>
          <c:order val="4"/>
          <c:tx>
            <c:strRef>
              <c:f>Unemployment!$D$83</c:f>
              <c:strCache>
                <c:ptCount val="1"/>
                <c:pt idx="0">
                  <c:v>55 - 64</c:v>
                </c:pt>
              </c:strCache>
            </c:strRef>
          </c:tx>
          <c:spPr>
            <a:ln w="25400">
              <a:solidFill>
                <a:srgbClr val="3D96AE"/>
              </a:solidFill>
            </a:ln>
          </c:spPr>
          <c:marker>
            <c:symbol val="none"/>
          </c:marker>
          <c:cat>
            <c:numRef>
              <c:extLst>
                <c:ext xmlns:c15="http://schemas.microsoft.com/office/drawing/2012/chart" uri="{02D57815-91ED-43cb-92C2-25804820EDAC}">
                  <c15:fullRef>
                    <c15:sqref>Unemployment!$E$78:$Z$78</c15:sqref>
                  </c15:fullRef>
                </c:ext>
              </c:extLst>
              <c:f>Unemployment!$N$78:$Z$78</c:f>
              <c:numCache>
                <c:formatCode>General</c:formatCode>
                <c:ptCount val="13"/>
                <c:pt idx="0" formatCode="0">
                  <c:v>2010</c:v>
                </c:pt>
                <c:pt idx="1" formatCode="0">
                  <c:v>2011</c:v>
                </c:pt>
                <c:pt idx="2" formatCode="0">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extLst>
                <c:ext xmlns:c15="http://schemas.microsoft.com/office/drawing/2012/chart" uri="{02D57815-91ED-43cb-92C2-25804820EDAC}">
                  <c15:fullRef>
                    <c15:sqref>Unemployment!$E$83:$Z$83</c15:sqref>
                  </c15:fullRef>
                </c:ext>
              </c:extLst>
              <c:f>Unemployment!$N$83:$Z$83</c:f>
              <c:numCache>
                <c:formatCode>0.0</c:formatCode>
                <c:ptCount val="13"/>
                <c:pt idx="0">
                  <c:v>7.5805969331481302</c:v>
                </c:pt>
                <c:pt idx="1">
                  <c:v>6.209235517416734</c:v>
                </c:pt>
                <c:pt idx="2">
                  <c:v>7.0401361858174418</c:v>
                </c:pt>
                <c:pt idx="3">
                  <c:v>7.6987400495165517</c:v>
                </c:pt>
                <c:pt idx="4">
                  <c:v>7.6526536126624354</c:v>
                </c:pt>
                <c:pt idx="5">
                  <c:v>8.694483992374046</c:v>
                </c:pt>
                <c:pt idx="6">
                  <c:v>9.0434368930705578</c:v>
                </c:pt>
                <c:pt idx="7">
                  <c:v>9.4892141374650567</c:v>
                </c:pt>
                <c:pt idx="8">
                  <c:v>9.6</c:v>
                </c:pt>
                <c:pt idx="9">
                  <c:v>9.9234650301271792</c:v>
                </c:pt>
                <c:pt idx="10">
                  <c:v>11.1</c:v>
                </c:pt>
                <c:pt idx="11">
                  <c:v>12.4</c:v>
                </c:pt>
                <c:pt idx="12">
                  <c:v>12.920408885309786</c:v>
                </c:pt>
              </c:numCache>
            </c:numRef>
          </c:val>
          <c:smooth val="1"/>
          <c:extLst>
            <c:ext xmlns:c16="http://schemas.microsoft.com/office/drawing/2014/chart" uri="{C3380CC4-5D6E-409C-BE32-E72D297353CC}">
              <c16:uniqueId val="{00000004-8165-45E8-9D9D-05DAFAAFF167}"/>
            </c:ext>
          </c:extLst>
        </c:ser>
        <c:ser>
          <c:idx val="6"/>
          <c:order val="6"/>
          <c:tx>
            <c:strRef>
              <c:f>Unemployment!$D$84</c:f>
              <c:strCache>
                <c:ptCount val="1"/>
                <c:pt idx="0">
                  <c:v>Total</c:v>
                </c:pt>
              </c:strCache>
            </c:strRef>
          </c:tx>
          <c:marker>
            <c:symbol val="none"/>
          </c:marker>
          <c:cat>
            <c:numRef>
              <c:extLst>
                <c:ext xmlns:c15="http://schemas.microsoft.com/office/drawing/2012/chart" uri="{02D57815-91ED-43cb-92C2-25804820EDAC}">
                  <c15:fullRef>
                    <c15:sqref>Unemployment!$E$78:$Z$78</c15:sqref>
                  </c15:fullRef>
                </c:ext>
              </c:extLst>
              <c:f>Unemployment!$N$78:$Z$78</c:f>
              <c:numCache>
                <c:formatCode>General</c:formatCode>
                <c:ptCount val="13"/>
                <c:pt idx="0" formatCode="0">
                  <c:v>2010</c:v>
                </c:pt>
                <c:pt idx="1" formatCode="0">
                  <c:v>2011</c:v>
                </c:pt>
                <c:pt idx="2" formatCode="0">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extLst>
                <c:ext xmlns:c15="http://schemas.microsoft.com/office/drawing/2012/chart" uri="{02D57815-91ED-43cb-92C2-25804820EDAC}">
                  <c15:fullRef>
                    <c15:sqref>Unemployment!$E$84:$Z$84</c15:sqref>
                  </c15:fullRef>
                </c:ext>
              </c:extLst>
              <c:f>Unemployment!$N$84:$Z$84</c:f>
              <c:numCache>
                <c:formatCode>0.0</c:formatCode>
                <c:ptCount val="13"/>
                <c:pt idx="0">
                  <c:v>24.870199929044048</c:v>
                </c:pt>
                <c:pt idx="1">
                  <c:v>24.784677973271108</c:v>
                </c:pt>
                <c:pt idx="2">
                  <c:v>24.870194505395812</c:v>
                </c:pt>
                <c:pt idx="3">
                  <c:v>24.73737697547622</c:v>
                </c:pt>
                <c:pt idx="4">
                  <c:v>25.079268765127839</c:v>
                </c:pt>
                <c:pt idx="5">
                  <c:v>25.345096563891889</c:v>
                </c:pt>
                <c:pt idx="6">
                  <c:v>26.715305376306265</c:v>
                </c:pt>
                <c:pt idx="7">
                  <c:v>27.459008795167733</c:v>
                </c:pt>
                <c:pt idx="8">
                  <c:v>27.1</c:v>
                </c:pt>
                <c:pt idx="9">
                  <c:v>28.693050573151314</c:v>
                </c:pt>
                <c:pt idx="10">
                  <c:v>29.4</c:v>
                </c:pt>
                <c:pt idx="11">
                  <c:v>34.299999999999997</c:v>
                </c:pt>
                <c:pt idx="12">
                  <c:v>33.509154273274262</c:v>
                </c:pt>
              </c:numCache>
            </c:numRef>
          </c:val>
          <c:smooth val="0"/>
          <c:extLst>
            <c:ext xmlns:c16="http://schemas.microsoft.com/office/drawing/2014/chart" uri="{C3380CC4-5D6E-409C-BE32-E72D297353CC}">
              <c16:uniqueId val="{00000005-8165-45E8-9D9D-05DAFAAFF167}"/>
            </c:ext>
          </c:extLst>
        </c:ser>
        <c:dLbls>
          <c:showLegendKey val="0"/>
          <c:showVal val="0"/>
          <c:showCatName val="0"/>
          <c:showSerName val="0"/>
          <c:showPercent val="0"/>
          <c:showBubbleSize val="0"/>
        </c:dLbls>
        <c:smooth val="0"/>
        <c:axId val="404436784"/>
        <c:axId val="414522256"/>
        <c:extLst>
          <c:ext xmlns:c15="http://schemas.microsoft.com/office/drawing/2012/chart" uri="{02D57815-91ED-43cb-92C2-25804820EDAC}">
            <c15:filteredLineSeries>
              <c15:ser>
                <c:idx val="0"/>
                <c:order val="5"/>
                <c:tx>
                  <c:strRef>
                    <c:extLst>
                      <c:ext uri="{02D57815-91ED-43cb-92C2-25804820EDAC}">
                        <c15:formulaRef>
                          <c15:sqref>Unemployment!$E$8</c15:sqref>
                        </c15:formulaRef>
                      </c:ext>
                    </c:extLst>
                    <c:strCache>
                      <c:ptCount val="1"/>
                      <c:pt idx="0">
                        <c:v>Unemployment (broad and narrow)</c:v>
                      </c:pt>
                    </c:strCache>
                  </c:strRef>
                </c:tx>
                <c:spPr>
                  <a:ln>
                    <a:solidFill>
                      <a:schemeClr val="tx1"/>
                    </a:solidFill>
                  </a:ln>
                </c:spPr>
                <c:marker>
                  <c:symbol val="none"/>
                </c:marker>
                <c:cat>
                  <c:numRef>
                    <c:extLst>
                      <c:ext uri="{02D57815-91ED-43cb-92C2-25804820EDAC}">
                        <c15:fullRef>
                          <c15:sqref>Unemployment!$E$78:$Z$78</c15:sqref>
                        </c15:fullRef>
                        <c15:formulaRef>
                          <c15:sqref>Unemployment!$N$78:$Z$78</c15:sqref>
                        </c15:formulaRef>
                      </c:ext>
                    </c:extLst>
                    <c:numCache>
                      <c:formatCode>General</c:formatCode>
                      <c:ptCount val="13"/>
                      <c:pt idx="0" formatCode="0">
                        <c:v>2010</c:v>
                      </c:pt>
                      <c:pt idx="1" formatCode="0">
                        <c:v>2011</c:v>
                      </c:pt>
                      <c:pt idx="2" formatCode="0">
                        <c:v>2012</c:v>
                      </c:pt>
                      <c:pt idx="3" formatCode="0">
                        <c:v>2013</c:v>
                      </c:pt>
                      <c:pt idx="4" formatCode="0">
                        <c:v>2014</c:v>
                      </c:pt>
                      <c:pt idx="5" formatCode="0">
                        <c:v>2015</c:v>
                      </c:pt>
                      <c:pt idx="6" formatCode="0">
                        <c:v>2016</c:v>
                      </c:pt>
                      <c:pt idx="7" formatCode="0">
                        <c:v>2017</c:v>
                      </c:pt>
                      <c:pt idx="8" formatCode="0">
                        <c:v>2018</c:v>
                      </c:pt>
                      <c:pt idx="9" formatCode="0">
                        <c:v>2019</c:v>
                      </c:pt>
                      <c:pt idx="10" formatCode="0">
                        <c:v>2020</c:v>
                      </c:pt>
                      <c:pt idx="11" formatCode="0">
                        <c:v>2021</c:v>
                      </c:pt>
                      <c:pt idx="12" formatCode="0">
                        <c:v>2022</c:v>
                      </c:pt>
                    </c:numCache>
                  </c:numRef>
                </c:cat>
                <c:val>
                  <c:numRef>
                    <c:extLst>
                      <c:ext uri="{02D57815-91ED-43cb-92C2-25804820EDAC}">
                        <c15:fullRef>
                          <c15:sqref>Unemployment!$E$10:$V$10</c15:sqref>
                        </c15:fullRef>
                        <c15:formulaRef>
                          <c15:sqref>Unemployment!$N$10:$V$10</c15:sqref>
                        </c15:formulaRef>
                      </c:ext>
                    </c:extLst>
                    <c:numCache>
                      <c:formatCode>0.0</c:formatCode>
                      <c:ptCount val="9"/>
                      <c:pt idx="0">
                        <c:v>24.9</c:v>
                      </c:pt>
                      <c:pt idx="1">
                        <c:v>24.8</c:v>
                      </c:pt>
                      <c:pt idx="2">
                        <c:v>24.9</c:v>
                      </c:pt>
                      <c:pt idx="3">
                        <c:v>24.7</c:v>
                      </c:pt>
                      <c:pt idx="4">
                        <c:v>25.1</c:v>
                      </c:pt>
                      <c:pt idx="5">
                        <c:v>25.3</c:v>
                      </c:pt>
                      <c:pt idx="6">
                        <c:v>26.7</c:v>
                      </c:pt>
                      <c:pt idx="7">
                        <c:v>27.5</c:v>
                      </c:pt>
                      <c:pt idx="8">
                        <c:v>27.1</c:v>
                      </c:pt>
                    </c:numCache>
                  </c:numRef>
                </c:val>
                <c:smooth val="1"/>
                <c:extLst>
                  <c:ext xmlns:c16="http://schemas.microsoft.com/office/drawing/2014/chart" uri="{C3380CC4-5D6E-409C-BE32-E72D297353CC}">
                    <c16:uniqueId val="{00000006-8165-45E8-9D9D-05DAFAAFF167}"/>
                  </c:ext>
                </c:extLst>
              </c15:ser>
            </c15:filteredLineSeries>
          </c:ext>
        </c:extLst>
      </c:lineChart>
      <c:catAx>
        <c:axId val="404436784"/>
        <c:scaling>
          <c:orientation val="minMax"/>
        </c:scaling>
        <c:delete val="0"/>
        <c:axPos val="b"/>
        <c:numFmt formatCode="0" sourceLinked="1"/>
        <c:majorTickMark val="out"/>
        <c:minorTickMark val="none"/>
        <c:tickLblPos val="nextTo"/>
        <c:txPr>
          <a:bodyPr rot="0" vert="horz"/>
          <a:lstStyle/>
          <a:p>
            <a:pPr>
              <a:defRPr sz="800" baseline="0">
                <a:latin typeface="Arial" panose="020B0604020202020204" pitchFamily="34" charset="0"/>
              </a:defRPr>
            </a:pPr>
            <a:endParaRPr lang="en-US"/>
          </a:p>
        </c:txPr>
        <c:crossAx val="414522256"/>
        <c:crosses val="autoZero"/>
        <c:auto val="1"/>
        <c:lblAlgn val="ctr"/>
        <c:lblOffset val="100"/>
        <c:noMultiLvlLbl val="0"/>
      </c:catAx>
      <c:valAx>
        <c:axId val="414522256"/>
        <c:scaling>
          <c:orientation val="minMax"/>
        </c:scaling>
        <c:delete val="0"/>
        <c:axPos val="l"/>
        <c:majorGridlines>
          <c:spPr>
            <a:ln>
              <a:solidFill>
                <a:sysClr val="window" lastClr="FFFFFF">
                  <a:lumMod val="65000"/>
                </a:sysClr>
              </a:solidFill>
              <a:prstDash val="dash"/>
            </a:ln>
          </c:spPr>
        </c:majorGridlines>
        <c:title>
          <c:tx>
            <c:rich>
              <a:bodyPr/>
              <a:lstStyle/>
              <a:p>
                <a:pPr>
                  <a:defRPr sz="800" baseline="0">
                    <a:latin typeface="Arial" panose="020B0604020202020204" pitchFamily="34" charset="0"/>
                  </a:defRPr>
                </a:pPr>
                <a:r>
                  <a:rPr lang="en-ZA" sz="800" baseline="0">
                    <a:latin typeface="Arial" panose="020B0604020202020204" pitchFamily="34" charset="0"/>
                  </a:rPr>
                  <a:t>%</a:t>
                </a:r>
              </a:p>
            </c:rich>
          </c:tx>
          <c:layout>
            <c:manualLayout>
              <c:xMode val="edge"/>
              <c:yMode val="edge"/>
              <c:x val="1.6052912216286574E-2"/>
              <c:y val="0.41579694444516263"/>
            </c:manualLayout>
          </c:layout>
          <c:overlay val="0"/>
        </c:title>
        <c:numFmt formatCode="0" sourceLinked="0"/>
        <c:majorTickMark val="out"/>
        <c:minorTickMark val="none"/>
        <c:tickLblPos val="nextTo"/>
        <c:txPr>
          <a:bodyPr rot="0" vert="horz"/>
          <a:lstStyle/>
          <a:p>
            <a:pPr>
              <a:defRPr sz="800" baseline="0">
                <a:latin typeface="Arial" panose="020B0604020202020204" pitchFamily="34" charset="0"/>
              </a:defRPr>
            </a:pPr>
            <a:endParaRPr lang="en-US"/>
          </a:p>
        </c:txPr>
        <c:crossAx val="404436784"/>
        <c:crosses val="autoZero"/>
        <c:crossBetween val="between"/>
      </c:valAx>
    </c:plotArea>
    <c:legend>
      <c:legendPos val="r"/>
      <c:legendEntry>
        <c:idx val="0"/>
        <c:delete val="1"/>
      </c:legendEntry>
      <c:layout>
        <c:manualLayout>
          <c:xMode val="edge"/>
          <c:yMode val="edge"/>
          <c:x val="5.6393476628040992E-2"/>
          <c:y val="0.90278026057553606"/>
          <c:w val="0.574199807603886"/>
          <c:h val="9.7219820195404691E-2"/>
        </c:manualLayout>
      </c:layout>
      <c:overlay val="0"/>
      <c:txPr>
        <a:bodyPr/>
        <a:lstStyle/>
        <a:p>
          <a:pPr>
            <a:defRPr sz="800" baseline="0">
              <a:latin typeface="Arial" panose="020B0604020202020204" pitchFamily="34" charset="0"/>
            </a:defRPr>
          </a:pPr>
          <a:endParaRPr lang="en-US"/>
        </a:p>
      </c:txPr>
    </c:legend>
    <c:plotVisOnly val="1"/>
    <c:dispBlanksAs val="gap"/>
    <c:showDLblsOverMax val="0"/>
  </c:chart>
  <c:spPr>
    <a:ln>
      <a:solidFill>
        <a:schemeClr val="tx1"/>
      </a:solidFill>
    </a:ln>
  </c:spPr>
  <c:txPr>
    <a:bodyPr/>
    <a:lstStyle/>
    <a:p>
      <a:pPr>
        <a:defRPr sz="1200" b="0" i="0" u="none" strike="noStrike" baseline="0">
          <a:solidFill>
            <a:srgbClr val="000000"/>
          </a:solidFill>
          <a:latin typeface="Arial Narrow" panose="020B0606020202030204" pitchFamily="34" charset="0"/>
          <a:ea typeface="Arial"/>
          <a:cs typeface="Arial"/>
        </a:defRPr>
      </a:pPr>
      <a:endParaRPr lang="en-US"/>
    </a:p>
  </c:txPr>
  <c:printSettings>
    <c:headerFooter/>
    <c:pageMargins b="0.75000000000000555" l="0.70000000000000062" r="0.70000000000000062" t="0.75000000000000555" header="0.30000000000000032" footer="0.30000000000000032"/>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TOTAL EMPLOYMENT</a:t>
            </a:r>
          </a:p>
        </c:rich>
      </c:tx>
      <c:layout>
        <c:manualLayout>
          <c:xMode val="edge"/>
          <c:yMode val="edge"/>
          <c:x val="3.5490459675323938E-2"/>
          <c:y val="1.4577368169887854E-2"/>
        </c:manualLayout>
      </c:layout>
      <c:overlay val="0"/>
      <c:spPr>
        <a:noFill/>
        <a:ln w="25400">
          <a:noFill/>
        </a:ln>
      </c:spPr>
    </c:title>
    <c:autoTitleDeleted val="0"/>
    <c:plotArea>
      <c:layout>
        <c:manualLayout>
          <c:layoutTarget val="inner"/>
          <c:xMode val="edge"/>
          <c:yMode val="edge"/>
          <c:x val="7.5397299115305655E-2"/>
          <c:y val="0.10911725053587332"/>
          <c:w val="0.9072748888973885"/>
          <c:h val="0.75823396013175404"/>
        </c:manualLayout>
      </c:layout>
      <c:lineChart>
        <c:grouping val="standard"/>
        <c:varyColors val="0"/>
        <c:ser>
          <c:idx val="0"/>
          <c:order val="0"/>
          <c:tx>
            <c:strRef>
              <c:f>Employed!$D$14</c:f>
              <c:strCache>
                <c:ptCount val="1"/>
                <c:pt idx="0">
                  <c:v>Total Employment</c:v>
                </c:pt>
              </c:strCache>
            </c:strRef>
          </c:tx>
          <c:spPr>
            <a:ln w="25400">
              <a:solidFill>
                <a:srgbClr val="FF6600"/>
              </a:solidFill>
              <a:prstDash val="solid"/>
            </a:ln>
          </c:spPr>
          <c:marker>
            <c:symbol val="none"/>
          </c:marker>
          <c:cat>
            <c:numRef>
              <c:extLst>
                <c:ext xmlns:c15="http://schemas.microsoft.com/office/drawing/2012/chart" uri="{02D57815-91ED-43cb-92C2-25804820EDAC}">
                  <c15:fullRef>
                    <c15:sqref>Employed!$E$8:$Z$8</c15:sqref>
                  </c15:fullRef>
                </c:ext>
              </c:extLst>
              <c:f>(Employed!$E$8:$I$8,Employed!$N$8:$Z$8)</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extLst>
                <c:ext xmlns:c15="http://schemas.microsoft.com/office/drawing/2012/chart" uri="{02D57815-91ED-43cb-92C2-25804820EDAC}">
                  <c15:fullRef>
                    <c15:sqref>Employed!$E$14:$Z$14</c15:sqref>
                  </c15:fullRef>
                </c:ext>
              </c:extLst>
              <c:f>(Employed!$E$14:$I$14,Employed!$N$14:$Z$14)</c:f>
              <c:numCache>
                <c:formatCode>_ * #\ ##0_ ;_ * \-#\ ##0_ ;_ * "-"??_ ;_ @_ </c:formatCode>
                <c:ptCount val="13"/>
                <c:pt idx="0">
                  <c:v>13787.976154492397</c:v>
                </c:pt>
                <c:pt idx="1">
                  <c:v>14070.050140507159</c:v>
                </c:pt>
                <c:pt idx="2">
                  <c:v>14424.889214334915</c:v>
                </c:pt>
                <c:pt idx="3">
                  <c:v>14865.627834799463</c:v>
                </c:pt>
                <c:pt idx="4">
                  <c:v>15146.303542806947</c:v>
                </c:pt>
                <c:pt idx="5" formatCode="###\ ###\ ###\ ###">
                  <c:v>15741</c:v>
                </c:pt>
                <c:pt idx="6" formatCode="###\ ###\ ###\ ###">
                  <c:v>15780</c:v>
                </c:pt>
                <c:pt idx="7" formatCode="###\ ###\ ###\ ###">
                  <c:v>16169</c:v>
                </c:pt>
                <c:pt idx="8" formatCode="###\ ###\ ###\ ###">
                  <c:v>16394</c:v>
                </c:pt>
                <c:pt idx="9" formatCode="###\ ###\ ###\ ###">
                  <c:v>16349.854756098353</c:v>
                </c:pt>
                <c:pt idx="10" formatCode="###\ ###\ ###\ ###">
                  <c:v>15061.297810745009</c:v>
                </c:pt>
                <c:pt idx="11" formatCode="###\ ###\ ###\ ###">
                  <c:v>14690.76393927246</c:v>
                </c:pt>
                <c:pt idx="12" formatCode="###\ ###\ ###\ ###">
                  <c:v>15543.990586601074</c:v>
                </c:pt>
              </c:numCache>
            </c:numRef>
          </c:val>
          <c:smooth val="1"/>
          <c:extLst>
            <c:ext xmlns:c16="http://schemas.microsoft.com/office/drawing/2014/chart" uri="{C3380CC4-5D6E-409C-BE32-E72D297353CC}">
              <c16:uniqueId val="{00000000-0DA1-4AA1-92FB-775976ED86D1}"/>
            </c:ext>
          </c:extLst>
        </c:ser>
        <c:dLbls>
          <c:showLegendKey val="0"/>
          <c:showVal val="0"/>
          <c:showCatName val="0"/>
          <c:showSerName val="0"/>
          <c:showPercent val="0"/>
          <c:showBubbleSize val="0"/>
        </c:dLbls>
        <c:smooth val="0"/>
        <c:axId val="486376024"/>
        <c:axId val="486375240"/>
      </c:lineChart>
      <c:catAx>
        <c:axId val="486376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6375240"/>
        <c:crossesAt val="11000"/>
        <c:auto val="1"/>
        <c:lblAlgn val="ctr"/>
        <c:lblOffset val="100"/>
        <c:tickLblSkip val="1"/>
        <c:tickMarkSkip val="1"/>
        <c:noMultiLvlLbl val="0"/>
      </c:catAx>
      <c:valAx>
        <c:axId val="486375240"/>
        <c:scaling>
          <c:orientation val="minMax"/>
          <c:max val="16500"/>
          <c:min val="11000"/>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 (thousands)</a:t>
                </a:r>
              </a:p>
            </c:rich>
          </c:tx>
          <c:layout>
            <c:manualLayout>
              <c:xMode val="edge"/>
              <c:yMode val="edge"/>
              <c:x val="1.8789111188934955E-2"/>
              <c:y val="0.32944673109043188"/>
            </c:manualLayout>
          </c:layout>
          <c:overlay val="0"/>
          <c:spPr>
            <a:noFill/>
            <a:ln w="25400">
              <a:noFill/>
            </a:ln>
          </c:spPr>
        </c:title>
        <c:numFmt formatCode="###\ ###\ ###\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6376024"/>
        <c:crosses val="autoZero"/>
        <c:crossBetween val="between"/>
        <c:majorUnit val="500"/>
        <c:minorUnit val="4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88" r="0.75000000000000588"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ZA"/>
              <a:t>TAX REGISTER AND REVENUE COLLECTION</a:t>
            </a:r>
          </a:p>
        </c:rich>
      </c:tx>
      <c:overlay val="0"/>
      <c:spPr>
        <a:noFill/>
        <a:ln w="25400">
          <a:noFill/>
        </a:ln>
      </c:spPr>
    </c:title>
    <c:autoTitleDeleted val="0"/>
    <c:plotArea>
      <c:layout/>
      <c:barChart>
        <c:barDir val="col"/>
        <c:grouping val="clustered"/>
        <c:varyColors val="0"/>
        <c:ser>
          <c:idx val="1"/>
          <c:order val="0"/>
          <c:spPr>
            <a:solidFill>
              <a:srgbClr val="FF6600"/>
            </a:solidFill>
            <a:ln w="12700">
              <a:solidFill>
                <a:srgbClr val="000000"/>
              </a:solidFill>
              <a:prstDash val="solid"/>
            </a:ln>
          </c:spPr>
          <c:invertIfNegative val="0"/>
          <c:val>
            <c:numLit>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numLit>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Lit>
                </c15:cat>
              </c15:filteredCategoryTitle>
            </c:ext>
            <c:ext xmlns:c16="http://schemas.microsoft.com/office/drawing/2014/chart" uri="{C3380CC4-5D6E-409C-BE32-E72D297353CC}">
              <c16:uniqueId val="{00000000-28CB-40F1-AC13-8D6BDFEC399B}"/>
            </c:ext>
          </c:extLst>
        </c:ser>
        <c:dLbls>
          <c:showLegendKey val="0"/>
          <c:showVal val="0"/>
          <c:showCatName val="0"/>
          <c:showSerName val="0"/>
          <c:showPercent val="0"/>
          <c:showBubbleSize val="0"/>
        </c:dLbls>
        <c:gapWidth val="150"/>
        <c:axId val="532766208"/>
        <c:axId val="532766600"/>
      </c:barChart>
      <c:lineChart>
        <c:grouping val="standard"/>
        <c:varyColors val="0"/>
        <c:ser>
          <c:idx val="0"/>
          <c:order val="1"/>
          <c:spPr>
            <a:ln w="25400">
              <a:solidFill>
                <a:srgbClr val="993300"/>
              </a:solidFill>
              <a:prstDash val="solid"/>
            </a:ln>
          </c:spPr>
          <c:marker>
            <c:symbol val="none"/>
          </c:marker>
          <c:val>
            <c:numLit>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Lit>
          </c:val>
          <c:smooth val="0"/>
          <c:extLst>
            <c:ext xmlns:c15="http://schemas.microsoft.com/office/drawing/2012/chart" uri="{02D57815-91ED-43cb-92C2-25804820EDAC}">
              <c15:filteredSeriesTitle>
                <c15:tx>
                  <c:v>#REF!</c:v>
                </c15:tx>
              </c15:filteredSeriesTitle>
            </c:ext>
            <c:ext xmlns:c16="http://schemas.microsoft.com/office/drawing/2014/chart" uri="{C3380CC4-5D6E-409C-BE32-E72D297353CC}">
              <c16:uniqueId val="{00000001-28CB-40F1-AC13-8D6BDFEC399B}"/>
            </c:ext>
          </c:extLst>
        </c:ser>
        <c:dLbls>
          <c:showLegendKey val="0"/>
          <c:showVal val="0"/>
          <c:showCatName val="0"/>
          <c:showSerName val="0"/>
          <c:showPercent val="0"/>
          <c:showBubbleSize val="0"/>
        </c:dLbls>
        <c:marker val="1"/>
        <c:smooth val="0"/>
        <c:axId val="532774440"/>
        <c:axId val="532770128"/>
      </c:lineChart>
      <c:catAx>
        <c:axId val="532766208"/>
        <c:scaling>
          <c:orientation val="minMax"/>
        </c:scaling>
        <c:delete val="0"/>
        <c:axPos val="b"/>
        <c:title>
          <c:tx>
            <c:rich>
              <a:bodyPr/>
              <a:lstStyle/>
              <a:p>
                <a:pPr>
                  <a:defRPr sz="800" b="0" i="0" u="none" strike="noStrike" baseline="0">
                    <a:solidFill>
                      <a:srgbClr val="000000"/>
                    </a:solidFill>
                    <a:latin typeface="Arial"/>
                    <a:ea typeface="Arial"/>
                    <a:cs typeface="Arial"/>
                  </a:defRPr>
                </a:pPr>
                <a:r>
                  <a:rPr lang="en-ZA"/>
                  <a:t>Year</a:t>
                </a:r>
              </a:p>
            </c:rich>
          </c:tx>
          <c:layout>
            <c:manualLayout>
              <c:xMode val="edge"/>
              <c:yMode val="edge"/>
              <c:x val="0.48318409189883155"/>
              <c:y val="0.78647686832740216"/>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6600"/>
        <c:crosses val="autoZero"/>
        <c:auto val="0"/>
        <c:lblAlgn val="ctr"/>
        <c:lblOffset val="100"/>
        <c:tickLblSkip val="1"/>
        <c:tickMarkSkip val="1"/>
        <c:noMultiLvlLbl val="0"/>
      </c:catAx>
      <c:valAx>
        <c:axId val="532766600"/>
        <c:scaling>
          <c:orientation val="minMax"/>
          <c:max val="7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R'billion</a:t>
                </a:r>
              </a:p>
            </c:rich>
          </c:tx>
          <c:layout>
            <c:manualLayout>
              <c:xMode val="edge"/>
              <c:yMode val="edge"/>
              <c:x val="1.7937219730941704E-2"/>
              <c:y val="0.313167259786476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6208"/>
        <c:crosses val="autoZero"/>
        <c:crossBetween val="between"/>
      </c:valAx>
      <c:catAx>
        <c:axId val="532774440"/>
        <c:scaling>
          <c:orientation val="minMax"/>
        </c:scaling>
        <c:delete val="1"/>
        <c:axPos val="b"/>
        <c:majorTickMark val="out"/>
        <c:minorTickMark val="none"/>
        <c:tickLblPos val="none"/>
        <c:crossAx val="532770128"/>
        <c:crosses val="autoZero"/>
        <c:auto val="0"/>
        <c:lblAlgn val="ctr"/>
        <c:lblOffset val="100"/>
        <c:noMultiLvlLbl val="0"/>
      </c:catAx>
      <c:valAx>
        <c:axId val="532770128"/>
        <c:scaling>
          <c:orientation val="minMax"/>
          <c:max val="9000000"/>
        </c:scaling>
        <c:delete val="0"/>
        <c:axPos val="r"/>
        <c:title>
          <c:tx>
            <c:rich>
              <a:bodyPr/>
              <a:lstStyle/>
              <a:p>
                <a:pPr>
                  <a:defRPr sz="800" b="0" i="0" u="none" strike="noStrike" baseline="0">
                    <a:solidFill>
                      <a:srgbClr val="000000"/>
                    </a:solidFill>
                    <a:latin typeface="Arial"/>
                    <a:ea typeface="Arial"/>
                    <a:cs typeface="Arial"/>
                  </a:defRPr>
                </a:pPr>
                <a:r>
                  <a:rPr lang="en-ZA"/>
                  <a:t>Number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74440"/>
        <c:crosses val="max"/>
        <c:crossBetween val="between"/>
      </c:valAx>
      <c:spPr>
        <a:solidFill>
          <a:srgbClr val="FFFFFF"/>
        </a:solidFill>
        <a:ln w="25400">
          <a:noFill/>
        </a:ln>
      </c:spPr>
    </c:plotArea>
    <c:legend>
      <c:legendPos val="r"/>
      <c:overlay val="0"/>
      <c:spPr>
        <a:solidFill>
          <a:srgbClr val="FFFFFF"/>
        </a:solidFill>
        <a:ln w="25400">
          <a:noFill/>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66" r="0.75000000000000566" t="1" header="0.5" footer="0.5"/>
    <c:pageSetup paperSize="9" orientation="landscape" horizontalDpi="-4"/>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47460243940096"/>
          <c:y val="5.4248048539387105E-2"/>
          <c:w val="0.8641375636868921"/>
          <c:h val="0.77529868425537707"/>
        </c:manualLayout>
      </c:layout>
      <c:lineChart>
        <c:grouping val="standard"/>
        <c:varyColors val="0"/>
        <c:ser>
          <c:idx val="0"/>
          <c:order val="0"/>
          <c:tx>
            <c:strRef>
              <c:f>Employed!$D$14</c:f>
              <c:strCache>
                <c:ptCount val="1"/>
                <c:pt idx="0">
                  <c:v>Total Employment</c:v>
                </c:pt>
              </c:strCache>
            </c:strRef>
          </c:tx>
          <c:spPr>
            <a:ln w="25400">
              <a:solidFill>
                <a:srgbClr val="FF6600"/>
              </a:solidFill>
              <a:prstDash val="solid"/>
            </a:ln>
          </c:spPr>
          <c:marker>
            <c:symbol val="none"/>
          </c:marker>
          <c:val>
            <c:numRef>
              <c:f>Employed!$E$14:$S$14</c:f>
              <c:numCache>
                <c:formatCode>_ * #\ ##0_ ;_ * \-#\ ##0_ ;_ * "-"??_ ;_ @_ </c:formatCode>
                <c:ptCount val="10"/>
                <c:pt idx="0">
                  <c:v>13418.80723334651</c:v>
                </c:pt>
                <c:pt idx="1">
                  <c:v>13467.260828648677</c:v>
                </c:pt>
                <c:pt idx="2">
                  <c:v>14584.861037070465</c:v>
                </c:pt>
                <c:pt idx="3">
                  <c:v>14193.824214060021</c:v>
                </c:pt>
                <c:pt idx="4">
                  <c:v>13787.976154492397</c:v>
                </c:pt>
                <c:pt idx="5">
                  <c:v>14070.050140507159</c:v>
                </c:pt>
                <c:pt idx="6">
                  <c:v>14424.889214334915</c:v>
                </c:pt>
                <c:pt idx="7">
                  <c:v>14865.627834799463</c:v>
                </c:pt>
                <c:pt idx="8">
                  <c:v>15146.303542806947</c:v>
                </c:pt>
                <c:pt idx="9" formatCode="###\ ###\ ###\ ###">
                  <c:v>15741</c:v>
                </c:pt>
              </c:numCache>
            </c:numRef>
          </c:val>
          <c:smooth val="0"/>
          <c:extLst>
            <c:ext xmlns:c15="http://schemas.microsoft.com/office/drawing/2012/chart" uri="{02D57815-91ED-43cb-92C2-25804820EDAC}">
              <c15:filteredCategoryTitle>
                <c15:cat>
                  <c:multiLvlStrRef>
                    <c:extLst xmlns:c16="http://schemas.microsoft.com/office/drawing/2014/chart">
                      <c:ext uri="{02D57815-91ED-43cb-92C2-25804820EDAC}">
                        <c15:formulaRef>
                          <c15:sqref>'[6]Employed '!$E$102:$S$103</c15:sqref>
                        </c15:formulaRef>
                      </c:ext>
                    </c:extLst>
                    <c:multiLvlStrCache>
                      <c:ptCount val="15"/>
                      <c:lvl>
                        <c:pt idx="0">
                          <c:v>S</c:v>
                        </c:pt>
                        <c:pt idx="1">
                          <c:v>0</c:v>
                        </c:pt>
                        <c:pt idx="2">
                          <c:v>0</c:v>
                        </c:pt>
                        <c:pt idx="3">
                          <c:v>0</c:v>
                        </c:pt>
                        <c:pt idx="4">
                          <c:v>0</c:v>
                        </c:pt>
                        <c:pt idx="5">
                          <c:v>0</c:v>
                        </c:pt>
                        <c:pt idx="6">
                          <c:v>0</c:v>
                        </c:pt>
                        <c:pt idx="7">
                          <c:v>0</c:v>
                        </c:pt>
                        <c:pt idx="8">
                          <c:v>0</c:v>
                        </c:pt>
                        <c:pt idx="9">
                          <c:v>0</c:v>
                        </c:pt>
                        <c:pt idx="10">
                          <c:v>0</c:v>
                        </c:pt>
                        <c:pt idx="11">
                          <c:v>0</c:v>
                        </c:pt>
                        <c:pt idx="12">
                          <c:v>0</c:v>
                        </c:pt>
                        <c:pt idx="13">
                          <c:v>0</c:v>
                        </c:pt>
                        <c:pt idx="14">
                          <c:v>0</c:v>
                        </c:pt>
                      </c:lvl>
                      <c:lvl>
                        <c:pt idx="0">
                          <c:v>2001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lvl>
                    </c:multiLvlStrCache>
                  </c:multiLvlStrRef>
                </c15:cat>
              </c15:filteredCategoryTitle>
            </c:ext>
            <c:ext xmlns:c16="http://schemas.microsoft.com/office/drawing/2014/chart" uri="{C3380CC4-5D6E-409C-BE32-E72D297353CC}">
              <c16:uniqueId val="{00000000-2C03-4D50-A6D8-D29F96B4966D}"/>
            </c:ext>
          </c:extLst>
        </c:ser>
        <c:dLbls>
          <c:showLegendKey val="0"/>
          <c:showVal val="0"/>
          <c:showCatName val="0"/>
          <c:showSerName val="0"/>
          <c:showPercent val="0"/>
          <c:showBubbleSize val="0"/>
        </c:dLbls>
        <c:smooth val="0"/>
        <c:axId val="404436392"/>
        <c:axId val="404437568"/>
      </c:lineChart>
      <c:catAx>
        <c:axId val="404436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404437568"/>
        <c:crossesAt val="11000"/>
        <c:auto val="1"/>
        <c:lblAlgn val="ctr"/>
        <c:lblOffset val="100"/>
        <c:tickLblSkip val="1"/>
        <c:tickMarkSkip val="1"/>
        <c:noMultiLvlLbl val="0"/>
      </c:catAx>
      <c:valAx>
        <c:axId val="404437568"/>
        <c:scaling>
          <c:orientation val="minMax"/>
          <c:max val="16000"/>
          <c:min val="11000"/>
        </c:scaling>
        <c:delete val="0"/>
        <c:axPos val="l"/>
        <c:majorGridlines>
          <c:spPr>
            <a:ln w="3175">
              <a:solidFill>
                <a:srgbClr val="969696"/>
              </a:solidFill>
              <a:prstDash val="sysDash"/>
            </a:ln>
          </c:spPr>
        </c:majorGridlines>
        <c:title>
          <c:tx>
            <c:rich>
              <a:bodyPr/>
              <a:lstStyle/>
              <a:p>
                <a:pPr>
                  <a:defRPr/>
                </a:pPr>
                <a:r>
                  <a:rPr lang="en-ZA"/>
                  <a:t>number (thousands)</a:t>
                </a:r>
              </a:p>
            </c:rich>
          </c:tx>
          <c:layout>
            <c:manualLayout>
              <c:xMode val="edge"/>
              <c:yMode val="edge"/>
              <c:x val="1.8789111188934955E-2"/>
              <c:y val="0.32944673109043188"/>
            </c:manualLayout>
          </c:layout>
          <c:overlay val="0"/>
          <c:spPr>
            <a:noFill/>
            <a:ln w="25400">
              <a:noFill/>
            </a:ln>
          </c:spPr>
        </c:title>
        <c:numFmt formatCode="###\ ###\ ###\ ###" sourceLinked="0"/>
        <c:majorTickMark val="out"/>
        <c:minorTickMark val="none"/>
        <c:tickLblPos val="nextTo"/>
        <c:spPr>
          <a:ln w="3175">
            <a:solidFill>
              <a:srgbClr val="000000"/>
            </a:solidFill>
            <a:prstDash val="solid"/>
          </a:ln>
        </c:spPr>
        <c:txPr>
          <a:bodyPr rot="0" vert="horz"/>
          <a:lstStyle/>
          <a:p>
            <a:pPr>
              <a:defRPr/>
            </a:pPr>
            <a:endParaRPr lang="en-US"/>
          </a:p>
        </c:txPr>
        <c:crossAx val="404436392"/>
        <c:crosses val="autoZero"/>
        <c:crossBetween val="between"/>
        <c:majorUnit val="500"/>
        <c:minorUnit val="400"/>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588" r="0.75000000000000588"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Number of NEETs</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'Education Attainment and NEET'!$D$8</c:f>
              <c:strCache>
                <c:ptCount val="1"/>
                <c:pt idx="0">
                  <c:v>15-24 years</c:v>
                </c:pt>
              </c:strCache>
            </c:strRef>
          </c:tx>
          <c:spPr>
            <a:solidFill>
              <a:schemeClr val="accent1"/>
            </a:solidFill>
            <a:ln>
              <a:noFill/>
            </a:ln>
            <a:effectLst/>
          </c:spPr>
          <c:invertIfNegative val="0"/>
          <c:cat>
            <c:numRef>
              <c:f>'Education Attainment and NEET'!$E$7:$N$7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'Education Attainment and NEET'!$E$8:$N$8</c:f>
              <c:numCache>
                <c:formatCode>_(* #\ ##0_);_(* \(#\ ##0\);_(* "-"??_);_(@_)</c:formatCode>
                <c:ptCount val="10"/>
                <c:pt idx="0">
                  <c:v>3260.9581152721175</c:v>
                </c:pt>
                <c:pt idx="1">
                  <c:v>3211.8228779188748</c:v>
                </c:pt>
                <c:pt idx="2">
                  <c:v>3138.7506212202411</c:v>
                </c:pt>
                <c:pt idx="3">
                  <c:v>3218.8899504711289</c:v>
                </c:pt>
                <c:pt idx="4">
                  <c:v>3213.4311353148937</c:v>
                </c:pt>
                <c:pt idx="5">
                  <c:v>3253.6426271063419</c:v>
                </c:pt>
                <c:pt idx="6">
                  <c:v>3340</c:v>
                </c:pt>
                <c:pt idx="7">
                  <c:v>3325</c:v>
                </c:pt>
                <c:pt idx="8">
                  <c:v>3372</c:v>
                </c:pt>
                <c:pt idx="9">
                  <c:v>3599</c:v>
                </c:pt>
              </c:numCache>
            </c:numRef>
          </c:val>
          <c:extLst>
            <c:ext xmlns:c16="http://schemas.microsoft.com/office/drawing/2014/chart" uri="{C3380CC4-5D6E-409C-BE32-E72D297353CC}">
              <c16:uniqueId val="{00000000-D12E-4966-A53A-DD1061AF71BF}"/>
            </c:ext>
          </c:extLst>
        </c:ser>
        <c:ser>
          <c:idx val="1"/>
          <c:order val="1"/>
          <c:tx>
            <c:strRef>
              <c:f>'Education Attainment and NEET'!$D$9</c:f>
              <c:strCache>
                <c:ptCount val="1"/>
                <c:pt idx="0">
                  <c:v>18-24 years</c:v>
                </c:pt>
              </c:strCache>
            </c:strRef>
          </c:tx>
          <c:spPr>
            <a:solidFill>
              <a:schemeClr val="accent2"/>
            </a:solidFill>
            <a:ln>
              <a:noFill/>
            </a:ln>
            <a:effectLst/>
          </c:spPr>
          <c:invertIfNegative val="0"/>
          <c:cat>
            <c:numRef>
              <c:f>'Education Attainment and NEET'!$E$7:$N$7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'Education Attainment and NEET'!$E$9:$J$9</c:f>
              <c:numCache>
                <c:formatCode>_(* #\ ##0_);_(* \(#\ ##0\);_(* "-"??_);_(@_)</c:formatCode>
                <c:ptCount val="6"/>
                <c:pt idx="0">
                  <c:v>3043.7023348745824</c:v>
                </c:pt>
                <c:pt idx="1">
                  <c:v>3000.8436625510553</c:v>
                </c:pt>
                <c:pt idx="2">
                  <c:v>2931.2916935508761</c:v>
                </c:pt>
                <c:pt idx="3">
                  <c:v>3001.2790058000955</c:v>
                </c:pt>
                <c:pt idx="4">
                  <c:v>3032.0643688012133</c:v>
                </c:pt>
                <c:pt idx="5">
                  <c:v>3060.9373865289208</c:v>
                </c:pt>
              </c:numCache>
            </c:numRef>
          </c:val>
          <c:extLst>
            <c:ext xmlns:c16="http://schemas.microsoft.com/office/drawing/2014/chart" uri="{C3380CC4-5D6E-409C-BE32-E72D297353CC}">
              <c16:uniqueId val="{00000001-D12E-4966-A53A-DD1061AF71BF}"/>
            </c:ext>
          </c:extLst>
        </c:ser>
        <c:ser>
          <c:idx val="2"/>
          <c:order val="2"/>
          <c:tx>
            <c:strRef>
              <c:f>'Education Attainment and NEET'!$D$10</c:f>
              <c:strCache>
                <c:ptCount val="1"/>
                <c:pt idx="0">
                  <c:v>15-34 years</c:v>
                </c:pt>
              </c:strCache>
            </c:strRef>
          </c:tx>
          <c:spPr>
            <a:solidFill>
              <a:schemeClr val="accent3"/>
            </a:solidFill>
            <a:ln>
              <a:noFill/>
            </a:ln>
            <a:effectLst/>
          </c:spPr>
          <c:invertIfNegative val="0"/>
          <c:cat>
            <c:numRef>
              <c:f>'Education Attainment and NEET'!$E$7:$N$7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'Education Attainment and NEET'!$E$10:$N$10</c:f>
              <c:numCache>
                <c:formatCode>_(* #\ ##0_);_(* \(#\ ##0\);_(* "-"??_);_(@_)</c:formatCode>
                <c:ptCount val="10"/>
                <c:pt idx="0">
                  <c:v>7393.6536793845025</c:v>
                </c:pt>
                <c:pt idx="1">
                  <c:v>7446.3553874025911</c:v>
                </c:pt>
                <c:pt idx="2">
                  <c:v>7342.2333015733657</c:v>
                </c:pt>
                <c:pt idx="3">
                  <c:v>7602.7913087460392</c:v>
                </c:pt>
                <c:pt idx="4">
                  <c:v>7764.5276852254983</c:v>
                </c:pt>
                <c:pt idx="5">
                  <c:v>7936.6914577741218</c:v>
                </c:pt>
                <c:pt idx="6">
                  <c:v>8580</c:v>
                </c:pt>
                <c:pt idx="7">
                  <c:v>8770</c:v>
                </c:pt>
                <c:pt idx="8">
                  <c:v>9191</c:v>
                </c:pt>
                <c:pt idx="9">
                  <c:v>9243</c:v>
                </c:pt>
              </c:numCache>
            </c:numRef>
          </c:val>
          <c:extLst>
            <c:ext xmlns:c16="http://schemas.microsoft.com/office/drawing/2014/chart" uri="{C3380CC4-5D6E-409C-BE32-E72D297353CC}">
              <c16:uniqueId val="{00000002-D12E-4966-A53A-DD1061AF71BF}"/>
            </c:ext>
          </c:extLst>
        </c:ser>
        <c:dLbls>
          <c:showLegendKey val="0"/>
          <c:showVal val="0"/>
          <c:showCatName val="0"/>
          <c:showSerName val="0"/>
          <c:showPercent val="0"/>
          <c:showBubbleSize val="0"/>
        </c:dLbls>
        <c:gapWidth val="219"/>
        <c:overlap val="-27"/>
        <c:axId val="-1618714704"/>
        <c:axId val="-1618720144"/>
      </c:barChart>
      <c:catAx>
        <c:axId val="-16187147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618720144"/>
        <c:crosses val="autoZero"/>
        <c:auto val="1"/>
        <c:lblAlgn val="ctr"/>
        <c:lblOffset val="100"/>
        <c:noMultiLvlLbl val="0"/>
      </c:catAx>
      <c:valAx>
        <c:axId val="-1618720144"/>
        <c:scaling>
          <c:orientation val="minMax"/>
        </c:scaling>
        <c:delete val="0"/>
        <c:axPos val="l"/>
        <c:majorGridlines>
          <c:spPr>
            <a:ln w="9525" cap="flat" cmpd="sng" algn="ctr">
              <a:solidFill>
                <a:schemeClr val="tx1">
                  <a:lumMod val="15000"/>
                  <a:lumOff val="85000"/>
                </a:schemeClr>
              </a:solidFill>
              <a:round/>
            </a:ln>
            <a:effectLst/>
          </c:spPr>
        </c:majorGridlines>
        <c:numFmt formatCode="_(* #\ ##0_);_(* \(#\ ##0\);_(* &quot;-&quot;??_);_(@_)"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618714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95000"/>
          <a:lumOff val="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EPWP!$D$61</c:f>
              <c:strCache>
                <c:ptCount val="1"/>
                <c:pt idx="0">
                  <c:v>Cumulative total</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EPWP!$E$60:$V$60</c15:sqref>
                  </c15:fullRef>
                </c:ext>
              </c:extLst>
              <c:f>EPWP!$L$60:$V$60</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extLst>
                <c:ext xmlns:c15="http://schemas.microsoft.com/office/drawing/2012/chart" uri="{02D57815-91ED-43cb-92C2-25804820EDAC}">
                  <c15:fullRef>
                    <c15:sqref>EPWP!$E$61:$V$61</c15:sqref>
                  </c15:fullRef>
                </c:ext>
              </c:extLst>
              <c:f>EPWP!$L$61:$V$61</c:f>
              <c:numCache>
                <c:formatCode>#\ ###\ ##0</c:formatCode>
                <c:ptCount val="11"/>
                <c:pt idx="0" formatCode="_ * #\ ##0_ ;_ * \-#\ ##0_ ;_ * &quot;-&quot;??_ ;_ @_ ">
                  <c:v>3879583</c:v>
                </c:pt>
                <c:pt idx="1" formatCode="_ * #\ ##0_ ;_ * \-#\ ##0_ ;_ * &quot;-&quot;??_ ;_ @_ ">
                  <c:v>4821176</c:v>
                </c:pt>
                <c:pt idx="2" formatCode="_ * #\ ##0_ ;_ * \-#\ ##0_ ;_ * &quot;-&quot;??_ ;_ @_ ">
                  <c:v>5838441</c:v>
                </c:pt>
                <c:pt idx="3" formatCode="_ * #\ ##0_ ;_ * \-#\ ##0_ ;_ * &quot;-&quot;??_ ;_ @_ ">
                  <c:v>6942424</c:v>
                </c:pt>
                <c:pt idx="4" formatCode="_ * #\ ##0_ ;_ * \-#\ ##0_ ;_ * &quot;-&quot;??_ ;_ @_ ">
                  <c:v>7683964</c:v>
                </c:pt>
                <c:pt idx="5" formatCode="_ * #\ ##0_ ;_ * \-#\ ##0_ ;_ * &quot;-&quot;??_ ;_ @_ ">
                  <c:v>8463209</c:v>
                </c:pt>
                <c:pt idx="6" formatCode="_ * #\ ##0_ ;_ * \-#\ ##0_ ;_ * &quot;-&quot;??_ ;_ @_ ">
                  <c:v>9363443</c:v>
                </c:pt>
                <c:pt idx="7" formatCode="_ * #\ ##0_ ;_ * \-#\ ##0_ ;_ * &quot;-&quot;??_ ;_ @_ ">
                  <c:v>10360729</c:v>
                </c:pt>
                <c:pt idx="8" formatCode="_ * #\ ##0_ ;_ * \-#\ ##0_ ;_ * &quot;-&quot;??_ ;_ @_ ">
                  <c:v>11132018</c:v>
                </c:pt>
                <c:pt idx="9" formatCode="_ * #\ ##0_ ;_ * \-#\ ##0_ ;_ * &quot;-&quot;??_ ;_ @_ ">
                  <c:v>12070706</c:v>
                </c:pt>
                <c:pt idx="10" formatCode="_ * #\ ##0_ ;_ * \-#\ ##0_ ;_ * &quot;-&quot;??_ ;_ @_ ">
                  <c:v>13087352</c:v>
                </c:pt>
              </c:numCache>
            </c:numRef>
          </c:val>
          <c:smooth val="0"/>
          <c:extLst>
            <c:ext xmlns:c16="http://schemas.microsoft.com/office/drawing/2014/chart" uri="{C3380CC4-5D6E-409C-BE32-E72D297353CC}">
              <c16:uniqueId val="{00000000-B575-4441-90BD-8C2BF8A9F867}"/>
            </c:ext>
          </c:extLst>
        </c:ser>
        <c:dLbls>
          <c:showLegendKey val="0"/>
          <c:showVal val="0"/>
          <c:showCatName val="0"/>
          <c:showSerName val="0"/>
          <c:showPercent val="0"/>
          <c:showBubbleSize val="0"/>
        </c:dLbls>
        <c:smooth val="0"/>
        <c:axId val="1434624687"/>
        <c:axId val="1434630511"/>
      </c:lineChart>
      <c:catAx>
        <c:axId val="1434624687"/>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34630511"/>
        <c:crosses val="autoZero"/>
        <c:auto val="1"/>
        <c:lblAlgn val="ctr"/>
        <c:lblOffset val="100"/>
        <c:noMultiLvlLbl val="0"/>
      </c:catAx>
      <c:valAx>
        <c:axId val="1434630511"/>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 ###\ ##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346246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 of GDP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243672538207924E-2"/>
          <c:y val="0.10027034333603678"/>
          <c:w val="0.92025529761777058"/>
          <c:h val="0.83701468581634109"/>
        </c:manualLayout>
      </c:layout>
      <c:lineChart>
        <c:grouping val="standard"/>
        <c:varyColors val="0"/>
        <c:ser>
          <c:idx val="0"/>
          <c:order val="0"/>
          <c:tx>
            <c:strRef>
              <c:f>'R&amp;D'!$E$60</c:f>
              <c:strCache>
                <c:ptCount val="1"/>
                <c:pt idx="0">
                  <c:v>% of GDP</c:v>
                </c:pt>
              </c:strCache>
            </c:strRef>
          </c:tx>
          <c:spPr>
            <a:ln w="28575" cap="rnd">
              <a:solidFill>
                <a:schemeClr val="accent2">
                  <a:lumMod val="75000"/>
                </a:schemeClr>
              </a:solidFill>
              <a:round/>
            </a:ln>
            <a:effectLst/>
          </c:spPr>
          <c:marker>
            <c:symbol val="none"/>
          </c:marker>
          <c:cat>
            <c:strRef>
              <c:extLst>
                <c:ext xmlns:c15="http://schemas.microsoft.com/office/drawing/2012/chart" uri="{02D57815-91ED-43cb-92C2-25804820EDAC}">
                  <c15:fullRef>
                    <c15:sqref>'R&amp;D'!$F$59:$AA$59</c15:sqref>
                  </c15:fullRef>
                </c:ext>
              </c:extLst>
              <c:f>'R&amp;D'!$O$59:$AA$59</c:f>
              <c:strCache>
                <c:ptCount val="13"/>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strCache>
            </c:strRef>
          </c:cat>
          <c:val>
            <c:numRef>
              <c:extLst>
                <c:ext xmlns:c15="http://schemas.microsoft.com/office/drawing/2012/chart" uri="{02D57815-91ED-43cb-92C2-25804820EDAC}">
                  <c15:fullRef>
                    <c15:sqref>'R&amp;D'!$F$60:$AA$60</c15:sqref>
                  </c15:fullRef>
                </c:ext>
              </c:extLst>
              <c:f>'R&amp;D'!$O$60:$AA$60</c:f>
              <c:numCache>
                <c:formatCode>General</c:formatCode>
                <c:ptCount val="13"/>
                <c:pt idx="0">
                  <c:v>0.89</c:v>
                </c:pt>
                <c:pt idx="1">
                  <c:v>0.84</c:v>
                </c:pt>
                <c:pt idx="2">
                  <c:v>0.74</c:v>
                </c:pt>
                <c:pt idx="3">
                  <c:v>0.73</c:v>
                </c:pt>
                <c:pt idx="4">
                  <c:v>0.73</c:v>
                </c:pt>
                <c:pt idx="5">
                  <c:v>0.72</c:v>
                </c:pt>
                <c:pt idx="6">
                  <c:v>0.77</c:v>
                </c:pt>
                <c:pt idx="7" formatCode="0.00">
                  <c:v>0.8</c:v>
                </c:pt>
                <c:pt idx="8" formatCode="0.00">
                  <c:v>0.82</c:v>
                </c:pt>
                <c:pt idx="9">
                  <c:v>0.76</c:v>
                </c:pt>
                <c:pt idx="10">
                  <c:v>0.69</c:v>
                </c:pt>
                <c:pt idx="11">
                  <c:v>0.62</c:v>
                </c:pt>
                <c:pt idx="12">
                  <c:v>0.61</c:v>
                </c:pt>
              </c:numCache>
            </c:numRef>
          </c:val>
          <c:smooth val="0"/>
          <c:extLst>
            <c:ext xmlns:c16="http://schemas.microsoft.com/office/drawing/2014/chart" uri="{C3380CC4-5D6E-409C-BE32-E72D297353CC}">
              <c16:uniqueId val="{00000000-4472-4D88-903F-6287C8849826}"/>
            </c:ext>
          </c:extLst>
        </c:ser>
        <c:dLbls>
          <c:showLegendKey val="0"/>
          <c:showVal val="0"/>
          <c:showCatName val="0"/>
          <c:showSerName val="0"/>
          <c:showPercent val="0"/>
          <c:showBubbleSize val="0"/>
        </c:dLbls>
        <c:smooth val="0"/>
        <c:axId val="1007017136"/>
        <c:axId val="1007020880"/>
      </c:lineChart>
      <c:catAx>
        <c:axId val="1007017136"/>
        <c:scaling>
          <c:orientation val="minMax"/>
        </c:scaling>
        <c:delete val="0"/>
        <c:axPos val="b"/>
        <c:numFmt formatCode="General" sourceLinked="1"/>
        <c:majorTickMark val="cross"/>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007020880"/>
        <c:crosses val="autoZero"/>
        <c:auto val="1"/>
        <c:lblAlgn val="ctr"/>
        <c:lblOffset val="100"/>
        <c:noMultiLvlLbl val="0"/>
      </c:catAx>
      <c:valAx>
        <c:axId val="1007020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sz="1050" b="1"/>
                  <a:t>%</a:t>
                </a:r>
              </a:p>
            </c:rich>
          </c:tx>
          <c:layout>
            <c:manualLayout>
              <c:xMode val="edge"/>
              <c:yMode val="edge"/>
              <c:x val="1.2255859025796163E-2"/>
              <c:y val="0.4539427328295372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0070171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'ICT  '!$C$59</c:f>
              <c:strCache>
                <c:ptCount val="1"/>
                <c:pt idx="0">
                  <c:v>Fixed broadband Internet subscribers (per 100 people)</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'ICT  '!$D$58:$W$58</c15:sqref>
                  </c15:fullRef>
                </c:ext>
              </c:extLst>
              <c:f>'ICT  '!$P$58:$W$58</c:f>
              <c:numCache>
                <c:formatCode>General</c:formatCode>
                <c:ptCount val="8"/>
                <c:pt idx="0">
                  <c:v>2012</c:v>
                </c:pt>
                <c:pt idx="1">
                  <c:v>2013</c:v>
                </c:pt>
                <c:pt idx="2">
                  <c:v>2014</c:v>
                </c:pt>
                <c:pt idx="3">
                  <c:v>2015</c:v>
                </c:pt>
                <c:pt idx="4">
                  <c:v>2016</c:v>
                </c:pt>
                <c:pt idx="5">
                  <c:v>2017</c:v>
                </c:pt>
                <c:pt idx="6">
                  <c:v>2018</c:v>
                </c:pt>
                <c:pt idx="7">
                  <c:v>2019</c:v>
                </c:pt>
              </c:numCache>
            </c:numRef>
          </c:cat>
          <c:val>
            <c:numRef>
              <c:extLst>
                <c:ext xmlns:c15="http://schemas.microsoft.com/office/drawing/2012/chart" uri="{02D57815-91ED-43cb-92C2-25804820EDAC}">
                  <c15:fullRef>
                    <c15:sqref>'ICT  '!$D$59:$W$59</c15:sqref>
                  </c15:fullRef>
                </c:ext>
              </c:extLst>
              <c:f>'ICT  '!$P$59:$W$59</c:f>
              <c:numCache>
                <c:formatCode>General</c:formatCode>
                <c:ptCount val="8"/>
                <c:pt idx="0" formatCode="0.0">
                  <c:v>2.0891270428306701</c:v>
                </c:pt>
                <c:pt idx="1" formatCode="0.0">
                  <c:v>3.0040696038171499</c:v>
                </c:pt>
                <c:pt idx="2" formatCode="0.0">
                  <c:v>3.1285779640620901</c:v>
                </c:pt>
                <c:pt idx="3" formatCode="0.0">
                  <c:v>2.5489523880145502</c:v>
                </c:pt>
                <c:pt idx="4" formatCode="0.0">
                  <c:v>2</c:v>
                </c:pt>
                <c:pt idx="5" formatCode="0.0">
                  <c:v>1.9701698074273499</c:v>
                </c:pt>
                <c:pt idx="6" formatCode="0.0">
                  <c:v>1.9</c:v>
                </c:pt>
                <c:pt idx="7" formatCode="0.0">
                  <c:v>2.1</c:v>
                </c:pt>
              </c:numCache>
            </c:numRef>
          </c:val>
          <c:smooth val="0"/>
          <c:extLst>
            <c:ext xmlns:c16="http://schemas.microsoft.com/office/drawing/2014/chart" uri="{C3380CC4-5D6E-409C-BE32-E72D297353CC}">
              <c16:uniqueId val="{00000000-1312-467F-BDDE-4225C91C76A4}"/>
            </c:ext>
          </c:extLst>
        </c:ser>
        <c:dLbls>
          <c:showLegendKey val="0"/>
          <c:showVal val="0"/>
          <c:showCatName val="0"/>
          <c:showSerName val="0"/>
          <c:showPercent val="0"/>
          <c:showBubbleSize val="0"/>
        </c:dLbls>
        <c:smooth val="0"/>
        <c:axId val="1109215375"/>
        <c:axId val="1021661999"/>
      </c:lineChart>
      <c:catAx>
        <c:axId val="1109215375"/>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1661999"/>
        <c:crosses val="autoZero"/>
        <c:auto val="1"/>
        <c:lblAlgn val="ctr"/>
        <c:lblOffset val="100"/>
        <c:noMultiLvlLbl val="0"/>
      </c:catAx>
      <c:valAx>
        <c:axId val="10216619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92153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'ICT  '!$C$62</c:f>
              <c:strCache>
                <c:ptCount val="1"/>
                <c:pt idx="0">
                  <c:v>Mobile cellular subscriptions (per 100 people)</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'ICT  '!$D$61:$W$61</c15:sqref>
                  </c15:fullRef>
                </c:ext>
              </c:extLst>
              <c:f>'ICT  '!$P$61:$W$61</c:f>
              <c:numCache>
                <c:formatCode>General</c:formatCode>
                <c:ptCount val="8"/>
                <c:pt idx="0">
                  <c:v>2012</c:v>
                </c:pt>
                <c:pt idx="1">
                  <c:v>2013</c:v>
                </c:pt>
                <c:pt idx="2">
                  <c:v>2014</c:v>
                </c:pt>
                <c:pt idx="3">
                  <c:v>2015</c:v>
                </c:pt>
                <c:pt idx="4">
                  <c:v>2016</c:v>
                </c:pt>
                <c:pt idx="5">
                  <c:v>2017</c:v>
                </c:pt>
                <c:pt idx="6">
                  <c:v>2018</c:v>
                </c:pt>
                <c:pt idx="7">
                  <c:v>2019</c:v>
                </c:pt>
              </c:numCache>
            </c:numRef>
          </c:cat>
          <c:val>
            <c:numRef>
              <c:extLst>
                <c:ext xmlns:c15="http://schemas.microsoft.com/office/drawing/2012/chart" uri="{02D57815-91ED-43cb-92C2-25804820EDAC}">
                  <c15:fullRef>
                    <c15:sqref>'ICT  '!$D$62:$W$62</c15:sqref>
                  </c15:fullRef>
                </c:ext>
              </c:extLst>
              <c:f>'ICT  '!$P$62:$W$62</c:f>
              <c:numCache>
                <c:formatCode>0.0</c:formatCode>
                <c:ptCount val="8"/>
                <c:pt idx="0">
                  <c:v>129.5</c:v>
                </c:pt>
                <c:pt idx="1">
                  <c:v>143.19999999999999</c:v>
                </c:pt>
                <c:pt idx="2">
                  <c:v>145.36368648737599</c:v>
                </c:pt>
                <c:pt idx="3">
                  <c:v>158.9</c:v>
                </c:pt>
                <c:pt idx="4">
                  <c:v>146.6</c:v>
                </c:pt>
                <c:pt idx="5">
                  <c:v>155.23239566224399</c:v>
                </c:pt>
                <c:pt idx="6">
                  <c:v>159.9</c:v>
                </c:pt>
                <c:pt idx="7">
                  <c:v>165.6</c:v>
                </c:pt>
              </c:numCache>
            </c:numRef>
          </c:val>
          <c:smooth val="0"/>
          <c:extLst>
            <c:ext xmlns:c16="http://schemas.microsoft.com/office/drawing/2014/chart" uri="{C3380CC4-5D6E-409C-BE32-E72D297353CC}">
              <c16:uniqueId val="{00000000-2DB8-4428-941D-1940C0AA1FE1}"/>
            </c:ext>
          </c:extLst>
        </c:ser>
        <c:dLbls>
          <c:showLegendKey val="0"/>
          <c:showVal val="0"/>
          <c:showCatName val="0"/>
          <c:showSerName val="0"/>
          <c:showPercent val="0"/>
          <c:showBubbleSize val="0"/>
        </c:dLbls>
        <c:smooth val="0"/>
        <c:axId val="1117249407"/>
        <c:axId val="1021659919"/>
      </c:lineChart>
      <c:catAx>
        <c:axId val="1117249407"/>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1659919"/>
        <c:crosses val="autoZero"/>
        <c:auto val="1"/>
        <c:lblAlgn val="ctr"/>
        <c:lblOffset val="100"/>
        <c:noMultiLvlLbl val="0"/>
      </c:catAx>
      <c:valAx>
        <c:axId val="102165991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72494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4.7355805730895213E-2"/>
          <c:y val="2.3148178985179721E-2"/>
        </c:manualLayout>
      </c:layout>
      <c:overlay val="0"/>
    </c:title>
    <c:autoTitleDeleted val="0"/>
    <c:plotArea>
      <c:layout/>
      <c:lineChart>
        <c:grouping val="standard"/>
        <c:varyColors val="0"/>
        <c:ser>
          <c:idx val="0"/>
          <c:order val="0"/>
          <c:tx>
            <c:strRef>
              <c:f>Patents!$D$11</c:f>
              <c:strCache>
                <c:ptCount val="1"/>
                <c:pt idx="0">
                  <c:v>Certificates</c:v>
                </c:pt>
              </c:strCache>
            </c:strRef>
          </c:tx>
          <c:spPr>
            <a:ln w="22225">
              <a:solidFill>
                <a:srgbClr val="FF6600"/>
              </a:solidFill>
            </a:ln>
          </c:spPr>
          <c:marker>
            <c:symbol val="none"/>
          </c:marker>
          <c:cat>
            <c:strRef>
              <c:f>Patents!$E$9:$N$9</c:f>
              <c:strCache>
                <c:ptCount val="10"/>
                <c:pt idx="0">
                  <c:v>2003</c:v>
                </c:pt>
                <c:pt idx="1">
                  <c:v>2004</c:v>
                </c:pt>
                <c:pt idx="2">
                  <c:v>2005</c:v>
                </c:pt>
                <c:pt idx="3">
                  <c:v>2006</c:v>
                </c:pt>
                <c:pt idx="4">
                  <c:v>2007</c:v>
                </c:pt>
                <c:pt idx="5">
                  <c:v>2008/09</c:v>
                </c:pt>
                <c:pt idx="6">
                  <c:v>2009/10</c:v>
                </c:pt>
                <c:pt idx="7">
                  <c:v>2010/11</c:v>
                </c:pt>
                <c:pt idx="8">
                  <c:v>2011/12</c:v>
                </c:pt>
                <c:pt idx="9">
                  <c:v>2012/13</c:v>
                </c:pt>
              </c:strCache>
            </c:strRef>
          </c:cat>
          <c:val>
            <c:numRef>
              <c:f>Patents!$E$11:$N$11</c:f>
              <c:numCache>
                <c:formatCode>###\ ###\ ###\ ###\ ###</c:formatCode>
                <c:ptCount val="10"/>
                <c:pt idx="0">
                  <c:v>5806</c:v>
                </c:pt>
                <c:pt idx="1">
                  <c:v>6709</c:v>
                </c:pt>
                <c:pt idx="2">
                  <c:v>5432</c:v>
                </c:pt>
                <c:pt idx="3">
                  <c:v>6513</c:v>
                </c:pt>
                <c:pt idx="4">
                  <c:v>7285</c:v>
                </c:pt>
                <c:pt idx="5">
                  <c:v>7740</c:v>
                </c:pt>
                <c:pt idx="6">
                  <c:v>10042</c:v>
                </c:pt>
              </c:numCache>
            </c:numRef>
          </c:val>
          <c:smooth val="0"/>
          <c:extLst>
            <c:ext xmlns:c16="http://schemas.microsoft.com/office/drawing/2014/chart" uri="{C3380CC4-5D6E-409C-BE32-E72D297353CC}">
              <c16:uniqueId val="{00000000-BEDD-4B1A-8E12-AA264181B347}"/>
            </c:ext>
          </c:extLst>
        </c:ser>
        <c:dLbls>
          <c:showLegendKey val="0"/>
          <c:showVal val="0"/>
          <c:showCatName val="0"/>
          <c:showSerName val="0"/>
          <c:showPercent val="0"/>
          <c:showBubbleSize val="0"/>
        </c:dLbls>
        <c:smooth val="0"/>
        <c:axId val="401314144"/>
        <c:axId val="401317672"/>
      </c:lineChart>
      <c:catAx>
        <c:axId val="401314144"/>
        <c:scaling>
          <c:orientation val="minMax"/>
        </c:scaling>
        <c:delete val="0"/>
        <c:axPos val="b"/>
        <c:numFmt formatCode="General" sourceLinked="1"/>
        <c:majorTickMark val="out"/>
        <c:minorTickMark val="none"/>
        <c:tickLblPos val="nextTo"/>
        <c:crossAx val="401317672"/>
        <c:crosses val="autoZero"/>
        <c:auto val="1"/>
        <c:lblAlgn val="ctr"/>
        <c:lblOffset val="100"/>
        <c:noMultiLvlLbl val="0"/>
      </c:catAx>
      <c:valAx>
        <c:axId val="401317672"/>
        <c:scaling>
          <c:orientation val="minMax"/>
        </c:scaling>
        <c:delete val="0"/>
        <c:axPos val="l"/>
        <c:majorGridlines>
          <c:spPr>
            <a:ln>
              <a:prstDash val="dash"/>
            </a:ln>
          </c:spPr>
        </c:majorGridlines>
        <c:numFmt formatCode="#\,##0" sourceLinked="0"/>
        <c:majorTickMark val="out"/>
        <c:minorTickMark val="none"/>
        <c:tickLblPos val="nextTo"/>
        <c:crossAx val="401314144"/>
        <c:crosses val="autoZero"/>
        <c:crossBetween val="between"/>
      </c:valAx>
    </c:plotArea>
    <c:plotVisOnly val="1"/>
    <c:dispBlanksAs val="gap"/>
    <c:showDLblsOverMax val="0"/>
  </c:chart>
  <c:txPr>
    <a:bodyPr/>
    <a:lstStyle/>
    <a:p>
      <a:pPr>
        <a:defRPr sz="800">
          <a:latin typeface="Arial Narrow" pitchFamily="34" charset="0"/>
        </a:defRPr>
      </a:pPr>
      <a:endParaRPr lang="en-US"/>
    </a:p>
  </c:txPr>
  <c:printSettings>
    <c:headerFooter/>
    <c:pageMargins b="0.75000000000000422" l="0.70000000000000062" r="0.70000000000000062" t="0.750000000000004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Patents applicants by top fields of technology  (1997 to 2012)</a:t>
            </a:r>
          </a:p>
        </c:rich>
      </c:tx>
      <c:layout>
        <c:manualLayout>
          <c:xMode val="edge"/>
          <c:yMode val="edge"/>
          <c:x val="0.40234544295729763"/>
          <c:y val="2.8344669682247168E-2"/>
        </c:manualLayout>
      </c:layout>
      <c:overlay val="0"/>
    </c:title>
    <c:autoTitleDeleted val="0"/>
    <c:plotArea>
      <c:layout/>
      <c:pieChart>
        <c:varyColors val="1"/>
        <c:ser>
          <c:idx val="0"/>
          <c:order val="0"/>
          <c:tx>
            <c:strRef>
              <c:f>Patents!$E$35</c:f>
              <c:strCache>
                <c:ptCount val="1"/>
                <c:pt idx="0">
                  <c:v>Share</c:v>
                </c:pt>
              </c:strCache>
            </c:strRef>
          </c:tx>
          <c:dPt>
            <c:idx val="0"/>
            <c:bubble3D val="0"/>
            <c:extLst>
              <c:ext xmlns:c16="http://schemas.microsoft.com/office/drawing/2014/chart" uri="{C3380CC4-5D6E-409C-BE32-E72D297353CC}">
                <c16:uniqueId val="{00000000-6261-49F2-BD3C-369C0F6CABC1}"/>
              </c:ext>
            </c:extLst>
          </c:dPt>
          <c:dPt>
            <c:idx val="1"/>
            <c:bubble3D val="0"/>
            <c:extLst>
              <c:ext xmlns:c16="http://schemas.microsoft.com/office/drawing/2014/chart" uri="{C3380CC4-5D6E-409C-BE32-E72D297353CC}">
                <c16:uniqueId val="{00000001-6261-49F2-BD3C-369C0F6CABC1}"/>
              </c:ext>
            </c:extLst>
          </c:dPt>
          <c:dPt>
            <c:idx val="2"/>
            <c:bubble3D val="0"/>
            <c:extLst>
              <c:ext xmlns:c16="http://schemas.microsoft.com/office/drawing/2014/chart" uri="{C3380CC4-5D6E-409C-BE32-E72D297353CC}">
                <c16:uniqueId val="{00000002-6261-49F2-BD3C-369C0F6CABC1}"/>
              </c:ext>
            </c:extLst>
          </c:dPt>
          <c:dPt>
            <c:idx val="3"/>
            <c:bubble3D val="0"/>
            <c:extLst>
              <c:ext xmlns:c16="http://schemas.microsoft.com/office/drawing/2014/chart" uri="{C3380CC4-5D6E-409C-BE32-E72D297353CC}">
                <c16:uniqueId val="{00000003-6261-49F2-BD3C-369C0F6CABC1}"/>
              </c:ext>
            </c:extLst>
          </c:dPt>
          <c:dPt>
            <c:idx val="4"/>
            <c:bubble3D val="0"/>
            <c:extLst>
              <c:ext xmlns:c16="http://schemas.microsoft.com/office/drawing/2014/chart" uri="{C3380CC4-5D6E-409C-BE32-E72D297353CC}">
                <c16:uniqueId val="{00000004-6261-49F2-BD3C-369C0F6CABC1}"/>
              </c:ext>
            </c:extLst>
          </c:dPt>
          <c:dPt>
            <c:idx val="5"/>
            <c:bubble3D val="0"/>
            <c:extLst>
              <c:ext xmlns:c16="http://schemas.microsoft.com/office/drawing/2014/chart" uri="{C3380CC4-5D6E-409C-BE32-E72D297353CC}">
                <c16:uniqueId val="{00000005-6261-49F2-BD3C-369C0F6CABC1}"/>
              </c:ext>
            </c:extLst>
          </c:dPt>
          <c:dPt>
            <c:idx val="6"/>
            <c:bubble3D val="0"/>
            <c:extLst>
              <c:ext xmlns:c16="http://schemas.microsoft.com/office/drawing/2014/chart" uri="{C3380CC4-5D6E-409C-BE32-E72D297353CC}">
                <c16:uniqueId val="{00000006-6261-49F2-BD3C-369C0F6CABC1}"/>
              </c:ext>
            </c:extLst>
          </c:dPt>
          <c:dPt>
            <c:idx val="7"/>
            <c:bubble3D val="0"/>
            <c:extLst>
              <c:ext xmlns:c16="http://schemas.microsoft.com/office/drawing/2014/chart" uri="{C3380CC4-5D6E-409C-BE32-E72D297353CC}">
                <c16:uniqueId val="{00000007-6261-49F2-BD3C-369C0F6CABC1}"/>
              </c:ext>
            </c:extLst>
          </c:dPt>
          <c:dPt>
            <c:idx val="8"/>
            <c:bubble3D val="0"/>
            <c:extLst>
              <c:ext xmlns:c16="http://schemas.microsoft.com/office/drawing/2014/chart" uri="{C3380CC4-5D6E-409C-BE32-E72D297353CC}">
                <c16:uniqueId val="{00000008-6261-49F2-BD3C-369C0F6CABC1}"/>
              </c:ext>
            </c:extLst>
          </c:dPt>
          <c:dPt>
            <c:idx val="9"/>
            <c:bubble3D val="0"/>
            <c:extLst>
              <c:ext xmlns:c16="http://schemas.microsoft.com/office/drawing/2014/chart" uri="{C3380CC4-5D6E-409C-BE32-E72D297353CC}">
                <c16:uniqueId val="{00000009-6261-49F2-BD3C-369C0F6CABC1}"/>
              </c:ext>
            </c:extLst>
          </c:dPt>
          <c:dPt>
            <c:idx val="10"/>
            <c:bubble3D val="0"/>
            <c:extLst>
              <c:ext xmlns:c16="http://schemas.microsoft.com/office/drawing/2014/chart" uri="{C3380CC4-5D6E-409C-BE32-E72D297353CC}">
                <c16:uniqueId val="{0000000A-6261-49F2-BD3C-369C0F6CABC1}"/>
              </c:ext>
            </c:extLst>
          </c:dPt>
          <c:cat>
            <c:strRef>
              <c:f>Patents!$D$36:$D$46</c:f>
              <c:strCache>
                <c:ptCount val="11"/>
                <c:pt idx="0">
                  <c:v>Civil engineering</c:v>
                </c:pt>
                <c:pt idx="1">
                  <c:v>Materials, metallurgy</c:v>
                </c:pt>
                <c:pt idx="2">
                  <c:v>Basic materials chemistry </c:v>
                </c:pt>
                <c:pt idx="3">
                  <c:v>Chemical engineering</c:v>
                </c:pt>
                <c:pt idx="4">
                  <c:v>Medical technology</c:v>
                </c:pt>
                <c:pt idx="5">
                  <c:v>Handling</c:v>
                </c:pt>
                <c:pt idx="6">
                  <c:v>Furniture, games</c:v>
                </c:pt>
                <c:pt idx="7">
                  <c:v>Other special machines</c:v>
                </c:pt>
                <c:pt idx="8">
                  <c:v>Transport</c:v>
                </c:pt>
                <c:pt idx="9">
                  <c:v>Electrical machinery, apparatus, energy</c:v>
                </c:pt>
                <c:pt idx="10">
                  <c:v>Others</c:v>
                </c:pt>
              </c:strCache>
            </c:strRef>
          </c:cat>
          <c:val>
            <c:numRef>
              <c:f>Patents!$E$36:$E$46</c:f>
              <c:numCache>
                <c:formatCode>General</c:formatCode>
                <c:ptCount val="11"/>
                <c:pt idx="0">
                  <c:v>6.86</c:v>
                </c:pt>
                <c:pt idx="1">
                  <c:v>6.71</c:v>
                </c:pt>
                <c:pt idx="2">
                  <c:v>6.4</c:v>
                </c:pt>
                <c:pt idx="3">
                  <c:v>6.17</c:v>
                </c:pt>
                <c:pt idx="4">
                  <c:v>5.54</c:v>
                </c:pt>
                <c:pt idx="5">
                  <c:v>4.92</c:v>
                </c:pt>
                <c:pt idx="6">
                  <c:v>4.47</c:v>
                </c:pt>
                <c:pt idx="7">
                  <c:v>4.53</c:v>
                </c:pt>
                <c:pt idx="8">
                  <c:v>3.78</c:v>
                </c:pt>
                <c:pt idx="9">
                  <c:v>3.62</c:v>
                </c:pt>
                <c:pt idx="10">
                  <c:v>47</c:v>
                </c:pt>
              </c:numCache>
            </c:numRef>
          </c:val>
          <c:extLst>
            <c:ext xmlns:c16="http://schemas.microsoft.com/office/drawing/2014/chart" uri="{C3380CC4-5D6E-409C-BE32-E72D297353CC}">
              <c16:uniqueId val="{0000000B-6261-49F2-BD3C-369C0F6CABC1}"/>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legend>
    <c:plotVisOnly val="1"/>
    <c:dispBlanksAs val="gap"/>
    <c:showDLblsOverMax val="0"/>
  </c:chart>
  <c:txPr>
    <a:bodyPr/>
    <a:lstStyle/>
    <a:p>
      <a:pPr>
        <a:defRPr sz="800">
          <a:latin typeface="Arial Narrow" pitchFamily="34" charset="0"/>
        </a:defRPr>
      </a:pPr>
      <a:endParaRPr lang="en-US"/>
    </a:p>
  </c:txPr>
  <c:printSettings>
    <c:headerFooter/>
    <c:pageMargins b="0.750000000000001" l="0.70000000000000062" r="0.70000000000000062" t="0.750000000000001"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2003499562556"/>
          <c:y val="5.5555555555555552E-2"/>
          <c:w val="0.86622440944881884"/>
          <c:h val="0.73577136191309422"/>
        </c:manualLayout>
      </c:layout>
      <c:barChart>
        <c:barDir val="col"/>
        <c:grouping val="clustered"/>
        <c:varyColors val="0"/>
        <c:ser>
          <c:idx val="0"/>
          <c:order val="0"/>
          <c:tx>
            <c:strRef>
              <c:f>Patents!$D$55</c:f>
              <c:strCache>
                <c:ptCount val="1"/>
                <c:pt idx="0">
                  <c:v>Abroad</c:v>
                </c:pt>
              </c:strCache>
            </c:strRef>
          </c:tx>
          <c:spPr>
            <a:solidFill>
              <a:schemeClr val="accent2">
                <a:lumMod val="50000"/>
              </a:schemeClr>
            </a:solidFill>
            <a:ln>
              <a:noFill/>
            </a:ln>
            <a:effectLst/>
          </c:spPr>
          <c:invertIfNegative val="0"/>
          <c:cat>
            <c:numRef>
              <c:extLst>
                <c:ext xmlns:c15="http://schemas.microsoft.com/office/drawing/2012/chart" uri="{02D57815-91ED-43cb-92C2-25804820EDAC}">
                  <c15:fullRef>
                    <c15:sqref>Patents!$O$50:$AC$50</c15:sqref>
                  </c15:fullRef>
                </c:ext>
              </c:extLst>
              <c:f>Patents!$O$50:$AC$50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Patents!$N$55:$AC$55</c15:sqref>
                  </c15:fullRef>
                </c:ext>
              </c:extLst>
              <c:f>Patents!$N$55:$AB$55</c:f>
              <c:numCache>
                <c:formatCode>##\ ###\ ###</c:formatCode>
                <c:ptCount val="15"/>
                <c:pt idx="0">
                  <c:v>378</c:v>
                </c:pt>
                <c:pt idx="1">
                  <c:v>428</c:v>
                </c:pt>
                <c:pt idx="2">
                  <c:v>467</c:v>
                </c:pt>
                <c:pt idx="3">
                  <c:v>415</c:v>
                </c:pt>
                <c:pt idx="4">
                  <c:v>559</c:v>
                </c:pt>
                <c:pt idx="5">
                  <c:v>555</c:v>
                </c:pt>
                <c:pt idx="6">
                  <c:v>667</c:v>
                </c:pt>
                <c:pt idx="7">
                  <c:v>965</c:v>
                </c:pt>
                <c:pt idx="8">
                  <c:v>889</c:v>
                </c:pt>
                <c:pt idx="9">
                  <c:v>773</c:v>
                </c:pt>
                <c:pt idx="10">
                  <c:v>674</c:v>
                </c:pt>
                <c:pt idx="11">
                  <c:v>835</c:v>
                </c:pt>
                <c:pt idx="12">
                  <c:v>992</c:v>
                </c:pt>
                <c:pt idx="13">
                  <c:v>861</c:v>
                </c:pt>
                <c:pt idx="14">
                  <c:v>710</c:v>
                </c:pt>
              </c:numCache>
            </c:numRef>
          </c:val>
          <c:extLst>
            <c:ext xmlns:c16="http://schemas.microsoft.com/office/drawing/2014/chart" uri="{C3380CC4-5D6E-409C-BE32-E72D297353CC}">
              <c16:uniqueId val="{00000000-007B-47EA-A131-47957C08E069}"/>
            </c:ext>
          </c:extLst>
        </c:ser>
        <c:dLbls>
          <c:showLegendKey val="0"/>
          <c:showVal val="0"/>
          <c:showCatName val="0"/>
          <c:showSerName val="0"/>
          <c:showPercent val="0"/>
          <c:showBubbleSize val="0"/>
        </c:dLbls>
        <c:gapWidth val="219"/>
        <c:overlap val="-27"/>
        <c:axId val="747167791"/>
        <c:axId val="641779487"/>
      </c:barChart>
      <c:lineChart>
        <c:grouping val="standard"/>
        <c:varyColors val="0"/>
        <c:ser>
          <c:idx val="1"/>
          <c:order val="1"/>
          <c:tx>
            <c:strRef>
              <c:f>Patents!$D$56</c:f>
              <c:strCache>
                <c:ptCount val="1"/>
                <c:pt idx="0">
                  <c:v>Rank</c:v>
                </c:pt>
              </c:strCache>
            </c:strRef>
          </c:tx>
          <c:spPr>
            <a:ln w="28575" cap="rnd">
              <a:solidFill>
                <a:schemeClr val="accent2"/>
              </a:solidFill>
              <a:round/>
            </a:ln>
            <a:effectLst/>
          </c:spPr>
          <c:marker>
            <c:symbol val="none"/>
          </c:marker>
          <c:cat>
            <c:strLit>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Patents!$N$56:$AB$56</c15:sqref>
                  </c15:fullRef>
                </c:ext>
              </c:extLst>
              <c:f>Patents!$N$56:$AB$56</c:f>
              <c:numCache>
                <c:formatCode>General</c:formatCode>
                <c:ptCount val="15"/>
                <c:pt idx="0">
                  <c:v>28</c:v>
                </c:pt>
                <c:pt idx="1">
                  <c:v>28</c:v>
                </c:pt>
                <c:pt idx="2">
                  <c:v>27</c:v>
                </c:pt>
                <c:pt idx="3">
                  <c:v>32</c:v>
                </c:pt>
                <c:pt idx="4">
                  <c:v>29</c:v>
                </c:pt>
                <c:pt idx="5">
                  <c:v>30</c:v>
                </c:pt>
                <c:pt idx="6">
                  <c:v>28</c:v>
                </c:pt>
                <c:pt idx="7">
                  <c:v>26</c:v>
                </c:pt>
                <c:pt idx="8">
                  <c:v>27</c:v>
                </c:pt>
                <c:pt idx="9">
                  <c:v>29</c:v>
                </c:pt>
              </c:numCache>
            </c:numRef>
          </c:val>
          <c:smooth val="0"/>
          <c:extLst>
            <c:ext xmlns:c16="http://schemas.microsoft.com/office/drawing/2014/chart" uri="{C3380CC4-5D6E-409C-BE32-E72D297353CC}">
              <c16:uniqueId val="{00000001-007B-47EA-A131-47957C08E069}"/>
            </c:ext>
          </c:extLst>
        </c:ser>
        <c:dLbls>
          <c:showLegendKey val="0"/>
          <c:showVal val="0"/>
          <c:showCatName val="0"/>
          <c:showSerName val="0"/>
          <c:showPercent val="0"/>
          <c:showBubbleSize val="0"/>
        </c:dLbls>
        <c:marker val="1"/>
        <c:smooth val="0"/>
        <c:axId val="641923407"/>
        <c:axId val="761643295"/>
      </c:lineChart>
      <c:catAx>
        <c:axId val="747167791"/>
        <c:scaling>
          <c:orientation val="minMax"/>
        </c:scaling>
        <c:delete val="0"/>
        <c:axPos val="b"/>
        <c:majorGridlines>
          <c:spPr>
            <a:ln w="9525" cap="flat" cmpd="sng" algn="ctr">
              <a:noFill/>
              <a:round/>
            </a:ln>
            <a:effectLst/>
          </c:spPr>
        </c:majorGridlines>
        <c:minorGridlines>
          <c:spPr>
            <a:ln w="9525" cap="flat" cmpd="sng" algn="ctr">
              <a:noFill/>
              <a:round/>
            </a:ln>
            <a:effectLst/>
          </c:spPr>
        </c:min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779487"/>
        <c:crosses val="autoZero"/>
        <c:auto val="1"/>
        <c:lblAlgn val="ctr"/>
        <c:lblOffset val="100"/>
        <c:tickMarkSkip val="1"/>
        <c:noMultiLvlLbl val="0"/>
      </c:catAx>
      <c:valAx>
        <c:axId val="641779487"/>
        <c:scaling>
          <c:orientation val="minMax"/>
        </c:scaling>
        <c:delete val="0"/>
        <c:axPos val="l"/>
        <c:majorGridlines>
          <c:spPr>
            <a:ln w="9525" cap="flat" cmpd="sng" algn="ctr">
              <a:solidFill>
                <a:schemeClr val="tx1">
                  <a:lumMod val="15000"/>
                  <a:lumOff val="85000"/>
                </a:schemeClr>
              </a:solidFill>
              <a:round/>
            </a:ln>
            <a:effectLst/>
          </c:spPr>
        </c:majorGridlines>
        <c:numFmt formatCode="##\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7167791"/>
        <c:crosses val="autoZero"/>
        <c:crossBetween val="between"/>
      </c:valAx>
      <c:valAx>
        <c:axId val="761643295"/>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1923407"/>
        <c:crosses val="max"/>
        <c:crossBetween val="between"/>
      </c:valAx>
      <c:catAx>
        <c:axId val="641923407"/>
        <c:scaling>
          <c:orientation val="minMax"/>
        </c:scaling>
        <c:delete val="1"/>
        <c:axPos val="b"/>
        <c:majorTickMark val="out"/>
        <c:minorTickMark val="none"/>
        <c:tickLblPos val="nextTo"/>
        <c:crossAx val="761643295"/>
        <c:crosses val="autoZero"/>
        <c:auto val="1"/>
        <c:lblAlgn val="ctr"/>
        <c:lblOffset val="100"/>
        <c:noMultiLvlLbl val="0"/>
      </c:catAx>
      <c:spPr>
        <a:noFill/>
        <a:ln>
          <a:noFill/>
        </a:ln>
        <a:effectLst/>
      </c:spPr>
    </c:plotArea>
    <c:legend>
      <c:legendPos val="b"/>
      <c:layout>
        <c:manualLayout>
          <c:xMode val="edge"/>
          <c:yMode val="edge"/>
          <c:x val="0.38595261180687568"/>
          <c:y val="0.90732321838669783"/>
          <c:w val="0.2669780781385182"/>
          <c:h val="6.836824309559348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'Water '!$E$20</c:f>
              <c:strCache>
                <c:ptCount val="1"/>
                <c:pt idx="0">
                  <c:v>Number of households with access to piped water by province</c:v>
                </c:pt>
              </c:strCache>
            </c:strRef>
          </c:tx>
          <c:invertIfNegative val="0"/>
          <c:cat>
            <c:numRef>
              <c:extLst>
                <c:ext xmlns:c15="http://schemas.microsoft.com/office/drawing/2012/chart" uri="{02D57815-91ED-43cb-92C2-25804820EDAC}">
                  <c15:fullRef>
                    <c15:sqref>'Water '!$F$8:$Y$8</c15:sqref>
                  </c15:fullRef>
                </c:ext>
              </c:extLst>
              <c:f>'Water '!$J$8:$Y$8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extLst>
                <c:ext xmlns:c15="http://schemas.microsoft.com/office/drawing/2012/chart" uri="{02D57815-91ED-43cb-92C2-25804820EDAC}">
                  <c15:fullRef>
                    <c15:sqref>'Water '!$F$31:$Y$31</c15:sqref>
                  </c15:fullRef>
                </c:ext>
              </c:extLst>
              <c:f>'Water '!$J$31:$Y$31</c:f>
              <c:numCache>
                <c:formatCode>#\ ###\ ##0</c:formatCode>
                <c:ptCount val="16"/>
                <c:pt idx="0">
                  <c:v>10867028</c:v>
                </c:pt>
                <c:pt idx="1">
                  <c:v>11199235</c:v>
                </c:pt>
                <c:pt idx="2">
                  <c:v>11373350</c:v>
                </c:pt>
                <c:pt idx="3">
                  <c:v>11764378</c:v>
                </c:pt>
                <c:pt idx="4">
                  <c:v>12107470</c:v>
                </c:pt>
                <c:pt idx="5">
                  <c:v>12456665</c:v>
                </c:pt>
                <c:pt idx="6">
                  <c:v>12858807</c:v>
                </c:pt>
                <c:pt idx="7">
                  <c:v>13054895</c:v>
                </c:pt>
                <c:pt idx="8">
                  <c:v>13423898</c:v>
                </c:pt>
                <c:pt idx="9">
                  <c:v>13722925</c:v>
                </c:pt>
                <c:pt idx="10">
                  <c:v>14009226</c:v>
                </c:pt>
                <c:pt idx="11">
                  <c:v>14355396</c:v>
                </c:pt>
                <c:pt idx="12">
                  <c:v>14838209.8079565</c:v>
                </c:pt>
                <c:pt idx="13">
                  <c:v>15134384.371621201</c:v>
                </c:pt>
                <c:pt idx="14">
                  <c:v>15524061.249603</c:v>
                </c:pt>
                <c:pt idx="15">
                  <c:v>15926011.591931801</c:v>
                </c:pt>
              </c:numCache>
            </c:numRef>
          </c:val>
          <c:extLst>
            <c:ext xmlns:c16="http://schemas.microsoft.com/office/drawing/2014/chart" uri="{C3380CC4-5D6E-409C-BE32-E72D297353CC}">
              <c16:uniqueId val="{00000000-F379-46DE-AE7C-8423BBE26191}"/>
            </c:ext>
          </c:extLst>
        </c:ser>
        <c:dLbls>
          <c:showLegendKey val="0"/>
          <c:showVal val="0"/>
          <c:showCatName val="0"/>
          <c:showSerName val="0"/>
          <c:showPercent val="0"/>
          <c:showBubbleSize val="0"/>
        </c:dLbls>
        <c:gapWidth val="150"/>
        <c:axId val="268289872"/>
        <c:axId val="268282032"/>
      </c:barChart>
      <c:lineChart>
        <c:grouping val="standard"/>
        <c:varyColors val="0"/>
        <c:ser>
          <c:idx val="0"/>
          <c:order val="0"/>
          <c:tx>
            <c:strRef>
              <c:f>'Water '!$D$54</c:f>
              <c:strCache>
                <c:ptCount val="1"/>
                <c:pt idx="0">
                  <c:v>Percentage of households with access to piped water</c:v>
                </c:pt>
              </c:strCache>
            </c:strRef>
          </c:tx>
          <c:spPr>
            <a:ln w="19050">
              <a:solidFill>
                <a:schemeClr val="accent2">
                  <a:lumMod val="50000"/>
                </a:schemeClr>
              </a:solidFill>
            </a:ln>
          </c:spPr>
          <c:marker>
            <c:symbol val="none"/>
          </c:marker>
          <c:cat>
            <c:numRef>
              <c:extLst>
                <c:ext xmlns:c15="http://schemas.microsoft.com/office/drawing/2012/chart" uri="{02D57815-91ED-43cb-92C2-25804820EDAC}">
                  <c15:fullRef>
                    <c15:sqref>'Water '!$F$8:$Y$8</c15:sqref>
                  </c15:fullRef>
                </c:ext>
              </c:extLst>
              <c:f>'Water '!$J$8:$Y$8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extLst>
                <c:ext xmlns:c15="http://schemas.microsoft.com/office/drawing/2012/chart" uri="{02D57815-91ED-43cb-92C2-25804820EDAC}">
                  <c15:fullRef>
                    <c15:sqref>'Water '!$F$18:$Y$18</c15:sqref>
                  </c15:fullRef>
                </c:ext>
              </c:extLst>
              <c:f>'Water '!$J$18:$Y$18</c:f>
              <c:numCache>
                <c:formatCode>#\ ###\ ##0</c:formatCode>
                <c:ptCount val="16"/>
                <c:pt idx="0">
                  <c:v>88.8</c:v>
                </c:pt>
                <c:pt idx="1">
                  <c:v>89.4</c:v>
                </c:pt>
                <c:pt idx="2">
                  <c:v>88.7</c:v>
                </c:pt>
                <c:pt idx="3">
                  <c:v>89.6</c:v>
                </c:pt>
                <c:pt idx="4">
                  <c:v>90</c:v>
                </c:pt>
                <c:pt idx="5">
                  <c:v>90.3</c:v>
                </c:pt>
                <c:pt idx="6">
                  <c:v>90.9</c:v>
                </c:pt>
                <c:pt idx="7">
                  <c:v>89.9</c:v>
                </c:pt>
                <c:pt idx="8">
                  <c:v>90.1</c:v>
                </c:pt>
                <c:pt idx="9">
                  <c:v>89.6</c:v>
                </c:pt>
                <c:pt idx="10">
                  <c:v>89</c:v>
                </c:pt>
                <c:pt idx="11">
                  <c:v>88.6</c:v>
                </c:pt>
                <c:pt idx="12">
                  <c:v>89.006898399999983</c:v>
                </c:pt>
                <c:pt idx="13">
                  <c:v>88.180382975544589</c:v>
                </c:pt>
                <c:pt idx="14">
                  <c:v>89.125352137262993</c:v>
                </c:pt>
                <c:pt idx="15">
                  <c:v>88.741249337117949</c:v>
                </c:pt>
              </c:numCache>
            </c:numRef>
          </c:val>
          <c:smooth val="1"/>
          <c:extLst>
            <c:ext xmlns:c16="http://schemas.microsoft.com/office/drawing/2014/chart" uri="{C3380CC4-5D6E-409C-BE32-E72D297353CC}">
              <c16:uniqueId val="{00000001-F379-46DE-AE7C-8423BBE26191}"/>
            </c:ext>
          </c:extLst>
        </c:ser>
        <c:dLbls>
          <c:showLegendKey val="0"/>
          <c:showVal val="0"/>
          <c:showCatName val="0"/>
          <c:showSerName val="0"/>
          <c:showPercent val="0"/>
          <c:showBubbleSize val="0"/>
        </c:dLbls>
        <c:marker val="1"/>
        <c:smooth val="0"/>
        <c:axId val="653656288"/>
        <c:axId val="653654648"/>
      </c:lineChart>
      <c:catAx>
        <c:axId val="268289872"/>
        <c:scaling>
          <c:orientation val="minMax"/>
        </c:scaling>
        <c:delete val="0"/>
        <c:axPos val="b"/>
        <c:numFmt formatCode="General" sourceLinked="1"/>
        <c:majorTickMark val="none"/>
        <c:minorTickMark val="none"/>
        <c:tickLblPos val="nextTo"/>
        <c:txPr>
          <a:bodyPr/>
          <a:lstStyle/>
          <a:p>
            <a:pPr>
              <a:defRPr lang="en-ZA"/>
            </a:pPr>
            <a:endParaRPr lang="en-US"/>
          </a:p>
        </c:txPr>
        <c:crossAx val="268282032"/>
        <c:crosses val="autoZero"/>
        <c:auto val="1"/>
        <c:lblAlgn val="ctr"/>
        <c:lblOffset val="100"/>
        <c:noMultiLvlLbl val="0"/>
      </c:catAx>
      <c:valAx>
        <c:axId val="268282032"/>
        <c:scaling>
          <c:orientation val="minMax"/>
        </c:scaling>
        <c:delete val="0"/>
        <c:axPos val="l"/>
        <c:majorGridlines>
          <c:spPr>
            <a:ln>
              <a:prstDash val="dash"/>
            </a:ln>
          </c:spPr>
        </c:majorGridlines>
        <c:numFmt formatCode="#\ ###\ ##0" sourceLinked="1"/>
        <c:majorTickMark val="out"/>
        <c:minorTickMark val="none"/>
        <c:tickLblPos val="nextTo"/>
        <c:spPr>
          <a:ln w="9525">
            <a:solidFill>
              <a:schemeClr val="tx1">
                <a:lumMod val="50000"/>
                <a:lumOff val="50000"/>
              </a:schemeClr>
            </a:solidFill>
          </a:ln>
        </c:spPr>
        <c:txPr>
          <a:bodyPr/>
          <a:lstStyle/>
          <a:p>
            <a:pPr>
              <a:defRPr lang="en-ZA"/>
            </a:pPr>
            <a:endParaRPr lang="en-US"/>
          </a:p>
        </c:txPr>
        <c:crossAx val="268289872"/>
        <c:crosses val="autoZero"/>
        <c:crossBetween val="between"/>
      </c:valAx>
      <c:valAx>
        <c:axId val="653654648"/>
        <c:scaling>
          <c:orientation val="minMax"/>
        </c:scaling>
        <c:delete val="0"/>
        <c:axPos val="r"/>
        <c:numFmt formatCode="#\ ###\ ##0" sourceLinked="1"/>
        <c:majorTickMark val="out"/>
        <c:minorTickMark val="none"/>
        <c:tickLblPos val="nextTo"/>
        <c:crossAx val="653656288"/>
        <c:crosses val="max"/>
        <c:crossBetween val="between"/>
      </c:valAx>
      <c:catAx>
        <c:axId val="653656288"/>
        <c:scaling>
          <c:orientation val="minMax"/>
        </c:scaling>
        <c:delete val="1"/>
        <c:axPos val="b"/>
        <c:numFmt formatCode="General" sourceLinked="1"/>
        <c:majorTickMark val="out"/>
        <c:minorTickMark val="none"/>
        <c:tickLblPos val="nextTo"/>
        <c:crossAx val="653654648"/>
        <c:crosses val="autoZero"/>
        <c:auto val="1"/>
        <c:lblAlgn val="ctr"/>
        <c:lblOffset val="100"/>
        <c:noMultiLvlLbl val="0"/>
      </c:catAx>
    </c:plotArea>
    <c:legend>
      <c:legendPos val="b"/>
      <c:overlay val="0"/>
      <c:txPr>
        <a:bodyPr/>
        <a:lstStyle/>
        <a:p>
          <a:pPr>
            <a:defRPr lang="en-ZA"/>
          </a:pPr>
          <a:endParaRPr lang="en-US"/>
        </a:p>
      </c:txPr>
    </c:legend>
    <c:plotVisOnly val="1"/>
    <c:dispBlanksAs val="gap"/>
    <c:showDLblsOverMax val="0"/>
  </c:chart>
  <c:txPr>
    <a:bodyPr/>
    <a:lstStyle/>
    <a:p>
      <a:pPr>
        <a:defRPr sz="800">
          <a:latin typeface="Arial Narrow"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ZA"/>
              <a:t>PERCENTAGE OF QUALIFIED AUDITS</a:t>
            </a:r>
          </a:p>
        </c:rich>
      </c:tx>
      <c:layout>
        <c:manualLayout>
          <c:xMode val="edge"/>
          <c:yMode val="edge"/>
          <c:x val="7.473852563477764E-3"/>
          <c:y val="3.2608695652174356E-2"/>
        </c:manualLayout>
      </c:layout>
      <c:overlay val="0"/>
      <c:spPr>
        <a:noFill/>
        <a:ln w="25400">
          <a:noFill/>
        </a:ln>
      </c:spPr>
    </c:title>
    <c:autoTitleDeleted val="0"/>
    <c:plotArea>
      <c:layout>
        <c:manualLayout>
          <c:layoutTarget val="inner"/>
          <c:xMode val="edge"/>
          <c:yMode val="edge"/>
          <c:x val="9.1116155153029121E-2"/>
          <c:y val="0.10715313095912286"/>
          <c:w val="0.88825167352430467"/>
          <c:h val="0.73429633567880015"/>
        </c:manualLayout>
      </c:layout>
      <c:lineChart>
        <c:grouping val="standard"/>
        <c:varyColors val="0"/>
        <c:ser>
          <c:idx val="2"/>
          <c:order val="0"/>
          <c:tx>
            <c:strRef>
              <c:f>'Audits '!$D$7</c:f>
              <c:strCache>
                <c:ptCount val="1"/>
                <c:pt idx="0">
                  <c:v>National depts.</c:v>
                </c:pt>
              </c:strCache>
            </c:strRef>
          </c:tx>
          <c:spPr>
            <a:ln w="25400">
              <a:solidFill>
                <a:srgbClr val="FF6600"/>
              </a:solidFill>
              <a:prstDash val="solid"/>
            </a:ln>
          </c:spPr>
          <c:marker>
            <c:symbol val="none"/>
          </c:marker>
          <c:cat>
            <c:strRef>
              <c:f>'Audits '!$E$7:$Z$7</c:f>
              <c:strCache>
                <c:ptCount val="22"/>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strCache>
            </c:strRef>
          </c:cat>
          <c:val>
            <c:numRef>
              <c:f>'Audits '!$E$10:$Z$10</c:f>
              <c:numCache>
                <c:formatCode>0.0%</c:formatCode>
                <c:ptCount val="22"/>
                <c:pt idx="0">
                  <c:v>0.19444444444444445</c:v>
                </c:pt>
                <c:pt idx="1">
                  <c:v>0.22222222222222221</c:v>
                </c:pt>
                <c:pt idx="2">
                  <c:v>0.22222222222222221</c:v>
                </c:pt>
                <c:pt idx="3">
                  <c:v>0.3235294117647059</c:v>
                </c:pt>
                <c:pt idx="4">
                  <c:v>0.20588235294117646</c:v>
                </c:pt>
                <c:pt idx="5">
                  <c:v>0.3235294117647059</c:v>
                </c:pt>
                <c:pt idx="6">
                  <c:v>0.38709677419354838</c:v>
                </c:pt>
                <c:pt idx="7">
                  <c:v>0.38709677419354838</c:v>
                </c:pt>
                <c:pt idx="8">
                  <c:v>0.35294117647058826</c:v>
                </c:pt>
                <c:pt idx="9">
                  <c:v>0.3235294117647059</c:v>
                </c:pt>
                <c:pt idx="10">
                  <c:v>0.25641025641025639</c:v>
                </c:pt>
                <c:pt idx="11">
                  <c:v>0.17499999999999999</c:v>
                </c:pt>
                <c:pt idx="12">
                  <c:v>0.15</c:v>
                </c:pt>
                <c:pt idx="13">
                  <c:v>0.17073170731707318</c:v>
                </c:pt>
                <c:pt idx="14">
                  <c:v>0.13953488372093023</c:v>
                </c:pt>
                <c:pt idx="15">
                  <c:v>7.1428571428571425E-2</c:v>
                </c:pt>
                <c:pt idx="16">
                  <c:v>0.19565217391304349</c:v>
                </c:pt>
                <c:pt idx="17">
                  <c:v>0.21739130434782608</c:v>
                </c:pt>
                <c:pt idx="18">
                  <c:v>0.2608695652173913</c:v>
                </c:pt>
                <c:pt idx="19">
                  <c:v>0.19565217391304349</c:v>
                </c:pt>
                <c:pt idx="20">
                  <c:v>0.14634146341463414</c:v>
                </c:pt>
                <c:pt idx="21">
                  <c:v>0.15</c:v>
                </c:pt>
              </c:numCache>
            </c:numRef>
          </c:val>
          <c:smooth val="0"/>
          <c:extLst>
            <c:ext xmlns:c16="http://schemas.microsoft.com/office/drawing/2014/chart" uri="{C3380CC4-5D6E-409C-BE32-E72D297353CC}">
              <c16:uniqueId val="{00000000-B6E2-4457-9B63-21FAA6A76F5C}"/>
            </c:ext>
          </c:extLst>
        </c:ser>
        <c:ser>
          <c:idx val="0"/>
          <c:order val="1"/>
          <c:tx>
            <c:strRef>
              <c:f>'Audits '!$D$11</c:f>
              <c:strCache>
                <c:ptCount val="1"/>
                <c:pt idx="0">
                  <c:v>Provincial depts.</c:v>
                </c:pt>
              </c:strCache>
            </c:strRef>
          </c:tx>
          <c:spPr>
            <a:ln w="25400">
              <a:solidFill>
                <a:srgbClr val="BE4B48"/>
              </a:solidFill>
            </a:ln>
          </c:spPr>
          <c:marker>
            <c:symbol val="none"/>
          </c:marker>
          <c:cat>
            <c:strRef>
              <c:f>'Audits '!$E$7:$Z$7</c:f>
              <c:strCache>
                <c:ptCount val="22"/>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strCache>
            </c:strRef>
          </c:cat>
          <c:val>
            <c:numRef>
              <c:f>'Audits '!$E$14:$Z$14</c:f>
              <c:numCache>
                <c:formatCode>0.0%</c:formatCode>
                <c:ptCount val="22"/>
                <c:pt idx="0">
                  <c:v>0.81196581196581197</c:v>
                </c:pt>
                <c:pt idx="1">
                  <c:v>0.53448275862068961</c:v>
                </c:pt>
                <c:pt idx="2">
                  <c:v>0.31034482758620691</c:v>
                </c:pt>
                <c:pt idx="3">
                  <c:v>0.31304347826086959</c:v>
                </c:pt>
                <c:pt idx="4">
                  <c:v>0.39316239316239315</c:v>
                </c:pt>
                <c:pt idx="5">
                  <c:v>0.42735042735042733</c:v>
                </c:pt>
                <c:pt idx="6">
                  <c:v>0.54285714285714282</c:v>
                </c:pt>
                <c:pt idx="7">
                  <c:v>0.3963963963963964</c:v>
                </c:pt>
                <c:pt idx="8">
                  <c:v>0.30578512396694213</c:v>
                </c:pt>
                <c:pt idx="9">
                  <c:v>0.27642276422764228</c:v>
                </c:pt>
                <c:pt idx="10">
                  <c:v>0.2975206611570248</c:v>
                </c:pt>
                <c:pt idx="11">
                  <c:v>0.32231404958677684</c:v>
                </c:pt>
                <c:pt idx="12">
                  <c:v>0.26829268292682928</c:v>
                </c:pt>
                <c:pt idx="13">
                  <c:v>0.22580645161290322</c:v>
                </c:pt>
                <c:pt idx="14">
                  <c:v>0.19354838709677419</c:v>
                </c:pt>
                <c:pt idx="15">
                  <c:v>0.21138211382113822</c:v>
                </c:pt>
                <c:pt idx="16">
                  <c:v>0.24390243902439024</c:v>
                </c:pt>
                <c:pt idx="17">
                  <c:v>0.26016260162601629</c:v>
                </c:pt>
                <c:pt idx="18">
                  <c:v>0.31707317073170732</c:v>
                </c:pt>
                <c:pt idx="19">
                  <c:v>0.21311475409836064</c:v>
                </c:pt>
                <c:pt idx="20">
                  <c:v>0.22131147540983606</c:v>
                </c:pt>
                <c:pt idx="21">
                  <c:v>0.20833333333333334</c:v>
                </c:pt>
              </c:numCache>
            </c:numRef>
          </c:val>
          <c:smooth val="0"/>
          <c:extLst>
            <c:ext xmlns:c16="http://schemas.microsoft.com/office/drawing/2014/chart" uri="{C3380CC4-5D6E-409C-BE32-E72D297353CC}">
              <c16:uniqueId val="{00000001-B6E2-4457-9B63-21FAA6A76F5C}"/>
            </c:ext>
          </c:extLst>
        </c:ser>
        <c:ser>
          <c:idx val="1"/>
          <c:order val="2"/>
          <c:tx>
            <c:strRef>
              <c:f>'Audits '!$D$15</c:f>
              <c:strCache>
                <c:ptCount val="1"/>
                <c:pt idx="0">
                  <c:v>Municipalities</c:v>
                </c:pt>
              </c:strCache>
            </c:strRef>
          </c:tx>
          <c:spPr>
            <a:ln w="25400">
              <a:solidFill>
                <a:srgbClr val="FFC000"/>
              </a:solidFill>
            </a:ln>
          </c:spPr>
          <c:marker>
            <c:symbol val="none"/>
          </c:marker>
          <c:cat>
            <c:strRef>
              <c:f>'Audits '!$E$7:$Z$7</c:f>
              <c:strCache>
                <c:ptCount val="22"/>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strCache>
            </c:strRef>
          </c:cat>
          <c:val>
            <c:numRef>
              <c:f>'Audits '!$E$18:$Z$18</c:f>
              <c:numCache>
                <c:formatCode>0.0%</c:formatCode>
                <c:ptCount val="22"/>
                <c:pt idx="0">
                  <c:v>0.76243093922651939</c:v>
                </c:pt>
                <c:pt idx="1">
                  <c:v>0.74857142857142855</c:v>
                </c:pt>
                <c:pt idx="2">
                  <c:v>0.6015625</c:v>
                </c:pt>
                <c:pt idx="3">
                  <c:v>0.61052631578947369</c:v>
                </c:pt>
                <c:pt idx="4">
                  <c:v>0.5714285714285714</c:v>
                </c:pt>
                <c:pt idx="5">
                  <c:v>0.83333333333333337</c:v>
                </c:pt>
                <c:pt idx="6">
                  <c:v>0.79642857142857137</c:v>
                </c:pt>
                <c:pt idx="7">
                  <c:v>0.66077738515901063</c:v>
                </c:pt>
                <c:pt idx="8">
                  <c:v>0.58657243816254412</c:v>
                </c:pt>
                <c:pt idx="9">
                  <c:v>0.54063604240282681</c:v>
                </c:pt>
                <c:pt idx="10">
                  <c:v>0.53356890459363959</c:v>
                </c:pt>
                <c:pt idx="11">
                  <c:v>0.57913669064748197</c:v>
                </c:pt>
                <c:pt idx="12">
                  <c:v>0.56474820143884896</c:v>
                </c:pt>
                <c:pt idx="13">
                  <c:v>0.46</c:v>
                </c:pt>
                <c:pt idx="14">
                  <c:v>0.40400000000000003</c:v>
                </c:pt>
                <c:pt idx="15">
                  <c:v>0.33100000000000002</c:v>
                </c:pt>
                <c:pt idx="16">
                  <c:v>0.42801556420233461</c:v>
                </c:pt>
                <c:pt idx="17">
                  <c:v>0.51750972762645919</c:v>
                </c:pt>
                <c:pt idx="18">
                  <c:v>0.55642023346303504</c:v>
                </c:pt>
                <c:pt idx="19">
                  <c:v>0.50194552529182879</c:v>
                </c:pt>
                <c:pt idx="20">
                  <c:v>0.44488188976377951</c:v>
                </c:pt>
                <c:pt idx="21">
                  <c:v>0.41078838174273857</c:v>
                </c:pt>
              </c:numCache>
            </c:numRef>
          </c:val>
          <c:smooth val="0"/>
          <c:extLst>
            <c:ext xmlns:c16="http://schemas.microsoft.com/office/drawing/2014/chart" uri="{C3380CC4-5D6E-409C-BE32-E72D297353CC}">
              <c16:uniqueId val="{00000002-B6E2-4457-9B63-21FAA6A76F5C}"/>
            </c:ext>
          </c:extLst>
        </c:ser>
        <c:ser>
          <c:idx val="3"/>
          <c:order val="3"/>
          <c:tx>
            <c:strRef>
              <c:f>'Audits '!$D$19</c:f>
              <c:strCache>
                <c:ptCount val="1"/>
                <c:pt idx="0">
                  <c:v>Public entities</c:v>
                </c:pt>
              </c:strCache>
            </c:strRef>
          </c:tx>
          <c:spPr>
            <a:ln w="25400">
              <a:solidFill>
                <a:srgbClr val="00B050"/>
              </a:solidFill>
            </a:ln>
          </c:spPr>
          <c:marker>
            <c:symbol val="none"/>
          </c:marker>
          <c:cat>
            <c:strRef>
              <c:f>'Audits '!$E$7:$Z$7</c:f>
              <c:strCache>
                <c:ptCount val="22"/>
                <c:pt idx="0">
                  <c:v>2000/01</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pt idx="16">
                  <c:v>2016/17</c:v>
                </c:pt>
                <c:pt idx="17">
                  <c:v>2017/18</c:v>
                </c:pt>
                <c:pt idx="18">
                  <c:v>2018/19</c:v>
                </c:pt>
                <c:pt idx="19">
                  <c:v>2019/20</c:v>
                </c:pt>
                <c:pt idx="20">
                  <c:v>2020/21</c:v>
                </c:pt>
                <c:pt idx="21">
                  <c:v>2021/22</c:v>
                </c:pt>
              </c:strCache>
            </c:strRef>
          </c:cat>
          <c:val>
            <c:numRef>
              <c:f>'Audits '!$E$22:$Z$22</c:f>
              <c:numCache>
                <c:formatCode>0.0%</c:formatCode>
                <c:ptCount val="22"/>
                <c:pt idx="1">
                  <c:v>0.46323529411764708</c:v>
                </c:pt>
                <c:pt idx="2">
                  <c:v>0.38970588235294118</c:v>
                </c:pt>
                <c:pt idx="3">
                  <c:v>0.30107526881720431</c:v>
                </c:pt>
                <c:pt idx="4">
                  <c:v>0.12658227848101267</c:v>
                </c:pt>
                <c:pt idx="5">
                  <c:v>0.2655367231638418</c:v>
                </c:pt>
                <c:pt idx="6">
                  <c:v>0.28767123287671231</c:v>
                </c:pt>
                <c:pt idx="7">
                  <c:v>0.2253968253968254</c:v>
                </c:pt>
                <c:pt idx="8">
                  <c:v>0.22608695652173913</c:v>
                </c:pt>
                <c:pt idx="9">
                  <c:v>0.16155988857938719</c:v>
                </c:pt>
                <c:pt idx="10">
                  <c:v>0.15531335149863759</c:v>
                </c:pt>
                <c:pt idx="11">
                  <c:v>0.16576086956521738</c:v>
                </c:pt>
                <c:pt idx="12">
                  <c:v>0.20846905537459284</c:v>
                </c:pt>
                <c:pt idx="13">
                  <c:v>0.21926910299003322</c:v>
                </c:pt>
                <c:pt idx="14">
                  <c:v>0.21305841924398625</c:v>
                </c:pt>
                <c:pt idx="15">
                  <c:v>0.21232876712328766</c:v>
                </c:pt>
                <c:pt idx="16">
                  <c:v>0.27692307692307694</c:v>
                </c:pt>
                <c:pt idx="17">
                  <c:v>0.32452830188679244</c:v>
                </c:pt>
                <c:pt idx="18">
                  <c:v>0.32307692307692309</c:v>
                </c:pt>
                <c:pt idx="19">
                  <c:v>0.31538461538461537</c:v>
                </c:pt>
                <c:pt idx="20">
                  <c:v>0.20229007633587787</c:v>
                </c:pt>
                <c:pt idx="21">
                  <c:v>0.23109243697478993</c:v>
                </c:pt>
              </c:numCache>
            </c:numRef>
          </c:val>
          <c:smooth val="0"/>
          <c:extLst>
            <c:ext xmlns:c16="http://schemas.microsoft.com/office/drawing/2014/chart" uri="{C3380CC4-5D6E-409C-BE32-E72D297353CC}">
              <c16:uniqueId val="{00000003-B6E2-4457-9B63-21FAA6A76F5C}"/>
            </c:ext>
          </c:extLst>
        </c:ser>
        <c:dLbls>
          <c:showLegendKey val="0"/>
          <c:showVal val="0"/>
          <c:showCatName val="0"/>
          <c:showSerName val="0"/>
          <c:showPercent val="0"/>
          <c:showBubbleSize val="0"/>
        </c:dLbls>
        <c:smooth val="0"/>
        <c:axId val="532767384"/>
        <c:axId val="532765816"/>
      </c:lineChart>
      <c:catAx>
        <c:axId val="532767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5816"/>
        <c:crosses val="autoZero"/>
        <c:auto val="1"/>
        <c:lblAlgn val="ctr"/>
        <c:lblOffset val="100"/>
        <c:tickLblSkip val="1"/>
        <c:tickMarkSkip val="1"/>
        <c:noMultiLvlLbl val="0"/>
      </c:catAx>
      <c:valAx>
        <c:axId val="532765816"/>
        <c:scaling>
          <c:orientation val="minMax"/>
          <c:min val="0"/>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ZA"/>
                  <a:t>%</a:t>
                </a:r>
              </a:p>
            </c:rich>
          </c:tx>
          <c:layout>
            <c:manualLayout>
              <c:xMode val="edge"/>
              <c:yMode val="edge"/>
              <c:x val="1.7779935534817382E-2"/>
              <c:y val="0.4384074596694564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7384"/>
        <c:crosses val="autoZero"/>
        <c:crossBetween val="between"/>
      </c:valAx>
      <c:spPr>
        <a:solidFill>
          <a:srgbClr val="FFFFFF"/>
        </a:solidFill>
        <a:ln w="12700">
          <a:solidFill>
            <a:srgbClr val="808080"/>
          </a:solidFill>
          <a:prstDash val="solid"/>
        </a:ln>
      </c:spPr>
    </c:plotArea>
    <c:legend>
      <c:legendPos val="r"/>
      <c:layout>
        <c:manualLayout>
          <c:xMode val="edge"/>
          <c:yMode val="edge"/>
          <c:x val="0.18317373134897647"/>
          <c:y val="0.90029633392600117"/>
          <c:w val="0.7599611186203904"/>
          <c:h val="9.970366607399881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horizontalDpi="0" verticalDpi="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BD8E31"/>
            </a:solidFill>
          </c:spPr>
          <c:invertIfNegative val="0"/>
          <c:val>
            <c:numRef>
              <c:f>[11]Water!#REF!</c:f>
              <c:numCache>
                <c:formatCode>#\ ###\ ##0</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[11]Water!#REF!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[11]Water!#REF!</c15:sqref>
                        </c15:formulaRef>
                      </c:ext>
                    </c:extLst>
                    <c:strCache>
                      <c:ptCount val="1"/>
                      <c:pt idx="0">
                        <c:v>#REF!</c:v>
                      </c:pt>
                    </c:strCache>
                  </c:strRef>
                </c15:cat>
              </c15:filteredCategoryTitle>
            </c:ext>
            <c:ext xmlns:c16="http://schemas.microsoft.com/office/drawing/2014/chart" uri="{C3380CC4-5D6E-409C-BE32-E72D297353CC}">
              <c16:uniqueId val="{00000000-5579-420F-B295-E46929E92C80}"/>
            </c:ext>
          </c:extLst>
        </c:ser>
        <c:ser>
          <c:idx val="1"/>
          <c:order val="1"/>
          <c:invertIfNegative val="0"/>
          <c:val>
            <c:numRef>
              <c:f>[11]Water!#REF!</c:f>
              <c:numCache>
                <c:formatCode>#\ ###\ ##0</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[11]Water!#REF!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[11]Water!#REF!</c15:sqref>
                        </c15:formulaRef>
                      </c:ext>
                    </c:extLst>
                    <c:strCache>
                      <c:ptCount val="1"/>
                      <c:pt idx="0">
                        <c:v>#REF!</c:v>
                      </c:pt>
                    </c:strCache>
                  </c:strRef>
                </c15:cat>
              </c15:filteredCategoryTitle>
            </c:ext>
            <c:ext xmlns:c16="http://schemas.microsoft.com/office/drawing/2014/chart" uri="{C3380CC4-5D6E-409C-BE32-E72D297353CC}">
              <c16:uniqueId val="{00000001-5579-420F-B295-E46929E92C80}"/>
            </c:ext>
          </c:extLst>
        </c:ser>
        <c:dLbls>
          <c:showLegendKey val="0"/>
          <c:showVal val="0"/>
          <c:showCatName val="0"/>
          <c:showSerName val="0"/>
          <c:showPercent val="0"/>
          <c:showBubbleSize val="0"/>
        </c:dLbls>
        <c:gapWidth val="150"/>
        <c:axId val="268303872"/>
        <c:axId val="268310592"/>
      </c:barChart>
      <c:catAx>
        <c:axId val="268303872"/>
        <c:scaling>
          <c:orientation val="minMax"/>
        </c:scaling>
        <c:delete val="0"/>
        <c:axPos val="b"/>
        <c:numFmt formatCode="General" sourceLinked="1"/>
        <c:majorTickMark val="none"/>
        <c:minorTickMark val="none"/>
        <c:tickLblPos val="nextTo"/>
        <c:txPr>
          <a:bodyPr/>
          <a:lstStyle/>
          <a:p>
            <a:pPr>
              <a:defRPr lang="en-ZA"/>
            </a:pPr>
            <a:endParaRPr lang="en-US"/>
          </a:p>
        </c:txPr>
        <c:crossAx val="268310592"/>
        <c:crosses val="autoZero"/>
        <c:auto val="1"/>
        <c:lblAlgn val="ctr"/>
        <c:lblOffset val="100"/>
        <c:noMultiLvlLbl val="0"/>
      </c:catAx>
      <c:valAx>
        <c:axId val="268310592"/>
        <c:scaling>
          <c:orientation val="minMax"/>
        </c:scaling>
        <c:delete val="0"/>
        <c:axPos val="l"/>
        <c:majorGridlines>
          <c:spPr>
            <a:ln>
              <a:prstDash val="dash"/>
            </a:ln>
          </c:spPr>
        </c:majorGridlines>
        <c:numFmt formatCode="#\ ###\ ##0" sourceLinked="1"/>
        <c:majorTickMark val="none"/>
        <c:minorTickMark val="none"/>
        <c:tickLblPos val="nextTo"/>
        <c:spPr>
          <a:ln w="9525">
            <a:noFill/>
          </a:ln>
        </c:spPr>
        <c:txPr>
          <a:bodyPr/>
          <a:lstStyle/>
          <a:p>
            <a:pPr>
              <a:defRPr lang="en-ZA"/>
            </a:pPr>
            <a:endParaRPr lang="en-US"/>
          </a:p>
        </c:txPr>
        <c:crossAx val="268303872"/>
        <c:crosses val="autoZero"/>
        <c:crossBetween val="between"/>
      </c:valAx>
    </c:plotArea>
    <c:legend>
      <c:legendPos val="b"/>
      <c:overlay val="0"/>
      <c:txPr>
        <a:bodyPr/>
        <a:lstStyle/>
        <a:p>
          <a:pPr>
            <a:defRPr lang="en-ZA"/>
          </a:pPr>
          <a:endParaRPr lang="en-US"/>
        </a:p>
      </c:txPr>
    </c:legend>
    <c:plotVisOnly val="1"/>
    <c:dispBlanksAs val="gap"/>
    <c:showDLblsOverMax val="0"/>
  </c:chart>
  <c:spPr>
    <a:solidFill>
      <a:schemeClr val="bg1"/>
    </a:solidFill>
    <a:ln>
      <a:noFill/>
    </a:ln>
  </c:spPr>
  <c:txPr>
    <a:bodyPr/>
    <a:lstStyle/>
    <a:p>
      <a:pPr>
        <a:defRPr sz="800">
          <a:latin typeface="Arial Narrow"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Sanitation!$E$20</c:f>
              <c:strCache>
                <c:ptCount val="1"/>
                <c:pt idx="0">
                  <c:v>Number of  households with access to improved sanitation facilities by province</c:v>
                </c:pt>
              </c:strCache>
            </c:strRef>
          </c:tx>
          <c:invertIfNegative val="0"/>
          <c:cat>
            <c:numRef>
              <c:extLst>
                <c:ext xmlns:c15="http://schemas.microsoft.com/office/drawing/2012/chart" uri="{02D57815-91ED-43cb-92C2-25804820EDAC}">
                  <c15:fullRef>
                    <c15:sqref>Sanitation!$F$8:$Y$8</c15:sqref>
                  </c15:fullRef>
                </c:ext>
              </c:extLst>
              <c:f>Sanitation!$J$8:$Y$8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extLst>
                <c:ext xmlns:c15="http://schemas.microsoft.com/office/drawing/2012/chart" uri="{02D57815-91ED-43cb-92C2-25804820EDAC}">
                  <c15:fullRef>
                    <c15:sqref>Sanitation!$F$31:$Y$31</c15:sqref>
                  </c15:fullRef>
                </c:ext>
              </c:extLst>
              <c:f>Sanitation!$J$31:$Y$31</c:f>
              <c:numCache>
                <c:formatCode>#\ ###\ ##0</c:formatCode>
                <c:ptCount val="16"/>
                <c:pt idx="0">
                  <c:v>8356419</c:v>
                </c:pt>
                <c:pt idx="1">
                  <c:v>8746642</c:v>
                </c:pt>
                <c:pt idx="2">
                  <c:v>8927869</c:v>
                </c:pt>
                <c:pt idx="3">
                  <c:v>9506974</c:v>
                </c:pt>
                <c:pt idx="4">
                  <c:v>9815750</c:v>
                </c:pt>
                <c:pt idx="5">
                  <c:v>10328192</c:v>
                </c:pt>
                <c:pt idx="6">
                  <c:v>10692591</c:v>
                </c:pt>
                <c:pt idx="7">
                  <c:v>11268669</c:v>
                </c:pt>
                <c:pt idx="8">
                  <c:v>11813269</c:v>
                </c:pt>
                <c:pt idx="9">
                  <c:v>12205646</c:v>
                </c:pt>
                <c:pt idx="10">
                  <c:v>12715932</c:v>
                </c:pt>
                <c:pt idx="11">
                  <c:v>13326324.561985899</c:v>
                </c:pt>
                <c:pt idx="12">
                  <c:v>13797953.7720547</c:v>
                </c:pt>
                <c:pt idx="13">
                  <c:v>14080054.921204101</c:v>
                </c:pt>
                <c:pt idx="14">
                  <c:v>14477478.150981098</c:v>
                </c:pt>
                <c:pt idx="15">
                  <c:v>15079973.4859479</c:v>
                </c:pt>
              </c:numCache>
            </c:numRef>
          </c:val>
          <c:extLst>
            <c:ext xmlns:c16="http://schemas.microsoft.com/office/drawing/2014/chart" uri="{C3380CC4-5D6E-409C-BE32-E72D297353CC}">
              <c16:uniqueId val="{00000000-529E-4452-B146-B92E6CBF9CE8}"/>
            </c:ext>
          </c:extLst>
        </c:ser>
        <c:dLbls>
          <c:showLegendKey val="0"/>
          <c:showVal val="0"/>
          <c:showCatName val="0"/>
          <c:showSerName val="0"/>
          <c:showPercent val="0"/>
          <c:showBubbleSize val="0"/>
        </c:dLbls>
        <c:gapWidth val="150"/>
        <c:axId val="268289872"/>
        <c:axId val="268282032"/>
      </c:barChart>
      <c:lineChart>
        <c:grouping val="standard"/>
        <c:varyColors val="0"/>
        <c:ser>
          <c:idx val="0"/>
          <c:order val="0"/>
          <c:tx>
            <c:strRef>
              <c:f>Sanitation!$D$66</c:f>
              <c:strCache>
                <c:ptCount val="1"/>
                <c:pt idx="0">
                  <c:v>Percentage of households with access to improved sanitation facilities </c:v>
                </c:pt>
              </c:strCache>
            </c:strRef>
          </c:tx>
          <c:spPr>
            <a:ln w="19050">
              <a:solidFill>
                <a:schemeClr val="accent2">
                  <a:lumMod val="50000"/>
                </a:schemeClr>
              </a:solidFill>
            </a:ln>
          </c:spPr>
          <c:marker>
            <c:symbol val="none"/>
          </c:marker>
          <c:cat>
            <c:numRef>
              <c:extLst>
                <c:ext xmlns:c15="http://schemas.microsoft.com/office/drawing/2012/chart" uri="{02D57815-91ED-43cb-92C2-25804820EDAC}">
                  <c15:fullRef>
                    <c15:sqref>Sanitation!$F$8:$Y$8</c15:sqref>
                  </c15:fullRef>
                </c:ext>
              </c:extLst>
              <c:f>Sanitation!$J$8:$Y$8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extLst>
                <c:ext xmlns:c15="http://schemas.microsoft.com/office/drawing/2012/chart" uri="{02D57815-91ED-43cb-92C2-25804820EDAC}">
                  <c15:fullRef>
                    <c15:sqref>Sanitation!$F$18:$Y$18</c15:sqref>
                  </c15:fullRef>
                </c:ext>
              </c:extLst>
              <c:f>Sanitation!$J$18:$Y$18</c:f>
              <c:numCache>
                <c:formatCode>#\ ###\ ##0</c:formatCode>
                <c:ptCount val="16"/>
                <c:pt idx="0">
                  <c:v>68.2534706</c:v>
                </c:pt>
                <c:pt idx="1">
                  <c:v>69.847461700000011</c:v>
                </c:pt>
                <c:pt idx="2">
                  <c:v>69.644052700000017</c:v>
                </c:pt>
                <c:pt idx="3">
                  <c:v>72.415351599999994</c:v>
                </c:pt>
                <c:pt idx="4">
                  <c:v>72.9488597</c:v>
                </c:pt>
                <c:pt idx="5">
                  <c:v>74.856509099999997</c:v>
                </c:pt>
                <c:pt idx="6">
                  <c:v>75.556740899999994</c:v>
                </c:pt>
                <c:pt idx="7">
                  <c:v>77.601582100000002</c:v>
                </c:pt>
                <c:pt idx="8">
                  <c:v>79.263823700000003</c:v>
                </c:pt>
                <c:pt idx="9">
                  <c:v>79.736469900000003</c:v>
                </c:pt>
                <c:pt idx="10">
                  <c:v>80.768498899999997</c:v>
                </c:pt>
                <c:pt idx="11">
                  <c:v>82.265798199999992</c:v>
                </c:pt>
                <c:pt idx="12">
                  <c:v>82.766929900000008</c:v>
                </c:pt>
                <c:pt idx="13">
                  <c:v>82.03733992620144</c:v>
                </c:pt>
                <c:pt idx="14">
                  <c:v>83.116802846852906</c:v>
                </c:pt>
                <c:pt idx="15">
                  <c:v>84.027044648867218</c:v>
                </c:pt>
              </c:numCache>
            </c:numRef>
          </c:val>
          <c:smooth val="0"/>
          <c:extLst>
            <c:ext xmlns:c16="http://schemas.microsoft.com/office/drawing/2014/chart" uri="{C3380CC4-5D6E-409C-BE32-E72D297353CC}">
              <c16:uniqueId val="{00000001-529E-4452-B146-B92E6CBF9CE8}"/>
            </c:ext>
          </c:extLst>
        </c:ser>
        <c:dLbls>
          <c:showLegendKey val="0"/>
          <c:showVal val="0"/>
          <c:showCatName val="0"/>
          <c:showSerName val="0"/>
          <c:showPercent val="0"/>
          <c:showBubbleSize val="0"/>
        </c:dLbls>
        <c:marker val="1"/>
        <c:smooth val="0"/>
        <c:axId val="653656288"/>
        <c:axId val="653654648"/>
      </c:lineChart>
      <c:catAx>
        <c:axId val="268289872"/>
        <c:scaling>
          <c:orientation val="minMax"/>
        </c:scaling>
        <c:delete val="0"/>
        <c:axPos val="b"/>
        <c:numFmt formatCode="General" sourceLinked="1"/>
        <c:majorTickMark val="none"/>
        <c:minorTickMark val="none"/>
        <c:tickLblPos val="nextTo"/>
        <c:txPr>
          <a:bodyPr/>
          <a:lstStyle/>
          <a:p>
            <a:pPr>
              <a:defRPr lang="en-ZA"/>
            </a:pPr>
            <a:endParaRPr lang="en-US"/>
          </a:p>
        </c:txPr>
        <c:crossAx val="268282032"/>
        <c:crosses val="autoZero"/>
        <c:auto val="1"/>
        <c:lblAlgn val="ctr"/>
        <c:lblOffset val="100"/>
        <c:noMultiLvlLbl val="0"/>
      </c:catAx>
      <c:valAx>
        <c:axId val="268282032"/>
        <c:scaling>
          <c:orientation val="minMax"/>
        </c:scaling>
        <c:delete val="0"/>
        <c:axPos val="l"/>
        <c:majorGridlines>
          <c:spPr>
            <a:ln>
              <a:prstDash val="dash"/>
            </a:ln>
          </c:spPr>
        </c:majorGridlines>
        <c:numFmt formatCode="#\ ###\ ##0" sourceLinked="1"/>
        <c:majorTickMark val="out"/>
        <c:minorTickMark val="none"/>
        <c:tickLblPos val="nextTo"/>
        <c:spPr>
          <a:ln w="9525">
            <a:solidFill>
              <a:schemeClr val="tx1">
                <a:lumMod val="50000"/>
                <a:lumOff val="50000"/>
              </a:schemeClr>
            </a:solidFill>
          </a:ln>
        </c:spPr>
        <c:txPr>
          <a:bodyPr/>
          <a:lstStyle/>
          <a:p>
            <a:pPr>
              <a:defRPr lang="en-ZA"/>
            </a:pPr>
            <a:endParaRPr lang="en-US"/>
          </a:p>
        </c:txPr>
        <c:crossAx val="268289872"/>
        <c:crosses val="autoZero"/>
        <c:crossBetween val="between"/>
      </c:valAx>
      <c:valAx>
        <c:axId val="653654648"/>
        <c:scaling>
          <c:orientation val="minMax"/>
        </c:scaling>
        <c:delete val="0"/>
        <c:axPos val="r"/>
        <c:numFmt formatCode="#\ ###\ ##0" sourceLinked="1"/>
        <c:majorTickMark val="out"/>
        <c:minorTickMark val="none"/>
        <c:tickLblPos val="nextTo"/>
        <c:crossAx val="653656288"/>
        <c:crosses val="max"/>
        <c:crossBetween val="between"/>
      </c:valAx>
      <c:catAx>
        <c:axId val="653656288"/>
        <c:scaling>
          <c:orientation val="minMax"/>
        </c:scaling>
        <c:delete val="1"/>
        <c:axPos val="b"/>
        <c:numFmt formatCode="General" sourceLinked="1"/>
        <c:majorTickMark val="out"/>
        <c:minorTickMark val="none"/>
        <c:tickLblPos val="nextTo"/>
        <c:crossAx val="653654648"/>
        <c:crosses val="autoZero"/>
        <c:auto val="1"/>
        <c:lblAlgn val="ctr"/>
        <c:lblOffset val="100"/>
        <c:noMultiLvlLbl val="0"/>
      </c:catAx>
    </c:plotArea>
    <c:legend>
      <c:legendPos val="b"/>
      <c:overlay val="0"/>
      <c:txPr>
        <a:bodyPr/>
        <a:lstStyle/>
        <a:p>
          <a:pPr>
            <a:defRPr lang="en-ZA"/>
          </a:pPr>
          <a:endParaRPr lang="en-US"/>
        </a:p>
      </c:txPr>
    </c:legend>
    <c:plotVisOnly val="1"/>
    <c:dispBlanksAs val="gap"/>
    <c:showDLblsOverMax val="0"/>
  </c:chart>
  <c:txPr>
    <a:bodyPr/>
    <a:lstStyle/>
    <a:p>
      <a:pPr>
        <a:defRPr sz="800">
          <a:latin typeface="Arial Narrow"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BD8E31"/>
            </a:solidFill>
          </c:spPr>
          <c:invertIfNegative val="0"/>
          <c:val>
            <c:numRef>
              <c:f>[11]Water!#REF!</c:f>
              <c:numCache>
                <c:formatCode>#\ ###\ ##0</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[11]Water!#REF!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[11]Water!#REF!</c15:sqref>
                        </c15:formulaRef>
                      </c:ext>
                    </c:extLst>
                    <c:strCache>
                      <c:ptCount val="1"/>
                      <c:pt idx="0">
                        <c:v>#REF!</c:v>
                      </c:pt>
                    </c:strCache>
                  </c:strRef>
                </c15:cat>
              </c15:filteredCategoryTitle>
            </c:ext>
            <c:ext xmlns:c16="http://schemas.microsoft.com/office/drawing/2014/chart" uri="{C3380CC4-5D6E-409C-BE32-E72D297353CC}">
              <c16:uniqueId val="{00000000-6C74-4146-8474-2B95958150FE}"/>
            </c:ext>
          </c:extLst>
        </c:ser>
        <c:ser>
          <c:idx val="1"/>
          <c:order val="1"/>
          <c:invertIfNegative val="0"/>
          <c:val>
            <c:numRef>
              <c:f>[11]Water!#REF!</c:f>
              <c:numCache>
                <c:formatCode>#\ ###\ ##0</c:formatCode>
                <c:ptCount val="1"/>
                <c:pt idx="0">
                  <c:v>1</c:v>
                </c:pt>
              </c:numCache>
            </c:numRef>
          </c:val>
          <c:extLst>
            <c:ext xmlns:c15="http://schemas.microsoft.com/office/drawing/2012/chart" uri="{02D57815-91ED-43cb-92C2-25804820EDAC}">
              <c15:filteredSeriesTitle>
                <c15:tx>
                  <c:strRef>
                    <c:extLst>
                      <c:ext uri="{02D57815-91ED-43cb-92C2-25804820EDAC}">
                        <c15:formulaRef>
                          <c15:sqref>[11]Water!#REF!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[11]Water!#REF!</c15:sqref>
                        </c15:formulaRef>
                      </c:ext>
                    </c:extLst>
                    <c:strCache>
                      <c:ptCount val="1"/>
                      <c:pt idx="0">
                        <c:v>#REF!</c:v>
                      </c:pt>
                    </c:strCache>
                  </c:strRef>
                </c15:cat>
              </c15:filteredCategoryTitle>
            </c:ext>
            <c:ext xmlns:c16="http://schemas.microsoft.com/office/drawing/2014/chart" uri="{C3380CC4-5D6E-409C-BE32-E72D297353CC}">
              <c16:uniqueId val="{00000001-6C74-4146-8474-2B95958150FE}"/>
            </c:ext>
          </c:extLst>
        </c:ser>
        <c:dLbls>
          <c:showLegendKey val="0"/>
          <c:showVal val="0"/>
          <c:showCatName val="0"/>
          <c:showSerName val="0"/>
          <c:showPercent val="0"/>
          <c:showBubbleSize val="0"/>
        </c:dLbls>
        <c:gapWidth val="150"/>
        <c:axId val="268303872"/>
        <c:axId val="268310592"/>
      </c:barChart>
      <c:catAx>
        <c:axId val="268303872"/>
        <c:scaling>
          <c:orientation val="minMax"/>
        </c:scaling>
        <c:delete val="0"/>
        <c:axPos val="b"/>
        <c:numFmt formatCode="General" sourceLinked="1"/>
        <c:majorTickMark val="none"/>
        <c:minorTickMark val="none"/>
        <c:tickLblPos val="nextTo"/>
        <c:txPr>
          <a:bodyPr/>
          <a:lstStyle/>
          <a:p>
            <a:pPr>
              <a:defRPr lang="en-ZA"/>
            </a:pPr>
            <a:endParaRPr lang="en-US"/>
          </a:p>
        </c:txPr>
        <c:crossAx val="268310592"/>
        <c:crosses val="autoZero"/>
        <c:auto val="1"/>
        <c:lblAlgn val="ctr"/>
        <c:lblOffset val="100"/>
        <c:noMultiLvlLbl val="0"/>
      </c:catAx>
      <c:valAx>
        <c:axId val="268310592"/>
        <c:scaling>
          <c:orientation val="minMax"/>
        </c:scaling>
        <c:delete val="0"/>
        <c:axPos val="l"/>
        <c:majorGridlines>
          <c:spPr>
            <a:ln>
              <a:prstDash val="dash"/>
            </a:ln>
          </c:spPr>
        </c:majorGridlines>
        <c:numFmt formatCode="#\ ###\ ##0" sourceLinked="1"/>
        <c:majorTickMark val="none"/>
        <c:minorTickMark val="none"/>
        <c:tickLblPos val="nextTo"/>
        <c:spPr>
          <a:ln w="9525">
            <a:noFill/>
          </a:ln>
        </c:spPr>
        <c:txPr>
          <a:bodyPr/>
          <a:lstStyle/>
          <a:p>
            <a:pPr>
              <a:defRPr lang="en-ZA"/>
            </a:pPr>
            <a:endParaRPr lang="en-US"/>
          </a:p>
        </c:txPr>
        <c:crossAx val="268303872"/>
        <c:crosses val="autoZero"/>
        <c:crossBetween val="between"/>
      </c:valAx>
    </c:plotArea>
    <c:legend>
      <c:legendPos val="b"/>
      <c:overlay val="0"/>
      <c:txPr>
        <a:bodyPr/>
        <a:lstStyle/>
        <a:p>
          <a:pPr>
            <a:defRPr lang="en-ZA"/>
          </a:pPr>
          <a:endParaRPr lang="en-US"/>
        </a:p>
      </c:txPr>
    </c:legend>
    <c:plotVisOnly val="1"/>
    <c:dispBlanksAs val="gap"/>
    <c:showDLblsOverMax val="0"/>
  </c:chart>
  <c:spPr>
    <a:solidFill>
      <a:schemeClr val="bg1"/>
    </a:solidFill>
    <a:ln>
      <a:noFill/>
    </a:ln>
  </c:spPr>
  <c:txPr>
    <a:bodyPr/>
    <a:lstStyle/>
    <a:p>
      <a:pPr>
        <a:defRPr sz="800">
          <a:latin typeface="Arial Narrow"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800" b="1" i="0" u="none" strike="noStrike" baseline="0">
                <a:solidFill>
                  <a:srgbClr val="000000"/>
                </a:solidFill>
                <a:latin typeface="Arial"/>
                <a:ea typeface="Arial"/>
                <a:cs typeface="Arial"/>
              </a:defRPr>
            </a:pPr>
            <a:r>
              <a:rPr lang="en-US"/>
              <a:t>Dwellings</a:t>
            </a:r>
          </a:p>
        </c:rich>
      </c:tx>
      <c:overlay val="0"/>
      <c:spPr>
        <a:noFill/>
        <a:ln w="25400">
          <a:noFill/>
        </a:ln>
      </c:spPr>
    </c:title>
    <c:autoTitleDeleted val="0"/>
    <c:plotArea>
      <c:layout/>
      <c:barChart>
        <c:barDir val="col"/>
        <c:grouping val="clustered"/>
        <c:varyColors val="0"/>
        <c:ser>
          <c:idx val="1"/>
          <c:order val="0"/>
          <c:tx>
            <c:strRef>
              <c:f>[7]Dwellings!$D$9</c:f>
              <c:strCache>
                <c:ptCount val="1"/>
                <c:pt idx="0">
                  <c:v>Number of households (HH)</c:v>
                </c:pt>
              </c:strCache>
            </c:strRef>
          </c:tx>
          <c:spPr>
            <a:solidFill>
              <a:srgbClr val="993366"/>
            </a:solidFill>
            <a:ln w="12700">
              <a:solidFill>
                <a:srgbClr val="000000"/>
              </a:solidFill>
              <a:prstDash val="solid"/>
            </a:ln>
          </c:spPr>
          <c:invertIfNegative val="0"/>
          <c:cat>
            <c:numRef>
              <c:f>[7]Dwellings!$E$8:$R$8</c:f>
              <c:numCache>
                <c:formatCode>General</c:formatCode>
                <c:ptCount val="1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numCache>
            </c:numRef>
          </c:cat>
          <c:val>
            <c:numRef>
              <c:f>[7]Dwellings!$E$9:$R$9</c:f>
              <c:numCache>
                <c:formatCode>General</c:formatCode>
                <c:ptCount val="14"/>
                <c:pt idx="0">
                  <c:v>8584556</c:v>
                </c:pt>
                <c:pt idx="2">
                  <c:v>9059606</c:v>
                </c:pt>
                <c:pt idx="3">
                  <c:v>9256706.9999995604</c:v>
                </c:pt>
                <c:pt idx="4">
                  <c:v>9287695.6120841391</c:v>
                </c:pt>
                <c:pt idx="5">
                  <c:v>10770793.000000101</c:v>
                </c:pt>
                <c:pt idx="7">
                  <c:v>11205705</c:v>
                </c:pt>
                <c:pt idx="8">
                  <c:v>11479000</c:v>
                </c:pt>
                <c:pt idx="9">
                  <c:v>12041000</c:v>
                </c:pt>
                <c:pt idx="10">
                  <c:v>12194000</c:v>
                </c:pt>
                <c:pt idx="11">
                  <c:v>12726000</c:v>
                </c:pt>
                <c:pt idx="12">
                  <c:v>12972000</c:v>
                </c:pt>
                <c:pt idx="13">
                  <c:v>12500610</c:v>
                </c:pt>
              </c:numCache>
            </c:numRef>
          </c:val>
          <c:extLst>
            <c:ext xmlns:c16="http://schemas.microsoft.com/office/drawing/2014/chart" uri="{C3380CC4-5D6E-409C-BE32-E72D297353CC}">
              <c16:uniqueId val="{00000000-814D-40EF-BC27-138AED06CE08}"/>
            </c:ext>
          </c:extLst>
        </c:ser>
        <c:ser>
          <c:idx val="0"/>
          <c:order val="1"/>
          <c:tx>
            <c:strRef>
              <c:f>[7]Dwellings!$D$10</c:f>
              <c:strCache>
                <c:ptCount val="1"/>
                <c:pt idx="0">
                  <c:v>HH in formal dwelling</c:v>
                </c:pt>
              </c:strCache>
            </c:strRef>
          </c:tx>
          <c:spPr>
            <a:solidFill>
              <a:srgbClr val="9999FF"/>
            </a:solidFill>
            <a:ln w="12700">
              <a:solidFill>
                <a:srgbClr val="000000"/>
              </a:solidFill>
              <a:prstDash val="solid"/>
            </a:ln>
          </c:spPr>
          <c:invertIfNegative val="0"/>
          <c:cat>
            <c:numRef>
              <c:f>[7]Dwellings!$E$8:$R$8</c:f>
              <c:numCache>
                <c:formatCode>General</c:formatCode>
                <c:ptCount val="1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numCache>
            </c:numRef>
          </c:cat>
          <c:val>
            <c:numRef>
              <c:f>[7]Dwellings!$E$10:$R$10</c:f>
              <c:numCache>
                <c:formatCode>General</c:formatCode>
                <c:ptCount val="14"/>
                <c:pt idx="2">
                  <c:v>5794386</c:v>
                </c:pt>
                <c:pt idx="3">
                  <c:v>6832118.9999995902</c:v>
                </c:pt>
                <c:pt idx="4">
                  <c:v>6624272.6928029303</c:v>
                </c:pt>
                <c:pt idx="5">
                  <c:v>7957934.0000000903</c:v>
                </c:pt>
                <c:pt idx="7">
                  <c:v>7680422</c:v>
                </c:pt>
                <c:pt idx="8">
                  <c:v>8349000</c:v>
                </c:pt>
                <c:pt idx="9">
                  <c:v>8865000</c:v>
                </c:pt>
                <c:pt idx="10">
                  <c:v>8974000</c:v>
                </c:pt>
                <c:pt idx="11">
                  <c:v>8878000</c:v>
                </c:pt>
                <c:pt idx="12">
                  <c:v>9111000</c:v>
                </c:pt>
                <c:pt idx="13">
                  <c:v>8812930</c:v>
                </c:pt>
              </c:numCache>
            </c:numRef>
          </c:val>
          <c:extLst>
            <c:ext xmlns:c16="http://schemas.microsoft.com/office/drawing/2014/chart" uri="{C3380CC4-5D6E-409C-BE32-E72D297353CC}">
              <c16:uniqueId val="{00000001-814D-40EF-BC27-138AED06CE08}"/>
            </c:ext>
          </c:extLst>
        </c:ser>
        <c:dLbls>
          <c:showLegendKey val="0"/>
          <c:showVal val="0"/>
          <c:showCatName val="0"/>
          <c:showSerName val="0"/>
          <c:showPercent val="0"/>
          <c:showBubbleSize val="0"/>
        </c:dLbls>
        <c:gapWidth val="150"/>
        <c:axId val="1784787744"/>
        <c:axId val="1784782304"/>
      </c:barChart>
      <c:lineChart>
        <c:grouping val="standard"/>
        <c:varyColors val="0"/>
        <c:ser>
          <c:idx val="2"/>
          <c:order val="2"/>
          <c:tx>
            <c:strRef>
              <c:f>[7]Dwellings!$D$20</c:f>
              <c:strCache>
                <c:ptCount val="1"/>
                <c:pt idx="0">
                  <c:v>Subsidised Housing units completed / in progress</c:v>
                </c:pt>
              </c:strCache>
            </c:strRef>
          </c:tx>
          <c:spPr>
            <a:ln w="25400">
              <a:solidFill>
                <a:srgbClr val="FFFF00"/>
              </a:solidFill>
              <a:prstDash val="solid"/>
            </a:ln>
          </c:spPr>
          <c:marker>
            <c:symbol val="square"/>
            <c:size val="7"/>
            <c:spPr>
              <a:noFill/>
              <a:ln w="9525">
                <a:noFill/>
              </a:ln>
            </c:spPr>
          </c:marker>
          <c:cat>
            <c:numRef>
              <c:f>[7]Dwellings!$E$8:$R$8</c:f>
              <c:numCache>
                <c:formatCode>General</c:formatCode>
                <c:ptCount val="1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numCache>
            </c:numRef>
          </c:cat>
          <c:val>
            <c:numRef>
              <c:f>[1]Dwellings!#REF!</c:f>
              <c:numCache>
                <c:formatCode>General</c:formatCode>
                <c:ptCount val="1"/>
                <c:pt idx="0">
                  <c:v>1</c:v>
                </c:pt>
              </c:numCache>
            </c:numRef>
          </c:val>
          <c:smooth val="1"/>
          <c:extLst>
            <c:ext xmlns:c16="http://schemas.microsoft.com/office/drawing/2014/chart" uri="{C3380CC4-5D6E-409C-BE32-E72D297353CC}">
              <c16:uniqueId val="{00000002-814D-40EF-BC27-138AED06CE08}"/>
            </c:ext>
          </c:extLst>
        </c:ser>
        <c:dLbls>
          <c:showLegendKey val="0"/>
          <c:showVal val="0"/>
          <c:showCatName val="0"/>
          <c:showSerName val="0"/>
          <c:showPercent val="0"/>
          <c:showBubbleSize val="0"/>
        </c:dLbls>
        <c:marker val="1"/>
        <c:smooth val="0"/>
        <c:axId val="1784778496"/>
        <c:axId val="1784784480"/>
      </c:lineChart>
      <c:catAx>
        <c:axId val="17847877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lang="en-US" sz="800" b="0" i="0" u="none" strike="noStrike" baseline="0">
                <a:solidFill>
                  <a:srgbClr val="000000"/>
                </a:solidFill>
                <a:latin typeface="Arial"/>
                <a:ea typeface="Arial"/>
                <a:cs typeface="Arial"/>
              </a:defRPr>
            </a:pPr>
            <a:endParaRPr lang="en-US"/>
          </a:p>
        </c:txPr>
        <c:crossAx val="1784782304"/>
        <c:crosses val="autoZero"/>
        <c:auto val="0"/>
        <c:lblAlgn val="ctr"/>
        <c:lblOffset val="100"/>
        <c:tickLblSkip val="1"/>
        <c:tickMarkSkip val="1"/>
        <c:noMultiLvlLbl val="0"/>
      </c:catAx>
      <c:valAx>
        <c:axId val="1784782304"/>
        <c:scaling>
          <c:orientation val="minMax"/>
        </c:scaling>
        <c:delete val="0"/>
        <c:axPos val="l"/>
        <c:majorGridlines>
          <c:spPr>
            <a:ln w="3175">
              <a:solidFill>
                <a:srgbClr val="000000"/>
              </a:solidFill>
              <a:prstDash val="solid"/>
            </a:ln>
          </c:spPr>
        </c:majorGridlines>
        <c:title>
          <c:tx>
            <c:rich>
              <a:bodyPr/>
              <a:lstStyle/>
              <a:p>
                <a:pPr>
                  <a:defRPr lang="en-US" sz="800" b="0"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lang="en-US" sz="800" b="0" i="0" u="none" strike="noStrike" baseline="0">
                <a:solidFill>
                  <a:srgbClr val="000000"/>
                </a:solidFill>
                <a:latin typeface="Arial"/>
                <a:ea typeface="Arial"/>
                <a:cs typeface="Arial"/>
              </a:defRPr>
            </a:pPr>
            <a:endParaRPr lang="en-US"/>
          </a:p>
        </c:txPr>
        <c:crossAx val="1784787744"/>
        <c:crosses val="autoZero"/>
        <c:crossBetween val="between"/>
      </c:valAx>
      <c:catAx>
        <c:axId val="1784778496"/>
        <c:scaling>
          <c:orientation val="minMax"/>
        </c:scaling>
        <c:delete val="1"/>
        <c:axPos val="b"/>
        <c:numFmt formatCode="General" sourceLinked="1"/>
        <c:majorTickMark val="out"/>
        <c:minorTickMark val="none"/>
        <c:tickLblPos val="none"/>
        <c:crossAx val="1784784480"/>
        <c:crosses val="autoZero"/>
        <c:auto val="0"/>
        <c:lblAlgn val="ctr"/>
        <c:lblOffset val="100"/>
        <c:noMultiLvlLbl val="0"/>
      </c:catAx>
      <c:valAx>
        <c:axId val="1784784480"/>
        <c:scaling>
          <c:orientation val="minMax"/>
        </c:scaling>
        <c:delete val="1"/>
        <c:axPos val="l"/>
        <c:numFmt formatCode="General" sourceLinked="1"/>
        <c:majorTickMark val="out"/>
        <c:minorTickMark val="none"/>
        <c:tickLblPos val="none"/>
        <c:crossAx val="1784778496"/>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lang="en-US"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89" r="0.75000000000000189"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00" b="1" i="0" u="none" strike="noStrike" baseline="0">
                <a:solidFill>
                  <a:srgbClr val="000000"/>
                </a:solidFill>
                <a:latin typeface="Arial"/>
                <a:ea typeface="Arial"/>
                <a:cs typeface="Arial"/>
              </a:defRPr>
            </a:pPr>
            <a:r>
              <a:rPr lang="en-US"/>
              <a:t>Access to electricity</a:t>
            </a:r>
          </a:p>
        </c:rich>
      </c:tx>
      <c:overlay val="0"/>
      <c:spPr>
        <a:noFill/>
        <a:ln w="25400">
          <a:noFill/>
        </a:ln>
      </c:spPr>
    </c:title>
    <c:autoTitleDeleted val="0"/>
    <c:plotArea>
      <c:layout/>
      <c:lineChart>
        <c:grouping val="standard"/>
        <c:varyColors val="0"/>
        <c:ser>
          <c:idx val="0"/>
          <c:order val="0"/>
          <c:tx>
            <c:strRef>
              <c:f>[8]electricity!$C$9</c:f>
              <c:strCache>
                <c:ptCount val="1"/>
                <c:pt idx="0">
                  <c:v>Household with access to electricity for lighting</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[8]electricity!$D$8:$P$8</c:f>
              <c:numCache>
                <c:formatCode>General</c:formatCode>
                <c:ptCount val="13"/>
                <c:pt idx="0">
                  <c:v>1994</c:v>
                </c:pt>
                <c:pt idx="1">
                  <c:v>1995</c:v>
                </c:pt>
                <c:pt idx="2">
                  <c:v>1996</c:v>
                </c:pt>
                <c:pt idx="3">
                  <c:v>1997</c:v>
                </c:pt>
                <c:pt idx="4">
                  <c:v>1998</c:v>
                </c:pt>
                <c:pt idx="5">
                  <c:v>1999</c:v>
                </c:pt>
                <c:pt idx="6">
                  <c:v>2000</c:v>
                </c:pt>
                <c:pt idx="7">
                  <c:v>2001</c:v>
                </c:pt>
                <c:pt idx="8">
                  <c:v>2002</c:v>
                </c:pt>
                <c:pt idx="9">
                  <c:v>2003</c:v>
                </c:pt>
                <c:pt idx="10">
                  <c:v>2004</c:v>
                </c:pt>
                <c:pt idx="11">
                  <c:v>2005</c:v>
                </c:pt>
              </c:numCache>
            </c:numRef>
          </c:cat>
          <c:val>
            <c:numRef>
              <c:f>[8]electricity!$D$9:$P$9</c:f>
              <c:numCache>
                <c:formatCode>General</c:formatCode>
                <c:ptCount val="13"/>
                <c:pt idx="0">
                  <c:v>0.51900000000000002</c:v>
                </c:pt>
                <c:pt idx="2">
                  <c:v>0.57299999999999995</c:v>
                </c:pt>
                <c:pt idx="5">
                  <c:v>0.69499999999999995</c:v>
                </c:pt>
                <c:pt idx="8">
                  <c:v>0.76200000000000001</c:v>
                </c:pt>
                <c:pt idx="9">
                  <c:v>0.77800000000000002</c:v>
                </c:pt>
                <c:pt idx="10">
                  <c:v>0.80200000000000005</c:v>
                </c:pt>
                <c:pt idx="11">
                  <c:v>0.80200000000000005</c:v>
                </c:pt>
              </c:numCache>
            </c:numRef>
          </c:val>
          <c:smooth val="0"/>
          <c:extLst>
            <c:ext xmlns:c16="http://schemas.microsoft.com/office/drawing/2014/chart" uri="{C3380CC4-5D6E-409C-BE32-E72D297353CC}">
              <c16:uniqueId val="{00000000-7189-41BB-9EB3-5364093B7197}"/>
            </c:ext>
          </c:extLst>
        </c:ser>
        <c:ser>
          <c:idx val="1"/>
          <c:order val="1"/>
          <c:tx>
            <c:strRef>
              <c:f>[8]electricity!$C$11</c:f>
              <c:strCache>
                <c:ptCount val="1"/>
                <c:pt idx="0">
                  <c:v>Total number of households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[8]electricity!$D$8:$P$8</c:f>
              <c:numCache>
                <c:formatCode>General</c:formatCode>
                <c:ptCount val="13"/>
                <c:pt idx="0">
                  <c:v>1994</c:v>
                </c:pt>
                <c:pt idx="1">
                  <c:v>1995</c:v>
                </c:pt>
                <c:pt idx="2">
                  <c:v>1996</c:v>
                </c:pt>
                <c:pt idx="3">
                  <c:v>1997</c:v>
                </c:pt>
                <c:pt idx="4">
                  <c:v>1998</c:v>
                </c:pt>
                <c:pt idx="5">
                  <c:v>1999</c:v>
                </c:pt>
                <c:pt idx="6">
                  <c:v>2000</c:v>
                </c:pt>
                <c:pt idx="7">
                  <c:v>2001</c:v>
                </c:pt>
                <c:pt idx="8">
                  <c:v>2002</c:v>
                </c:pt>
                <c:pt idx="9">
                  <c:v>2003</c:v>
                </c:pt>
                <c:pt idx="10">
                  <c:v>2004</c:v>
                </c:pt>
                <c:pt idx="11">
                  <c:v>2005</c:v>
                </c:pt>
              </c:numCache>
            </c:numRef>
          </c:cat>
          <c:val>
            <c:numRef>
              <c:f>[8]electricity!$D$11:$P$11</c:f>
              <c:numCache>
                <c:formatCode>General</c:formatCode>
                <c:ptCount val="13"/>
              </c:numCache>
            </c:numRef>
          </c:val>
          <c:smooth val="0"/>
          <c:extLst>
            <c:ext xmlns:c16="http://schemas.microsoft.com/office/drawing/2014/chart" uri="{C3380CC4-5D6E-409C-BE32-E72D297353CC}">
              <c16:uniqueId val="{00000001-7189-41BB-9EB3-5364093B7197}"/>
            </c:ext>
          </c:extLst>
        </c:ser>
        <c:ser>
          <c:idx val="2"/>
          <c:order val="2"/>
          <c:tx>
            <c:strRef>
              <c:f>[8]electricity!$C$10</c:f>
              <c:strCache>
                <c:ptCount val="1"/>
                <c:pt idx="0">
                  <c:v>Proportion of Households with access to electricity</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[8]electricity!$D$8:$P$8</c:f>
              <c:numCache>
                <c:formatCode>General</c:formatCode>
                <c:ptCount val="13"/>
                <c:pt idx="0">
                  <c:v>1994</c:v>
                </c:pt>
                <c:pt idx="1">
                  <c:v>1995</c:v>
                </c:pt>
                <c:pt idx="2">
                  <c:v>1996</c:v>
                </c:pt>
                <c:pt idx="3">
                  <c:v>1997</c:v>
                </c:pt>
                <c:pt idx="4">
                  <c:v>1998</c:v>
                </c:pt>
                <c:pt idx="5">
                  <c:v>1999</c:v>
                </c:pt>
                <c:pt idx="6">
                  <c:v>2000</c:v>
                </c:pt>
                <c:pt idx="7">
                  <c:v>2001</c:v>
                </c:pt>
                <c:pt idx="8">
                  <c:v>2002</c:v>
                </c:pt>
                <c:pt idx="9">
                  <c:v>2003</c:v>
                </c:pt>
                <c:pt idx="10">
                  <c:v>2004</c:v>
                </c:pt>
                <c:pt idx="11">
                  <c:v>2005</c:v>
                </c:pt>
              </c:numCache>
            </c:numRef>
          </c:cat>
          <c:val>
            <c:numRef>
              <c:f>[8]electricity!$D$10:$P$10</c:f>
              <c:numCache>
                <c:formatCode>General</c:formatCode>
                <c:ptCount val="13"/>
              </c:numCache>
            </c:numRef>
          </c:val>
          <c:smooth val="0"/>
          <c:extLst>
            <c:ext xmlns:c16="http://schemas.microsoft.com/office/drawing/2014/chart" uri="{C3380CC4-5D6E-409C-BE32-E72D297353CC}">
              <c16:uniqueId val="{00000002-7189-41BB-9EB3-5364093B7197}"/>
            </c:ext>
          </c:extLst>
        </c:ser>
        <c:dLbls>
          <c:showLegendKey val="0"/>
          <c:showVal val="0"/>
          <c:showCatName val="0"/>
          <c:showSerName val="0"/>
          <c:showPercent val="0"/>
          <c:showBubbleSize val="0"/>
        </c:dLbls>
        <c:marker val="1"/>
        <c:smooth val="0"/>
        <c:axId val="1784789920"/>
        <c:axId val="1784790464"/>
      </c:lineChart>
      <c:catAx>
        <c:axId val="1784789920"/>
        <c:scaling>
          <c:orientation val="minMax"/>
        </c:scaling>
        <c:delete val="0"/>
        <c:axPos val="t"/>
        <c:title>
          <c:tx>
            <c:rich>
              <a:bodyPr/>
              <a:lstStyle/>
              <a:p>
                <a:pPr>
                  <a:defRPr lang="en-US" sz="200" b="0" i="0" u="none" strike="noStrike" baseline="0">
                    <a:solidFill>
                      <a:srgbClr val="000000"/>
                    </a:solidFill>
                    <a:latin typeface="Arial"/>
                    <a:ea typeface="Arial"/>
                    <a:cs typeface="Arial"/>
                  </a:defRPr>
                </a:pPr>
                <a:r>
                  <a:rPr lang="en-US"/>
                  <a:t>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US" sz="200" b="0" i="0" u="none" strike="noStrike" baseline="0">
                <a:solidFill>
                  <a:srgbClr val="000000"/>
                </a:solidFill>
                <a:latin typeface="Arial"/>
                <a:ea typeface="Arial"/>
                <a:cs typeface="Arial"/>
              </a:defRPr>
            </a:pPr>
            <a:endParaRPr lang="en-US"/>
          </a:p>
        </c:txPr>
        <c:crossAx val="1784790464"/>
        <c:crosses val="max"/>
        <c:auto val="1"/>
        <c:lblAlgn val="ctr"/>
        <c:lblOffset val="100"/>
        <c:tickLblSkip val="1"/>
        <c:tickMarkSkip val="1"/>
        <c:noMultiLvlLbl val="0"/>
      </c:catAx>
      <c:valAx>
        <c:axId val="1784790464"/>
        <c:scaling>
          <c:orientation val="minMax"/>
        </c:scaling>
        <c:delete val="0"/>
        <c:axPos val="l"/>
        <c:majorGridlines>
          <c:spPr>
            <a:ln w="3175">
              <a:solidFill>
                <a:srgbClr val="000000"/>
              </a:solidFill>
              <a:prstDash val="solid"/>
            </a:ln>
          </c:spPr>
        </c:majorGridlines>
        <c:title>
          <c:tx>
            <c:rich>
              <a:bodyPr/>
              <a:lstStyle/>
              <a:p>
                <a:pPr>
                  <a:defRPr lang="en-US" sz="200" b="0" i="0" u="none" strike="noStrike" baseline="0">
                    <a:solidFill>
                      <a:srgbClr val="000000"/>
                    </a:solidFill>
                    <a:latin typeface="Arial"/>
                    <a:ea typeface="Arial"/>
                    <a:cs typeface="Arial"/>
                  </a:defRPr>
                </a:pPr>
                <a:r>
                  <a:rPr lang="en-US"/>
                  <a:t>Number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US" sz="200" b="0" i="0" u="none" strike="noStrike" baseline="0">
                <a:solidFill>
                  <a:srgbClr val="000000"/>
                </a:solidFill>
                <a:latin typeface="Arial"/>
                <a:ea typeface="Arial"/>
                <a:cs typeface="Arial"/>
              </a:defRPr>
            </a:pPr>
            <a:endParaRPr lang="en-US"/>
          </a:p>
        </c:txPr>
        <c:crossAx val="178478992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50" b="0" i="0" u="none" strike="noStrike" baseline="0">
                <a:solidFill>
                  <a:srgbClr val="000000"/>
                </a:solidFill>
                <a:latin typeface="Arial"/>
                <a:ea typeface="Arial"/>
                <a:cs typeface="Arial"/>
              </a:defRPr>
            </a:pPr>
            <a:r>
              <a:rPr lang="en-US"/>
              <a:t>Electricity</a:t>
            </a:r>
          </a:p>
        </c:rich>
      </c:tx>
      <c:overlay val="0"/>
      <c:spPr>
        <a:noFill/>
        <a:ln w="25400">
          <a:noFill/>
        </a:ln>
      </c:spPr>
    </c:title>
    <c:autoTitleDeleted val="0"/>
    <c:plotArea>
      <c:layout/>
      <c:lineChart>
        <c:grouping val="standard"/>
        <c:varyColors val="0"/>
        <c:ser>
          <c:idx val="0"/>
          <c:order val="0"/>
          <c:tx>
            <c:strRef>
              <c:f>[7]Electricity!$D$60</c:f>
              <c:strCache>
                <c:ptCount val="1"/>
                <c:pt idx="0">
                  <c:v>Total number of households</c:v>
                </c:pt>
              </c:strCache>
            </c:strRef>
          </c:tx>
          <c:spPr>
            <a:ln w="12700">
              <a:solidFill>
                <a:srgbClr val="000080"/>
              </a:solidFill>
              <a:prstDash val="solid"/>
            </a:ln>
          </c:spPr>
          <c:marker>
            <c:symbol val="none"/>
          </c:marker>
          <c:cat>
            <c:numRef>
              <c:f>[7]Electricity!$E$59:$P$59</c:f>
              <c:numCache>
                <c:formatCode>General</c:formatCode>
                <c:ptCount val="12"/>
                <c:pt idx="0">
                  <c:v>1995</c:v>
                </c:pt>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[7]Electricity!$E$60:$P$60</c:f>
              <c:numCache>
                <c:formatCode>General</c:formatCode>
                <c:ptCount val="12"/>
                <c:pt idx="0">
                  <c:v>8802000</c:v>
                </c:pt>
                <c:pt idx="1">
                  <c:v>9059571</c:v>
                </c:pt>
                <c:pt idx="2">
                  <c:v>9258000</c:v>
                </c:pt>
                <c:pt idx="3">
                  <c:v>9288000</c:v>
                </c:pt>
                <c:pt idx="4">
                  <c:v>11077100</c:v>
                </c:pt>
                <c:pt idx="5">
                  <c:v>11098642</c:v>
                </c:pt>
                <c:pt idx="6">
                  <c:v>11205705</c:v>
                </c:pt>
                <c:pt idx="7">
                  <c:v>11147900</c:v>
                </c:pt>
                <c:pt idx="8">
                  <c:v>11205706</c:v>
                </c:pt>
                <c:pt idx="9">
                  <c:v>11634817</c:v>
                </c:pt>
                <c:pt idx="10">
                  <c:v>12726000</c:v>
                </c:pt>
                <c:pt idx="11">
                  <c:v>12980520</c:v>
                </c:pt>
              </c:numCache>
            </c:numRef>
          </c:val>
          <c:smooth val="0"/>
          <c:extLst>
            <c:ext xmlns:c16="http://schemas.microsoft.com/office/drawing/2014/chart" uri="{C3380CC4-5D6E-409C-BE32-E72D297353CC}">
              <c16:uniqueId val="{00000000-F22C-488D-862D-0F7126782F9A}"/>
            </c:ext>
          </c:extLst>
        </c:ser>
        <c:ser>
          <c:idx val="1"/>
          <c:order val="1"/>
          <c:tx>
            <c:strRef>
              <c:f>[7]Electricity!$D$61</c:f>
              <c:strCache>
                <c:ptCount val="1"/>
                <c:pt idx="0">
                  <c:v>HH with access to electricity</c:v>
                </c:pt>
              </c:strCache>
            </c:strRef>
          </c:tx>
          <c:spPr>
            <a:ln w="12700">
              <a:solidFill>
                <a:srgbClr val="FF00FF"/>
              </a:solidFill>
              <a:prstDash val="solid"/>
            </a:ln>
          </c:spPr>
          <c:marker>
            <c:symbol val="none"/>
          </c:marker>
          <c:cat>
            <c:numRef>
              <c:f>[7]Electricity!$E$59:$P$59</c:f>
              <c:numCache>
                <c:formatCode>General</c:formatCode>
                <c:ptCount val="12"/>
                <c:pt idx="0">
                  <c:v>1995</c:v>
                </c:pt>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[7]Electricity!$E$61:$P$61</c:f>
              <c:numCache>
                <c:formatCode>General</c:formatCode>
                <c:ptCount val="12"/>
                <c:pt idx="0">
                  <c:v>4477400</c:v>
                </c:pt>
                <c:pt idx="1">
                  <c:v>4900694</c:v>
                </c:pt>
                <c:pt idx="2">
                  <c:v>5544968</c:v>
                </c:pt>
                <c:pt idx="3">
                  <c:v>5801242</c:v>
                </c:pt>
                <c:pt idx="4">
                  <c:v>6774207</c:v>
                </c:pt>
                <c:pt idx="5">
                  <c:v>6777997</c:v>
                </c:pt>
                <c:pt idx="6">
                  <c:v>7735748</c:v>
                </c:pt>
                <c:pt idx="7">
                  <c:v>8459895</c:v>
                </c:pt>
                <c:pt idx="8">
                  <c:v>8571043</c:v>
                </c:pt>
                <c:pt idx="9">
                  <c:v>8677400</c:v>
                </c:pt>
                <c:pt idx="10">
                  <c:v>9508000</c:v>
                </c:pt>
                <c:pt idx="11">
                  <c:v>9563987</c:v>
                </c:pt>
              </c:numCache>
            </c:numRef>
          </c:val>
          <c:smooth val="0"/>
          <c:extLst>
            <c:ext xmlns:c16="http://schemas.microsoft.com/office/drawing/2014/chart" uri="{C3380CC4-5D6E-409C-BE32-E72D297353CC}">
              <c16:uniqueId val="{00000001-F22C-488D-862D-0F7126782F9A}"/>
            </c:ext>
          </c:extLst>
        </c:ser>
        <c:ser>
          <c:idx val="2"/>
          <c:order val="2"/>
          <c:tx>
            <c:strRef>
              <c:f>[7]Electricity!$D$63</c:f>
              <c:strCache>
                <c:ptCount val="1"/>
                <c:pt idx="0">
                  <c:v>New electrical connections</c:v>
                </c:pt>
              </c:strCache>
            </c:strRef>
          </c:tx>
          <c:spPr>
            <a:ln w="12700">
              <a:solidFill>
                <a:srgbClr val="FFFF00"/>
              </a:solidFill>
              <a:prstDash val="solid"/>
            </a:ln>
          </c:spPr>
          <c:marker>
            <c:symbol val="none"/>
          </c:marker>
          <c:cat>
            <c:numRef>
              <c:f>[7]Electricity!$E$59:$P$59</c:f>
              <c:numCache>
                <c:formatCode>General</c:formatCode>
                <c:ptCount val="12"/>
                <c:pt idx="0">
                  <c:v>1995</c:v>
                </c:pt>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[7]Electricity!$E$63:$P$63</c:f>
              <c:numCache>
                <c:formatCode>General</c:formatCode>
                <c:ptCount val="12"/>
                <c:pt idx="1">
                  <c:v>932762</c:v>
                </c:pt>
                <c:pt idx="2">
                  <c:v>1432073</c:v>
                </c:pt>
                <c:pt idx="3">
                  <c:v>1859499</c:v>
                </c:pt>
                <c:pt idx="4">
                  <c:v>2302789</c:v>
                </c:pt>
                <c:pt idx="5">
                  <c:v>2699808</c:v>
                </c:pt>
                <c:pt idx="6">
                  <c:v>3036726</c:v>
                </c:pt>
                <c:pt idx="7">
                  <c:v>3375298</c:v>
                </c:pt>
                <c:pt idx="8">
                  <c:v>3654060</c:v>
                </c:pt>
                <c:pt idx="9">
                  <c:v>3900899</c:v>
                </c:pt>
                <c:pt idx="10">
                  <c:v>4124912</c:v>
                </c:pt>
                <c:pt idx="11">
                  <c:v>4283396</c:v>
                </c:pt>
              </c:numCache>
            </c:numRef>
          </c:val>
          <c:smooth val="0"/>
          <c:extLst>
            <c:ext xmlns:c16="http://schemas.microsoft.com/office/drawing/2014/chart" uri="{C3380CC4-5D6E-409C-BE32-E72D297353CC}">
              <c16:uniqueId val="{00000002-F22C-488D-862D-0F7126782F9A}"/>
            </c:ext>
          </c:extLst>
        </c:ser>
        <c:dLbls>
          <c:showLegendKey val="0"/>
          <c:showVal val="0"/>
          <c:showCatName val="0"/>
          <c:showSerName val="0"/>
          <c:showPercent val="0"/>
          <c:showBubbleSize val="0"/>
        </c:dLbls>
        <c:smooth val="0"/>
        <c:axId val="1784791008"/>
        <c:axId val="1784782848"/>
      </c:lineChart>
      <c:catAx>
        <c:axId val="1784791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US" sz="150" b="0" i="0" u="none" strike="noStrike" baseline="0">
                <a:solidFill>
                  <a:srgbClr val="000000"/>
                </a:solidFill>
                <a:latin typeface="Arial"/>
                <a:ea typeface="Arial"/>
                <a:cs typeface="Arial"/>
              </a:defRPr>
            </a:pPr>
            <a:endParaRPr lang="en-US"/>
          </a:p>
        </c:txPr>
        <c:crossAx val="1784782848"/>
        <c:crosses val="autoZero"/>
        <c:auto val="1"/>
        <c:lblAlgn val="ctr"/>
        <c:lblOffset val="100"/>
        <c:tickLblSkip val="1"/>
        <c:tickMarkSkip val="1"/>
        <c:noMultiLvlLbl val="0"/>
      </c:catAx>
      <c:valAx>
        <c:axId val="1784782848"/>
        <c:scaling>
          <c:orientation val="minMax"/>
        </c:scaling>
        <c:delete val="0"/>
        <c:axPos val="l"/>
        <c:majorGridlines>
          <c:spPr>
            <a:ln w="3175">
              <a:solidFill>
                <a:srgbClr val="000000"/>
              </a:solidFill>
              <a:prstDash val="solid"/>
            </a:ln>
          </c:spPr>
        </c:majorGridlines>
        <c:title>
          <c:tx>
            <c:rich>
              <a:bodyPr/>
              <a:lstStyle/>
              <a:p>
                <a:pPr>
                  <a:defRPr lang="en-US" sz="150" b="0" i="0" u="none" strike="noStrike" baseline="0">
                    <a:solidFill>
                      <a:srgbClr val="000000"/>
                    </a:solidFill>
                    <a:latin typeface="Arial"/>
                    <a:ea typeface="Arial"/>
                    <a:cs typeface="Arial"/>
                  </a:defRPr>
                </a:pPr>
                <a:r>
                  <a:rPr lang="en-US"/>
                  <a:t>nu</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US" sz="150" b="0" i="0" u="none" strike="noStrike" baseline="0">
                <a:solidFill>
                  <a:srgbClr val="000000"/>
                </a:solidFill>
                <a:latin typeface="Arial"/>
                <a:ea typeface="Arial"/>
                <a:cs typeface="Arial"/>
              </a:defRPr>
            </a:pPr>
            <a:endParaRPr lang="en-US"/>
          </a:p>
        </c:txPr>
        <c:crossAx val="1784791008"/>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lang="en-US"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292630797640934E-2"/>
          <c:y val="3.0799409183163838E-2"/>
          <c:w val="0.92418584146655069"/>
          <c:h val="0.69067342853329761"/>
        </c:manualLayout>
      </c:layout>
      <c:barChart>
        <c:barDir val="col"/>
        <c:grouping val="clustered"/>
        <c:varyColors val="0"/>
        <c:ser>
          <c:idx val="1"/>
          <c:order val="0"/>
          <c:tx>
            <c:strRef>
              <c:f>Electricity!$D$37</c:f>
              <c:strCache>
                <c:ptCount val="1"/>
                <c:pt idx="0">
                  <c:v>Households with access to grid electricity</c:v>
                </c:pt>
              </c:strCache>
            </c:strRef>
          </c:tx>
          <c:spPr>
            <a:solidFill>
              <a:srgbClr val="F8A662"/>
            </a:solidFill>
            <a:ln w="12700">
              <a:noFill/>
              <a:prstDash val="solid"/>
            </a:ln>
          </c:spPr>
          <c:invertIfNegative val="0"/>
          <c:cat>
            <c:numRef>
              <c:extLst>
                <c:ext xmlns:c15="http://schemas.microsoft.com/office/drawing/2012/chart" uri="{02D57815-91ED-43cb-92C2-25804820EDAC}">
                  <c15:fullRef>
                    <c15:sqref>Electricity!$E$8:$X$8</c15:sqref>
                  </c15:fullRef>
                </c:ext>
              </c:extLst>
              <c:f>Electricity!$L$8:$X$8</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extLst>
                <c:ext xmlns:c15="http://schemas.microsoft.com/office/drawing/2012/chart" uri="{02D57815-91ED-43cb-92C2-25804820EDAC}">
                  <c15:fullRef>
                    <c15:sqref>Electricity!$E$10:$X$10</c15:sqref>
                  </c15:fullRef>
                </c:ext>
              </c:extLst>
              <c:f>Electricity!$L$10:$X$10</c:f>
              <c:numCache>
                <c:formatCode>#\ ###\ ##0</c:formatCode>
                <c:ptCount val="13"/>
                <c:pt idx="0">
                  <c:v>10840599</c:v>
                </c:pt>
                <c:pt idx="1">
                  <c:v>11140702</c:v>
                </c:pt>
                <c:pt idx="2">
                  <c:v>11529214</c:v>
                </c:pt>
                <c:pt idx="3">
                  <c:v>11965896</c:v>
                </c:pt>
                <c:pt idx="4">
                  <c:v>12346082.750905201</c:v>
                </c:pt>
                <c:pt idx="5">
                  <c:v>12790363.5485142</c:v>
                </c:pt>
                <c:pt idx="6">
                  <c:v>13060958.2207803</c:v>
                </c:pt>
                <c:pt idx="7">
                  <c:v>13207785.9578819</c:v>
                </c:pt>
                <c:pt idx="8">
                  <c:v>13665517.840620499</c:v>
                </c:pt>
                <c:pt idx="9">
                  <c:v>14105636.4483844</c:v>
                </c:pt>
                <c:pt idx="10">
                  <c:v>14591740.6842364</c:v>
                </c:pt>
                <c:pt idx="11">
                  <c:v>15646924.2990782</c:v>
                </c:pt>
                <c:pt idx="12">
                  <c:v>15999230.324885599</c:v>
                </c:pt>
              </c:numCache>
            </c:numRef>
          </c:val>
          <c:extLst>
            <c:ext xmlns:c16="http://schemas.microsoft.com/office/drawing/2014/chart" uri="{C3380CC4-5D6E-409C-BE32-E72D297353CC}">
              <c16:uniqueId val="{00000000-5B33-4E19-B3FD-C9380B4E2995}"/>
            </c:ext>
          </c:extLst>
        </c:ser>
        <c:dLbls>
          <c:showLegendKey val="0"/>
          <c:showVal val="0"/>
          <c:showCatName val="0"/>
          <c:showSerName val="0"/>
          <c:showPercent val="0"/>
          <c:showBubbleSize val="0"/>
        </c:dLbls>
        <c:gapWidth val="150"/>
        <c:axId val="1784792096"/>
        <c:axId val="1784779040"/>
      </c:barChart>
      <c:lineChart>
        <c:grouping val="stacked"/>
        <c:varyColors val="0"/>
        <c:ser>
          <c:idx val="2"/>
          <c:order val="1"/>
          <c:tx>
            <c:strRef>
              <c:f>Electricity!$D$11</c:f>
              <c:strCache>
                <c:ptCount val="1"/>
                <c:pt idx="0">
                  <c:v>Percentage of household with access to grid electricity</c:v>
                </c:pt>
              </c:strCache>
            </c:strRef>
          </c:tx>
          <c:spPr>
            <a:ln>
              <a:solidFill>
                <a:srgbClr val="843F2C"/>
              </a:solidFill>
            </a:ln>
          </c:spPr>
          <c:marker>
            <c:symbol val="diamond"/>
            <c:size val="8"/>
            <c:spPr>
              <a:solidFill>
                <a:srgbClr val="843F2C"/>
              </a:solidFill>
              <a:ln>
                <a:solidFill>
                  <a:srgbClr val="843F2C"/>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Electricity!$E$8:$X$8</c:f>
              <c:numCache>
                <c:formatCode>General</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Electricity!$E$11:$X$11</c:f>
              <c:numCache>
                <c:formatCode>#\ ##0.0</c:formatCode>
                <c:ptCount val="20"/>
                <c:pt idx="0">
                  <c:v>76.588859558616633</c:v>
                </c:pt>
                <c:pt idx="1">
                  <c:v>78.177960906464307</c:v>
                </c:pt>
                <c:pt idx="2">
                  <c:v>80.472343795774975</c:v>
                </c:pt>
                <c:pt idx="3">
                  <c:v>80.719621540971474</c:v>
                </c:pt>
                <c:pt idx="4">
                  <c:v>80.399935801176397</c:v>
                </c:pt>
                <c:pt idx="5">
                  <c:v>81.717183905342793</c:v>
                </c:pt>
                <c:pt idx="6">
                  <c:v>81.492423329382262</c:v>
                </c:pt>
                <c:pt idx="7">
                  <c:v>82.573674651495892</c:v>
                </c:pt>
                <c:pt idx="8">
                  <c:v>82.795662404940558</c:v>
                </c:pt>
                <c:pt idx="9">
                  <c:v>83.561256823788966</c:v>
                </c:pt>
                <c:pt idx="10">
                  <c:v>84.554262459390145</c:v>
                </c:pt>
                <c:pt idx="11">
                  <c:v>85.021179407226072</c:v>
                </c:pt>
                <c:pt idx="12">
                  <c:v>85.819865053367508</c:v>
                </c:pt>
                <c:pt idx="13">
                  <c:v>85.324009314792633</c:v>
                </c:pt>
                <c:pt idx="14">
                  <c:v>83.892638027837464</c:v>
                </c:pt>
                <c:pt idx="15">
                  <c:v>84.359698597092418</c:v>
                </c:pt>
                <c:pt idx="16">
                  <c:v>84.612562197132718</c:v>
                </c:pt>
                <c:pt idx="17">
                  <c:v>85</c:v>
                </c:pt>
                <c:pt idx="18">
                  <c:v>90</c:v>
                </c:pt>
                <c:pt idx="19">
                  <c:v>89.1</c:v>
                </c:pt>
              </c:numCache>
            </c:numRef>
          </c:val>
          <c:smooth val="0"/>
          <c:extLst>
            <c:ext xmlns:c16="http://schemas.microsoft.com/office/drawing/2014/chart" uri="{C3380CC4-5D6E-409C-BE32-E72D297353CC}">
              <c16:uniqueId val="{00000001-5B33-4E19-B3FD-C9380B4E2995}"/>
            </c:ext>
          </c:extLst>
        </c:ser>
        <c:dLbls>
          <c:showLegendKey val="0"/>
          <c:showVal val="0"/>
          <c:showCatName val="0"/>
          <c:showSerName val="0"/>
          <c:showPercent val="0"/>
          <c:showBubbleSize val="0"/>
        </c:dLbls>
        <c:marker val="1"/>
        <c:smooth val="0"/>
        <c:axId val="1354883888"/>
        <c:axId val="1354878064"/>
      </c:lineChart>
      <c:catAx>
        <c:axId val="1784792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784779040"/>
        <c:crosses val="autoZero"/>
        <c:auto val="1"/>
        <c:lblAlgn val="ctr"/>
        <c:lblOffset val="100"/>
        <c:tickLblSkip val="1"/>
        <c:tickMarkSkip val="1"/>
        <c:noMultiLvlLbl val="0"/>
      </c:catAx>
      <c:valAx>
        <c:axId val="1784779040"/>
        <c:scaling>
          <c:orientation val="minMax"/>
          <c:min val="0"/>
        </c:scaling>
        <c:delete val="0"/>
        <c:axPos val="l"/>
        <c:majorGridlines>
          <c:spPr>
            <a:ln w="3175">
              <a:solidFill>
                <a:srgbClr val="969696"/>
              </a:solidFill>
              <a:prstDash val="sysDash"/>
            </a:ln>
          </c:spPr>
        </c:majorGridlines>
        <c:numFmt formatCode="#\ ###\ ##0" sourceLinked="1"/>
        <c:majorTickMark val="out"/>
        <c:minorTickMark val="none"/>
        <c:tickLblPos val="nextTo"/>
        <c:spPr>
          <a:ln w="3175">
            <a:solidFill>
              <a:srgbClr val="000000"/>
            </a:solidFill>
            <a:prstDash val="solid"/>
          </a:ln>
        </c:spPr>
        <c:txPr>
          <a:bodyPr rot="0" vert="horz"/>
          <a:lstStyle/>
          <a:p>
            <a:pPr>
              <a:defRPr/>
            </a:pPr>
            <a:endParaRPr lang="en-US"/>
          </a:p>
        </c:txPr>
        <c:crossAx val="1784792096"/>
        <c:crosses val="autoZero"/>
        <c:crossBetween val="between"/>
        <c:majorUnit val="2000500"/>
      </c:valAx>
      <c:valAx>
        <c:axId val="1354878064"/>
        <c:scaling>
          <c:orientation val="minMax"/>
        </c:scaling>
        <c:delete val="0"/>
        <c:axPos val="r"/>
        <c:numFmt formatCode="#\ ##0.0" sourceLinked="1"/>
        <c:majorTickMark val="out"/>
        <c:minorTickMark val="none"/>
        <c:tickLblPos val="nextTo"/>
        <c:crossAx val="1354883888"/>
        <c:crosses val="max"/>
        <c:crossBetween val="between"/>
      </c:valAx>
      <c:catAx>
        <c:axId val="1354883888"/>
        <c:scaling>
          <c:orientation val="minMax"/>
        </c:scaling>
        <c:delete val="0"/>
        <c:axPos val="t"/>
        <c:numFmt formatCode="General" sourceLinked="1"/>
        <c:majorTickMark val="none"/>
        <c:minorTickMark val="none"/>
        <c:tickLblPos val="none"/>
        <c:crossAx val="1354878064"/>
        <c:crosses val="max"/>
        <c:auto val="1"/>
        <c:lblAlgn val="ctr"/>
        <c:lblOffset val="100"/>
        <c:noMultiLvlLbl val="1"/>
      </c:catAx>
      <c:spPr>
        <a:noFill/>
        <a:ln w="25400">
          <a:noFill/>
        </a:ln>
      </c:spPr>
    </c:plotArea>
    <c:legend>
      <c:legendPos val="r"/>
      <c:layout>
        <c:manualLayout>
          <c:xMode val="edge"/>
          <c:yMode val="edge"/>
          <c:x val="0.29120390615568281"/>
          <c:y val="0.88343098813053222"/>
          <c:w val="0.21344797828721154"/>
          <c:h val="0.11656913734491675"/>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189" r="0.75000000000000189" t="1" header="0.5" footer="0.5"/>
    <c:pageSetup paperSize="9"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55914861787317"/>
          <c:y val="7.6135964532488137E-2"/>
          <c:w val="0.83851205145158381"/>
          <c:h val="0.5918498514746845"/>
        </c:manualLayout>
      </c:layout>
      <c:barChart>
        <c:barDir val="col"/>
        <c:grouping val="clustered"/>
        <c:varyColors val="0"/>
        <c:ser>
          <c:idx val="0"/>
          <c:order val="0"/>
          <c:tx>
            <c:strRef>
              <c:f>Electricity!$D$9</c:f>
              <c:strCache>
                <c:ptCount val="1"/>
                <c:pt idx="0">
                  <c:v>Total number of households</c:v>
                </c:pt>
              </c:strCache>
            </c:strRef>
          </c:tx>
          <c:spPr>
            <a:solidFill>
              <a:srgbClr val="993300"/>
            </a:solidFill>
            <a:ln w="12700">
              <a:noFill/>
              <a:prstDash val="solid"/>
            </a:ln>
          </c:spPr>
          <c:invertIfNegative val="0"/>
          <c:cat>
            <c:numRef>
              <c:f>Electricity!$E$8:$R$8</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Electricity!$E$9:$R$9</c:f>
              <c:numCache>
                <c:formatCode>#,##0</c:formatCode>
                <c:ptCount val="14"/>
                <c:pt idx="0">
                  <c:v>11194350</c:v>
                </c:pt>
                <c:pt idx="1">
                  <c:v>11459337</c:v>
                </c:pt>
                <c:pt idx="2">
                  <c:v>11718329</c:v>
                </c:pt>
                <c:pt idx="3">
                  <c:v>11976990</c:v>
                </c:pt>
                <c:pt idx="4">
                  <c:v>12243215</c:v>
                </c:pt>
                <c:pt idx="5">
                  <c:v>12522491</c:v>
                </c:pt>
                <c:pt idx="6">
                  <c:v>12819285</c:v>
                </c:pt>
                <c:pt idx="7">
                  <c:v>13128396</c:v>
                </c:pt>
                <c:pt idx="8">
                  <c:v>13455659</c:v>
                </c:pt>
                <c:pt idx="9">
                  <c:v>13797320</c:v>
                </c:pt>
                <c:pt idx="10">
                  <c:v>14151736</c:v>
                </c:pt>
                <c:pt idx="11">
                  <c:v>14521185</c:v>
                </c:pt>
                <c:pt idx="12">
                  <c:v>14903733</c:v>
                </c:pt>
                <c:pt idx="13">
                  <c:v>15307483</c:v>
                </c:pt>
              </c:numCache>
            </c:numRef>
          </c:val>
          <c:extLst>
            <c:ext xmlns:c16="http://schemas.microsoft.com/office/drawing/2014/chart" uri="{C3380CC4-5D6E-409C-BE32-E72D297353CC}">
              <c16:uniqueId val="{00000000-69FB-41AB-B55E-B25A5BE45AF1}"/>
            </c:ext>
          </c:extLst>
        </c:ser>
        <c:ser>
          <c:idx val="1"/>
          <c:order val="1"/>
          <c:tx>
            <c:strRef>
              <c:f>Electricity!$D$10</c:f>
              <c:strCache>
                <c:ptCount val="1"/>
                <c:pt idx="0">
                  <c:v>HH with access to electricity</c:v>
                </c:pt>
              </c:strCache>
            </c:strRef>
          </c:tx>
          <c:spPr>
            <a:solidFill>
              <a:srgbClr val="FF9900"/>
            </a:solidFill>
            <a:ln w="12700">
              <a:noFill/>
              <a:prstDash val="solid"/>
            </a:ln>
          </c:spPr>
          <c:invertIfNegative val="0"/>
          <c:cat>
            <c:numRef>
              <c:f>Electricity!$E$8:$R$8</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Electricity!$E$10:$R$10</c:f>
              <c:numCache>
                <c:formatCode>#\ ###\ ##0</c:formatCode>
                <c:ptCount val="14"/>
                <c:pt idx="0">
                  <c:v>8573625</c:v>
                </c:pt>
                <c:pt idx="1">
                  <c:v>8958676</c:v>
                </c:pt>
                <c:pt idx="2">
                  <c:v>9430014</c:v>
                </c:pt>
                <c:pt idx="3">
                  <c:v>9667781</c:v>
                </c:pt>
                <c:pt idx="4">
                  <c:v>9843537</c:v>
                </c:pt>
                <c:pt idx="5">
                  <c:v>10233027</c:v>
                </c:pt>
                <c:pt idx="6">
                  <c:v>10446746</c:v>
                </c:pt>
                <c:pt idx="7">
                  <c:v>10840599</c:v>
                </c:pt>
                <c:pt idx="8">
                  <c:v>11140702</c:v>
                </c:pt>
                <c:pt idx="9">
                  <c:v>11529214</c:v>
                </c:pt>
                <c:pt idx="10">
                  <c:v>11965896</c:v>
                </c:pt>
                <c:pt idx="11">
                  <c:v>12346082.750905201</c:v>
                </c:pt>
                <c:pt idx="12">
                  <c:v>12790363.5485142</c:v>
                </c:pt>
                <c:pt idx="13">
                  <c:v>13060958.2207803</c:v>
                </c:pt>
              </c:numCache>
            </c:numRef>
          </c:val>
          <c:extLst>
            <c:ext xmlns:c16="http://schemas.microsoft.com/office/drawing/2014/chart" uri="{C3380CC4-5D6E-409C-BE32-E72D297353CC}">
              <c16:uniqueId val="{00000001-69FB-41AB-B55E-B25A5BE45AF1}"/>
            </c:ext>
          </c:extLst>
        </c:ser>
        <c:ser>
          <c:idx val="2"/>
          <c:order val="2"/>
          <c:tx>
            <c:strRef>
              <c:f>Electricity!$D$11</c:f>
              <c:strCache>
                <c:ptCount val="1"/>
                <c:pt idx="0">
                  <c:v>Percentage of household with access to grid electricity</c:v>
                </c:pt>
              </c:strCache>
            </c:strRef>
          </c:tx>
          <c:invertIfNegative val="0"/>
          <c:cat>
            <c:numRef>
              <c:f>Electricity!$E$8:$R$8</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Electricity!$E$11:$R$11</c:f>
              <c:numCache>
                <c:formatCode>#\ ##0.0</c:formatCode>
                <c:ptCount val="14"/>
                <c:pt idx="0">
                  <c:v>76.588859558616633</c:v>
                </c:pt>
                <c:pt idx="1">
                  <c:v>78.177960906464307</c:v>
                </c:pt>
                <c:pt idx="2">
                  <c:v>80.472343795774975</c:v>
                </c:pt>
                <c:pt idx="3">
                  <c:v>80.719621540971474</c:v>
                </c:pt>
                <c:pt idx="4">
                  <c:v>80.399935801176397</c:v>
                </c:pt>
                <c:pt idx="5">
                  <c:v>81.717183905342793</c:v>
                </c:pt>
                <c:pt idx="6">
                  <c:v>81.492423329382262</c:v>
                </c:pt>
                <c:pt idx="7">
                  <c:v>82.573674651495892</c:v>
                </c:pt>
                <c:pt idx="8">
                  <c:v>82.795662404940558</c:v>
                </c:pt>
                <c:pt idx="9">
                  <c:v>83.561256823788966</c:v>
                </c:pt>
                <c:pt idx="10">
                  <c:v>84.554262459390145</c:v>
                </c:pt>
                <c:pt idx="11">
                  <c:v>85.021179407226072</c:v>
                </c:pt>
                <c:pt idx="12">
                  <c:v>85.819865053367508</c:v>
                </c:pt>
                <c:pt idx="13">
                  <c:v>85.324009314792633</c:v>
                </c:pt>
              </c:numCache>
            </c:numRef>
          </c:val>
          <c:extLst>
            <c:ext xmlns:c16="http://schemas.microsoft.com/office/drawing/2014/chart" uri="{C3380CC4-5D6E-409C-BE32-E72D297353CC}">
              <c16:uniqueId val="{00000002-69FB-41AB-B55E-B25A5BE45AF1}"/>
            </c:ext>
          </c:extLst>
        </c:ser>
        <c:dLbls>
          <c:showLegendKey val="0"/>
          <c:showVal val="0"/>
          <c:showCatName val="0"/>
          <c:showSerName val="0"/>
          <c:showPercent val="0"/>
          <c:showBubbleSize val="0"/>
        </c:dLbls>
        <c:gapWidth val="150"/>
        <c:axId val="1784776864"/>
        <c:axId val="1784781760"/>
      </c:barChart>
      <c:catAx>
        <c:axId val="1784776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784781760"/>
        <c:crosses val="autoZero"/>
        <c:auto val="1"/>
        <c:lblAlgn val="ctr"/>
        <c:lblOffset val="100"/>
        <c:tickLblSkip val="1"/>
        <c:tickMarkSkip val="1"/>
        <c:noMultiLvlLbl val="0"/>
      </c:catAx>
      <c:valAx>
        <c:axId val="1784781760"/>
        <c:scaling>
          <c:orientation val="minMax"/>
          <c:max val="13000000"/>
          <c:min val="0"/>
        </c:scaling>
        <c:delete val="0"/>
        <c:axPos val="l"/>
        <c:majorGridlines>
          <c:spPr>
            <a:ln w="3175">
              <a:solidFill>
                <a:srgbClr val="969696"/>
              </a:solidFill>
              <a:prstDash val="sysDash"/>
            </a:ln>
          </c:spPr>
        </c:majorGridlines>
        <c:title>
          <c:tx>
            <c:rich>
              <a:bodyPr/>
              <a:lstStyle/>
              <a:p>
                <a:pPr>
                  <a:defRPr/>
                </a:pPr>
                <a:r>
                  <a:rPr lang="en-US"/>
                  <a:t>number</a:t>
                </a:r>
              </a:p>
            </c:rich>
          </c:tx>
          <c:layout>
            <c:manualLayout>
              <c:xMode val="edge"/>
              <c:yMode val="edge"/>
              <c:x val="1.934699339053212E-2"/>
              <c:y val="0.3320166402124655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a:pPr>
            <a:endParaRPr lang="en-US"/>
          </a:p>
        </c:txPr>
        <c:crossAx val="1784776864"/>
        <c:crosses val="autoZero"/>
        <c:crossBetween val="between"/>
        <c:majorUnit val="2000500"/>
      </c:valAx>
      <c:spPr>
        <a:solidFill>
          <a:srgbClr val="FFFFFF"/>
        </a:solidFill>
        <a:ln w="12700">
          <a:solidFill>
            <a:srgbClr val="808080"/>
          </a:solidFill>
          <a:prstDash val="solid"/>
        </a:ln>
      </c:spPr>
    </c:plotArea>
    <c:legend>
      <c:legendPos val="b"/>
      <c:legendEntry>
        <c:idx val="2"/>
        <c:delete val="1"/>
      </c:legendEntry>
      <c:layout>
        <c:manualLayout>
          <c:xMode val="edge"/>
          <c:yMode val="edge"/>
          <c:x val="1.6347600190327102E-2"/>
          <c:y val="0.88932972311267411"/>
          <c:w val="0.67462778775460097"/>
          <c:h val="6.8679249829807998E-2"/>
        </c:manualLayout>
      </c:layout>
      <c:overlay val="0"/>
      <c:spPr>
        <a:solidFill>
          <a:srgbClr val="FFFFFF"/>
        </a:solidFill>
        <a:ln w="3175">
          <a:noFill/>
          <a:prstDash val="solid"/>
        </a:ln>
      </c:sp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189" r="0.75000000000000189" t="1" header="0.5" footer="0.5"/>
    <c:pageSetup paperSize="9"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Arial"/>
                <a:ea typeface="Arial"/>
                <a:cs typeface="Arial"/>
              </a:defRPr>
            </a:pPr>
            <a:r>
              <a:rPr lang="en-ZA"/>
              <a:t>Land restitution - claims settled</a:t>
            </a:r>
          </a:p>
        </c:rich>
      </c:tx>
      <c:overlay val="0"/>
      <c:spPr>
        <a:noFill/>
        <a:ln w="25400">
          <a:noFill/>
        </a:ln>
      </c:spPr>
    </c:title>
    <c:autoTitleDeleted val="0"/>
    <c:plotArea>
      <c:layout/>
      <c:lineChart>
        <c:grouping val="standard"/>
        <c:varyColors val="0"/>
        <c:ser>
          <c:idx val="0"/>
          <c:order val="0"/>
          <c:tx>
            <c:strRef>
              <c:f>'[9]Land restitution'!$D$13</c:f>
              <c:strCache>
                <c:ptCount val="1"/>
              </c:strCache>
            </c:strRef>
          </c:tx>
          <c:spPr>
            <a:ln w="25400">
              <a:solidFill>
                <a:srgbClr val="FF00FF"/>
              </a:solidFill>
              <a:prstDash val="solid"/>
            </a:ln>
          </c:spPr>
          <c:marker>
            <c:symbol val="none"/>
          </c:marker>
          <c:cat>
            <c:strRef>
              <c:f>'[9]Land restitution'!$E$12:$R$12</c:f>
              <c:strCache>
                <c:ptCount val="14"/>
                <c:pt idx="6">
                  <c:v>GRANTS IN RANDS </c:v>
                </c:pt>
              </c:strCache>
            </c:strRef>
          </c:cat>
          <c:val>
            <c:numRef>
              <c:f>'[9]Land restitution'!$E$13:$R$13</c:f>
              <c:numCache>
                <c:formatCode>General</c:formatCode>
                <c:ptCount val="14"/>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2FA4-4837-B072-D54D95EC5D63}"/>
            </c:ext>
          </c:extLst>
        </c:ser>
        <c:dLbls>
          <c:showLegendKey val="0"/>
          <c:showVal val="0"/>
          <c:showCatName val="0"/>
          <c:showSerName val="0"/>
          <c:showPercent val="0"/>
          <c:showBubbleSize val="0"/>
        </c:dLbls>
        <c:smooth val="0"/>
        <c:axId val="163053568"/>
        <c:axId val="163055104"/>
      </c:lineChart>
      <c:catAx>
        <c:axId val="163053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63055104"/>
        <c:crosses val="autoZero"/>
        <c:auto val="1"/>
        <c:lblAlgn val="ctr"/>
        <c:lblOffset val="100"/>
        <c:tickLblSkip val="1"/>
        <c:tickMarkSkip val="1"/>
        <c:noMultiLvlLbl val="0"/>
      </c:catAx>
      <c:valAx>
        <c:axId val="163055104"/>
        <c:scaling>
          <c:orientation val="minMax"/>
        </c:scaling>
        <c:delete val="0"/>
        <c:axPos val="l"/>
        <c:majorGridlines>
          <c:spPr>
            <a:ln w="3175">
              <a:solidFill>
                <a:srgbClr val="000000"/>
              </a:solidFill>
              <a:prstDash val="solid"/>
            </a:ln>
          </c:spPr>
        </c:majorGridlines>
        <c:title>
          <c:tx>
            <c:rich>
              <a:bodyPr/>
              <a:lstStyle/>
              <a:p>
                <a:pPr>
                  <a:defRPr sz="175" b="0" i="0" u="none" strike="noStrike" baseline="0">
                    <a:solidFill>
                      <a:srgbClr val="000000"/>
                    </a:solidFill>
                    <a:latin typeface="Arial"/>
                    <a:ea typeface="Arial"/>
                    <a:cs typeface="Arial"/>
                  </a:defRPr>
                </a:pPr>
                <a:r>
                  <a:rPr lang="en-ZA"/>
                  <a:t>hectars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163053568"/>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CUMULATIVE CLAIMS SETLTLED</a:t>
            </a:r>
          </a:p>
        </c:rich>
      </c:tx>
      <c:layout>
        <c:manualLayout>
          <c:xMode val="edge"/>
          <c:yMode val="edge"/>
          <c:x val="2.652556609337571E-2"/>
          <c:y val="4.2296482376700334E-2"/>
        </c:manualLayout>
      </c:layout>
      <c:overlay val="0"/>
      <c:spPr>
        <a:noFill/>
        <a:ln w="25400">
          <a:noFill/>
        </a:ln>
      </c:spPr>
    </c:title>
    <c:autoTitleDeleted val="0"/>
    <c:plotArea>
      <c:layout>
        <c:manualLayout>
          <c:layoutTarget val="inner"/>
          <c:xMode val="edge"/>
          <c:yMode val="edge"/>
          <c:x val="6.7092721533798652E-2"/>
          <c:y val="0.15281521344987659"/>
          <c:w val="0.92012875246352011"/>
          <c:h val="0.67560410156786965"/>
        </c:manualLayout>
      </c:layout>
      <c:lineChart>
        <c:grouping val="standard"/>
        <c:varyColors val="0"/>
        <c:ser>
          <c:idx val="0"/>
          <c:order val="0"/>
          <c:tx>
            <c:strRef>
              <c:f>'Land restitution '!$D$8</c:f>
              <c:strCache>
                <c:ptCount val="1"/>
                <c:pt idx="0">
                  <c:v>Cumulative Settled claims </c:v>
                </c:pt>
              </c:strCache>
            </c:strRef>
          </c:tx>
          <c:spPr>
            <a:ln w="25400">
              <a:solidFill>
                <a:srgbClr val="FF6600"/>
              </a:solidFill>
              <a:prstDash val="solid"/>
            </a:ln>
          </c:spPr>
          <c:marker>
            <c:symbol val="none"/>
          </c:marker>
          <c:cat>
            <c:strRef>
              <c:extLst>
                <c:ext xmlns:c15="http://schemas.microsoft.com/office/drawing/2012/chart" uri="{02D57815-91ED-43cb-92C2-25804820EDAC}">
                  <c15:fullRef>
                    <c15:sqref>'Land restitution '!$V$7:$AF$7</c15:sqref>
                  </c15:fullRef>
                </c:ext>
              </c:extLst>
              <c:f>'Land restitution '!$V$7:$AF$7</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extLst>
                <c:ext xmlns:c15="http://schemas.microsoft.com/office/drawing/2012/chart" uri="{02D57815-91ED-43cb-92C2-25804820EDAC}">
                  <c15:fullRef>
                    <c15:sqref>'Land restitution '!$E$8:$AF$8</c15:sqref>
                  </c15:fullRef>
                </c:ext>
              </c:extLst>
              <c:f>'Land restitution '!$E$8:$O$8</c:f>
              <c:numCache>
                <c:formatCode>#\ ###\ ###</c:formatCode>
                <c:ptCount val="11"/>
                <c:pt idx="0" formatCode="#\ ###\ ##0">
                  <c:v>0</c:v>
                </c:pt>
                <c:pt idx="1">
                  <c:v>1</c:v>
                </c:pt>
                <c:pt idx="2">
                  <c:v>3</c:v>
                </c:pt>
                <c:pt idx="3">
                  <c:v>208</c:v>
                </c:pt>
                <c:pt idx="4">
                  <c:v>408</c:v>
                </c:pt>
                <c:pt idx="5">
                  <c:v>3916</c:v>
                </c:pt>
                <c:pt idx="6">
                  <c:v>12094</c:v>
                </c:pt>
                <c:pt idx="7">
                  <c:v>29877</c:v>
                </c:pt>
                <c:pt idx="8">
                  <c:v>36488</c:v>
                </c:pt>
                <c:pt idx="9">
                  <c:v>48825</c:v>
                </c:pt>
                <c:pt idx="10">
                  <c:v>59345</c:v>
                </c:pt>
              </c:numCache>
            </c:numRef>
          </c:val>
          <c:smooth val="0"/>
          <c:extLst>
            <c:ext xmlns:c16="http://schemas.microsoft.com/office/drawing/2014/chart" uri="{C3380CC4-5D6E-409C-BE32-E72D297353CC}">
              <c16:uniqueId val="{00000000-CDB6-4F1D-9479-3393A3CB4520}"/>
            </c:ext>
          </c:extLst>
        </c:ser>
        <c:dLbls>
          <c:showLegendKey val="0"/>
          <c:showVal val="0"/>
          <c:showCatName val="0"/>
          <c:showSerName val="0"/>
          <c:showPercent val="0"/>
          <c:showBubbleSize val="0"/>
        </c:dLbls>
        <c:smooth val="0"/>
        <c:axId val="163084160"/>
        <c:axId val="163085696"/>
      </c:lineChart>
      <c:catAx>
        <c:axId val="163084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63085696"/>
        <c:crosses val="autoZero"/>
        <c:auto val="1"/>
        <c:lblAlgn val="ctr"/>
        <c:lblOffset val="100"/>
        <c:tickLblSkip val="1"/>
        <c:tickMarkSkip val="1"/>
        <c:noMultiLvlLbl val="0"/>
      </c:catAx>
      <c:valAx>
        <c:axId val="163085696"/>
        <c:scaling>
          <c:orientation val="minMax"/>
        </c:scaling>
        <c:delete val="0"/>
        <c:axPos val="l"/>
        <c:majorGridlines>
          <c:spPr>
            <a:ln w="3175">
              <a:solidFill>
                <a:srgbClr val="969696"/>
              </a:solidFill>
              <a:prstDash val="sysDash"/>
            </a:ln>
          </c:spPr>
        </c:majorGridlines>
        <c:numFmt formatCode="###\ ###\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084160"/>
        <c:crosses val="autoZero"/>
        <c:crossBetween val="midCat"/>
        <c:majorUnit val="10500"/>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CORRUPTION PERCEPTION</a:t>
            </a:r>
          </a:p>
        </c:rich>
      </c:tx>
      <c:layout>
        <c:manualLayout>
          <c:xMode val="edge"/>
          <c:yMode val="edge"/>
          <c:x val="5.5800258470229291E-2"/>
          <c:y val="2.7108459268678373E-2"/>
        </c:manualLayout>
      </c:layout>
      <c:overlay val="0"/>
      <c:spPr>
        <a:noFill/>
        <a:ln w="25400">
          <a:noFill/>
        </a:ln>
      </c:spPr>
    </c:title>
    <c:autoTitleDeleted val="0"/>
    <c:plotArea>
      <c:layout>
        <c:manualLayout>
          <c:layoutTarget val="inner"/>
          <c:xMode val="edge"/>
          <c:yMode val="edge"/>
          <c:x val="8.1218274111675079E-2"/>
          <c:y val="0.1832300915149658"/>
          <c:w val="0.84685325617854823"/>
          <c:h val="0.62111895428801656"/>
        </c:manualLayout>
      </c:layout>
      <c:lineChart>
        <c:grouping val="standard"/>
        <c:varyColors val="0"/>
        <c:ser>
          <c:idx val="1"/>
          <c:order val="0"/>
          <c:tx>
            <c:strRef>
              <c:f>' Corruption perception'!$D$8</c:f>
              <c:strCache>
                <c:ptCount val="1"/>
                <c:pt idx="0">
                  <c:v>Ranking position</c:v>
                </c:pt>
              </c:strCache>
            </c:strRef>
          </c:tx>
          <c:spPr>
            <a:ln w="25400">
              <a:solidFill>
                <a:srgbClr val="FF6600"/>
              </a:solidFill>
              <a:prstDash val="solid"/>
            </a:ln>
          </c:spPr>
          <c:marker>
            <c:symbol val="none"/>
          </c:marker>
          <c:cat>
            <c:numRef>
              <c:f>' Corruption perception'!$E$7:$AD$7</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 Corruption perception'!$E$8:$AD$8</c:f>
              <c:numCache>
                <c:formatCode>General</c:formatCode>
                <c:ptCount val="26"/>
                <c:pt idx="0">
                  <c:v>33</c:v>
                </c:pt>
                <c:pt idx="1">
                  <c:v>32</c:v>
                </c:pt>
                <c:pt idx="2">
                  <c:v>34</c:v>
                </c:pt>
                <c:pt idx="3">
                  <c:v>34</c:v>
                </c:pt>
                <c:pt idx="4">
                  <c:v>38</c:v>
                </c:pt>
                <c:pt idx="5">
                  <c:v>36</c:v>
                </c:pt>
                <c:pt idx="6">
                  <c:v>48</c:v>
                </c:pt>
                <c:pt idx="7">
                  <c:v>44</c:v>
                </c:pt>
                <c:pt idx="8">
                  <c:v>46</c:v>
                </c:pt>
                <c:pt idx="9">
                  <c:v>51</c:v>
                </c:pt>
                <c:pt idx="10">
                  <c:v>43</c:v>
                </c:pt>
                <c:pt idx="11">
                  <c:v>54</c:v>
                </c:pt>
                <c:pt idx="12">
                  <c:v>55</c:v>
                </c:pt>
                <c:pt idx="13">
                  <c:v>54</c:v>
                </c:pt>
                <c:pt idx="14">
                  <c:v>64</c:v>
                </c:pt>
                <c:pt idx="15">
                  <c:v>69</c:v>
                </c:pt>
                <c:pt idx="16">
                  <c:v>72</c:v>
                </c:pt>
                <c:pt idx="17">
                  <c:v>67</c:v>
                </c:pt>
                <c:pt idx="18">
                  <c:v>61</c:v>
                </c:pt>
                <c:pt idx="19">
                  <c:v>64</c:v>
                </c:pt>
                <c:pt idx="20">
                  <c:v>71</c:v>
                </c:pt>
                <c:pt idx="21">
                  <c:v>73</c:v>
                </c:pt>
                <c:pt idx="22">
                  <c:v>70</c:v>
                </c:pt>
                <c:pt idx="23">
                  <c:v>69</c:v>
                </c:pt>
                <c:pt idx="24">
                  <c:v>70</c:v>
                </c:pt>
                <c:pt idx="25">
                  <c:v>72</c:v>
                </c:pt>
              </c:numCache>
            </c:numRef>
          </c:val>
          <c:smooth val="0"/>
          <c:extLst>
            <c:ext xmlns:c16="http://schemas.microsoft.com/office/drawing/2014/chart" uri="{C3380CC4-5D6E-409C-BE32-E72D297353CC}">
              <c16:uniqueId val="{00000000-4ED7-4111-B965-318D105489E8}"/>
            </c:ext>
          </c:extLst>
        </c:ser>
        <c:dLbls>
          <c:showLegendKey val="0"/>
          <c:showVal val="0"/>
          <c:showCatName val="0"/>
          <c:showSerName val="0"/>
          <c:showPercent val="0"/>
          <c:showBubbleSize val="0"/>
        </c:dLbls>
        <c:marker val="1"/>
        <c:smooth val="0"/>
        <c:axId val="532773656"/>
        <c:axId val="532769344"/>
      </c:lineChart>
      <c:lineChart>
        <c:grouping val="standard"/>
        <c:varyColors val="0"/>
        <c:ser>
          <c:idx val="0"/>
          <c:order val="1"/>
          <c:tx>
            <c:strRef>
              <c:f>' Corruption perception'!$D$9</c:f>
              <c:strCache>
                <c:ptCount val="1"/>
                <c:pt idx="0">
                  <c:v>Corruption perception scores</c:v>
                </c:pt>
              </c:strCache>
            </c:strRef>
          </c:tx>
          <c:spPr>
            <a:ln w="25400">
              <a:solidFill>
                <a:srgbClr val="BE4B48"/>
              </a:solidFill>
              <a:prstDash val="solid"/>
            </a:ln>
          </c:spPr>
          <c:marker>
            <c:symbol val="none"/>
          </c:marker>
          <c:cat>
            <c:numRef>
              <c:f>' Corruption perception'!$E$7:$AD$7</c:f>
              <c:numCache>
                <c:formatCode>General</c:formatCode>
                <c:ptCount val="26"/>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numCache>
            </c:numRef>
          </c:cat>
          <c:val>
            <c:numRef>
              <c:f>' Corruption perception'!$E$9:$AD$9</c:f>
              <c:numCache>
                <c:formatCode>General</c:formatCode>
                <c:ptCount val="26"/>
                <c:pt idx="0">
                  <c:v>49</c:v>
                </c:pt>
                <c:pt idx="1">
                  <c:v>52</c:v>
                </c:pt>
                <c:pt idx="2">
                  <c:v>50</c:v>
                </c:pt>
                <c:pt idx="3">
                  <c:v>50</c:v>
                </c:pt>
                <c:pt idx="4">
                  <c:v>48</c:v>
                </c:pt>
                <c:pt idx="5">
                  <c:v>48</c:v>
                </c:pt>
                <c:pt idx="6">
                  <c:v>44</c:v>
                </c:pt>
                <c:pt idx="7">
                  <c:v>46</c:v>
                </c:pt>
                <c:pt idx="8">
                  <c:v>45</c:v>
                </c:pt>
                <c:pt idx="9">
                  <c:v>46</c:v>
                </c:pt>
                <c:pt idx="10">
                  <c:v>51</c:v>
                </c:pt>
                <c:pt idx="11">
                  <c:v>49</c:v>
                </c:pt>
                <c:pt idx="12">
                  <c:v>47</c:v>
                </c:pt>
                <c:pt idx="13">
                  <c:v>45</c:v>
                </c:pt>
                <c:pt idx="14">
                  <c:v>41</c:v>
                </c:pt>
                <c:pt idx="15">
                  <c:v>43</c:v>
                </c:pt>
                <c:pt idx="16">
                  <c:v>42</c:v>
                </c:pt>
                <c:pt idx="17">
                  <c:v>44</c:v>
                </c:pt>
                <c:pt idx="18">
                  <c:v>44</c:v>
                </c:pt>
                <c:pt idx="19">
                  <c:v>45</c:v>
                </c:pt>
                <c:pt idx="20">
                  <c:v>43</c:v>
                </c:pt>
                <c:pt idx="21">
                  <c:v>43</c:v>
                </c:pt>
                <c:pt idx="22">
                  <c:v>44</c:v>
                </c:pt>
                <c:pt idx="23">
                  <c:v>44</c:v>
                </c:pt>
                <c:pt idx="24">
                  <c:v>44</c:v>
                </c:pt>
                <c:pt idx="25">
                  <c:v>43</c:v>
                </c:pt>
              </c:numCache>
            </c:numRef>
          </c:val>
          <c:smooth val="0"/>
          <c:extLst>
            <c:ext xmlns:c16="http://schemas.microsoft.com/office/drawing/2014/chart" uri="{C3380CC4-5D6E-409C-BE32-E72D297353CC}">
              <c16:uniqueId val="{00000001-4ED7-4111-B965-318D105489E8}"/>
            </c:ext>
          </c:extLst>
        </c:ser>
        <c:dLbls>
          <c:showLegendKey val="0"/>
          <c:showVal val="0"/>
          <c:showCatName val="0"/>
          <c:showSerName val="0"/>
          <c:showPercent val="0"/>
          <c:showBubbleSize val="0"/>
        </c:dLbls>
        <c:marker val="1"/>
        <c:smooth val="0"/>
        <c:axId val="532764640"/>
        <c:axId val="532771696"/>
      </c:lineChart>
      <c:catAx>
        <c:axId val="532773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9344"/>
        <c:crosses val="autoZero"/>
        <c:auto val="0"/>
        <c:lblAlgn val="ctr"/>
        <c:lblOffset val="100"/>
        <c:tickLblSkip val="1"/>
        <c:tickMarkSkip val="1"/>
        <c:noMultiLvlLbl val="0"/>
      </c:catAx>
      <c:valAx>
        <c:axId val="532769344"/>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Ranking </a:t>
                </a:r>
              </a:p>
            </c:rich>
          </c:tx>
          <c:layout>
            <c:manualLayout>
              <c:xMode val="edge"/>
              <c:yMode val="edge"/>
              <c:x val="2.3494943842679611E-2"/>
              <c:y val="0.436747037055150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73656"/>
        <c:crosses val="autoZero"/>
        <c:crossBetween val="midCat"/>
      </c:valAx>
      <c:catAx>
        <c:axId val="532764640"/>
        <c:scaling>
          <c:orientation val="minMax"/>
        </c:scaling>
        <c:delete val="1"/>
        <c:axPos val="b"/>
        <c:numFmt formatCode="General" sourceLinked="1"/>
        <c:majorTickMark val="out"/>
        <c:minorTickMark val="none"/>
        <c:tickLblPos val="none"/>
        <c:crossAx val="532771696"/>
        <c:crosses val="autoZero"/>
        <c:auto val="0"/>
        <c:lblAlgn val="ctr"/>
        <c:lblOffset val="100"/>
        <c:noMultiLvlLbl val="0"/>
      </c:catAx>
      <c:valAx>
        <c:axId val="53277169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en-ZA"/>
                  <a:t>scores</a:t>
                </a:r>
              </a:p>
            </c:rich>
          </c:tx>
          <c:layout>
            <c:manualLayout>
              <c:xMode val="edge"/>
              <c:yMode val="edge"/>
              <c:x val="0.95976764325779074"/>
              <c:y val="0.436747037055150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4640"/>
        <c:crosses val="max"/>
        <c:crossBetween val="midCat"/>
      </c:valAx>
      <c:spPr>
        <a:solidFill>
          <a:srgbClr val="FFFFFF"/>
        </a:solidFill>
        <a:ln w="12700">
          <a:solidFill>
            <a:srgbClr val="808080"/>
          </a:solidFill>
          <a:prstDash val="solid"/>
        </a:ln>
      </c:spPr>
    </c:plotArea>
    <c:legend>
      <c:legendPos val="r"/>
      <c:layout>
        <c:manualLayout>
          <c:xMode val="edge"/>
          <c:yMode val="edge"/>
          <c:x val="0.2771796338440693"/>
          <c:y val="0.89764832587415933"/>
          <c:w val="0.42448189086862353"/>
          <c:h val="5.955358438317750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44" r="0.75000000000000544"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ZA"/>
              <a:t>Land Redistribution - Hectars delivered </a:t>
            </a:r>
          </a:p>
        </c:rich>
      </c:tx>
      <c:layout>
        <c:manualLayout>
          <c:xMode val="edge"/>
          <c:yMode val="edge"/>
          <c:x val="0.41644602757988924"/>
          <c:y val="3.3426297903238283E-2"/>
        </c:manualLayout>
      </c:layout>
      <c:overlay val="0"/>
      <c:spPr>
        <a:noFill/>
        <a:ln w="25400">
          <a:noFill/>
        </a:ln>
      </c:spPr>
    </c:title>
    <c:autoTitleDeleted val="0"/>
    <c:plotArea>
      <c:layout>
        <c:manualLayout>
          <c:layoutTarget val="inner"/>
          <c:xMode val="edge"/>
          <c:yMode val="edge"/>
          <c:x val="6.4285764110370264E-2"/>
          <c:y val="0.13832230176955287"/>
          <c:w val="0.92222293699074354"/>
          <c:h val="0.62131656860422058"/>
        </c:manualLayout>
      </c:layout>
      <c:lineChart>
        <c:grouping val="standard"/>
        <c:varyColors val="0"/>
        <c:ser>
          <c:idx val="0"/>
          <c:order val="0"/>
          <c:tx>
            <c:strRef>
              <c:f>'[10]Land redistribution '!$D$9</c:f>
              <c:strCache>
                <c:ptCount val="1"/>
                <c:pt idx="0">
                  <c:v>Distributed hectares per year</c:v>
                </c:pt>
              </c:strCache>
            </c:strRef>
          </c:tx>
          <c:spPr>
            <a:ln w="25400">
              <a:solidFill>
                <a:srgbClr val="FF6600"/>
              </a:solidFill>
              <a:prstDash val="solid"/>
            </a:ln>
          </c:spPr>
          <c:marker>
            <c:symbol val="none"/>
          </c:marker>
          <c:cat>
            <c:strRef>
              <c:extLst>
                <c:ext xmlns:c15="http://schemas.microsoft.com/office/drawing/2012/chart" uri="{02D57815-91ED-43cb-92C2-25804820EDAC}">
                  <c15:fullRef>
                    <c15:sqref>'[10]Land redistribution '!$E$7:$AE$7</c15:sqref>
                  </c15:fullRef>
                </c:ext>
              </c:extLst>
              <c:f>'[10]Land redistribution '!$V$7:$AE$7</c:f>
              <c:strCache>
                <c:ptCount val="10"/>
                <c:pt idx="0">
                  <c:v>2010/11</c:v>
                </c:pt>
                <c:pt idx="1">
                  <c:v>2011/12</c:v>
                </c:pt>
                <c:pt idx="2">
                  <c:v>2012/13</c:v>
                </c:pt>
                <c:pt idx="3">
                  <c:v>2013/14</c:v>
                </c:pt>
                <c:pt idx="4">
                  <c:v>2014/15</c:v>
                </c:pt>
                <c:pt idx="5">
                  <c:v>2015/16</c:v>
                </c:pt>
                <c:pt idx="6">
                  <c:v>2016/17</c:v>
                </c:pt>
                <c:pt idx="7">
                  <c:v>2017/18</c:v>
                </c:pt>
                <c:pt idx="8">
                  <c:v>2018/19</c:v>
                </c:pt>
                <c:pt idx="9">
                  <c:v>2019/20</c:v>
                </c:pt>
              </c:strCache>
            </c:strRef>
          </c:cat>
          <c:val>
            <c:numRef>
              <c:extLst>
                <c:ext xmlns:c15="http://schemas.microsoft.com/office/drawing/2012/chart" uri="{02D57815-91ED-43cb-92C2-25804820EDAC}">
                  <c15:fullRef>
                    <c15:sqref>'[10]Land redistribution '!$E$9:$AE$9</c15:sqref>
                  </c15:fullRef>
                </c:ext>
              </c:extLst>
              <c:f>'[10]Land redistribution '!$V$9:$AE$9</c:f>
              <c:numCache>
                <c:formatCode>General</c:formatCode>
                <c:ptCount val="10"/>
                <c:pt idx="0">
                  <c:v>331794.24449999997</c:v>
                </c:pt>
                <c:pt idx="1">
                  <c:v>394170.57079999999</c:v>
                </c:pt>
                <c:pt idx="2">
                  <c:v>157556</c:v>
                </c:pt>
                <c:pt idx="3">
                  <c:v>153586</c:v>
                </c:pt>
                <c:pt idx="4">
                  <c:v>210395.80410000001</c:v>
                </c:pt>
                <c:pt idx="5">
                  <c:v>140670.32939999999</c:v>
                </c:pt>
                <c:pt idx="6">
                  <c:v>94279.195100000012</c:v>
                </c:pt>
                <c:pt idx="7">
                  <c:v>92032.35149999999</c:v>
                </c:pt>
                <c:pt idx="8">
                  <c:v>85324.552299999996</c:v>
                </c:pt>
                <c:pt idx="9">
                  <c:v>92643</c:v>
                </c:pt>
              </c:numCache>
            </c:numRef>
          </c:val>
          <c:smooth val="1"/>
          <c:extLst>
            <c:ext xmlns:c16="http://schemas.microsoft.com/office/drawing/2014/chart" uri="{C3380CC4-5D6E-409C-BE32-E72D297353CC}">
              <c16:uniqueId val="{00000000-D255-49C3-8F08-772C1D1C64C5}"/>
            </c:ext>
          </c:extLst>
        </c:ser>
        <c:dLbls>
          <c:showLegendKey val="0"/>
          <c:showVal val="0"/>
          <c:showCatName val="0"/>
          <c:showSerName val="0"/>
          <c:showPercent val="0"/>
          <c:showBubbleSize val="0"/>
        </c:dLbls>
        <c:smooth val="0"/>
        <c:axId val="-1174352720"/>
        <c:axId val="-1125905392"/>
      </c:lineChart>
      <c:catAx>
        <c:axId val="-1174352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25905392"/>
        <c:crosses val="autoZero"/>
        <c:auto val="1"/>
        <c:lblAlgn val="ctr"/>
        <c:lblOffset val="100"/>
        <c:tickLblSkip val="1"/>
        <c:tickMarkSkip val="1"/>
        <c:noMultiLvlLbl val="0"/>
      </c:catAx>
      <c:valAx>
        <c:axId val="-1125905392"/>
        <c:scaling>
          <c:orientation val="minMax"/>
          <c:min val="0"/>
        </c:scaling>
        <c:delete val="0"/>
        <c:axPos val="l"/>
        <c:majorGridlines>
          <c:spPr>
            <a:ln w="3175">
              <a:solidFill>
                <a:schemeClr val="bg1">
                  <a:lumMod val="65000"/>
                </a:schemeClr>
              </a:solidFill>
              <a:prstDash val="sysDash"/>
            </a:ln>
          </c:spPr>
        </c:majorGridlines>
        <c:numFmt formatCode="###\ ###\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7435272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[11]Grants!$B$51</c:f>
              <c:strCache>
                <c:ptCount val="1"/>
                <c:pt idx="0">
                  <c:v>War veterans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[11]Grants!$C$50:$J$50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[11]Grants!$C$51:$J$51</c:f>
              <c:numCache>
                <c:formatCode>General</c:formatCode>
                <c:ptCount val="8"/>
                <c:pt idx="0">
                  <c:v>9197</c:v>
                </c:pt>
                <c:pt idx="1">
                  <c:v>7554</c:v>
                </c:pt>
                <c:pt idx="2">
                  <c:v>6175</c:v>
                </c:pt>
                <c:pt idx="3">
                  <c:v>5266</c:v>
                </c:pt>
                <c:pt idx="4">
                  <c:v>4594</c:v>
                </c:pt>
                <c:pt idx="5">
                  <c:v>3961</c:v>
                </c:pt>
                <c:pt idx="6">
                  <c:v>3340</c:v>
                </c:pt>
                <c:pt idx="7">
                  <c:v>2795</c:v>
                </c:pt>
              </c:numCache>
            </c:numRef>
          </c:val>
          <c:smooth val="0"/>
          <c:extLst>
            <c:ext xmlns:c16="http://schemas.microsoft.com/office/drawing/2014/chart" uri="{C3380CC4-5D6E-409C-BE32-E72D297353CC}">
              <c16:uniqueId val="{00000000-DE97-43AC-8DA2-BB709FF8D0F7}"/>
            </c:ext>
          </c:extLst>
        </c:ser>
        <c:ser>
          <c:idx val="0"/>
          <c:order val="1"/>
          <c:tx>
            <c:strRef>
              <c:f>[11]Grants!$B$52</c:f>
              <c:strCache>
                <c:ptCount val="1"/>
                <c:pt idx="0">
                  <c:v>Disability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[11]Grants!$C$50:$J$50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[11]Grants!$C$52:$J$52</c:f>
              <c:numCache>
                <c:formatCode>General</c:formatCode>
                <c:ptCount val="8"/>
                <c:pt idx="0">
                  <c:v>633778</c:v>
                </c:pt>
                <c:pt idx="1">
                  <c:v>612614</c:v>
                </c:pt>
                <c:pt idx="2">
                  <c:v>641459</c:v>
                </c:pt>
                <c:pt idx="3">
                  <c:v>732928</c:v>
                </c:pt>
                <c:pt idx="4">
                  <c:v>953965</c:v>
                </c:pt>
                <c:pt idx="5">
                  <c:v>1270964</c:v>
                </c:pt>
                <c:pt idx="6">
                  <c:v>1307459</c:v>
                </c:pt>
                <c:pt idx="7">
                  <c:v>1332547</c:v>
                </c:pt>
              </c:numCache>
            </c:numRef>
          </c:val>
          <c:smooth val="0"/>
          <c:extLst>
            <c:ext xmlns:c16="http://schemas.microsoft.com/office/drawing/2014/chart" uri="{C3380CC4-5D6E-409C-BE32-E72D297353CC}">
              <c16:uniqueId val="{00000001-DE97-43AC-8DA2-BB709FF8D0F7}"/>
            </c:ext>
          </c:extLst>
        </c:ser>
        <c:ser>
          <c:idx val="5"/>
          <c:order val="2"/>
          <c:tx>
            <c:strRef>
              <c:f>[11]Grants!$B$53</c:f>
              <c:strCache>
                <c:ptCount val="1"/>
                <c:pt idx="0">
                  <c:v>Grant in aid</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[11]Grants!$C$50:$J$50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[11]Grants!$C$53:$J$53</c:f>
              <c:numCache>
                <c:formatCode>General</c:formatCode>
                <c:ptCount val="8"/>
                <c:pt idx="0">
                  <c:v>8496</c:v>
                </c:pt>
                <c:pt idx="1">
                  <c:v>8748</c:v>
                </c:pt>
                <c:pt idx="2">
                  <c:v>8529</c:v>
                </c:pt>
                <c:pt idx="3">
                  <c:v>10435</c:v>
                </c:pt>
                <c:pt idx="4">
                  <c:v>12787</c:v>
                </c:pt>
                <c:pt idx="5">
                  <c:v>18170</c:v>
                </c:pt>
                <c:pt idx="6">
                  <c:v>23131</c:v>
                </c:pt>
                <c:pt idx="7">
                  <c:v>27252</c:v>
                </c:pt>
              </c:numCache>
            </c:numRef>
          </c:val>
          <c:smooth val="0"/>
          <c:extLst>
            <c:ext xmlns:c16="http://schemas.microsoft.com/office/drawing/2014/chart" uri="{C3380CC4-5D6E-409C-BE32-E72D297353CC}">
              <c16:uniqueId val="{00000002-DE97-43AC-8DA2-BB709FF8D0F7}"/>
            </c:ext>
          </c:extLst>
        </c:ser>
        <c:ser>
          <c:idx val="6"/>
          <c:order val="3"/>
          <c:tx>
            <c:strRef>
              <c:f>[11]Grants!$B$54</c:f>
              <c:strCache>
                <c:ptCount val="1"/>
                <c:pt idx="0">
                  <c:v>Foster care</c:v>
                </c:pt>
              </c:strCache>
            </c:strRef>
          </c:tx>
          <c:spPr>
            <a:ln w="12700">
              <a:solidFill>
                <a:srgbClr val="008080"/>
              </a:solidFill>
              <a:prstDash val="solid"/>
            </a:ln>
          </c:spPr>
          <c:marker>
            <c:symbol val="plus"/>
            <c:size val="5"/>
            <c:spPr>
              <a:noFill/>
              <a:ln>
                <a:solidFill>
                  <a:srgbClr val="008080"/>
                </a:solidFill>
                <a:prstDash val="solid"/>
              </a:ln>
            </c:spPr>
          </c:marker>
          <c:cat>
            <c:numRef>
              <c:f>[11]Grants!$C$50:$J$50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[11]Grants!$C$54:$J$54</c:f>
              <c:numCache>
                <c:formatCode>General</c:formatCode>
                <c:ptCount val="8"/>
                <c:pt idx="0">
                  <c:v>71901</c:v>
                </c:pt>
                <c:pt idx="1">
                  <c:v>79937</c:v>
                </c:pt>
                <c:pt idx="2">
                  <c:v>85315</c:v>
                </c:pt>
                <c:pt idx="3">
                  <c:v>108207</c:v>
                </c:pt>
                <c:pt idx="4">
                  <c:v>138763</c:v>
                </c:pt>
                <c:pt idx="5">
                  <c:v>200340</c:v>
                </c:pt>
                <c:pt idx="6">
                  <c:v>256325</c:v>
                </c:pt>
                <c:pt idx="7">
                  <c:v>209093</c:v>
                </c:pt>
              </c:numCache>
            </c:numRef>
          </c:val>
          <c:smooth val="0"/>
          <c:extLst>
            <c:ext xmlns:c16="http://schemas.microsoft.com/office/drawing/2014/chart" uri="{C3380CC4-5D6E-409C-BE32-E72D297353CC}">
              <c16:uniqueId val="{00000003-DE97-43AC-8DA2-BB709FF8D0F7}"/>
            </c:ext>
          </c:extLst>
        </c:ser>
        <c:dLbls>
          <c:showLegendKey val="0"/>
          <c:showVal val="0"/>
          <c:showCatName val="0"/>
          <c:showSerName val="0"/>
          <c:showPercent val="0"/>
          <c:showBubbleSize val="0"/>
        </c:dLbls>
        <c:marker val="1"/>
        <c:smooth val="0"/>
        <c:axId val="273150208"/>
        <c:axId val="232533144"/>
      </c:lineChart>
      <c:lineChart>
        <c:grouping val="standard"/>
        <c:varyColors val="0"/>
        <c:ser>
          <c:idx val="2"/>
          <c:order val="4"/>
          <c:tx>
            <c:strRef>
              <c:f>[11]Grants!$B$55</c:f>
              <c:strCache>
                <c:ptCount val="1"/>
                <c:pt idx="0">
                  <c:v>Care dependency</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[11]Grants!$C$50:$J$50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[11]Grants!$C$55:$J$55</c:f>
              <c:numCache>
                <c:formatCode>General</c:formatCode>
                <c:ptCount val="8"/>
                <c:pt idx="0">
                  <c:v>16835</c:v>
                </c:pt>
                <c:pt idx="1">
                  <c:v>24438</c:v>
                </c:pt>
                <c:pt idx="2">
                  <c:v>33545</c:v>
                </c:pt>
                <c:pt idx="3">
                  <c:v>43325</c:v>
                </c:pt>
                <c:pt idx="4">
                  <c:v>58140</c:v>
                </c:pt>
                <c:pt idx="5">
                  <c:v>77934</c:v>
                </c:pt>
                <c:pt idx="6">
                  <c:v>85818</c:v>
                </c:pt>
                <c:pt idx="7">
                  <c:v>88997</c:v>
                </c:pt>
              </c:numCache>
            </c:numRef>
          </c:val>
          <c:smooth val="0"/>
          <c:extLst>
            <c:ext xmlns:c16="http://schemas.microsoft.com/office/drawing/2014/chart" uri="{C3380CC4-5D6E-409C-BE32-E72D297353CC}">
              <c16:uniqueId val="{00000004-DE97-43AC-8DA2-BB709FF8D0F7}"/>
            </c:ext>
          </c:extLst>
        </c:ser>
        <c:ser>
          <c:idx val="3"/>
          <c:order val="5"/>
          <c:tx>
            <c:strRef>
              <c:f>[11]Grants!$B$56</c:f>
              <c:strCache>
                <c:ptCount val="1"/>
                <c:pt idx="0">
                  <c:v>Child Support</c:v>
                </c:pt>
              </c:strCache>
            </c:strRef>
          </c:tx>
          <c:spPr>
            <a:ln w="12700">
              <a:solidFill>
                <a:srgbClr val="00FFFF"/>
              </a:solidFill>
              <a:prstDash val="solid"/>
            </a:ln>
          </c:spPr>
          <c:marker>
            <c:symbol val="x"/>
            <c:size val="5"/>
            <c:spPr>
              <a:noFill/>
              <a:ln>
                <a:solidFill>
                  <a:srgbClr val="00FFFF"/>
                </a:solidFill>
                <a:prstDash val="solid"/>
              </a:ln>
            </c:spPr>
          </c:marker>
          <c:cat>
            <c:numRef>
              <c:f>[11]Grants!$C$50:$J$50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[11]Grants!$C$56:$J$56</c:f>
              <c:numCache>
                <c:formatCode>General</c:formatCode>
                <c:ptCount val="8"/>
                <c:pt idx="0">
                  <c:v>34471</c:v>
                </c:pt>
                <c:pt idx="1">
                  <c:v>352617</c:v>
                </c:pt>
                <c:pt idx="2">
                  <c:v>1102957</c:v>
                </c:pt>
                <c:pt idx="3">
                  <c:v>1751563</c:v>
                </c:pt>
                <c:pt idx="4">
                  <c:v>2630826</c:v>
                </c:pt>
                <c:pt idx="5">
                  <c:v>4309772</c:v>
                </c:pt>
                <c:pt idx="6">
                  <c:v>5633647</c:v>
                </c:pt>
                <c:pt idx="7">
                  <c:v>7170564</c:v>
                </c:pt>
              </c:numCache>
            </c:numRef>
          </c:val>
          <c:smooth val="0"/>
          <c:extLst>
            <c:ext xmlns:c16="http://schemas.microsoft.com/office/drawing/2014/chart" uri="{C3380CC4-5D6E-409C-BE32-E72D297353CC}">
              <c16:uniqueId val="{00000005-DE97-43AC-8DA2-BB709FF8D0F7}"/>
            </c:ext>
          </c:extLst>
        </c:ser>
        <c:ser>
          <c:idx val="4"/>
          <c:order val="6"/>
          <c:tx>
            <c:strRef>
              <c:f>[11]Grants!$B$57</c:f>
              <c:strCache>
                <c:ptCount val="1"/>
                <c:pt idx="0">
                  <c:v>Total beneficiaries</c:v>
                </c:pt>
              </c:strCache>
            </c:strRef>
          </c:tx>
          <c:spPr>
            <a:ln w="12700">
              <a:solidFill>
                <a:srgbClr val="800080"/>
              </a:solidFill>
              <a:prstDash val="solid"/>
            </a:ln>
          </c:spPr>
          <c:marker>
            <c:symbol val="star"/>
            <c:size val="5"/>
            <c:spPr>
              <a:noFill/>
              <a:ln>
                <a:solidFill>
                  <a:srgbClr val="800080"/>
                </a:solidFill>
                <a:prstDash val="solid"/>
              </a:ln>
            </c:spPr>
          </c:marker>
          <c:cat>
            <c:numRef>
              <c:f>[11]Grants!$C$50:$J$50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[11]Grants!$C$57:$J$57</c:f>
              <c:numCache>
                <c:formatCode>General</c:formatCode>
                <c:ptCount val="8"/>
                <c:pt idx="0">
                  <c:v>2587373</c:v>
                </c:pt>
                <c:pt idx="1">
                  <c:v>2946618</c:v>
                </c:pt>
                <c:pt idx="2">
                  <c:v>3774912</c:v>
                </c:pt>
                <c:pt idx="3">
                  <c:v>4598037</c:v>
                </c:pt>
                <c:pt idx="4">
                  <c:v>5808494</c:v>
                </c:pt>
                <c:pt idx="5">
                  <c:v>7941562</c:v>
                </c:pt>
                <c:pt idx="6">
                  <c:v>9402795</c:v>
                </c:pt>
                <c:pt idx="7">
                  <c:v>10980654</c:v>
                </c:pt>
              </c:numCache>
            </c:numRef>
          </c:val>
          <c:smooth val="0"/>
          <c:extLst>
            <c:ext xmlns:c16="http://schemas.microsoft.com/office/drawing/2014/chart" uri="{C3380CC4-5D6E-409C-BE32-E72D297353CC}">
              <c16:uniqueId val="{00000006-DE97-43AC-8DA2-BB709FF8D0F7}"/>
            </c:ext>
          </c:extLst>
        </c:ser>
        <c:dLbls>
          <c:showLegendKey val="0"/>
          <c:showVal val="0"/>
          <c:showCatName val="0"/>
          <c:showSerName val="0"/>
          <c:showPercent val="0"/>
          <c:showBubbleSize val="0"/>
        </c:dLbls>
        <c:marker val="1"/>
        <c:smooth val="0"/>
        <c:axId val="232531184"/>
        <c:axId val="232532752"/>
      </c:lineChart>
      <c:catAx>
        <c:axId val="2731502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2533144"/>
        <c:crosses val="autoZero"/>
        <c:auto val="0"/>
        <c:lblAlgn val="ctr"/>
        <c:lblOffset val="100"/>
        <c:tickLblSkip val="1"/>
        <c:tickMarkSkip val="1"/>
        <c:noMultiLvlLbl val="0"/>
      </c:catAx>
      <c:valAx>
        <c:axId val="23253314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73150208"/>
        <c:crosses val="autoZero"/>
        <c:crossBetween val="between"/>
      </c:valAx>
      <c:catAx>
        <c:axId val="232531184"/>
        <c:scaling>
          <c:orientation val="minMax"/>
        </c:scaling>
        <c:delete val="1"/>
        <c:axPos val="b"/>
        <c:numFmt formatCode="General" sourceLinked="1"/>
        <c:majorTickMark val="out"/>
        <c:minorTickMark val="none"/>
        <c:tickLblPos val="nextTo"/>
        <c:crossAx val="232532752"/>
        <c:crosses val="autoZero"/>
        <c:auto val="0"/>
        <c:lblAlgn val="ctr"/>
        <c:lblOffset val="100"/>
        <c:noMultiLvlLbl val="0"/>
      </c:catAx>
      <c:valAx>
        <c:axId val="232532752"/>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32531184"/>
        <c:crosses val="max"/>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22" r="0.75000000000000522"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'Social Grants'!$K$49</c:f>
              <c:strCache>
                <c:ptCount val="1"/>
                <c:pt idx="0">
                  <c:v>Expenditure (R million)</c:v>
                </c:pt>
              </c:strCache>
            </c:strRef>
          </c:tx>
          <c:spPr>
            <a:solidFill>
              <a:schemeClr val="accent2"/>
            </a:solidFill>
            <a:ln>
              <a:noFill/>
            </a:ln>
            <a:effectLst/>
          </c:spPr>
          <c:invertIfNegative val="0"/>
          <c:cat>
            <c:strRef>
              <c:extLst>
                <c:ext xmlns:c15="http://schemas.microsoft.com/office/drawing/2012/chart" uri="{02D57815-91ED-43cb-92C2-25804820EDAC}">
                  <c15:fullRef>
                    <c15:sqref>'Social Grants'!$L$48:$AD$48</c15:sqref>
                  </c15:fullRef>
                </c:ext>
              </c:extLst>
              <c:f>('Social Grants'!$L$48,'Social Grants'!$R$48:$AD$48)</c:f>
              <c:strCache>
                <c:ptCount val="13"/>
                <c:pt idx="0">
                  <c:v>2009/10</c:v>
                </c:pt>
                <c:pt idx="1">
                  <c:v>2010/11</c:v>
                </c:pt>
                <c:pt idx="2">
                  <c:v>2011/12</c:v>
                </c:pt>
                <c:pt idx="3">
                  <c:v>2012/13</c:v>
                </c:pt>
                <c:pt idx="4">
                  <c:v>
2013/14 </c:v>
                </c:pt>
                <c:pt idx="5">
                  <c:v>
2014/15</c:v>
                </c:pt>
                <c:pt idx="6">
                  <c:v>
2015/16</c:v>
                </c:pt>
                <c:pt idx="7">
                  <c:v>2016/17</c:v>
                </c:pt>
                <c:pt idx="8">
                  <c:v>2017/18</c:v>
                </c:pt>
                <c:pt idx="9">
                  <c:v>2018/19</c:v>
                </c:pt>
                <c:pt idx="10">
                  <c:v>2019/20</c:v>
                </c:pt>
                <c:pt idx="11">
                  <c:v>2020/21</c:v>
                </c:pt>
                <c:pt idx="12">
                  <c:v>2021/22</c:v>
                </c:pt>
              </c:strCache>
            </c:strRef>
          </c:cat>
          <c:val>
            <c:numRef>
              <c:extLst>
                <c:ext xmlns:c15="http://schemas.microsoft.com/office/drawing/2012/chart" uri="{02D57815-91ED-43cb-92C2-25804820EDAC}">
                  <c15:fullRef>
                    <c15:sqref>'Social Grants'!$L$49:$AD$49</c15:sqref>
                  </c15:fullRef>
                </c:ext>
              </c:extLst>
              <c:f>('Social Grants'!$L$49,'Social Grants'!$R$49:$AD$49)</c:f>
              <c:numCache>
                <c:formatCode>#,##0</c:formatCode>
                <c:ptCount val="13"/>
                <c:pt idx="0">
                  <c:v>80080</c:v>
                </c:pt>
                <c:pt idx="1">
                  <c:v>87493</c:v>
                </c:pt>
                <c:pt idx="2">
                  <c:v>95973</c:v>
                </c:pt>
                <c:pt idx="3">
                  <c:v>103899</c:v>
                </c:pt>
                <c:pt idx="4">
                  <c:v>109597</c:v>
                </c:pt>
                <c:pt idx="5">
                  <c:v>120702</c:v>
                </c:pt>
                <c:pt idx="6">
                  <c:v>128868</c:v>
                </c:pt>
                <c:pt idx="7">
                  <c:v>164936</c:v>
                </c:pt>
                <c:pt idx="8">
                  <c:v>178330</c:v>
                </c:pt>
                <c:pt idx="9">
                  <c:v>162642</c:v>
                </c:pt>
                <c:pt idx="10">
                  <c:v>190289.38054653999</c:v>
                </c:pt>
                <c:pt idx="11">
                  <c:v>199189.14634820999</c:v>
                </c:pt>
                <c:pt idx="12">
                  <c:v>222178</c:v>
                </c:pt>
              </c:numCache>
            </c:numRef>
          </c:val>
          <c:extLst>
            <c:ext xmlns:c16="http://schemas.microsoft.com/office/drawing/2014/chart" uri="{C3380CC4-5D6E-409C-BE32-E72D297353CC}">
              <c16:uniqueId val="{00000000-CE91-43BE-9618-48CA61D6DA69}"/>
            </c:ext>
          </c:extLst>
        </c:ser>
        <c:dLbls>
          <c:showLegendKey val="0"/>
          <c:showVal val="0"/>
          <c:showCatName val="0"/>
          <c:showSerName val="0"/>
          <c:showPercent val="0"/>
          <c:showBubbleSize val="0"/>
        </c:dLbls>
        <c:gapWidth val="219"/>
        <c:overlap val="-27"/>
        <c:axId val="232533928"/>
        <c:axId val="232534712"/>
      </c:barChart>
      <c:lineChart>
        <c:grouping val="standard"/>
        <c:varyColors val="0"/>
        <c:ser>
          <c:idx val="1"/>
          <c:order val="1"/>
          <c:tx>
            <c:strRef>
              <c:f>'Social Grants'!$K$50</c:f>
              <c:strCache>
                <c:ptCount val="1"/>
                <c:pt idx="0">
                  <c:v>% of GDP</c:v>
                </c:pt>
              </c:strCache>
            </c:strRef>
          </c:tx>
          <c:spPr>
            <a:ln w="28575" cap="rnd">
              <a:solidFill>
                <a:schemeClr val="accent4">
                  <a:lumMod val="50000"/>
                </a:schemeClr>
              </a:solidFill>
              <a:round/>
            </a:ln>
            <a:effectLst/>
          </c:spPr>
          <c:marker>
            <c:symbol val="none"/>
          </c:marker>
          <c:cat>
            <c:strRef>
              <c:extLst>
                <c:ext xmlns:c15="http://schemas.microsoft.com/office/drawing/2012/chart" uri="{02D57815-91ED-43cb-92C2-25804820EDAC}">
                  <c15:fullRef>
                    <c15:sqref>'Social Grants'!$L$48:$AD$48</c15:sqref>
                  </c15:fullRef>
                </c:ext>
              </c:extLst>
              <c:f>('Social Grants'!$L$48,'Social Grants'!$R$48:$AD$48)</c:f>
              <c:strCache>
                <c:ptCount val="13"/>
                <c:pt idx="0">
                  <c:v>2009/10</c:v>
                </c:pt>
                <c:pt idx="1">
                  <c:v>2010/11</c:v>
                </c:pt>
                <c:pt idx="2">
                  <c:v>2011/12</c:v>
                </c:pt>
                <c:pt idx="3">
                  <c:v>2012/13</c:v>
                </c:pt>
                <c:pt idx="4">
                  <c:v>
2013/14 </c:v>
                </c:pt>
                <c:pt idx="5">
                  <c:v>
2014/15</c:v>
                </c:pt>
                <c:pt idx="6">
                  <c:v>
2015/16</c:v>
                </c:pt>
                <c:pt idx="7">
                  <c:v>2016/17</c:v>
                </c:pt>
                <c:pt idx="8">
                  <c:v>2017/18</c:v>
                </c:pt>
                <c:pt idx="9">
                  <c:v>2018/19</c:v>
                </c:pt>
                <c:pt idx="10">
                  <c:v>2019/20</c:v>
                </c:pt>
                <c:pt idx="11">
                  <c:v>2020/21</c:v>
                </c:pt>
                <c:pt idx="12">
                  <c:v>2021/22</c:v>
                </c:pt>
              </c:strCache>
            </c:strRef>
          </c:cat>
          <c:val>
            <c:numRef>
              <c:extLst>
                <c:ext xmlns:c15="http://schemas.microsoft.com/office/drawing/2012/chart" uri="{02D57815-91ED-43cb-92C2-25804820EDAC}">
                  <c15:fullRef>
                    <c15:sqref>'Social Grants'!$L$50:$AD$50</c15:sqref>
                  </c15:fullRef>
                </c:ext>
              </c:extLst>
              <c:f>('Social Grants'!$L$50,'Social Grants'!$R$50:$AD$50)</c:f>
              <c:numCache>
                <c:formatCode>0.0%</c:formatCode>
                <c:ptCount val="13"/>
                <c:pt idx="0">
                  <c:v>3.5000000000000003E-2</c:v>
                </c:pt>
                <c:pt idx="1">
                  <c:v>3.4000000000000002E-2</c:v>
                </c:pt>
                <c:pt idx="2">
                  <c:v>3.1E-2</c:v>
                </c:pt>
                <c:pt idx="3">
                  <c:v>3.1E-2</c:v>
                </c:pt>
                <c:pt idx="4">
                  <c:v>0.03</c:v>
                </c:pt>
                <c:pt idx="5">
                  <c:v>3.1E-2</c:v>
                </c:pt>
                <c:pt idx="6">
                  <c:v>3.2000000000000001E-2</c:v>
                </c:pt>
                <c:pt idx="7">
                  <c:v>3.1E-2</c:v>
                </c:pt>
                <c:pt idx="8">
                  <c:v>3.2000000000000001E-2</c:v>
                </c:pt>
                <c:pt idx="9">
                  <c:v>3.2000000000000001E-2</c:v>
                </c:pt>
                <c:pt idx="10">
                  <c:v>3.5999999999999997E-2</c:v>
                </c:pt>
                <c:pt idx="11">
                  <c:v>3.9E-2</c:v>
                </c:pt>
                <c:pt idx="12">
                  <c:v>3.5999999999999997E-2</c:v>
                </c:pt>
              </c:numCache>
            </c:numRef>
          </c:val>
          <c:smooth val="0"/>
          <c:extLst>
            <c:ext xmlns:c16="http://schemas.microsoft.com/office/drawing/2014/chart" uri="{C3380CC4-5D6E-409C-BE32-E72D297353CC}">
              <c16:uniqueId val="{00000001-CE91-43BE-9618-48CA61D6DA69}"/>
            </c:ext>
          </c:extLst>
        </c:ser>
        <c:dLbls>
          <c:showLegendKey val="0"/>
          <c:showVal val="0"/>
          <c:showCatName val="0"/>
          <c:showSerName val="0"/>
          <c:showPercent val="0"/>
          <c:showBubbleSize val="0"/>
        </c:dLbls>
        <c:marker val="1"/>
        <c:smooth val="0"/>
        <c:axId val="232531968"/>
        <c:axId val="232534320"/>
      </c:lineChart>
      <c:catAx>
        <c:axId val="232533928"/>
        <c:scaling>
          <c:orientation val="minMax"/>
        </c:scaling>
        <c:delete val="0"/>
        <c:axPos val="b"/>
        <c:numFmt formatCode="General" sourceLinked="1"/>
        <c:majorTickMark val="none"/>
        <c:minorTickMark val="none"/>
        <c:tickLblPos val="nextTo"/>
        <c:spPr>
          <a:noFill/>
          <a:ln w="12700" cap="flat" cmpd="sng" algn="ctr">
            <a:solidFill>
              <a:schemeClr val="accent4">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534712"/>
        <c:crosses val="autoZero"/>
        <c:auto val="1"/>
        <c:lblAlgn val="ctr"/>
        <c:lblOffset val="100"/>
        <c:noMultiLvlLbl val="0"/>
      </c:catAx>
      <c:valAx>
        <c:axId val="232534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r>
                  <a:rPr lang="en-US" baseline="0"/>
                  <a:t> (R million)</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12700">
            <a:solidFill>
              <a:schemeClr val="accent4">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533928"/>
        <c:crosses val="autoZero"/>
        <c:crossBetween val="between"/>
      </c:valAx>
      <c:valAx>
        <c:axId val="23253432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r>
                  <a:rPr lang="en-US" baseline="0"/>
                  <a:t> of GDP</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w="12700">
            <a:solidFill>
              <a:schemeClr val="accent4">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2531968"/>
        <c:crosses val="max"/>
        <c:crossBetween val="between"/>
      </c:valAx>
      <c:catAx>
        <c:axId val="232531968"/>
        <c:scaling>
          <c:orientation val="minMax"/>
        </c:scaling>
        <c:delete val="1"/>
        <c:axPos val="b"/>
        <c:numFmt formatCode="General" sourceLinked="1"/>
        <c:majorTickMark val="out"/>
        <c:minorTickMark val="none"/>
        <c:tickLblPos val="nextTo"/>
        <c:crossAx val="2325343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ZA"/>
              <a:t>LIFE EXPECTANCY AT</a:t>
            </a:r>
            <a:r>
              <a:rPr lang="en-ZA" baseline="0"/>
              <a:t> BIRTH</a:t>
            </a:r>
            <a:endParaRPr lang="en-ZA"/>
          </a:p>
        </c:rich>
      </c:tx>
      <c:layout>
        <c:manualLayout>
          <c:xMode val="edge"/>
          <c:yMode val="edge"/>
          <c:x val="7.8320097447627135E-2"/>
          <c:y val="1.6611295681063183E-2"/>
        </c:manualLayout>
      </c:layout>
      <c:overlay val="0"/>
      <c:spPr>
        <a:noFill/>
        <a:ln w="25400">
          <a:noFill/>
        </a:ln>
      </c:spPr>
    </c:title>
    <c:autoTitleDeleted val="0"/>
    <c:plotArea>
      <c:layout>
        <c:manualLayout>
          <c:layoutTarget val="inner"/>
          <c:xMode val="edge"/>
          <c:yMode val="edge"/>
          <c:x val="9.0296674931493112E-2"/>
          <c:y val="0.11979554132350502"/>
          <c:w val="0.8898978433598258"/>
          <c:h val="0.70232945234322686"/>
        </c:manualLayout>
      </c:layout>
      <c:lineChart>
        <c:grouping val="standard"/>
        <c:varyColors val="0"/>
        <c:ser>
          <c:idx val="0"/>
          <c:order val="0"/>
          <c:tx>
            <c:strRef>
              <c:f>'Life Expectancy '!$D$9</c:f>
              <c:strCache>
                <c:ptCount val="1"/>
                <c:pt idx="0">
                  <c:v>LE male  StatsSA</c:v>
                </c:pt>
              </c:strCache>
            </c:strRef>
          </c:tx>
          <c:spPr>
            <a:ln w="25400">
              <a:solidFill>
                <a:srgbClr val="FF6600"/>
              </a:solidFill>
              <a:prstDash val="solid"/>
            </a:ln>
          </c:spPr>
          <c:marker>
            <c:symbol val="none"/>
          </c:marker>
          <c:cat>
            <c:numRef>
              <c:extLst>
                <c:ext xmlns:c15="http://schemas.microsoft.com/office/drawing/2012/chart" uri="{02D57815-91ED-43cb-92C2-25804820EDAC}">
                  <c15:fullRef>
                    <c15:sqref>'Life Expectancy '!$E$8:$Y$8</c15:sqref>
                  </c15:fullRef>
                </c:ext>
              </c:extLst>
              <c:f>'Life Expectancy '!$L$8:$Y$8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extLst>
                <c:ext xmlns:c15="http://schemas.microsoft.com/office/drawing/2012/chart" uri="{02D57815-91ED-43cb-92C2-25804820EDAC}">
                  <c15:fullRef>
                    <c15:sqref>'Life Expectancy '!$E$9:$Y$9</c15:sqref>
                  </c15:fullRef>
                </c:ext>
              </c:extLst>
              <c:f>'Life Expectancy '!$L$9:$Y$9</c:f>
              <c:numCache>
                <c:formatCode>0.0</c:formatCode>
                <c:ptCount val="14"/>
                <c:pt idx="0">
                  <c:v>54.4</c:v>
                </c:pt>
                <c:pt idx="1">
                  <c:v>55.7</c:v>
                </c:pt>
                <c:pt idx="2">
                  <c:v>57.4</c:v>
                </c:pt>
                <c:pt idx="3">
                  <c:v>58.4</c:v>
                </c:pt>
                <c:pt idx="4">
                  <c:v>59</c:v>
                </c:pt>
                <c:pt idx="5">
                  <c:v>59.8</c:v>
                </c:pt>
                <c:pt idx="6">
                  <c:v>60.2</c:v>
                </c:pt>
                <c:pt idx="7">
                  <c:v>60.9</c:v>
                </c:pt>
                <c:pt idx="8">
                  <c:v>61.6</c:v>
                </c:pt>
                <c:pt idx="9">
                  <c:v>61.8</c:v>
                </c:pt>
                <c:pt idx="10">
                  <c:v>62.1</c:v>
                </c:pt>
                <c:pt idx="11">
                  <c:v>62.4</c:v>
                </c:pt>
                <c:pt idx="12">
                  <c:v>59.3</c:v>
                </c:pt>
                <c:pt idx="13">
                  <c:v>60</c:v>
                </c:pt>
              </c:numCache>
            </c:numRef>
          </c:val>
          <c:smooth val="0"/>
          <c:extLst>
            <c:ext xmlns:c16="http://schemas.microsoft.com/office/drawing/2014/chart" uri="{C3380CC4-5D6E-409C-BE32-E72D297353CC}">
              <c16:uniqueId val="{00000000-59EA-4F8D-8191-A5BF79A3D142}"/>
            </c:ext>
          </c:extLst>
        </c:ser>
        <c:ser>
          <c:idx val="1"/>
          <c:order val="1"/>
          <c:tx>
            <c:strRef>
              <c:f>'Life Expectancy '!$D$10</c:f>
              <c:strCache>
                <c:ptCount val="1"/>
                <c:pt idx="0">
                  <c:v>LE female  StatsSA</c:v>
                </c:pt>
              </c:strCache>
            </c:strRef>
          </c:tx>
          <c:spPr>
            <a:ln w="25400">
              <a:solidFill>
                <a:srgbClr val="BE4B48"/>
              </a:solidFill>
              <a:prstDash val="solid"/>
            </a:ln>
          </c:spPr>
          <c:marker>
            <c:symbol val="none"/>
          </c:marker>
          <c:cat>
            <c:numRef>
              <c:extLst>
                <c:ext xmlns:c15="http://schemas.microsoft.com/office/drawing/2012/chart" uri="{02D57815-91ED-43cb-92C2-25804820EDAC}">
                  <c15:fullRef>
                    <c15:sqref>'Life Expectancy '!$E$8:$Y$8</c15:sqref>
                  </c15:fullRef>
                </c:ext>
              </c:extLst>
              <c:f>'Life Expectancy '!$L$8:$Y$8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extLst>
                <c:ext xmlns:c15="http://schemas.microsoft.com/office/drawing/2012/chart" uri="{02D57815-91ED-43cb-92C2-25804820EDAC}">
                  <c15:fullRef>
                    <c15:sqref>'Life Expectancy '!$E$10:$Y$10</c15:sqref>
                  </c15:fullRef>
                </c:ext>
              </c:extLst>
              <c:f>'Life Expectancy '!$L$10:$Y$10</c:f>
              <c:numCache>
                <c:formatCode>0.0</c:formatCode>
                <c:ptCount val="14"/>
                <c:pt idx="0">
                  <c:v>59.5</c:v>
                </c:pt>
                <c:pt idx="1">
                  <c:v>61</c:v>
                </c:pt>
                <c:pt idx="2">
                  <c:v>62.8</c:v>
                </c:pt>
                <c:pt idx="3">
                  <c:v>63.8</c:v>
                </c:pt>
                <c:pt idx="4">
                  <c:v>64.599999999999994</c:v>
                </c:pt>
                <c:pt idx="5">
                  <c:v>65.7</c:v>
                </c:pt>
                <c:pt idx="6">
                  <c:v>65.8</c:v>
                </c:pt>
                <c:pt idx="7">
                  <c:v>66.5</c:v>
                </c:pt>
                <c:pt idx="8">
                  <c:v>66.8</c:v>
                </c:pt>
                <c:pt idx="9">
                  <c:v>67.400000000000006</c:v>
                </c:pt>
                <c:pt idx="10">
                  <c:v>67.8</c:v>
                </c:pt>
                <c:pt idx="11">
                  <c:v>68.400000000000006</c:v>
                </c:pt>
                <c:pt idx="12">
                  <c:v>64.599999999999994</c:v>
                </c:pt>
                <c:pt idx="13">
                  <c:v>65.599999999999994</c:v>
                </c:pt>
              </c:numCache>
            </c:numRef>
          </c:val>
          <c:smooth val="0"/>
          <c:extLst>
            <c:ext xmlns:c16="http://schemas.microsoft.com/office/drawing/2014/chart" uri="{C3380CC4-5D6E-409C-BE32-E72D297353CC}">
              <c16:uniqueId val="{00000001-59EA-4F8D-8191-A5BF79A3D142}"/>
            </c:ext>
          </c:extLst>
        </c:ser>
        <c:ser>
          <c:idx val="2"/>
          <c:order val="2"/>
          <c:tx>
            <c:strRef>
              <c:f>'Life Expectancy '!$D$11</c:f>
              <c:strCache>
                <c:ptCount val="1"/>
                <c:pt idx="0">
                  <c:v>LE combined  StatsSA</c:v>
                </c:pt>
              </c:strCache>
            </c:strRef>
          </c:tx>
          <c:spPr>
            <a:ln w="25400">
              <a:solidFill>
                <a:srgbClr val="FFC600"/>
              </a:solidFill>
              <a:prstDash val="solid"/>
            </a:ln>
          </c:spPr>
          <c:marker>
            <c:symbol val="none"/>
          </c:marker>
          <c:cat>
            <c:numRef>
              <c:extLst>
                <c:ext xmlns:c15="http://schemas.microsoft.com/office/drawing/2012/chart" uri="{02D57815-91ED-43cb-92C2-25804820EDAC}">
                  <c15:fullRef>
                    <c15:sqref>'Life Expectancy '!$E$8:$Y$8</c15:sqref>
                  </c15:fullRef>
                </c:ext>
              </c:extLst>
              <c:f>'Life Expectancy '!$L$8:$Y$8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extLst>
                <c:ext xmlns:c15="http://schemas.microsoft.com/office/drawing/2012/chart" uri="{02D57815-91ED-43cb-92C2-25804820EDAC}">
                  <c15:fullRef>
                    <c15:sqref>'Life Expectancy '!$E$11:$Y$11</c15:sqref>
                  </c15:fullRef>
                </c:ext>
              </c:extLst>
              <c:f>'Life Expectancy '!$L$11:$Y$11</c:f>
              <c:numCache>
                <c:formatCode>0.0</c:formatCode>
                <c:ptCount val="14"/>
                <c:pt idx="0">
                  <c:v>57</c:v>
                </c:pt>
                <c:pt idx="1">
                  <c:v>58.4</c:v>
                </c:pt>
                <c:pt idx="2">
                  <c:v>60.2</c:v>
                </c:pt>
                <c:pt idx="3">
                  <c:v>61.1</c:v>
                </c:pt>
                <c:pt idx="4">
                  <c:v>61.9</c:v>
                </c:pt>
                <c:pt idx="5">
                  <c:v>62.8</c:v>
                </c:pt>
                <c:pt idx="6">
                  <c:v>63.1</c:v>
                </c:pt>
                <c:pt idx="7">
                  <c:v>63.8</c:v>
                </c:pt>
                <c:pt idx="8">
                  <c:v>64.2</c:v>
                </c:pt>
                <c:pt idx="9">
                  <c:v>64.7</c:v>
                </c:pt>
                <c:pt idx="10">
                  <c:v>65</c:v>
                </c:pt>
                <c:pt idx="11">
                  <c:v>65.5</c:v>
                </c:pt>
                <c:pt idx="12">
                  <c:v>62</c:v>
                </c:pt>
                <c:pt idx="13">
                  <c:v>62.8</c:v>
                </c:pt>
              </c:numCache>
            </c:numRef>
          </c:val>
          <c:smooth val="0"/>
          <c:extLst>
            <c:ext xmlns:c16="http://schemas.microsoft.com/office/drawing/2014/chart" uri="{C3380CC4-5D6E-409C-BE32-E72D297353CC}">
              <c16:uniqueId val="{00000002-59EA-4F8D-8191-A5BF79A3D142}"/>
            </c:ext>
          </c:extLst>
        </c:ser>
        <c:ser>
          <c:idx val="3"/>
          <c:order val="3"/>
          <c:tx>
            <c:strRef>
              <c:f>'Life Expectancy '!$D$12</c:f>
              <c:strCache>
                <c:ptCount val="1"/>
                <c:pt idx="0">
                  <c:v>LE male RMS</c:v>
                </c:pt>
              </c:strCache>
            </c:strRef>
          </c:tx>
          <c:marker>
            <c:symbol val="none"/>
          </c:marker>
          <c:cat>
            <c:numRef>
              <c:extLst>
                <c:ext xmlns:c15="http://schemas.microsoft.com/office/drawing/2012/chart" uri="{02D57815-91ED-43cb-92C2-25804820EDAC}">
                  <c15:fullRef>
                    <c15:sqref>'Life Expectancy '!$E$8:$Y$8</c15:sqref>
                  </c15:fullRef>
                </c:ext>
              </c:extLst>
              <c:f>'Life Expectancy '!$L$8:$Y$8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extLst>
                <c:ext xmlns:c15="http://schemas.microsoft.com/office/drawing/2012/chart" uri="{02D57815-91ED-43cb-92C2-25804820EDAC}">
                  <c15:fullRef>
                    <c15:sqref>'Life Expectancy '!$J$12:$V$12</c15:sqref>
                  </c15:fullRef>
                </c:ext>
              </c:extLst>
              <c:f>'Life Expectancy '!$Q$12:$V$12</c:f>
              <c:numCache>
                <c:formatCode>0.0</c:formatCode>
                <c:ptCount val="6"/>
                <c:pt idx="0">
                  <c:v>59.5</c:v>
                </c:pt>
                <c:pt idx="1">
                  <c:v>60.1</c:v>
                </c:pt>
                <c:pt idx="2">
                  <c:v>60.9</c:v>
                </c:pt>
                <c:pt idx="3">
                  <c:v>61.6</c:v>
                </c:pt>
                <c:pt idx="4">
                  <c:v>61.9</c:v>
                </c:pt>
              </c:numCache>
            </c:numRef>
          </c:val>
          <c:smooth val="0"/>
          <c:extLst>
            <c:ext xmlns:c16="http://schemas.microsoft.com/office/drawing/2014/chart" uri="{C3380CC4-5D6E-409C-BE32-E72D297353CC}">
              <c16:uniqueId val="{00000003-59EA-4F8D-8191-A5BF79A3D142}"/>
            </c:ext>
          </c:extLst>
        </c:ser>
        <c:ser>
          <c:idx val="4"/>
          <c:order val="4"/>
          <c:tx>
            <c:strRef>
              <c:f>'Life Expectancy '!$D$13</c:f>
              <c:strCache>
                <c:ptCount val="1"/>
                <c:pt idx="0">
                  <c:v>LE female RMS</c:v>
                </c:pt>
              </c:strCache>
            </c:strRef>
          </c:tx>
          <c:marker>
            <c:symbol val="none"/>
          </c:marker>
          <c:cat>
            <c:numRef>
              <c:extLst>
                <c:ext xmlns:c15="http://schemas.microsoft.com/office/drawing/2012/chart" uri="{02D57815-91ED-43cb-92C2-25804820EDAC}">
                  <c15:fullRef>
                    <c15:sqref>'Life Expectancy '!$E$8:$Y$8</c15:sqref>
                  </c15:fullRef>
                </c:ext>
              </c:extLst>
              <c:f>'Life Expectancy '!$L$8:$Y$8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extLst>
                <c:ext xmlns:c15="http://schemas.microsoft.com/office/drawing/2012/chart" uri="{02D57815-91ED-43cb-92C2-25804820EDAC}">
                  <c15:fullRef>
                    <c15:sqref>'Life Expectancy '!$E$13:$X$13</c15:sqref>
                  </c15:fullRef>
                </c:ext>
              </c:extLst>
              <c:f>'Life Expectancy '!$L$13:$X$13</c:f>
              <c:numCache>
                <c:formatCode>0.0</c:formatCode>
                <c:ptCount val="13"/>
                <c:pt idx="1">
                  <c:v>59.7</c:v>
                </c:pt>
                <c:pt idx="2">
                  <c:v>61.2</c:v>
                </c:pt>
                <c:pt idx="3">
                  <c:v>64</c:v>
                </c:pt>
                <c:pt idx="4">
                  <c:v>65.2</c:v>
                </c:pt>
                <c:pt idx="5">
                  <c:v>65.900000000000006</c:v>
                </c:pt>
                <c:pt idx="6">
                  <c:v>66.599999999999994</c:v>
                </c:pt>
                <c:pt idx="7">
                  <c:v>66.900000000000006</c:v>
                </c:pt>
                <c:pt idx="8">
                  <c:v>67.599999999999994</c:v>
                </c:pt>
                <c:pt idx="9">
                  <c:v>67.900000000000006</c:v>
                </c:pt>
              </c:numCache>
            </c:numRef>
          </c:val>
          <c:smooth val="0"/>
          <c:extLst>
            <c:ext xmlns:c16="http://schemas.microsoft.com/office/drawing/2014/chart" uri="{C3380CC4-5D6E-409C-BE32-E72D297353CC}">
              <c16:uniqueId val="{00000004-59EA-4F8D-8191-A5BF79A3D142}"/>
            </c:ext>
          </c:extLst>
        </c:ser>
        <c:ser>
          <c:idx val="5"/>
          <c:order val="5"/>
          <c:tx>
            <c:strRef>
              <c:f>'Life Expectancy '!$D$14</c:f>
              <c:strCache>
                <c:ptCount val="1"/>
                <c:pt idx="0">
                  <c:v>LE combined  RMS</c:v>
                </c:pt>
              </c:strCache>
            </c:strRef>
          </c:tx>
          <c:marker>
            <c:symbol val="none"/>
          </c:marker>
          <c:cat>
            <c:numRef>
              <c:extLst>
                <c:ext xmlns:c15="http://schemas.microsoft.com/office/drawing/2012/chart" uri="{02D57815-91ED-43cb-92C2-25804820EDAC}">
                  <c15:fullRef>
                    <c15:sqref>'Life Expectancy '!$E$8:$Y$8</c15:sqref>
                  </c15:fullRef>
                </c:ext>
              </c:extLst>
              <c:f>'Life Expectancy '!$L$8:$Y$8</c:f>
              <c:numCache>
                <c:formatCode>General</c:formatCode>
                <c:ptCount val="14"/>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numCache>
            </c:numRef>
          </c:cat>
          <c:val>
            <c:numRef>
              <c:extLst>
                <c:ext xmlns:c15="http://schemas.microsoft.com/office/drawing/2012/chart" uri="{02D57815-91ED-43cb-92C2-25804820EDAC}">
                  <c15:fullRef>
                    <c15:sqref>'Life Expectancy '!$J$14:$X$14</c15:sqref>
                  </c15:fullRef>
                </c:ext>
              </c:extLst>
              <c:f>'Life Expectancy '!$Q$14:$X$14</c:f>
              <c:numCache>
                <c:formatCode>0.0</c:formatCode>
                <c:ptCount val="8"/>
                <c:pt idx="0">
                  <c:v>62.7</c:v>
                </c:pt>
                <c:pt idx="1">
                  <c:v>63.3</c:v>
                </c:pt>
                <c:pt idx="2">
                  <c:v>63.9</c:v>
                </c:pt>
                <c:pt idx="3">
                  <c:v>64.599999999999994</c:v>
                </c:pt>
                <c:pt idx="4">
                  <c:v>64.8</c:v>
                </c:pt>
              </c:numCache>
            </c:numRef>
          </c:val>
          <c:smooth val="0"/>
          <c:extLst>
            <c:ext xmlns:c16="http://schemas.microsoft.com/office/drawing/2014/chart" uri="{C3380CC4-5D6E-409C-BE32-E72D297353CC}">
              <c16:uniqueId val="{00000005-59EA-4F8D-8191-A5BF79A3D142}"/>
            </c:ext>
          </c:extLst>
        </c:ser>
        <c:dLbls>
          <c:showLegendKey val="0"/>
          <c:showVal val="0"/>
          <c:showCatName val="0"/>
          <c:showSerName val="0"/>
          <c:showPercent val="0"/>
          <c:showBubbleSize val="0"/>
        </c:dLbls>
        <c:smooth val="0"/>
        <c:axId val="80785408"/>
        <c:axId val="80786944"/>
      </c:lineChart>
      <c:catAx>
        <c:axId val="8078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786944"/>
        <c:crosses val="autoZero"/>
        <c:auto val="1"/>
        <c:lblAlgn val="ctr"/>
        <c:lblOffset val="100"/>
        <c:tickLblSkip val="1"/>
        <c:tickMarkSkip val="1"/>
        <c:noMultiLvlLbl val="0"/>
      </c:catAx>
      <c:valAx>
        <c:axId val="80786944"/>
        <c:scaling>
          <c:orientation val="minMax"/>
          <c:min val="48"/>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Years</a:t>
                </a:r>
              </a:p>
            </c:rich>
          </c:tx>
          <c:layout>
            <c:manualLayout>
              <c:xMode val="edge"/>
              <c:yMode val="edge"/>
              <c:x val="3.6322308586025358E-2"/>
              <c:y val="0.36877146170682468"/>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0785408"/>
        <c:crosses val="autoZero"/>
        <c:crossBetween val="between"/>
      </c:valAx>
      <c:spPr>
        <a:solidFill>
          <a:srgbClr val="FFFFFF"/>
        </a:solidFill>
        <a:ln w="25400">
          <a:noFill/>
        </a:ln>
      </c:spPr>
    </c:plotArea>
    <c:legend>
      <c:legendPos val="r"/>
      <c:layout>
        <c:manualLayout>
          <c:xMode val="edge"/>
          <c:yMode val="edge"/>
          <c:x val="0.1187120190403789"/>
          <c:y val="0.88703774406617719"/>
          <c:w val="0.82314649736230661"/>
          <c:h val="0.11296225593382288"/>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paperSize="9" orientation="landscape" horizontalDpi="0" verticalDpi="0"/>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04672288304395"/>
          <c:y val="6.2707630296213027E-2"/>
          <c:w val="0.87019725371208079"/>
          <c:h val="0.67151246719160107"/>
        </c:manualLayout>
      </c:layout>
      <c:lineChart>
        <c:grouping val="standard"/>
        <c:varyColors val="0"/>
        <c:ser>
          <c:idx val="0"/>
          <c:order val="0"/>
          <c:tx>
            <c:strRef>
              <c:f>'Life Expectancy '!$D$9</c:f>
              <c:strCache>
                <c:ptCount val="1"/>
                <c:pt idx="0">
                  <c:v>LE male  StatsSA</c:v>
                </c:pt>
              </c:strCache>
            </c:strRef>
          </c:tx>
          <c:spPr>
            <a:ln w="15875">
              <a:solidFill>
                <a:srgbClr val="808000"/>
              </a:solidFill>
              <a:prstDash val="solid"/>
            </a:ln>
          </c:spPr>
          <c:marker>
            <c:symbol val="none"/>
          </c:marker>
          <c:cat>
            <c:numRef>
              <c:f>'Life Expectancy '!$F$8:$X$8</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'Life Expectancy '!$F$9:$X$9</c:f>
              <c:numCache>
                <c:formatCode>0.0</c:formatCode>
                <c:ptCount val="19"/>
                <c:pt idx="0">
                  <c:v>53</c:v>
                </c:pt>
                <c:pt idx="1">
                  <c:v>52.7</c:v>
                </c:pt>
                <c:pt idx="2">
                  <c:v>52.4</c:v>
                </c:pt>
                <c:pt idx="3">
                  <c:v>52.3</c:v>
                </c:pt>
                <c:pt idx="4">
                  <c:v>52.7</c:v>
                </c:pt>
                <c:pt idx="5">
                  <c:v>53.3</c:v>
                </c:pt>
                <c:pt idx="6">
                  <c:v>54.4</c:v>
                </c:pt>
                <c:pt idx="7">
                  <c:v>55.7</c:v>
                </c:pt>
                <c:pt idx="8">
                  <c:v>57.4</c:v>
                </c:pt>
                <c:pt idx="9">
                  <c:v>58.4</c:v>
                </c:pt>
                <c:pt idx="10">
                  <c:v>59</c:v>
                </c:pt>
                <c:pt idx="11">
                  <c:v>59.8</c:v>
                </c:pt>
                <c:pt idx="12">
                  <c:v>60.2</c:v>
                </c:pt>
                <c:pt idx="13">
                  <c:v>60.9</c:v>
                </c:pt>
                <c:pt idx="14">
                  <c:v>61.6</c:v>
                </c:pt>
                <c:pt idx="15">
                  <c:v>61.8</c:v>
                </c:pt>
                <c:pt idx="16">
                  <c:v>62.1</c:v>
                </c:pt>
                <c:pt idx="17">
                  <c:v>62.4</c:v>
                </c:pt>
                <c:pt idx="18">
                  <c:v>59.3</c:v>
                </c:pt>
              </c:numCache>
            </c:numRef>
          </c:val>
          <c:smooth val="0"/>
          <c:extLst>
            <c:ext xmlns:c16="http://schemas.microsoft.com/office/drawing/2014/chart" uri="{C3380CC4-5D6E-409C-BE32-E72D297353CC}">
              <c16:uniqueId val="{00000000-1232-4627-89FA-4AA487BCF1F8}"/>
            </c:ext>
          </c:extLst>
        </c:ser>
        <c:ser>
          <c:idx val="1"/>
          <c:order val="1"/>
          <c:tx>
            <c:strRef>
              <c:f>'Life Expectancy '!$D$10</c:f>
              <c:strCache>
                <c:ptCount val="1"/>
                <c:pt idx="0">
                  <c:v>LE female  StatsSA</c:v>
                </c:pt>
              </c:strCache>
            </c:strRef>
          </c:tx>
          <c:spPr>
            <a:ln w="15875">
              <a:solidFill>
                <a:srgbClr val="FF6600"/>
              </a:solidFill>
              <a:prstDash val="solid"/>
            </a:ln>
          </c:spPr>
          <c:marker>
            <c:symbol val="none"/>
          </c:marker>
          <c:cat>
            <c:numRef>
              <c:f>'Life Expectancy '!$F$8:$X$8</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'Life Expectancy '!$F$10:$X$10</c:f>
              <c:numCache>
                <c:formatCode>0.0</c:formatCode>
                <c:ptCount val="19"/>
                <c:pt idx="0">
                  <c:v>57.7</c:v>
                </c:pt>
                <c:pt idx="1">
                  <c:v>56.8</c:v>
                </c:pt>
                <c:pt idx="2">
                  <c:v>56.1</c:v>
                </c:pt>
                <c:pt idx="3">
                  <c:v>55.7</c:v>
                </c:pt>
                <c:pt idx="4">
                  <c:v>56.2</c:v>
                </c:pt>
                <c:pt idx="5">
                  <c:v>56.9</c:v>
                </c:pt>
                <c:pt idx="6">
                  <c:v>59.5</c:v>
                </c:pt>
                <c:pt idx="7">
                  <c:v>61</c:v>
                </c:pt>
                <c:pt idx="8">
                  <c:v>62.8</c:v>
                </c:pt>
                <c:pt idx="9">
                  <c:v>63.8</c:v>
                </c:pt>
                <c:pt idx="10">
                  <c:v>64.599999999999994</c:v>
                </c:pt>
                <c:pt idx="11">
                  <c:v>65.7</c:v>
                </c:pt>
                <c:pt idx="12">
                  <c:v>65.8</c:v>
                </c:pt>
                <c:pt idx="13">
                  <c:v>66.5</c:v>
                </c:pt>
                <c:pt idx="14">
                  <c:v>66.8</c:v>
                </c:pt>
                <c:pt idx="15">
                  <c:v>67.400000000000006</c:v>
                </c:pt>
                <c:pt idx="16">
                  <c:v>67.8</c:v>
                </c:pt>
                <c:pt idx="17">
                  <c:v>68.400000000000006</c:v>
                </c:pt>
                <c:pt idx="18">
                  <c:v>64.599999999999994</c:v>
                </c:pt>
              </c:numCache>
            </c:numRef>
          </c:val>
          <c:smooth val="0"/>
          <c:extLst>
            <c:ext xmlns:c16="http://schemas.microsoft.com/office/drawing/2014/chart" uri="{C3380CC4-5D6E-409C-BE32-E72D297353CC}">
              <c16:uniqueId val="{00000001-1232-4627-89FA-4AA487BCF1F8}"/>
            </c:ext>
          </c:extLst>
        </c:ser>
        <c:ser>
          <c:idx val="2"/>
          <c:order val="2"/>
          <c:tx>
            <c:strRef>
              <c:f>'Life Expectancy '!$D$11</c:f>
              <c:strCache>
                <c:ptCount val="1"/>
                <c:pt idx="0">
                  <c:v>LE combined  StatsSA</c:v>
                </c:pt>
              </c:strCache>
            </c:strRef>
          </c:tx>
          <c:spPr>
            <a:ln w="15875">
              <a:solidFill>
                <a:srgbClr val="993300"/>
              </a:solidFill>
              <a:prstDash val="solid"/>
            </a:ln>
          </c:spPr>
          <c:marker>
            <c:symbol val="none"/>
          </c:marker>
          <c:cat>
            <c:numRef>
              <c:f>'Life Expectancy '!$F$8:$X$8</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f>'Life Expectancy '!$E$11:$X$11</c:f>
              <c:numCache>
                <c:formatCode>0.0</c:formatCode>
                <c:ptCount val="20"/>
                <c:pt idx="0">
                  <c:v>55.8</c:v>
                </c:pt>
                <c:pt idx="1">
                  <c:v>55.4</c:v>
                </c:pt>
                <c:pt idx="2">
                  <c:v>54.8</c:v>
                </c:pt>
                <c:pt idx="3">
                  <c:v>54.3</c:v>
                </c:pt>
                <c:pt idx="4">
                  <c:v>54</c:v>
                </c:pt>
                <c:pt idx="5">
                  <c:v>54.5</c:v>
                </c:pt>
                <c:pt idx="6">
                  <c:v>55.2</c:v>
                </c:pt>
                <c:pt idx="7">
                  <c:v>57</c:v>
                </c:pt>
                <c:pt idx="8">
                  <c:v>58.4</c:v>
                </c:pt>
                <c:pt idx="9">
                  <c:v>60.2</c:v>
                </c:pt>
                <c:pt idx="10">
                  <c:v>61.1</c:v>
                </c:pt>
                <c:pt idx="11">
                  <c:v>61.9</c:v>
                </c:pt>
                <c:pt idx="12">
                  <c:v>62.8</c:v>
                </c:pt>
                <c:pt idx="13">
                  <c:v>63.1</c:v>
                </c:pt>
                <c:pt idx="14">
                  <c:v>63.8</c:v>
                </c:pt>
                <c:pt idx="15">
                  <c:v>64.2</c:v>
                </c:pt>
                <c:pt idx="16">
                  <c:v>64.7</c:v>
                </c:pt>
                <c:pt idx="17">
                  <c:v>65</c:v>
                </c:pt>
                <c:pt idx="18">
                  <c:v>65.5</c:v>
                </c:pt>
                <c:pt idx="19">
                  <c:v>62</c:v>
                </c:pt>
              </c:numCache>
            </c:numRef>
          </c:val>
          <c:smooth val="0"/>
          <c:extLst>
            <c:ext xmlns:c16="http://schemas.microsoft.com/office/drawing/2014/chart" uri="{C3380CC4-5D6E-409C-BE32-E72D297353CC}">
              <c16:uniqueId val="{00000002-1232-4627-89FA-4AA487BCF1F8}"/>
            </c:ext>
          </c:extLst>
        </c:ser>
        <c:dLbls>
          <c:showLegendKey val="0"/>
          <c:showVal val="0"/>
          <c:showCatName val="0"/>
          <c:showSerName val="0"/>
          <c:showPercent val="0"/>
          <c:showBubbleSize val="0"/>
        </c:dLbls>
        <c:smooth val="0"/>
        <c:axId val="81438208"/>
        <c:axId val="81439744"/>
      </c:lineChart>
      <c:catAx>
        <c:axId val="81438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81439744"/>
        <c:crosses val="autoZero"/>
        <c:auto val="1"/>
        <c:lblAlgn val="ctr"/>
        <c:lblOffset val="100"/>
        <c:tickLblSkip val="1"/>
        <c:tickMarkSkip val="1"/>
        <c:noMultiLvlLbl val="0"/>
      </c:catAx>
      <c:valAx>
        <c:axId val="81439744"/>
        <c:scaling>
          <c:orientation val="minMax"/>
          <c:min val="48"/>
        </c:scaling>
        <c:delete val="0"/>
        <c:axPos val="l"/>
        <c:majorGridlines>
          <c:spPr>
            <a:ln w="3175">
              <a:solidFill>
                <a:schemeClr val="bg1">
                  <a:lumMod val="75000"/>
                </a:schemeClr>
              </a:solidFill>
              <a:prstDash val="sysDash"/>
            </a:ln>
          </c:spPr>
        </c:majorGridlines>
        <c:title>
          <c:tx>
            <c:rich>
              <a:bodyPr/>
              <a:lstStyle/>
              <a:p>
                <a:pPr>
                  <a:defRPr/>
                </a:pPr>
                <a:r>
                  <a:rPr lang="en-ZA"/>
                  <a:t>Years</a:t>
                </a:r>
              </a:p>
            </c:rich>
          </c:tx>
          <c:layout>
            <c:manualLayout>
              <c:xMode val="edge"/>
              <c:yMode val="edge"/>
              <c:x val="3.6322308586025358E-2"/>
              <c:y val="0.36877146170682468"/>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81438208"/>
        <c:crosses val="autoZero"/>
        <c:crossBetween val="between"/>
      </c:valAx>
      <c:spPr>
        <a:solidFill>
          <a:srgbClr val="FFFFFF"/>
        </a:solidFill>
        <a:ln w="25400">
          <a:noFill/>
        </a:ln>
      </c:spPr>
    </c:plotArea>
    <c:legend>
      <c:legendPos val="r"/>
      <c:layout>
        <c:manualLayout>
          <c:xMode val="edge"/>
          <c:yMode val="edge"/>
          <c:x val="4.9054683767365964E-2"/>
          <c:y val="0.91516709511568106"/>
          <c:w val="0.86539280107717065"/>
          <c:h val="7.1979434447300802E-2"/>
        </c:manualLayout>
      </c:layout>
      <c:overlay val="0"/>
      <c:spPr>
        <a:solidFill>
          <a:srgbClr val="FFFFFF"/>
        </a:solidFill>
        <a:ln w="3175">
          <a:noFill/>
          <a:prstDash val="solid"/>
        </a:ln>
      </c:sp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577" r="0.75000000000000577" t="1" header="0.5" footer="0.5"/>
    <c:pageSetup paperSize="9" orientation="landscape" horizontalDpi="0" verticalDpi="0"/>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'Infant &amp; Child mortality'!$G$52</c:f>
              <c:strCache>
                <c:ptCount val="1"/>
                <c:pt idx="0">
                  <c:v>Infant mortality rate (IMR)</c:v>
                </c:pt>
              </c:strCache>
            </c:strRef>
          </c:tx>
          <c:spPr>
            <a:ln w="15875">
              <a:solidFill>
                <a:schemeClr val="accent6">
                  <a:lumMod val="75000"/>
                </a:schemeClr>
              </a:solidFill>
            </a:ln>
          </c:spPr>
          <c:marker>
            <c:symbol val="none"/>
          </c:marker>
          <c:cat>
            <c:numRef>
              <c:extLst>
                <c:ext xmlns:c15="http://schemas.microsoft.com/office/drawing/2012/chart" uri="{02D57815-91ED-43cb-92C2-25804820EDAC}">
                  <c15:fullRef>
                    <c15:sqref>'Infant &amp; Child mortality'!$H$51:$AB$51</c15:sqref>
                  </c15:fullRef>
                </c:ext>
              </c:extLst>
              <c:f>'Infant &amp; Child mortality'!$M$51:$AB$51</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extLst>
                <c:ext xmlns:c15="http://schemas.microsoft.com/office/drawing/2012/chart" uri="{02D57815-91ED-43cb-92C2-25804820EDAC}">
                  <c15:fullRef>
                    <c15:sqref>'Infant &amp; Child mortality'!$H$52:$AB$52</c15:sqref>
                  </c15:fullRef>
                </c:ext>
              </c:extLst>
              <c:f>'Infant &amp; Child mortality'!$M$52:$AB$52</c:f>
              <c:numCache>
                <c:formatCode>0.0</c:formatCode>
                <c:ptCount val="16"/>
                <c:pt idx="0">
                  <c:v>49.5</c:v>
                </c:pt>
                <c:pt idx="1">
                  <c:v>48</c:v>
                </c:pt>
                <c:pt idx="2">
                  <c:v>45.1</c:v>
                </c:pt>
                <c:pt idx="3">
                  <c:v>38.6</c:v>
                </c:pt>
                <c:pt idx="4">
                  <c:v>37.299999999999997</c:v>
                </c:pt>
                <c:pt idx="5">
                  <c:v>35.200000000000003</c:v>
                </c:pt>
                <c:pt idx="6">
                  <c:v>32.799999999999997</c:v>
                </c:pt>
                <c:pt idx="7">
                  <c:v>31.3</c:v>
                </c:pt>
                <c:pt idx="8">
                  <c:v>30</c:v>
                </c:pt>
                <c:pt idx="9">
                  <c:v>28.8</c:v>
                </c:pt>
                <c:pt idx="10">
                  <c:v>27.5</c:v>
                </c:pt>
                <c:pt idx="11">
                  <c:v>27.2</c:v>
                </c:pt>
                <c:pt idx="12">
                  <c:v>25.4</c:v>
                </c:pt>
                <c:pt idx="13">
                  <c:v>25</c:v>
                </c:pt>
                <c:pt idx="14">
                  <c:v>25.1</c:v>
                </c:pt>
                <c:pt idx="15">
                  <c:v>24.3</c:v>
                </c:pt>
              </c:numCache>
            </c:numRef>
          </c:val>
          <c:smooth val="0"/>
          <c:extLst>
            <c:ext xmlns:c16="http://schemas.microsoft.com/office/drawing/2014/chart" uri="{C3380CC4-5D6E-409C-BE32-E72D297353CC}">
              <c16:uniqueId val="{00000000-D007-4FEA-B964-B2CA27FE1D04}"/>
            </c:ext>
          </c:extLst>
        </c:ser>
        <c:ser>
          <c:idx val="1"/>
          <c:order val="1"/>
          <c:tx>
            <c:strRef>
              <c:f>'Infant &amp; Child mortality'!$G$53</c:f>
              <c:strCache>
                <c:ptCount val="1"/>
                <c:pt idx="0">
                  <c:v>Under 5 mortality rate (U5MR)</c:v>
                </c:pt>
              </c:strCache>
            </c:strRef>
          </c:tx>
          <c:spPr>
            <a:ln w="15875"/>
          </c:spPr>
          <c:marker>
            <c:symbol val="none"/>
          </c:marker>
          <c:cat>
            <c:numRef>
              <c:extLst>
                <c:ext xmlns:c15="http://schemas.microsoft.com/office/drawing/2012/chart" uri="{02D57815-91ED-43cb-92C2-25804820EDAC}">
                  <c15:fullRef>
                    <c15:sqref>'Infant &amp; Child mortality'!$H$51:$AB$51</c15:sqref>
                  </c15:fullRef>
                </c:ext>
              </c:extLst>
              <c:f>'Infant &amp; Child mortality'!$M$51:$AB$51</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extLst>
                <c:ext xmlns:c15="http://schemas.microsoft.com/office/drawing/2012/chart" uri="{02D57815-91ED-43cb-92C2-25804820EDAC}">
                  <c15:fullRef>
                    <c15:sqref>'Infant &amp; Child mortality'!$H$53:$AB$53</c15:sqref>
                  </c15:fullRef>
                </c:ext>
              </c:extLst>
              <c:f>'Infant &amp; Child mortality'!$M$53:$AB$53</c:f>
              <c:numCache>
                <c:formatCode>0.0</c:formatCode>
                <c:ptCount val="16"/>
                <c:pt idx="0">
                  <c:v>67.3</c:v>
                </c:pt>
                <c:pt idx="1">
                  <c:v>63</c:v>
                </c:pt>
                <c:pt idx="2">
                  <c:v>55.7</c:v>
                </c:pt>
                <c:pt idx="3">
                  <c:v>50.1</c:v>
                </c:pt>
                <c:pt idx="4">
                  <c:v>46</c:v>
                </c:pt>
                <c:pt idx="5">
                  <c:v>41.7</c:v>
                </c:pt>
                <c:pt idx="6">
                  <c:v>38.5</c:v>
                </c:pt>
                <c:pt idx="7">
                  <c:v>37.700000000000003</c:v>
                </c:pt>
                <c:pt idx="8">
                  <c:v>37.4</c:v>
                </c:pt>
                <c:pt idx="9">
                  <c:v>37.200000000000003</c:v>
                </c:pt>
                <c:pt idx="10">
                  <c:v>36.299999999999997</c:v>
                </c:pt>
                <c:pt idx="11">
                  <c:v>37</c:v>
                </c:pt>
                <c:pt idx="12">
                  <c:v>35.799999999999997</c:v>
                </c:pt>
                <c:pt idx="13">
                  <c:v>35.200000000000003</c:v>
                </c:pt>
                <c:pt idx="14">
                  <c:v>33.1</c:v>
                </c:pt>
                <c:pt idx="15">
                  <c:v>30.7</c:v>
                </c:pt>
              </c:numCache>
            </c:numRef>
          </c:val>
          <c:smooth val="0"/>
          <c:extLst>
            <c:ext xmlns:c16="http://schemas.microsoft.com/office/drawing/2014/chart" uri="{C3380CC4-5D6E-409C-BE32-E72D297353CC}">
              <c16:uniqueId val="{00000001-D007-4FEA-B964-B2CA27FE1D04}"/>
            </c:ext>
          </c:extLst>
        </c:ser>
        <c:dLbls>
          <c:showLegendKey val="0"/>
          <c:showVal val="0"/>
          <c:showCatName val="0"/>
          <c:showSerName val="0"/>
          <c:showPercent val="0"/>
          <c:showBubbleSize val="0"/>
        </c:dLbls>
        <c:smooth val="0"/>
        <c:axId val="80720256"/>
        <c:axId val="80721792"/>
      </c:lineChart>
      <c:catAx>
        <c:axId val="80720256"/>
        <c:scaling>
          <c:orientation val="minMax"/>
        </c:scaling>
        <c:delete val="0"/>
        <c:axPos val="b"/>
        <c:numFmt formatCode="General" sourceLinked="1"/>
        <c:majorTickMark val="none"/>
        <c:minorTickMark val="none"/>
        <c:tickLblPos val="nextTo"/>
        <c:spPr>
          <a:ln>
            <a:solidFill>
              <a:schemeClr val="tx1"/>
            </a:solidFill>
          </a:ln>
        </c:spPr>
        <c:crossAx val="80721792"/>
        <c:crosses val="autoZero"/>
        <c:auto val="1"/>
        <c:lblAlgn val="ctr"/>
        <c:lblOffset val="100"/>
        <c:noMultiLvlLbl val="0"/>
      </c:catAx>
      <c:valAx>
        <c:axId val="80721792"/>
        <c:scaling>
          <c:orientation val="minMax"/>
          <c:min val="20"/>
        </c:scaling>
        <c:delete val="0"/>
        <c:axPos val="l"/>
        <c:majorGridlines>
          <c:spPr>
            <a:ln w="3175">
              <a:solidFill>
                <a:schemeClr val="bg1">
                  <a:lumMod val="75000"/>
                </a:schemeClr>
              </a:solidFill>
              <a:prstDash val="sysDash"/>
            </a:ln>
          </c:spPr>
        </c:majorGridlines>
        <c:title>
          <c:tx>
            <c:rich>
              <a:bodyPr/>
              <a:lstStyle/>
              <a:p>
                <a:pPr>
                  <a:defRPr b="0"/>
                </a:pPr>
                <a:r>
                  <a:rPr lang="en-US" b="0"/>
                  <a:t>Infant mortality ( deaths per 1 000 live births)</a:t>
                </a:r>
              </a:p>
            </c:rich>
          </c:tx>
          <c:overlay val="0"/>
        </c:title>
        <c:numFmt formatCode="0.0" sourceLinked="1"/>
        <c:majorTickMark val="none"/>
        <c:minorTickMark val="none"/>
        <c:tickLblPos val="nextTo"/>
        <c:spPr>
          <a:ln>
            <a:solidFill>
              <a:schemeClr val="tx1"/>
            </a:solidFill>
          </a:ln>
        </c:spPr>
        <c:crossAx val="80720256"/>
        <c:crosses val="autoZero"/>
        <c:crossBetween val="between"/>
      </c:valAx>
    </c:plotArea>
    <c:legend>
      <c:legendPos val="b"/>
      <c:overlay val="0"/>
    </c:legend>
    <c:plotVisOnly val="1"/>
    <c:dispBlanksAs val="gap"/>
    <c:showDLblsOverMax val="0"/>
  </c:chart>
  <c:spPr>
    <a:ln>
      <a:noFill/>
    </a:ln>
  </c:spPr>
  <c:txPr>
    <a:bodyPr/>
    <a:lstStyle/>
    <a:p>
      <a:pPr>
        <a:defRPr sz="800">
          <a:latin typeface="Arial Narrow" pitchFamily="34" charset="0"/>
        </a:defRPr>
      </a:pPr>
      <a:endParaRPr lang="en-US"/>
    </a:p>
  </c:txPr>
  <c:printSettings>
    <c:headerFooter/>
    <c:pageMargins b="0.75000000000000033" l="0.70000000000000029" r="0.70000000000000029" t="0.75000000000000033" header="0.30000000000000016" footer="0.30000000000000016"/>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SEVERE ACUTE</a:t>
            </a:r>
            <a:r>
              <a:rPr lang="en-ZA" baseline="0"/>
              <a:t> </a:t>
            </a:r>
            <a:r>
              <a:rPr lang="en-ZA"/>
              <a:t>MALNUTRITION - UNDER FIVE YEARS</a:t>
            </a:r>
          </a:p>
        </c:rich>
      </c:tx>
      <c:layout>
        <c:manualLayout>
          <c:xMode val="edge"/>
          <c:yMode val="edge"/>
          <c:x val="6.5326702583229729E-2"/>
          <c:y val="4.5454646559010714E-2"/>
        </c:manualLayout>
      </c:layout>
      <c:overlay val="0"/>
      <c:spPr>
        <a:noFill/>
        <a:ln w="25400">
          <a:noFill/>
        </a:ln>
      </c:spPr>
    </c:title>
    <c:autoTitleDeleted val="0"/>
    <c:plotArea>
      <c:layout>
        <c:manualLayout>
          <c:layoutTarget val="inner"/>
          <c:xMode val="edge"/>
          <c:yMode val="edge"/>
          <c:x val="6.6492882117385313E-2"/>
          <c:y val="0.22033936295049308"/>
          <c:w val="0.91069172860771785"/>
          <c:h val="0.71387761335867583"/>
        </c:manualLayout>
      </c:layout>
      <c:lineChart>
        <c:grouping val="standard"/>
        <c:varyColors val="0"/>
        <c:ser>
          <c:idx val="0"/>
          <c:order val="0"/>
          <c:tx>
            <c:strRef>
              <c:f>'Severe Acute Malnutrition'!$D$9</c:f>
              <c:strCache>
                <c:ptCount val="1"/>
                <c:pt idx="0">
                  <c:v>Severe acute malnutrition under five years</c:v>
                </c:pt>
              </c:strCache>
            </c:strRef>
          </c:tx>
          <c:spPr>
            <a:ln w="25400">
              <a:solidFill>
                <a:srgbClr val="FF6600"/>
              </a:solidFill>
              <a:prstDash val="solid"/>
            </a:ln>
          </c:spPr>
          <c:marker>
            <c:symbol val="none"/>
          </c:marker>
          <c:cat>
            <c:numRef>
              <c:f>'Severe Acute Malnutrition'!$G$8:$Y$8</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'Severe Acute Malnutrition'!$G$9:$Y$9</c:f>
              <c:numCache>
                <c:formatCode>#,##0</c:formatCode>
                <c:ptCount val="19"/>
                <c:pt idx="0">
                  <c:v>0</c:v>
                </c:pt>
                <c:pt idx="1">
                  <c:v>0</c:v>
                </c:pt>
                <c:pt idx="2">
                  <c:v>0</c:v>
                </c:pt>
                <c:pt idx="3">
                  <c:v>0</c:v>
                </c:pt>
                <c:pt idx="4">
                  <c:v>0</c:v>
                </c:pt>
                <c:pt idx="5">
                  <c:v>0</c:v>
                </c:pt>
                <c:pt idx="6">
                  <c:v>0</c:v>
                </c:pt>
                <c:pt idx="7">
                  <c:v>0</c:v>
                </c:pt>
                <c:pt idx="8">
                  <c:v>0</c:v>
                </c:pt>
                <c:pt idx="9">
                  <c:v>0</c:v>
                </c:pt>
                <c:pt idx="10">
                  <c:v>23428</c:v>
                </c:pt>
                <c:pt idx="11">
                  <c:v>20729</c:v>
                </c:pt>
                <c:pt idx="12">
                  <c:v>22265</c:v>
                </c:pt>
                <c:pt idx="13">
                  <c:v>25235</c:v>
                </c:pt>
                <c:pt idx="14">
                  <c:v>23540</c:v>
                </c:pt>
                <c:pt idx="15">
                  <c:v>21123</c:v>
                </c:pt>
                <c:pt idx="16">
                  <c:v>12539</c:v>
                </c:pt>
                <c:pt idx="17">
                  <c:v>13005</c:v>
                </c:pt>
                <c:pt idx="18">
                  <c:v>11194</c:v>
                </c:pt>
              </c:numCache>
            </c:numRef>
          </c:val>
          <c:smooth val="0"/>
          <c:extLst>
            <c:ext xmlns:c16="http://schemas.microsoft.com/office/drawing/2014/chart" uri="{C3380CC4-5D6E-409C-BE32-E72D297353CC}">
              <c16:uniqueId val="{00000000-B4E7-4EF5-BD29-D5F6B89854EB}"/>
            </c:ext>
          </c:extLst>
        </c:ser>
        <c:dLbls>
          <c:showLegendKey val="0"/>
          <c:showVal val="0"/>
          <c:showCatName val="0"/>
          <c:showSerName val="0"/>
          <c:showPercent val="0"/>
          <c:showBubbleSize val="0"/>
        </c:dLbls>
        <c:smooth val="0"/>
        <c:axId val="81086720"/>
        <c:axId val="81100800"/>
      </c:lineChart>
      <c:catAx>
        <c:axId val="81086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100800"/>
        <c:crosses val="autoZero"/>
        <c:auto val="1"/>
        <c:lblAlgn val="ctr"/>
        <c:lblOffset val="100"/>
        <c:tickLblSkip val="1"/>
        <c:tickMarkSkip val="1"/>
        <c:noMultiLvlLbl val="0"/>
      </c:catAx>
      <c:valAx>
        <c:axId val="81100800"/>
        <c:scaling>
          <c:orientation val="minMax"/>
          <c:max val="28500"/>
          <c:min val="10000"/>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3.266825734328144E-3"/>
              <c:y val="0.42533328558101785"/>
            </c:manualLayout>
          </c:layout>
          <c:overlay val="0"/>
          <c:spPr>
            <a:noFill/>
            <a:ln w="25400">
              <a:noFill/>
            </a:ln>
          </c:spPr>
        </c:title>
        <c:numFmt formatCode="#\ ##0\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086720"/>
        <c:crosses val="autoZero"/>
        <c:crossBetween val="midCat"/>
        <c:majorUnit val="10500"/>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11" r="0.75000000000000111" t="1" header="0.5" footer="0.5"/>
    <c:pageSetup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57816650164"/>
          <c:y val="6.9768031332532204E-2"/>
          <c:w val="0.86830166438775991"/>
          <c:h val="0.79181527542702035"/>
        </c:manualLayout>
      </c:layout>
      <c:lineChart>
        <c:grouping val="standard"/>
        <c:varyColors val="0"/>
        <c:ser>
          <c:idx val="0"/>
          <c:order val="0"/>
          <c:tx>
            <c:strRef>
              <c:f>'Severe Acute Malnutrition'!$F$131:$W$131</c:f>
              <c:strCache>
                <c:ptCount val="18"/>
                <c:pt idx="0">
                  <c:v>number</c:v>
                </c:pt>
                <c:pt idx="1">
                  <c:v>66 813</c:v>
                </c:pt>
                <c:pt idx="2">
                  <c:v>70 276</c:v>
                </c:pt>
                <c:pt idx="3">
                  <c:v>61 710</c:v>
                </c:pt>
                <c:pt idx="4">
                  <c:v>39 684</c:v>
                </c:pt>
                <c:pt idx="5">
                  <c:v>32 242</c:v>
                </c:pt>
                <c:pt idx="6">
                  <c:v>29 005</c:v>
                </c:pt>
                <c:pt idx="7">
                  <c:v>27 062</c:v>
                </c:pt>
                <c:pt idx="8">
                  <c:v>27 042</c:v>
                </c:pt>
                <c:pt idx="9">
                  <c:v>27 988</c:v>
                </c:pt>
                <c:pt idx="10">
                  <c:v>24 955</c:v>
                </c:pt>
                <c:pt idx="11">
                  <c:v>23 428</c:v>
                </c:pt>
                <c:pt idx="12">
                  <c:v>20 729</c:v>
                </c:pt>
                <c:pt idx="13">
                  <c:v>22 265</c:v>
                </c:pt>
                <c:pt idx="14">
                  <c:v>25 235</c:v>
                </c:pt>
                <c:pt idx="15">
                  <c:v>23 540</c:v>
                </c:pt>
                <c:pt idx="16">
                  <c:v>21 123</c:v>
                </c:pt>
                <c:pt idx="17">
                  <c:v>12 539</c:v>
                </c:pt>
              </c:strCache>
            </c:strRef>
          </c:tx>
          <c:marker>
            <c:symbol val="none"/>
          </c:marker>
          <c:cat>
            <c:numRef>
              <c:f>'Severe Acute Malnutrition'!$G$130:$X$130</c:f>
              <c:numCache>
                <c:formatCode>General</c:formatCode>
                <c:ptCount val="18"/>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numCache>
            </c:numRef>
          </c:cat>
          <c:val>
            <c:numRef>
              <c:f>'Severe Acute Malnutrition'!$X$131</c:f>
              <c:numCache>
                <c:formatCode>0.00</c:formatCode>
                <c:ptCount val="1"/>
                <c:pt idx="0">
                  <c:v>0</c:v>
                </c:pt>
              </c:numCache>
            </c:numRef>
          </c:val>
          <c:smooth val="0"/>
          <c:extLst>
            <c:ext xmlns:c16="http://schemas.microsoft.com/office/drawing/2014/chart" uri="{C3380CC4-5D6E-409C-BE32-E72D297353CC}">
              <c16:uniqueId val="{00000000-56B4-4C37-8C29-F2F5D6D009B0}"/>
            </c:ext>
          </c:extLst>
        </c:ser>
        <c:dLbls>
          <c:showLegendKey val="0"/>
          <c:showVal val="0"/>
          <c:showCatName val="0"/>
          <c:showSerName val="0"/>
          <c:showPercent val="0"/>
          <c:showBubbleSize val="0"/>
        </c:dLbls>
        <c:smooth val="0"/>
        <c:axId val="81117184"/>
        <c:axId val="81118720"/>
      </c:lineChart>
      <c:catAx>
        <c:axId val="81117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81118720"/>
        <c:crosses val="autoZero"/>
        <c:auto val="1"/>
        <c:lblAlgn val="ctr"/>
        <c:lblOffset val="100"/>
        <c:tickLblSkip val="1"/>
        <c:tickMarkSkip val="1"/>
        <c:noMultiLvlLbl val="0"/>
      </c:catAx>
      <c:valAx>
        <c:axId val="81118720"/>
        <c:scaling>
          <c:orientation val="minMax"/>
          <c:max val="100000"/>
          <c:min val="5000"/>
        </c:scaling>
        <c:delete val="0"/>
        <c:axPos val="l"/>
        <c:majorGridlines>
          <c:spPr>
            <a:ln w="3175">
              <a:solidFill>
                <a:srgbClr val="969696"/>
              </a:solidFill>
              <a:prstDash val="sysDash"/>
            </a:ln>
          </c:spPr>
        </c:majorGridlines>
        <c:title>
          <c:tx>
            <c:rich>
              <a:bodyPr/>
              <a:lstStyle/>
              <a:p>
                <a:pPr>
                  <a:defRPr/>
                </a:pPr>
                <a:r>
                  <a:rPr lang="en-ZA"/>
                  <a:t>number</a:t>
                </a:r>
              </a:p>
            </c:rich>
          </c:tx>
          <c:layout>
            <c:manualLayout>
              <c:xMode val="edge"/>
              <c:yMode val="edge"/>
              <c:x val="3.266825734328144E-3"/>
              <c:y val="0.42533328558101785"/>
            </c:manualLayout>
          </c:layout>
          <c:overlay val="0"/>
          <c:spPr>
            <a:noFill/>
            <a:ln w="25400">
              <a:noFill/>
            </a:ln>
          </c:spPr>
        </c:title>
        <c:numFmt formatCode="#\ ##0\ ###" sourceLinked="0"/>
        <c:majorTickMark val="out"/>
        <c:minorTickMark val="none"/>
        <c:tickLblPos val="nextTo"/>
        <c:spPr>
          <a:ln w="3175">
            <a:solidFill>
              <a:srgbClr val="000000"/>
            </a:solidFill>
            <a:prstDash val="solid"/>
          </a:ln>
        </c:spPr>
        <c:txPr>
          <a:bodyPr rot="0" vert="horz"/>
          <a:lstStyle/>
          <a:p>
            <a:pPr>
              <a:defRPr/>
            </a:pPr>
            <a:endParaRPr lang="en-US"/>
          </a:p>
        </c:txPr>
        <c:crossAx val="81117184"/>
        <c:crosses val="autoZero"/>
        <c:crossBetween val="midCat"/>
        <c:majorUnit val="10500"/>
      </c:valAx>
      <c:spPr>
        <a:solidFill>
          <a:srgbClr val="FFFFFF"/>
        </a:solidFill>
        <a:ln w="3175">
          <a:noFill/>
          <a:prstDash val="solid"/>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111" r="0.75000000000000111" t="1" header="0.5" footer="0.5"/>
    <c:pageSetup orientation="landscape"/>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'Severe Acute Malnutrition'!$F$9:$AB$9</c:f>
              <c:strCache>
                <c:ptCount val="1"/>
                <c:pt idx="0">
                  <c:v>number 66 813 70 276 61 710 39 684 32 242 29 005 27 062 27 042 27 988 24 955 23 428 20 729 22 265 25 235 23 540 21 123 12 539 13 005 11 194 8 801 10 165 14 267</c:v>
                </c:pt>
              </c:strCache>
            </c:strRef>
          </c:tx>
          <c:invertIfNegative val="0"/>
          <c:cat>
            <c:numRef>
              <c:f>'Severe Acute Malnutrition'!$G$8:$AB$8</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'Severe Acute Malnutrition'!$F$9</c:f>
              <c:numCache>
                <c:formatCode>General</c:formatCode>
                <c:ptCount val="1"/>
                <c:pt idx="0">
                  <c:v>0</c:v>
                </c:pt>
              </c:numCache>
            </c:numRef>
          </c:val>
          <c:extLst>
            <c:ext xmlns:c16="http://schemas.microsoft.com/office/drawing/2014/chart" uri="{C3380CC4-5D6E-409C-BE32-E72D297353CC}">
              <c16:uniqueId val="{00000000-674B-493B-BD7E-DE4F2026EF13}"/>
            </c:ext>
          </c:extLst>
        </c:ser>
        <c:dLbls>
          <c:showLegendKey val="0"/>
          <c:showVal val="0"/>
          <c:showCatName val="0"/>
          <c:showSerName val="0"/>
          <c:showPercent val="0"/>
          <c:showBubbleSize val="0"/>
        </c:dLbls>
        <c:gapWidth val="219"/>
        <c:overlap val="-27"/>
        <c:axId val="81425536"/>
        <c:axId val="81427072"/>
      </c:barChart>
      <c:catAx>
        <c:axId val="8142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427072"/>
        <c:crosses val="autoZero"/>
        <c:auto val="1"/>
        <c:lblAlgn val="ctr"/>
        <c:lblOffset val="100"/>
        <c:noMultiLvlLbl val="0"/>
      </c:catAx>
      <c:valAx>
        <c:axId val="81427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42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89" l="0.70000000000000062" r="0.70000000000000062" t="0.75000000000000089"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'Severe Acute Malnutrition'!$F$131</c:f>
              <c:strCache>
                <c:ptCount val="1"/>
                <c:pt idx="0">
                  <c:v>number</c:v>
                </c:pt>
              </c:strCache>
            </c:strRef>
          </c:tx>
          <c:spPr>
            <a:solidFill>
              <a:schemeClr val="accent1"/>
            </a:solidFill>
            <a:ln>
              <a:noFill/>
            </a:ln>
            <a:effectLst/>
          </c:spPr>
          <c:invertIfNegative val="0"/>
          <c:cat>
            <c:numRef>
              <c:extLst>
                <c:ext xmlns:c15="http://schemas.microsoft.com/office/drawing/2012/chart" uri="{02D57815-91ED-43cb-92C2-25804820EDAC}">
                  <c15:fullRef>
                    <c15:sqref>'Severe Acute Malnutrition'!$G$130:$X$130</c15:sqref>
                  </c15:fullRef>
                </c:ext>
              </c:extLst>
              <c:f>'Severe Acute Malnutrition'!$K$130:$X$130</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extLst>
                <c:ext xmlns:c15="http://schemas.microsoft.com/office/drawing/2012/chart" uri="{02D57815-91ED-43cb-92C2-25804820EDAC}">
                  <c15:fullRef>
                    <c15:sqref>'Severe Acute Malnutrition'!$G$131:$X$131</c15:sqref>
                  </c15:fullRef>
                </c:ext>
              </c:extLst>
              <c:f>'Severe Acute Malnutrition'!$K$131:$X$131</c:f>
              <c:numCache>
                <c:formatCode>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9AF9-4010-8883-1DA6E1AD8D1A}"/>
            </c:ext>
          </c:extLst>
        </c:ser>
        <c:dLbls>
          <c:showLegendKey val="0"/>
          <c:showVal val="0"/>
          <c:showCatName val="0"/>
          <c:showSerName val="0"/>
          <c:showPercent val="0"/>
          <c:showBubbleSize val="0"/>
        </c:dLbls>
        <c:gapWidth val="219"/>
        <c:overlap val="-27"/>
        <c:axId val="81492224"/>
        <c:axId val="81506304"/>
      </c:barChart>
      <c:catAx>
        <c:axId val="8149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06304"/>
        <c:crosses val="autoZero"/>
        <c:auto val="1"/>
        <c:lblAlgn val="ctr"/>
        <c:lblOffset val="100"/>
        <c:noMultiLvlLbl val="0"/>
      </c:catAx>
      <c:valAx>
        <c:axId val="81506304"/>
        <c:scaling>
          <c:orientation val="minMax"/>
          <c:max val="40000"/>
          <c:min val="2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492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PUBLIC OPINION ON DELIVERY OF BASIC SERVICES</a:t>
            </a:r>
          </a:p>
        </c:rich>
      </c:tx>
      <c:layout>
        <c:manualLayout>
          <c:xMode val="edge"/>
          <c:yMode val="edge"/>
          <c:x val="4.7475464598221814E-2"/>
          <c:y val="5.4662246166597588E-2"/>
        </c:manualLayout>
      </c:layout>
      <c:overlay val="0"/>
      <c:spPr>
        <a:noFill/>
        <a:ln w="25400">
          <a:noFill/>
        </a:ln>
      </c:spPr>
    </c:title>
    <c:autoTitleDeleted val="0"/>
    <c:plotArea>
      <c:layout>
        <c:manualLayout>
          <c:layoutTarget val="inner"/>
          <c:xMode val="edge"/>
          <c:yMode val="edge"/>
          <c:x val="9.0909099178317548E-2"/>
          <c:y val="0.21929906749710787"/>
          <c:w val="0.89791364352354663"/>
          <c:h val="0.61623037966686467"/>
        </c:manualLayout>
      </c:layout>
      <c:lineChart>
        <c:grouping val="standard"/>
        <c:varyColors val="0"/>
        <c:ser>
          <c:idx val="0"/>
          <c:order val="0"/>
          <c:tx>
            <c:strRef>
              <c:f>'Public Opinion'!$D$9</c:f>
              <c:strCache>
                <c:ptCount val="1"/>
                <c:pt idx="0">
                  <c:v>Performing well</c:v>
                </c:pt>
              </c:strCache>
            </c:strRef>
          </c:tx>
          <c:spPr>
            <a:ln w="25400">
              <a:solidFill>
                <a:srgbClr val="FF6600"/>
              </a:solidFill>
              <a:prstDash val="solid"/>
            </a:ln>
          </c:spPr>
          <c:marker>
            <c:symbol val="none"/>
          </c:marker>
          <c:cat>
            <c:numRef>
              <c:f>'Public Opinion'!$M$47:$AA$80</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'Public Opinion'!$M$81:$AA$81</c:f>
              <c:numCache>
                <c:formatCode>_ * #\ ##0_ ;_ * \-#\ ##0_ ;_ * "-"??_ ;_ @_ </c:formatCode>
                <c:ptCount val="15"/>
                <c:pt idx="0">
                  <c:v>58</c:v>
                </c:pt>
                <c:pt idx="1">
                  <c:v>59</c:v>
                </c:pt>
                <c:pt idx="2">
                  <c:v>55.4</c:v>
                </c:pt>
                <c:pt idx="3">
                  <c:v>49.5</c:v>
                </c:pt>
                <c:pt idx="4">
                  <c:v>52.25</c:v>
                </c:pt>
                <c:pt idx="5">
                  <c:v>53</c:v>
                </c:pt>
                <c:pt idx="6">
                  <c:v>56</c:v>
                </c:pt>
                <c:pt idx="7">
                  <c:v>50.5</c:v>
                </c:pt>
                <c:pt idx="8">
                  <c:v>48</c:v>
                </c:pt>
                <c:pt idx="9">
                  <c:v>46</c:v>
                </c:pt>
                <c:pt idx="10" formatCode="General">
                  <c:v>52</c:v>
                </c:pt>
                <c:pt idx="11" formatCode="General">
                  <c:v>49</c:v>
                </c:pt>
                <c:pt idx="12" formatCode="General">
                  <c:v>51</c:v>
                </c:pt>
                <c:pt idx="13" formatCode="General">
                  <c:v>41</c:v>
                </c:pt>
                <c:pt idx="14" formatCode="General">
                  <c:v>35</c:v>
                </c:pt>
              </c:numCache>
            </c:numRef>
          </c:val>
          <c:smooth val="0"/>
          <c:extLst>
            <c:ext xmlns:c16="http://schemas.microsoft.com/office/drawing/2014/chart" uri="{C3380CC4-5D6E-409C-BE32-E72D297353CC}">
              <c16:uniqueId val="{00000000-40CF-42A7-8830-3A44A4985E3A}"/>
            </c:ext>
          </c:extLst>
        </c:ser>
        <c:ser>
          <c:idx val="1"/>
          <c:order val="1"/>
          <c:tx>
            <c:strRef>
              <c:f>'[5]Public Opinion '!#REF!</c:f>
              <c:strCache>
                <c:ptCount val="1"/>
                <c:pt idx="0">
                  <c:v>#REF!</c:v>
                </c:pt>
              </c:strCache>
            </c:strRef>
          </c:tx>
          <c:marker>
            <c:symbol val="none"/>
          </c:marker>
          <c:cat>
            <c:numRef>
              <c:f>'Public Opinion'!$M$47:$AA$80</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'[5]Public Opinion '!#REF!</c:f>
              <c:numCache>
                <c:formatCode>General</c:formatCode>
                <c:ptCount val="1"/>
                <c:pt idx="0">
                  <c:v>1</c:v>
                </c:pt>
              </c:numCache>
            </c:numRef>
          </c:val>
          <c:smooth val="0"/>
          <c:extLst>
            <c:ext xmlns:c16="http://schemas.microsoft.com/office/drawing/2014/chart" uri="{C3380CC4-5D6E-409C-BE32-E72D297353CC}">
              <c16:uniqueId val="{00000001-40CF-42A7-8830-3A44A4985E3A}"/>
            </c:ext>
          </c:extLst>
        </c:ser>
        <c:dLbls>
          <c:showLegendKey val="0"/>
          <c:showVal val="0"/>
          <c:showCatName val="0"/>
          <c:showSerName val="0"/>
          <c:showPercent val="0"/>
          <c:showBubbleSize val="0"/>
        </c:dLbls>
        <c:smooth val="0"/>
        <c:axId val="532763072"/>
        <c:axId val="532772088"/>
      </c:lineChart>
      <c:catAx>
        <c:axId val="532763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532772088"/>
        <c:crosses val="autoZero"/>
        <c:auto val="1"/>
        <c:lblAlgn val="ctr"/>
        <c:lblOffset val="100"/>
        <c:tickLblSkip val="1"/>
        <c:tickMarkSkip val="1"/>
        <c:noMultiLvlLbl val="0"/>
      </c:catAx>
      <c:valAx>
        <c:axId val="532772088"/>
        <c:scaling>
          <c:orientation val="minMax"/>
          <c:max val="65"/>
          <c:min val="35"/>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US"/>
                  <a:t>%</a:t>
                </a:r>
              </a:p>
            </c:rich>
          </c:tx>
          <c:layout>
            <c:manualLayout>
              <c:xMode val="edge"/>
              <c:yMode val="edge"/>
              <c:x val="1.130359357092286E-2"/>
              <c:y val="0.48553034489109914"/>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3072"/>
        <c:crosses val="autoZero"/>
        <c:crossBetween val="between"/>
        <c:majorUnit val="5"/>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paperSize="9" orientation="landscape" horizontalDpi="0" verticalDpi="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Malnutrition_Under</a:t>
            </a:r>
            <a:r>
              <a:rPr lang="en-US" baseline="0"/>
              <a:t> Years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'Severe Acute Malnutrition'!$F$9</c:f>
              <c:strCache>
                <c:ptCount val="1"/>
                <c:pt idx="0">
                  <c:v>number</c:v>
                </c:pt>
              </c:strCache>
            </c:strRef>
          </c:tx>
          <c:spPr>
            <a:solidFill>
              <a:schemeClr val="accent2"/>
            </a:solidFill>
            <a:ln>
              <a:noFill/>
            </a:ln>
            <a:effectLst/>
          </c:spPr>
          <c:invertIfNegative val="0"/>
          <c:cat>
            <c:numRef>
              <c:f>'Severe Acute Malnutrition'!$G$8:$AB$8</c:f>
              <c:numCache>
                <c:formatCode>General</c:formatCode>
                <c:ptCount val="22"/>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numCache>
            </c:numRef>
          </c:cat>
          <c:val>
            <c:numRef>
              <c:f>'Severe Acute Malnutrition'!$G$9:$AB$9</c:f>
              <c:numCache>
                <c:formatCode>#,##0</c:formatCode>
                <c:ptCount val="22"/>
                <c:pt idx="0">
                  <c:v>0</c:v>
                </c:pt>
                <c:pt idx="1">
                  <c:v>0</c:v>
                </c:pt>
                <c:pt idx="2">
                  <c:v>0</c:v>
                </c:pt>
                <c:pt idx="3">
                  <c:v>0</c:v>
                </c:pt>
                <c:pt idx="4">
                  <c:v>0</c:v>
                </c:pt>
                <c:pt idx="5">
                  <c:v>0</c:v>
                </c:pt>
                <c:pt idx="6">
                  <c:v>0</c:v>
                </c:pt>
                <c:pt idx="7">
                  <c:v>0</c:v>
                </c:pt>
                <c:pt idx="8">
                  <c:v>0</c:v>
                </c:pt>
                <c:pt idx="9">
                  <c:v>0</c:v>
                </c:pt>
                <c:pt idx="10">
                  <c:v>23428</c:v>
                </c:pt>
                <c:pt idx="11">
                  <c:v>20729</c:v>
                </c:pt>
                <c:pt idx="12">
                  <c:v>22265</c:v>
                </c:pt>
                <c:pt idx="13">
                  <c:v>25235</c:v>
                </c:pt>
                <c:pt idx="14">
                  <c:v>23540</c:v>
                </c:pt>
                <c:pt idx="15">
                  <c:v>21123</c:v>
                </c:pt>
                <c:pt idx="16">
                  <c:v>12539</c:v>
                </c:pt>
                <c:pt idx="17">
                  <c:v>13005</c:v>
                </c:pt>
                <c:pt idx="18">
                  <c:v>11194</c:v>
                </c:pt>
                <c:pt idx="19">
                  <c:v>8801</c:v>
                </c:pt>
                <c:pt idx="20">
                  <c:v>10165</c:v>
                </c:pt>
                <c:pt idx="21">
                  <c:v>14267</c:v>
                </c:pt>
              </c:numCache>
            </c:numRef>
          </c:val>
          <c:extLst>
            <c:ext xmlns:c16="http://schemas.microsoft.com/office/drawing/2014/chart" uri="{C3380CC4-5D6E-409C-BE32-E72D297353CC}">
              <c16:uniqueId val="{00000000-042B-45B5-BFC5-11AD23F28E58}"/>
            </c:ext>
          </c:extLst>
        </c:ser>
        <c:dLbls>
          <c:showLegendKey val="0"/>
          <c:showVal val="0"/>
          <c:showCatName val="0"/>
          <c:showSerName val="0"/>
          <c:showPercent val="0"/>
          <c:showBubbleSize val="0"/>
        </c:dLbls>
        <c:gapWidth val="219"/>
        <c:overlap val="-27"/>
        <c:axId val="992805376"/>
        <c:axId val="275433440"/>
      </c:barChart>
      <c:catAx>
        <c:axId val="99280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5433440"/>
        <c:crosses val="autoZero"/>
        <c:auto val="1"/>
        <c:lblAlgn val="ctr"/>
        <c:lblOffset val="100"/>
        <c:noMultiLvlLbl val="0"/>
      </c:catAx>
      <c:valAx>
        <c:axId val="275433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805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IMMUNISATION COVERAGE</a:t>
            </a:r>
          </a:p>
        </c:rich>
      </c:tx>
      <c:layout>
        <c:manualLayout>
          <c:xMode val="edge"/>
          <c:yMode val="edge"/>
          <c:x val="2.7667948813570771E-2"/>
          <c:y val="3.2051064039530272E-2"/>
        </c:manualLayout>
      </c:layout>
      <c:overlay val="0"/>
      <c:spPr>
        <a:noFill/>
        <a:ln w="25400">
          <a:noFill/>
        </a:ln>
      </c:spPr>
    </c:title>
    <c:autoTitleDeleted val="0"/>
    <c:plotArea>
      <c:layout>
        <c:manualLayout>
          <c:layoutTarget val="inner"/>
          <c:xMode val="edge"/>
          <c:yMode val="edge"/>
          <c:x val="5.6009599746403925E-2"/>
          <c:y val="0.1194240025173965"/>
          <c:w val="0.92138423728334262"/>
          <c:h val="0.77820056212319666"/>
        </c:manualLayout>
      </c:layout>
      <c:lineChart>
        <c:grouping val="standard"/>
        <c:varyColors val="0"/>
        <c:ser>
          <c:idx val="1"/>
          <c:order val="0"/>
          <c:tx>
            <c:strRef>
              <c:f>Immunization!$D$9</c:f>
              <c:strCache>
                <c:ptCount val="1"/>
                <c:pt idx="0">
                  <c:v>Immunisation Coverage</c:v>
                </c:pt>
              </c:strCache>
            </c:strRef>
          </c:tx>
          <c:marker>
            <c:symbol val="square"/>
            <c:size val="5"/>
            <c:spPr>
              <a:solidFill>
                <a:srgbClr val="FF6600"/>
              </a:solidFill>
              <a:ln>
                <a:solidFill>
                  <a:srgbClr val="FF6600"/>
                </a:solidFill>
                <a:prstDash val="solid"/>
              </a:ln>
            </c:spPr>
          </c:marker>
          <c:cat>
            <c:numRef>
              <c:f>Immunization!$N$8:$AC$8</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Immunization!$N$9:$AC$9</c:f>
              <c:numCache>
                <c:formatCode>0.0%</c:formatCode>
                <c:ptCount val="16"/>
                <c:pt idx="0">
                  <c:v>0.73499999999999999</c:v>
                </c:pt>
                <c:pt idx="1">
                  <c:v>0.75</c:v>
                </c:pt>
                <c:pt idx="2">
                  <c:v>0.77100000000000002</c:v>
                </c:pt>
                <c:pt idx="3">
                  <c:v>0.71199999999999997</c:v>
                </c:pt>
                <c:pt idx="4">
                  <c:v>0</c:v>
                </c:pt>
                <c:pt idx="5">
                  <c:v>0</c:v>
                </c:pt>
                <c:pt idx="6">
                  <c:v>0.78700000000000003</c:v>
                </c:pt>
                <c:pt idx="7">
                  <c:v>0.80500000000000005</c:v>
                </c:pt>
                <c:pt idx="8">
                  <c:v>0.81499999999999995</c:v>
                </c:pt>
                <c:pt idx="9">
                  <c:v>0.70399999999999996</c:v>
                </c:pt>
                <c:pt idx="10">
                  <c:v>0.73899999999999999</c:v>
                </c:pt>
                <c:pt idx="11">
                  <c:v>0.81699999999999995</c:v>
                </c:pt>
                <c:pt idx="12">
                  <c:v>0.83899999999999997</c:v>
                </c:pt>
                <c:pt idx="13">
                  <c:v>0.81</c:v>
                </c:pt>
                <c:pt idx="14">
                  <c:v>0.83699999999999997</c:v>
                </c:pt>
                <c:pt idx="15">
                  <c:v>0.85699999999999998</c:v>
                </c:pt>
              </c:numCache>
            </c:numRef>
          </c:val>
          <c:smooth val="0"/>
          <c:extLst>
            <c:ext xmlns:c16="http://schemas.microsoft.com/office/drawing/2014/chart" uri="{C3380CC4-5D6E-409C-BE32-E72D297353CC}">
              <c16:uniqueId val="{00000000-0566-4451-B88E-BCD19878A3B1}"/>
            </c:ext>
          </c:extLst>
        </c:ser>
        <c:dLbls>
          <c:showLegendKey val="0"/>
          <c:showVal val="0"/>
          <c:showCatName val="0"/>
          <c:showSerName val="0"/>
          <c:showPercent val="0"/>
          <c:showBubbleSize val="0"/>
        </c:dLbls>
        <c:marker val="1"/>
        <c:smooth val="0"/>
        <c:axId val="81825152"/>
        <c:axId val="81831424"/>
      </c:lineChart>
      <c:catAx>
        <c:axId val="81825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831424"/>
        <c:crosses val="autoZero"/>
        <c:auto val="1"/>
        <c:lblAlgn val="ctr"/>
        <c:lblOffset val="100"/>
        <c:tickLblSkip val="1"/>
        <c:tickMarkSkip val="1"/>
        <c:noMultiLvlLbl val="0"/>
      </c:catAx>
      <c:valAx>
        <c:axId val="81831424"/>
        <c:scaling>
          <c:orientation val="minMax"/>
          <c:min val="0.60000000000000064"/>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1825152"/>
        <c:crosses val="autoZero"/>
        <c:crossBetween val="midCat"/>
        <c:majorUnit val="0.1"/>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paperSize="9"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ZA" sz="1300"/>
              <a:t>Maternal Deaths / 100 000 live births</a:t>
            </a:r>
          </a:p>
        </c:rich>
      </c:tx>
      <c:overlay val="0"/>
      <c:spPr>
        <a:noFill/>
        <a:ln>
          <a:noFill/>
        </a:ln>
        <a:effectLst/>
      </c:spPr>
    </c:title>
    <c:autoTitleDeleted val="0"/>
    <c:plotArea>
      <c:layout>
        <c:manualLayout>
          <c:layoutTarget val="inner"/>
          <c:xMode val="edge"/>
          <c:yMode val="edge"/>
          <c:x val="3.6971400373318482E-2"/>
          <c:y val="0.15850427350427362"/>
          <c:w val="0.95212941706537435"/>
          <c:h val="0.64460091527020702"/>
        </c:manualLayout>
      </c:layout>
      <c:lineChart>
        <c:grouping val="standard"/>
        <c:varyColors val="0"/>
        <c:ser>
          <c:idx val="0"/>
          <c:order val="0"/>
          <c:tx>
            <c:strRef>
              <c:f>'Maternal Mortality'!$C$10</c:f>
              <c:strCache>
                <c:ptCount val="1"/>
                <c:pt idx="0">
                  <c:v>StatsSA</c:v>
                </c:pt>
              </c:strCache>
            </c:strRef>
          </c:tx>
          <c:spPr>
            <a:ln w="28575" cap="rnd">
              <a:solidFill>
                <a:schemeClr val="accent4">
                  <a:lumMod val="75000"/>
                </a:schemeClr>
              </a:solidFill>
              <a:round/>
            </a:ln>
            <a:effectLst/>
          </c:spPr>
          <c:marker>
            <c:symbol val="none"/>
          </c:marker>
          <c:cat>
            <c:numRef>
              <c:f>'Maternal Mortality'!$N$9:$AC$9</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'Maternal Mortality'!$N$10:$AC$10</c:f>
              <c:numCache>
                <c:formatCode>0</c:formatCode>
                <c:ptCount val="16"/>
                <c:pt idx="0">
                  <c:v>277</c:v>
                </c:pt>
                <c:pt idx="1">
                  <c:v>271</c:v>
                </c:pt>
                <c:pt idx="2">
                  <c:v>283</c:v>
                </c:pt>
                <c:pt idx="3">
                  <c:v>248</c:v>
                </c:pt>
                <c:pt idx="4">
                  <c:v>184</c:v>
                </c:pt>
                <c:pt idx="5">
                  <c:v>155</c:v>
                </c:pt>
                <c:pt idx="6">
                  <c:v>0</c:v>
                </c:pt>
                <c:pt idx="7">
                  <c:v>0</c:v>
                </c:pt>
                <c:pt idx="8">
                  <c:v>0</c:v>
                </c:pt>
                <c:pt idx="9">
                  <c:v>57</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0-0D49-4DF9-84C9-D52FEE9AD1CD}"/>
            </c:ext>
          </c:extLst>
        </c:ser>
        <c:ser>
          <c:idx val="2"/>
          <c:order val="1"/>
          <c:tx>
            <c:strRef>
              <c:f>'[18]Martenal mortality'!#REF!</c:f>
              <c:strCache>
                <c:ptCount val="1"/>
                <c:pt idx="0">
                  <c:v>#REF!</c:v>
                </c:pt>
              </c:strCache>
              <c:extLst xmlns:c15="http://schemas.microsoft.com/office/drawing/2012/chart"/>
            </c:strRef>
          </c:tx>
          <c:spPr>
            <a:ln w="28575" cap="rnd">
              <a:solidFill>
                <a:schemeClr val="accent3"/>
              </a:solidFill>
              <a:round/>
            </a:ln>
            <a:effectLst/>
          </c:spPr>
          <c:marker>
            <c:symbol val="none"/>
          </c:marker>
          <c:cat>
            <c:numRef>
              <c:f>'Maternal Mortality'!$N$9:$AC$9</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'[18]Martenal mortality'!#REF!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0D49-4DF9-84C9-D52FEE9AD1CD}"/>
            </c:ext>
          </c:extLst>
        </c:ser>
        <c:ser>
          <c:idx val="3"/>
          <c:order val="2"/>
          <c:tx>
            <c:strRef>
              <c:f>'Maternal Mortality'!$C$12</c:f>
              <c:strCache>
                <c:ptCount val="1"/>
                <c:pt idx="0">
                  <c:v>RMS</c:v>
                </c:pt>
              </c:strCache>
            </c:strRef>
          </c:tx>
          <c:spPr>
            <a:ln w="28575" cap="rnd">
              <a:solidFill>
                <a:schemeClr val="accent4"/>
              </a:solidFill>
              <a:round/>
            </a:ln>
            <a:effectLst/>
          </c:spPr>
          <c:marker>
            <c:symbol val="none"/>
          </c:marker>
          <c:cat>
            <c:numRef>
              <c:f>'Maternal Mortality'!$N$9:$AC$9</c:f>
              <c:numCache>
                <c:formatCode>General</c:formatCod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numCache>
            </c:numRef>
          </c:cat>
          <c:val>
            <c:numRef>
              <c:f>'Maternal Mortality'!$N$12:$AA$12</c:f>
              <c:numCache>
                <c:formatCode>0</c:formatCode>
                <c:ptCount val="14"/>
                <c:pt idx="1">
                  <c:v>280</c:v>
                </c:pt>
                <c:pt idx="2">
                  <c:v>304</c:v>
                </c:pt>
                <c:pt idx="3">
                  <c:v>269</c:v>
                </c:pt>
                <c:pt idx="4">
                  <c:v>198</c:v>
                </c:pt>
                <c:pt idx="5">
                  <c:v>164</c:v>
                </c:pt>
                <c:pt idx="6">
                  <c:v>153</c:v>
                </c:pt>
                <c:pt idx="7">
                  <c:v>166</c:v>
                </c:pt>
                <c:pt idx="8">
                  <c:v>153</c:v>
                </c:pt>
                <c:pt idx="9">
                  <c:v>134</c:v>
                </c:pt>
                <c:pt idx="10">
                  <c:v>134.97</c:v>
                </c:pt>
                <c:pt idx="11">
                  <c:v>122.9</c:v>
                </c:pt>
              </c:numCache>
            </c:numRef>
          </c:val>
          <c:smooth val="0"/>
          <c:extLst>
            <c:ext xmlns:c16="http://schemas.microsoft.com/office/drawing/2014/chart" uri="{C3380CC4-5D6E-409C-BE32-E72D297353CC}">
              <c16:uniqueId val="{00000002-0D49-4DF9-84C9-D52FEE9AD1CD}"/>
            </c:ext>
          </c:extLst>
        </c:ser>
        <c:dLbls>
          <c:showLegendKey val="0"/>
          <c:showVal val="0"/>
          <c:showCatName val="0"/>
          <c:showSerName val="0"/>
          <c:showPercent val="0"/>
          <c:showBubbleSize val="0"/>
        </c:dLbls>
        <c:smooth val="0"/>
        <c:axId val="83734528"/>
        <c:axId val="83736064"/>
        <c:extLst/>
      </c:lineChart>
      <c:catAx>
        <c:axId val="8373452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736064"/>
        <c:crossesAt val="0"/>
        <c:auto val="1"/>
        <c:lblAlgn val="ctr"/>
        <c:lblOffset val="100"/>
        <c:noMultiLvlLbl val="0"/>
      </c:catAx>
      <c:valAx>
        <c:axId val="83736064"/>
        <c:scaling>
          <c:orientation val="minMax"/>
          <c:min val="0"/>
        </c:scaling>
        <c:delete val="0"/>
        <c:axPos val="l"/>
        <c:majorGridlines>
          <c:spPr>
            <a:ln w="9525" cap="flat" cmpd="sng" algn="ctr">
              <a:solidFill>
                <a:srgbClr val="969696"/>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734528"/>
        <c:crosses val="autoZero"/>
        <c:crossBetween val="between"/>
        <c:min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000000000000033" l="0.70000000000000029" r="0.70000000000000029" t="0.75000000000000033" header="0.30000000000000016" footer="0.30000000000000016"/>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511864259403765E-2"/>
          <c:y val="6.1020177907625796E-2"/>
          <c:w val="0.91171848208815576"/>
          <c:h val="0.72101533543055085"/>
        </c:manualLayout>
      </c:layout>
      <c:lineChart>
        <c:grouping val="standard"/>
        <c:varyColors val="0"/>
        <c:ser>
          <c:idx val="0"/>
          <c:order val="0"/>
          <c:tx>
            <c:strRef>
              <c:f>'HIV Prevalance '!$D$12</c:f>
              <c:strCache>
                <c:ptCount val="1"/>
                <c:pt idx="0">
                  <c:v>Total Population </c:v>
                </c:pt>
              </c:strCache>
            </c:strRef>
          </c:tx>
          <c:spPr>
            <a:ln w="25400">
              <a:solidFill>
                <a:srgbClr val="FF6600"/>
              </a:solidFill>
            </a:ln>
          </c:spPr>
          <c:marker>
            <c:symbol val="none"/>
          </c:marker>
          <c:cat>
            <c:numRef>
              <c:f>'HIV Prevalance '!$F$8:$Z$8</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'HIV Prevalance '!$F$12:$Z$12</c:f>
              <c:numCache>
                <c:formatCode>0.00</c:formatCode>
                <c:ptCount val="21"/>
                <c:pt idx="0">
                  <c:v>8.14</c:v>
                </c:pt>
                <c:pt idx="1">
                  <c:v>8.6199999999999992</c:v>
                </c:pt>
                <c:pt idx="2">
                  <c:v>9.01</c:v>
                </c:pt>
                <c:pt idx="3">
                  <c:v>9.33</c:v>
                </c:pt>
                <c:pt idx="4">
                  <c:v>9.59</c:v>
                </c:pt>
                <c:pt idx="5">
                  <c:v>9.83</c:v>
                </c:pt>
                <c:pt idx="6">
                  <c:v>10.07</c:v>
                </c:pt>
                <c:pt idx="7">
                  <c:v>10.39</c:v>
                </c:pt>
                <c:pt idx="8">
                  <c:v>10.7</c:v>
                </c:pt>
                <c:pt idx="9">
                  <c:v>11.05</c:v>
                </c:pt>
                <c:pt idx="10">
                  <c:v>11.41</c:v>
                </c:pt>
                <c:pt idx="11">
                  <c:v>11.73</c:v>
                </c:pt>
                <c:pt idx="12">
                  <c:v>12.06</c:v>
                </c:pt>
                <c:pt idx="13">
                  <c:v>12.37</c:v>
                </c:pt>
                <c:pt idx="14">
                  <c:v>12.61</c:v>
                </c:pt>
                <c:pt idx="15">
                  <c:v>12.84</c:v>
                </c:pt>
                <c:pt idx="16">
                  <c:v>13.06</c:v>
                </c:pt>
                <c:pt idx="17">
                  <c:v>13.26</c:v>
                </c:pt>
                <c:pt idx="18">
                  <c:v>13.47</c:v>
                </c:pt>
                <c:pt idx="19">
                  <c:v>13.68</c:v>
                </c:pt>
                <c:pt idx="20" formatCode="0.0">
                  <c:v>13.93857602508044</c:v>
                </c:pt>
              </c:numCache>
            </c:numRef>
          </c:val>
          <c:smooth val="0"/>
          <c:extLst>
            <c:ext xmlns:c16="http://schemas.microsoft.com/office/drawing/2014/chart" uri="{C3380CC4-5D6E-409C-BE32-E72D297353CC}">
              <c16:uniqueId val="{00000000-2CE4-4993-B6B5-27DAF00074D6}"/>
            </c:ext>
          </c:extLst>
        </c:ser>
        <c:ser>
          <c:idx val="1"/>
          <c:order val="1"/>
          <c:tx>
            <c:strRef>
              <c:f>'HIV Prevalance '!$D$9</c:f>
              <c:strCache>
                <c:ptCount val="1"/>
                <c:pt idx="0">
                  <c:v>Youth 15-24</c:v>
                </c:pt>
              </c:strCache>
            </c:strRef>
          </c:tx>
          <c:marker>
            <c:symbol val="none"/>
          </c:marker>
          <c:cat>
            <c:numRef>
              <c:f>'HIV Prevalance '!$F$8:$Z$8</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'HIV Prevalance '!$F$9:$Z$9</c:f>
              <c:numCache>
                <c:formatCode>0.00</c:formatCode>
                <c:ptCount val="21"/>
                <c:pt idx="0">
                  <c:v>6.31</c:v>
                </c:pt>
                <c:pt idx="1">
                  <c:v>6.32</c:v>
                </c:pt>
                <c:pt idx="2">
                  <c:v>6.29</c:v>
                </c:pt>
                <c:pt idx="3">
                  <c:v>6.25</c:v>
                </c:pt>
                <c:pt idx="4">
                  <c:v>6.18</c:v>
                </c:pt>
                <c:pt idx="5">
                  <c:v>6.13</c:v>
                </c:pt>
                <c:pt idx="6">
                  <c:v>6.11</c:v>
                </c:pt>
                <c:pt idx="7">
                  <c:v>6.16</c:v>
                </c:pt>
                <c:pt idx="8">
                  <c:v>6.2</c:v>
                </c:pt>
                <c:pt idx="9">
                  <c:v>6.23</c:v>
                </c:pt>
                <c:pt idx="10">
                  <c:v>6.29</c:v>
                </c:pt>
                <c:pt idx="11">
                  <c:v>6.29</c:v>
                </c:pt>
                <c:pt idx="12">
                  <c:v>6.24</c:v>
                </c:pt>
                <c:pt idx="13">
                  <c:v>6.21</c:v>
                </c:pt>
                <c:pt idx="14">
                  <c:v>6.05</c:v>
                </c:pt>
                <c:pt idx="15">
                  <c:v>5.92</c:v>
                </c:pt>
                <c:pt idx="16">
                  <c:v>5.79</c:v>
                </c:pt>
                <c:pt idx="17">
                  <c:v>5.68</c:v>
                </c:pt>
                <c:pt idx="18">
                  <c:v>5.6</c:v>
                </c:pt>
                <c:pt idx="19">
                  <c:v>5.53</c:v>
                </c:pt>
                <c:pt idx="20" formatCode="General">
                  <c:v>5.79</c:v>
                </c:pt>
              </c:numCache>
            </c:numRef>
          </c:val>
          <c:smooth val="0"/>
          <c:extLst>
            <c:ext xmlns:c16="http://schemas.microsoft.com/office/drawing/2014/chart" uri="{C3380CC4-5D6E-409C-BE32-E72D297353CC}">
              <c16:uniqueId val="{00000001-2CE4-4993-B6B5-27DAF00074D6}"/>
            </c:ext>
          </c:extLst>
        </c:ser>
        <c:ser>
          <c:idx val="3"/>
          <c:order val="3"/>
          <c:tx>
            <c:strRef>
              <c:f>'HIV Prevalance '!$D$10</c:f>
              <c:strCache>
                <c:ptCount val="1"/>
                <c:pt idx="0">
                  <c:v>Adult women 15-49</c:v>
                </c:pt>
              </c:strCache>
            </c:strRef>
          </c:tx>
          <c:marker>
            <c:symbol val="none"/>
          </c:marker>
          <c:cat>
            <c:numRef>
              <c:f>'HIV Prevalance '!$F$8:$Z$8</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'HIV Prevalance '!$F$10:$Z$10</c:f>
              <c:numCache>
                <c:formatCode>0.00</c:formatCode>
                <c:ptCount val="21"/>
                <c:pt idx="0">
                  <c:v>15.24</c:v>
                </c:pt>
                <c:pt idx="1">
                  <c:v>15.98</c:v>
                </c:pt>
                <c:pt idx="2">
                  <c:v>16.55</c:v>
                </c:pt>
                <c:pt idx="3">
                  <c:v>17</c:v>
                </c:pt>
                <c:pt idx="4">
                  <c:v>17.399999999999999</c:v>
                </c:pt>
                <c:pt idx="5">
                  <c:v>17.77</c:v>
                </c:pt>
                <c:pt idx="6">
                  <c:v>18.16</c:v>
                </c:pt>
                <c:pt idx="7">
                  <c:v>18.78</c:v>
                </c:pt>
                <c:pt idx="8">
                  <c:v>19.399999999999999</c:v>
                </c:pt>
                <c:pt idx="9">
                  <c:v>20.07</c:v>
                </c:pt>
                <c:pt idx="10">
                  <c:v>20.76</c:v>
                </c:pt>
                <c:pt idx="11">
                  <c:v>21.38</c:v>
                </c:pt>
                <c:pt idx="12">
                  <c:v>21.96</c:v>
                </c:pt>
                <c:pt idx="13">
                  <c:v>22.49</c:v>
                </c:pt>
                <c:pt idx="14">
                  <c:v>22.84</c:v>
                </c:pt>
                <c:pt idx="15">
                  <c:v>23.17</c:v>
                </c:pt>
                <c:pt idx="16">
                  <c:v>23.44</c:v>
                </c:pt>
                <c:pt idx="17">
                  <c:v>23.64</c:v>
                </c:pt>
                <c:pt idx="18">
                  <c:v>23.8</c:v>
                </c:pt>
                <c:pt idx="19">
                  <c:v>23.92</c:v>
                </c:pt>
                <c:pt idx="20">
                  <c:v>24.099683180168878</c:v>
                </c:pt>
              </c:numCache>
            </c:numRef>
          </c:val>
          <c:smooth val="0"/>
          <c:extLst>
            <c:ext xmlns:c16="http://schemas.microsoft.com/office/drawing/2014/chart" uri="{C3380CC4-5D6E-409C-BE32-E72D297353CC}">
              <c16:uniqueId val="{00000002-2CE4-4993-B6B5-27DAF00074D6}"/>
            </c:ext>
          </c:extLst>
        </c:ser>
        <c:dLbls>
          <c:showLegendKey val="0"/>
          <c:showVal val="0"/>
          <c:showCatName val="0"/>
          <c:showSerName val="0"/>
          <c:showPercent val="0"/>
          <c:showBubbleSize val="0"/>
        </c:dLbls>
        <c:smooth val="0"/>
        <c:axId val="1786713168"/>
        <c:axId val="1786709904"/>
        <c:extLst>
          <c:ext xmlns:c15="http://schemas.microsoft.com/office/drawing/2012/chart" uri="{02D57815-91ED-43cb-92C2-25804820EDAC}">
            <c15:filteredLineSeries>
              <c15:ser>
                <c:idx val="2"/>
                <c:order val="2"/>
                <c:tx>
                  <c:strRef>
                    <c:extLst>
                      <c:ext uri="{02D57815-91ED-43cb-92C2-25804820EDAC}">
                        <c15:formulaRef>
                          <c15:sqref>'HIV Prevalance '!#REF!</c15:sqref>
                        </c15:formulaRef>
                      </c:ext>
                    </c:extLst>
                    <c:strCache>
                      <c:ptCount val="1"/>
                      <c:pt idx="0">
                        <c:v>#REF!</c:v>
                      </c:pt>
                    </c:strCache>
                  </c:strRef>
                </c:tx>
                <c:marker>
                  <c:symbol val="none"/>
                </c:marker>
                <c:cat>
                  <c:numRef>
                    <c:extLst>
                      <c:ext uri="{02D57815-91ED-43cb-92C2-25804820EDAC}">
                        <c15:formulaRef>
                          <c15:sqref>'HIV Prevalance '!$F$8:$Z$8</c15:sqref>
                        </c15:formulaRef>
                      </c:ext>
                    </c:extLst>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extLst>
                      <c:ext uri="{02D57815-91ED-43cb-92C2-25804820EDAC}">
                        <c15:formulaRef>
                          <c15:sqref>'HIV Prevalance '!#REF!</c15:sqref>
                        </c15:formulaRef>
                      </c:ext>
                    </c:extLst>
                    <c:numCache>
                      <c:formatCode>General</c:formatCode>
                      <c:ptCount val="1"/>
                      <c:pt idx="0">
                        <c:v>1</c:v>
                      </c:pt>
                    </c:numCache>
                  </c:numRef>
                </c:val>
                <c:smooth val="0"/>
                <c:extLst>
                  <c:ext xmlns:c16="http://schemas.microsoft.com/office/drawing/2014/chart" uri="{C3380CC4-5D6E-409C-BE32-E72D297353CC}">
                    <c16:uniqueId val="{00000003-2CE4-4993-B6B5-27DAF00074D6}"/>
                  </c:ext>
                </c:extLst>
              </c15:ser>
            </c15:filteredLineSeries>
          </c:ext>
        </c:extLst>
      </c:lineChart>
      <c:catAx>
        <c:axId val="1786713168"/>
        <c:scaling>
          <c:orientation val="minMax"/>
        </c:scaling>
        <c:delete val="0"/>
        <c:axPos val="b"/>
        <c:numFmt formatCode="General" sourceLinked="1"/>
        <c:majorTickMark val="none"/>
        <c:minorTickMark val="none"/>
        <c:tickLblPos val="nextTo"/>
        <c:spPr>
          <a:ln>
            <a:solidFill>
              <a:schemeClr val="tx1"/>
            </a:solidFill>
          </a:ln>
        </c:spPr>
        <c:crossAx val="1786709904"/>
        <c:crosses val="autoZero"/>
        <c:auto val="1"/>
        <c:lblAlgn val="ctr"/>
        <c:lblOffset val="100"/>
        <c:noMultiLvlLbl val="0"/>
      </c:catAx>
      <c:valAx>
        <c:axId val="1786709904"/>
        <c:scaling>
          <c:orientation val="minMax"/>
          <c:min val="4"/>
        </c:scaling>
        <c:delete val="0"/>
        <c:axPos val="l"/>
        <c:majorGridlines>
          <c:spPr>
            <a:ln>
              <a:prstDash val="sysDash"/>
            </a:ln>
          </c:spPr>
        </c:majorGridlines>
        <c:title>
          <c:tx>
            <c:rich>
              <a:bodyPr/>
              <a:lstStyle/>
              <a:p>
                <a:pPr>
                  <a:defRPr/>
                </a:pPr>
                <a:r>
                  <a:rPr lang="en-US"/>
                  <a:t>prevalence</a:t>
                </a:r>
              </a:p>
            </c:rich>
          </c:tx>
          <c:layout>
            <c:manualLayout>
              <c:xMode val="edge"/>
              <c:yMode val="edge"/>
              <c:x val="1.7152480144162496E-2"/>
              <c:y val="0.29897697176993149"/>
            </c:manualLayout>
          </c:layout>
          <c:overlay val="0"/>
        </c:title>
        <c:numFmt formatCode="0.00" sourceLinked="1"/>
        <c:majorTickMark val="none"/>
        <c:minorTickMark val="none"/>
        <c:tickLblPos val="nextTo"/>
        <c:spPr>
          <a:ln>
            <a:solidFill>
              <a:schemeClr val="tx1"/>
            </a:solidFill>
          </a:ln>
        </c:spPr>
        <c:crossAx val="1786713168"/>
        <c:crosses val="autoZero"/>
        <c:crossBetween val="between"/>
      </c:valAx>
    </c:plotArea>
    <c:legend>
      <c:legendPos val="b"/>
      <c:layout>
        <c:manualLayout>
          <c:xMode val="edge"/>
          <c:yMode val="edge"/>
          <c:x val="0.34920623231296605"/>
          <c:y val="0.88089405113953512"/>
          <c:w val="0.30158744664776499"/>
          <c:h val="0.10703958385292336"/>
        </c:manualLayout>
      </c:layout>
      <c:overlay val="0"/>
      <c:txPr>
        <a:bodyPr/>
        <a:lstStyle/>
        <a:p>
          <a:pPr>
            <a:defRPr sz="900"/>
          </a:pPr>
          <a:endParaRPr lang="en-US"/>
        </a:p>
      </c:txPr>
    </c:legend>
    <c:plotVisOnly val="1"/>
    <c:dispBlanksAs val="gap"/>
    <c:showDLblsOverMax val="0"/>
  </c:chart>
  <c:spPr>
    <a:ln>
      <a:solidFill>
        <a:schemeClr val="tx1"/>
      </a:solidFill>
    </a:ln>
  </c:spPr>
  <c:txPr>
    <a:bodyPr/>
    <a:lstStyle/>
    <a:p>
      <a:pPr>
        <a:defRPr sz="700">
          <a:latin typeface="Arial" pitchFamily="34" charset="0"/>
          <a:cs typeface="Arial" pitchFamily="34" charset="0"/>
        </a:defRPr>
      </a:pPr>
      <a:endParaRPr lang="en-US"/>
    </a:p>
  </c:txPr>
  <c:printSettings>
    <c:headerFooter/>
    <c:pageMargins b="0.75000000000000544" l="0.70000000000000062" r="0.70000000000000062" t="0.75000000000000544"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875676083620535E-2"/>
          <c:y val="6.0125268867262029E-2"/>
          <c:w val="0.94055243893235385"/>
          <c:h val="0.80935818511113178"/>
        </c:manualLayout>
      </c:layout>
      <c:lineChart>
        <c:grouping val="standard"/>
        <c:varyColors val="0"/>
        <c:ser>
          <c:idx val="9"/>
          <c:order val="0"/>
          <c:tx>
            <c:strRef>
              <c:f>'HIV Prevalance '!$D$14</c:f>
              <c:strCache>
                <c:ptCount val="1"/>
                <c:pt idx="0">
                  <c:v>HIV Incidence</c:v>
                </c:pt>
              </c:strCache>
            </c:strRef>
          </c:tx>
          <c:spPr>
            <a:ln w="28575" cap="rnd">
              <a:solidFill>
                <a:schemeClr val="accent4">
                  <a:lumMod val="60000"/>
                </a:schemeClr>
              </a:solidFill>
              <a:round/>
            </a:ln>
            <a:effectLst/>
          </c:spPr>
          <c:marker>
            <c:symbol val="none"/>
          </c:marker>
          <c:cat>
            <c:numRef>
              <c:f>'HIV Prevalance '!$F$8:$W$8</c:f>
              <c:numCache>
                <c:formatCode>General</c:formatCode>
                <c:ptCount val="18"/>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numCache>
            </c:numRef>
          </c:cat>
          <c:val>
            <c:numRef>
              <c:f>'HIV Prevalance '!$F$14:$W$14</c:f>
              <c:numCache>
                <c:formatCode>0.0</c:formatCode>
                <c:ptCount val="18"/>
              </c:numCache>
            </c:numRef>
          </c:val>
          <c:smooth val="0"/>
          <c:extLst>
            <c:ext xmlns:c16="http://schemas.microsoft.com/office/drawing/2014/chart" uri="{C3380CC4-5D6E-409C-BE32-E72D297353CC}">
              <c16:uniqueId val="{00000000-EA7C-4050-8676-5AF3716B7D0A}"/>
            </c:ext>
          </c:extLst>
        </c:ser>
        <c:dLbls>
          <c:showLegendKey val="0"/>
          <c:showVal val="0"/>
          <c:showCatName val="0"/>
          <c:showSerName val="0"/>
          <c:showPercent val="0"/>
          <c:showBubbleSize val="0"/>
        </c:dLbls>
        <c:smooth val="0"/>
        <c:axId val="2086602896"/>
        <c:axId val="2086606224"/>
      </c:lineChart>
      <c:catAx>
        <c:axId val="208660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606224"/>
        <c:crosses val="autoZero"/>
        <c:auto val="1"/>
        <c:lblAlgn val="ctr"/>
        <c:lblOffset val="100"/>
        <c:noMultiLvlLbl val="0"/>
      </c:catAx>
      <c:valAx>
        <c:axId val="208660622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86602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ART Total Remaining</a:t>
            </a:r>
            <a:r>
              <a:rPr lang="en-ZA" baseline="0"/>
              <a:t> on ART</a:t>
            </a:r>
            <a:endParaRPr lang="en-ZA"/>
          </a:p>
        </c:rich>
      </c:tx>
      <c:layout>
        <c:manualLayout>
          <c:xMode val="edge"/>
          <c:yMode val="edge"/>
          <c:x val="9.5338932020537712E-2"/>
          <c:y val="3.5088026277417084E-2"/>
        </c:manualLayout>
      </c:layout>
      <c:overlay val="0"/>
      <c:spPr>
        <a:noFill/>
        <a:ln w="25400">
          <a:noFill/>
        </a:ln>
      </c:spPr>
    </c:title>
    <c:autoTitleDeleted val="0"/>
    <c:plotArea>
      <c:layout>
        <c:manualLayout>
          <c:layoutTarget val="inner"/>
          <c:xMode val="edge"/>
          <c:yMode val="edge"/>
          <c:x val="0.11446381147883716"/>
          <c:y val="0.16131776631369352"/>
          <c:w val="0.8556863586838046"/>
          <c:h val="0.69552960046660861"/>
        </c:manualLayout>
      </c:layout>
      <c:lineChart>
        <c:grouping val="standard"/>
        <c:varyColors val="0"/>
        <c:ser>
          <c:idx val="0"/>
          <c:order val="0"/>
          <c:tx>
            <c:strRef>
              <c:f>'ART new TROA'!$D$9</c:f>
              <c:strCache>
                <c:ptCount val="1"/>
                <c:pt idx="0">
                  <c:v>Total remaining on ART (Adult) * (December)</c:v>
                </c:pt>
              </c:strCache>
            </c:strRef>
          </c:tx>
          <c:spPr>
            <a:ln w="25400">
              <a:solidFill>
                <a:srgbClr val="FF6600"/>
              </a:solidFill>
            </a:ln>
          </c:spPr>
          <c:marker>
            <c:symbol val="none"/>
          </c:marker>
          <c:cat>
            <c:numRef>
              <c:f>'ART new TROA'!$E$8:$V$8</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'ART new TROA'!$E$9:$V$9</c:f>
              <c:numCache>
                <c:formatCode>#,##0</c:formatCode>
                <c:ptCount val="18"/>
                <c:pt idx="0">
                  <c:v>5157</c:v>
                </c:pt>
                <c:pt idx="1">
                  <c:v>36103</c:v>
                </c:pt>
                <c:pt idx="2">
                  <c:v>79821</c:v>
                </c:pt>
                <c:pt idx="3">
                  <c:v>154855</c:v>
                </c:pt>
                <c:pt idx="4">
                  <c:v>480031</c:v>
                </c:pt>
                <c:pt idx="5">
                  <c:v>741540</c:v>
                </c:pt>
                <c:pt idx="6">
                  <c:v>1337630</c:v>
                </c:pt>
                <c:pt idx="7">
                  <c:v>2029509</c:v>
                </c:pt>
                <c:pt idx="8">
                  <c:v>2472591</c:v>
                </c:pt>
                <c:pt idx="9">
                  <c:v>2760890</c:v>
                </c:pt>
                <c:pt idx="10">
                  <c:v>3064920</c:v>
                </c:pt>
                <c:pt idx="11">
                  <c:v>3549268</c:v>
                </c:pt>
                <c:pt idx="12">
                  <c:v>3923464</c:v>
                </c:pt>
                <c:pt idx="13">
                  <c:v>4338833</c:v>
                </c:pt>
                <c:pt idx="14">
                  <c:v>4770460</c:v>
                </c:pt>
                <c:pt idx="15">
                  <c:v>4906094</c:v>
                </c:pt>
                <c:pt idx="16">
                  <c:v>5092512</c:v>
                </c:pt>
                <c:pt idx="17">
                  <c:v>0</c:v>
                </c:pt>
              </c:numCache>
            </c:numRef>
          </c:val>
          <c:smooth val="0"/>
          <c:extLst>
            <c:ext xmlns:c16="http://schemas.microsoft.com/office/drawing/2014/chart" uri="{C3380CC4-5D6E-409C-BE32-E72D297353CC}">
              <c16:uniqueId val="{00000000-B09C-497F-8B5D-5CBDAF9279D3}"/>
            </c:ext>
          </c:extLst>
        </c:ser>
        <c:ser>
          <c:idx val="1"/>
          <c:order val="1"/>
          <c:tx>
            <c:strRef>
              <c:f>'ART new TROA'!$D$11</c:f>
              <c:strCache>
                <c:ptCount val="1"/>
                <c:pt idx="0">
                  <c:v>*Remaing on ART (All)</c:v>
                </c:pt>
              </c:strCache>
            </c:strRef>
          </c:tx>
          <c:spPr>
            <a:ln w="25400">
              <a:solidFill>
                <a:srgbClr val="BE4B48"/>
              </a:solidFill>
            </a:ln>
          </c:spPr>
          <c:marker>
            <c:symbol val="none"/>
          </c:marker>
          <c:cat>
            <c:numRef>
              <c:f>'ART new TROA'!$E$8:$V$8</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'ART new TROA'!$E$11:$V$11</c:f>
              <c:numCache>
                <c:formatCode>#,##0</c:formatCode>
                <c:ptCount val="18"/>
                <c:pt idx="0">
                  <c:v>5524</c:v>
                </c:pt>
                <c:pt idx="1">
                  <c:v>38123</c:v>
                </c:pt>
                <c:pt idx="2">
                  <c:v>84716</c:v>
                </c:pt>
                <c:pt idx="3">
                  <c:v>162895</c:v>
                </c:pt>
                <c:pt idx="4">
                  <c:v>517128</c:v>
                </c:pt>
                <c:pt idx="5">
                  <c:v>798463</c:v>
                </c:pt>
                <c:pt idx="6">
                  <c:v>1437980</c:v>
                </c:pt>
                <c:pt idx="7">
                  <c:v>2168613</c:v>
                </c:pt>
                <c:pt idx="8">
                  <c:v>2629448</c:v>
                </c:pt>
                <c:pt idx="9">
                  <c:v>2920597</c:v>
                </c:pt>
                <c:pt idx="10">
                  <c:v>3211784</c:v>
                </c:pt>
                <c:pt idx="11">
                  <c:v>3716120</c:v>
                </c:pt>
                <c:pt idx="12">
                  <c:v>4086228</c:v>
                </c:pt>
                <c:pt idx="13">
                  <c:v>4496137</c:v>
                </c:pt>
                <c:pt idx="14">
                  <c:v>4922520</c:v>
                </c:pt>
                <c:pt idx="15">
                  <c:v>5045922</c:v>
                </c:pt>
                <c:pt idx="16">
                  <c:v>5217737</c:v>
                </c:pt>
                <c:pt idx="17">
                  <c:v>0</c:v>
                </c:pt>
              </c:numCache>
            </c:numRef>
          </c:val>
          <c:smooth val="0"/>
          <c:extLst>
            <c:ext xmlns:c16="http://schemas.microsoft.com/office/drawing/2014/chart" uri="{C3380CC4-5D6E-409C-BE32-E72D297353CC}">
              <c16:uniqueId val="{00000001-B09C-497F-8B5D-5CBDAF9279D3}"/>
            </c:ext>
          </c:extLst>
        </c:ser>
        <c:ser>
          <c:idx val="2"/>
          <c:order val="2"/>
          <c:tx>
            <c:strRef>
              <c:f>'ART new TROA'!$D$10</c:f>
              <c:strCache>
                <c:ptCount val="1"/>
                <c:pt idx="0">
                  <c:v>Total remaining on ART (Child) (December)</c:v>
                </c:pt>
              </c:strCache>
            </c:strRef>
          </c:tx>
          <c:spPr>
            <a:ln w="25400">
              <a:solidFill>
                <a:schemeClr val="accent2">
                  <a:lumMod val="50000"/>
                </a:schemeClr>
              </a:solidFill>
            </a:ln>
          </c:spPr>
          <c:marker>
            <c:symbol val="none"/>
          </c:marker>
          <c:cat>
            <c:numRef>
              <c:f>'ART new TROA'!$E$8:$V$8</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'ART new TROA'!$E$10:$T$10</c:f>
              <c:numCache>
                <c:formatCode>#,##0</c:formatCode>
                <c:ptCount val="16"/>
                <c:pt idx="0">
                  <c:v>367</c:v>
                </c:pt>
                <c:pt idx="1">
                  <c:v>2020</c:v>
                </c:pt>
                <c:pt idx="2">
                  <c:v>4895</c:v>
                </c:pt>
                <c:pt idx="3">
                  <c:v>8040</c:v>
                </c:pt>
                <c:pt idx="4">
                  <c:v>37097</c:v>
                </c:pt>
                <c:pt idx="5">
                  <c:v>56923</c:v>
                </c:pt>
                <c:pt idx="6">
                  <c:v>100350</c:v>
                </c:pt>
                <c:pt idx="7">
                  <c:v>139104</c:v>
                </c:pt>
                <c:pt idx="8">
                  <c:v>156857</c:v>
                </c:pt>
                <c:pt idx="9">
                  <c:v>159707</c:v>
                </c:pt>
                <c:pt idx="10">
                  <c:v>146864</c:v>
                </c:pt>
                <c:pt idx="11">
                  <c:v>166852</c:v>
                </c:pt>
                <c:pt idx="12">
                  <c:v>162764</c:v>
                </c:pt>
                <c:pt idx="13">
                  <c:v>157304</c:v>
                </c:pt>
                <c:pt idx="14">
                  <c:v>152060</c:v>
                </c:pt>
                <c:pt idx="15">
                  <c:v>139828</c:v>
                </c:pt>
              </c:numCache>
            </c:numRef>
          </c:val>
          <c:smooth val="0"/>
          <c:extLst>
            <c:ext xmlns:c16="http://schemas.microsoft.com/office/drawing/2014/chart" uri="{C3380CC4-5D6E-409C-BE32-E72D297353CC}">
              <c16:uniqueId val="{00000002-B09C-497F-8B5D-5CBDAF9279D3}"/>
            </c:ext>
          </c:extLst>
        </c:ser>
        <c:dLbls>
          <c:showLegendKey val="0"/>
          <c:showVal val="0"/>
          <c:showCatName val="0"/>
          <c:showSerName val="0"/>
          <c:showPercent val="0"/>
          <c:showBubbleSize val="0"/>
        </c:dLbls>
        <c:smooth val="0"/>
        <c:axId val="86960000"/>
        <c:axId val="86961536"/>
      </c:lineChart>
      <c:catAx>
        <c:axId val="86960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6961536"/>
        <c:crosses val="autoZero"/>
        <c:auto val="1"/>
        <c:lblAlgn val="ctr"/>
        <c:lblOffset val="100"/>
        <c:tickLblSkip val="1"/>
        <c:tickMarkSkip val="1"/>
        <c:noMultiLvlLbl val="0"/>
      </c:catAx>
      <c:valAx>
        <c:axId val="86961536"/>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3.3898258339423858E-2"/>
              <c:y val="0.46491350861844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86960000"/>
        <c:crosses val="autoZero"/>
        <c:crossBetween val="between"/>
      </c:valAx>
      <c:spPr>
        <a:solidFill>
          <a:srgbClr val="FFFFFF"/>
        </a:solidFill>
        <a:ln w="3175">
          <a:solidFill>
            <a:srgbClr val="000000"/>
          </a:solidFill>
          <a:prstDash val="solid"/>
        </a:ln>
      </c:spPr>
    </c:plotArea>
    <c:legend>
      <c:legendPos val="r"/>
      <c:layout>
        <c:manualLayout>
          <c:xMode val="edge"/>
          <c:yMode val="edge"/>
          <c:x val="4.1358576715306704E-2"/>
          <c:y val="0.91198600174978128"/>
          <c:w val="0.94180678288576358"/>
          <c:h val="8.801399825021870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799" r="0.75000000000000799" t="1" header="0.5" footer="0.5"/>
    <c:pageSetup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044271076968425"/>
          <c:y val="4.0172078561879071E-2"/>
          <c:w val="0.67970754376290587"/>
          <c:h val="0.66621366754725142"/>
        </c:manualLayout>
      </c:layout>
      <c:lineChart>
        <c:grouping val="standard"/>
        <c:varyColors val="0"/>
        <c:ser>
          <c:idx val="0"/>
          <c:order val="0"/>
          <c:tx>
            <c:strRef>
              <c:f>'ART new TROA'!$D$9</c:f>
              <c:strCache>
                <c:ptCount val="1"/>
                <c:pt idx="0">
                  <c:v>Total remaining on ART (Adult) * (December)</c:v>
                </c:pt>
              </c:strCache>
            </c:strRef>
          </c:tx>
          <c:spPr>
            <a:ln w="15875"/>
          </c:spPr>
          <c:marker>
            <c:symbol val="none"/>
          </c:marker>
          <c:cat>
            <c:numRef>
              <c:f>'ART new TROA'!$E$8:$Q$8</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'ART new TROA'!$E$9:$Q$9</c:f>
              <c:numCache>
                <c:formatCode>#,##0</c:formatCode>
                <c:ptCount val="13"/>
                <c:pt idx="0">
                  <c:v>5157</c:v>
                </c:pt>
                <c:pt idx="1">
                  <c:v>36103</c:v>
                </c:pt>
                <c:pt idx="2">
                  <c:v>79821</c:v>
                </c:pt>
                <c:pt idx="3">
                  <c:v>154855</c:v>
                </c:pt>
                <c:pt idx="4">
                  <c:v>480031</c:v>
                </c:pt>
                <c:pt idx="5">
                  <c:v>741540</c:v>
                </c:pt>
                <c:pt idx="6">
                  <c:v>1337630</c:v>
                </c:pt>
                <c:pt idx="7">
                  <c:v>2029509</c:v>
                </c:pt>
                <c:pt idx="8">
                  <c:v>2472591</c:v>
                </c:pt>
                <c:pt idx="9">
                  <c:v>2760890</c:v>
                </c:pt>
                <c:pt idx="10">
                  <c:v>3064920</c:v>
                </c:pt>
                <c:pt idx="11">
                  <c:v>3549268</c:v>
                </c:pt>
                <c:pt idx="12">
                  <c:v>3923464</c:v>
                </c:pt>
              </c:numCache>
            </c:numRef>
          </c:val>
          <c:smooth val="0"/>
          <c:extLst>
            <c:ext xmlns:c16="http://schemas.microsoft.com/office/drawing/2014/chart" uri="{C3380CC4-5D6E-409C-BE32-E72D297353CC}">
              <c16:uniqueId val="{00000000-25A5-4DF0-A6F8-C26663C787FC}"/>
            </c:ext>
          </c:extLst>
        </c:ser>
        <c:ser>
          <c:idx val="1"/>
          <c:order val="1"/>
          <c:tx>
            <c:strRef>
              <c:f>'ART new TROA'!$D$11</c:f>
              <c:strCache>
                <c:ptCount val="1"/>
                <c:pt idx="0">
                  <c:v>*Remaing on ART (All)</c:v>
                </c:pt>
              </c:strCache>
            </c:strRef>
          </c:tx>
          <c:spPr>
            <a:ln w="15875"/>
          </c:spPr>
          <c:marker>
            <c:symbol val="none"/>
          </c:marker>
          <c:cat>
            <c:numRef>
              <c:f>'ART new TROA'!$E$8:$Q$8</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'ART new TROA'!$E$11:$Q$11</c:f>
              <c:numCache>
                <c:formatCode>#,##0</c:formatCode>
                <c:ptCount val="13"/>
                <c:pt idx="0">
                  <c:v>5524</c:v>
                </c:pt>
                <c:pt idx="1">
                  <c:v>38123</c:v>
                </c:pt>
                <c:pt idx="2">
                  <c:v>84716</c:v>
                </c:pt>
                <c:pt idx="3">
                  <c:v>162895</c:v>
                </c:pt>
                <c:pt idx="4">
                  <c:v>517128</c:v>
                </c:pt>
                <c:pt idx="5">
                  <c:v>798463</c:v>
                </c:pt>
                <c:pt idx="6">
                  <c:v>1437980</c:v>
                </c:pt>
                <c:pt idx="7">
                  <c:v>2168613</c:v>
                </c:pt>
                <c:pt idx="8">
                  <c:v>2629448</c:v>
                </c:pt>
                <c:pt idx="9">
                  <c:v>2920597</c:v>
                </c:pt>
                <c:pt idx="10">
                  <c:v>3211784</c:v>
                </c:pt>
                <c:pt idx="11">
                  <c:v>3716120</c:v>
                </c:pt>
                <c:pt idx="12">
                  <c:v>4086228</c:v>
                </c:pt>
              </c:numCache>
            </c:numRef>
          </c:val>
          <c:smooth val="0"/>
          <c:extLst>
            <c:ext xmlns:c16="http://schemas.microsoft.com/office/drawing/2014/chart" uri="{C3380CC4-5D6E-409C-BE32-E72D297353CC}">
              <c16:uniqueId val="{00000001-25A5-4DF0-A6F8-C26663C787FC}"/>
            </c:ext>
          </c:extLst>
        </c:ser>
        <c:dLbls>
          <c:showLegendKey val="0"/>
          <c:showVal val="0"/>
          <c:showCatName val="0"/>
          <c:showSerName val="0"/>
          <c:showPercent val="0"/>
          <c:showBubbleSize val="0"/>
        </c:dLbls>
        <c:smooth val="0"/>
        <c:axId val="86471808"/>
        <c:axId val="86473344"/>
      </c:lineChart>
      <c:catAx>
        <c:axId val="86471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86473344"/>
        <c:crosses val="autoZero"/>
        <c:auto val="1"/>
        <c:lblAlgn val="ctr"/>
        <c:lblOffset val="100"/>
        <c:tickLblSkip val="1"/>
        <c:tickMarkSkip val="1"/>
        <c:noMultiLvlLbl val="0"/>
      </c:catAx>
      <c:valAx>
        <c:axId val="86473344"/>
        <c:scaling>
          <c:orientation val="minMax"/>
        </c:scaling>
        <c:delete val="0"/>
        <c:axPos val="l"/>
        <c:majorGridlines>
          <c:spPr>
            <a:ln w="3175">
              <a:solidFill>
                <a:srgbClr val="969696"/>
              </a:solidFill>
              <a:prstDash val="sysDash"/>
            </a:ln>
          </c:spPr>
        </c:majorGridlines>
        <c:title>
          <c:tx>
            <c:rich>
              <a:bodyPr/>
              <a:lstStyle/>
              <a:p>
                <a:pPr>
                  <a:defRPr/>
                </a:pPr>
                <a:r>
                  <a:rPr lang="en-ZA"/>
                  <a:t>Number</a:t>
                </a:r>
              </a:p>
            </c:rich>
          </c:tx>
          <c:layout>
            <c:manualLayout>
              <c:xMode val="edge"/>
              <c:yMode val="edge"/>
              <c:x val="3.3898258339423858E-2"/>
              <c:y val="0.46491350861844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86471808"/>
        <c:crosses val="autoZero"/>
        <c:crossBetween val="between"/>
      </c:valAx>
      <c:spPr>
        <a:solidFill>
          <a:srgbClr val="FFFFFF"/>
        </a:solidFill>
        <a:ln w="3175">
          <a:noFill/>
          <a:prstDash val="solid"/>
        </a:ln>
      </c:spPr>
    </c:plotArea>
    <c:legend>
      <c:legendPos val="r"/>
      <c:layout>
        <c:manualLayout>
          <c:xMode val="edge"/>
          <c:yMode val="edge"/>
          <c:x val="4.1358576715306704E-2"/>
          <c:y val="0.82605625382504433"/>
          <c:w val="0.90390956151256718"/>
          <c:h val="0.17394374617495592"/>
        </c:manualLayout>
      </c:layout>
      <c:overlay val="0"/>
      <c:spPr>
        <a:solidFill>
          <a:srgbClr val="FFFFFF"/>
        </a:solidFill>
        <a:ln w="25400">
          <a:noFill/>
        </a:ln>
      </c:sp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799" r="0.75000000000000799" t="1" header="0.5" footer="0.5"/>
    <c:pageSetup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TB CASE NOTIFICATION</a:t>
            </a:r>
          </a:p>
        </c:rich>
      </c:tx>
      <c:layout>
        <c:manualLayout>
          <c:xMode val="edge"/>
          <c:yMode val="edge"/>
          <c:x val="8.5011420552297268E-2"/>
          <c:y val="3.5398230088495596E-2"/>
        </c:manualLayout>
      </c:layout>
      <c:overlay val="0"/>
      <c:spPr>
        <a:noFill/>
        <a:ln w="25400">
          <a:noFill/>
        </a:ln>
      </c:spPr>
    </c:title>
    <c:autoTitleDeleted val="0"/>
    <c:plotArea>
      <c:layout>
        <c:manualLayout>
          <c:layoutTarget val="inner"/>
          <c:xMode val="edge"/>
          <c:yMode val="edge"/>
          <c:x val="0.17331026196886976"/>
          <c:y val="0.20716138402306791"/>
          <c:w val="0.7954941024371126"/>
          <c:h val="0.64450208362732231"/>
        </c:manualLayout>
      </c:layout>
      <c:lineChart>
        <c:grouping val="standard"/>
        <c:varyColors val="0"/>
        <c:ser>
          <c:idx val="0"/>
          <c:order val="0"/>
          <c:tx>
            <c:strRef>
              <c:f>TB!$D$9</c:f>
              <c:strCache>
                <c:ptCount val="1"/>
                <c:pt idx="0">
                  <c:v>TB case notification</c:v>
                </c:pt>
              </c:strCache>
            </c:strRef>
          </c:tx>
          <c:spPr>
            <a:ln w="25400">
              <a:solidFill>
                <a:srgbClr val="993300"/>
              </a:solidFill>
              <a:prstDash val="solid"/>
            </a:ln>
          </c:spPr>
          <c:marker>
            <c:symbol val="none"/>
          </c:marker>
          <c:cat>
            <c:strRef>
              <c:f>TB!$F$8:$AA$8</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2013 </c:v>
                </c:pt>
                <c:pt idx="19">
                  <c:v>2014 </c:v>
                </c:pt>
                <c:pt idx="20">
                  <c:v>2015</c:v>
                </c:pt>
                <c:pt idx="21">
                  <c:v>2016</c:v>
                </c:pt>
              </c:strCache>
            </c:strRef>
          </c:cat>
          <c:val>
            <c:numRef>
              <c:f>TB!$F$9:$AA$9</c:f>
              <c:numCache>
                <c:formatCode>#\ ###\ ##0</c:formatCode>
                <c:ptCount val="22"/>
                <c:pt idx="0">
                  <c:v>73917</c:v>
                </c:pt>
                <c:pt idx="1">
                  <c:v>109328</c:v>
                </c:pt>
                <c:pt idx="2">
                  <c:v>125913</c:v>
                </c:pt>
                <c:pt idx="3">
                  <c:v>142281</c:v>
                </c:pt>
                <c:pt idx="4">
                  <c:v>148164</c:v>
                </c:pt>
                <c:pt idx="5">
                  <c:v>151239</c:v>
                </c:pt>
                <c:pt idx="6">
                  <c:v>188695</c:v>
                </c:pt>
                <c:pt idx="7">
                  <c:v>224420</c:v>
                </c:pt>
                <c:pt idx="8">
                  <c:v>255422</c:v>
                </c:pt>
                <c:pt idx="9">
                  <c:v>279260</c:v>
                </c:pt>
                <c:pt idx="10">
                  <c:v>302467</c:v>
                </c:pt>
                <c:pt idx="11">
                  <c:v>341165</c:v>
                </c:pt>
                <c:pt idx="12">
                  <c:v>353879</c:v>
                </c:pt>
                <c:pt idx="13">
                  <c:v>388882</c:v>
                </c:pt>
                <c:pt idx="14">
                  <c:v>406082</c:v>
                </c:pt>
                <c:pt idx="15">
                  <c:v>401048</c:v>
                </c:pt>
                <c:pt idx="16">
                  <c:v>389974</c:v>
                </c:pt>
                <c:pt idx="17">
                  <c:v>349582</c:v>
                </c:pt>
                <c:pt idx="18">
                  <c:v>328896</c:v>
                </c:pt>
                <c:pt idx="19">
                  <c:v>318193</c:v>
                </c:pt>
                <c:pt idx="20">
                  <c:v>235778</c:v>
                </c:pt>
                <c:pt idx="21">
                  <c:v>266105</c:v>
                </c:pt>
              </c:numCache>
            </c:numRef>
          </c:val>
          <c:smooth val="0"/>
          <c:extLst>
            <c:ext xmlns:c16="http://schemas.microsoft.com/office/drawing/2014/chart" uri="{C3380CC4-5D6E-409C-BE32-E72D297353CC}">
              <c16:uniqueId val="{00000000-8878-4C16-8968-87B290CC123B}"/>
            </c:ext>
          </c:extLst>
        </c:ser>
        <c:dLbls>
          <c:showLegendKey val="0"/>
          <c:showVal val="0"/>
          <c:showCatName val="0"/>
          <c:showSerName val="0"/>
          <c:showPercent val="0"/>
          <c:showBubbleSize val="0"/>
        </c:dLbls>
        <c:smooth val="0"/>
        <c:axId val="92568960"/>
        <c:axId val="92591232"/>
      </c:lineChart>
      <c:catAx>
        <c:axId val="9256896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92591232"/>
        <c:crosses val="autoZero"/>
        <c:auto val="1"/>
        <c:lblAlgn val="ctr"/>
        <c:lblOffset val="100"/>
        <c:tickLblSkip val="1"/>
        <c:tickMarkSkip val="1"/>
        <c:noMultiLvlLbl val="0"/>
      </c:catAx>
      <c:valAx>
        <c:axId val="92591232"/>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2.0134228187919809E-2"/>
              <c:y val="0.46017822993365315"/>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256896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TB CASE NOTIFICATION</a:t>
            </a:r>
          </a:p>
        </c:rich>
      </c:tx>
      <c:layout>
        <c:manualLayout>
          <c:xMode val="edge"/>
          <c:yMode val="edge"/>
          <c:x val="8.5011420552297268E-2"/>
          <c:y val="3.5398230088495596E-2"/>
        </c:manualLayout>
      </c:layout>
      <c:overlay val="0"/>
      <c:spPr>
        <a:noFill/>
        <a:ln w="25400">
          <a:noFill/>
        </a:ln>
      </c:spPr>
    </c:title>
    <c:autoTitleDeleted val="0"/>
    <c:plotArea>
      <c:layout>
        <c:manualLayout>
          <c:layoutTarget val="inner"/>
          <c:xMode val="edge"/>
          <c:yMode val="edge"/>
          <c:x val="0.1846881852963195"/>
          <c:y val="0.12361487065045822"/>
          <c:w val="0.78805672388777459"/>
          <c:h val="0.74796806089775858"/>
        </c:manualLayout>
      </c:layout>
      <c:lineChart>
        <c:grouping val="standard"/>
        <c:varyColors val="0"/>
        <c:ser>
          <c:idx val="0"/>
          <c:order val="0"/>
          <c:tx>
            <c:strRef>
              <c:f>TB!$D$9</c:f>
              <c:strCache>
                <c:ptCount val="1"/>
                <c:pt idx="0">
                  <c:v>TB case notification</c:v>
                </c:pt>
              </c:strCache>
            </c:strRef>
          </c:tx>
          <c:spPr>
            <a:ln w="25400">
              <a:solidFill>
                <a:srgbClr val="FF6600"/>
              </a:solidFill>
              <a:prstDash val="solid"/>
            </a:ln>
          </c:spPr>
          <c:marker>
            <c:symbol val="none"/>
          </c:marker>
          <c:cat>
            <c:strRef>
              <c:extLst>
                <c:ext xmlns:c15="http://schemas.microsoft.com/office/drawing/2012/chart" uri="{02D57815-91ED-43cb-92C2-25804820EDAC}">
                  <c15:fullRef>
                    <c15:sqref>TB!$R$8:$AF$8</c15:sqref>
                  </c15:fullRef>
                </c:ext>
              </c:extLst>
              <c:f>TB!$S$8:$AF$8</c:f>
              <c:strCache>
                <c:ptCount val="14"/>
                <c:pt idx="0">
                  <c:v>2008</c:v>
                </c:pt>
                <c:pt idx="1">
                  <c:v>2009</c:v>
                </c:pt>
                <c:pt idx="2">
                  <c:v>2010</c:v>
                </c:pt>
                <c:pt idx="3">
                  <c:v>2011</c:v>
                </c:pt>
                <c:pt idx="4">
                  <c:v>2012</c:v>
                </c:pt>
                <c:pt idx="5">
                  <c:v>2013 </c:v>
                </c:pt>
                <c:pt idx="6">
                  <c:v>2014 </c:v>
                </c:pt>
                <c:pt idx="7">
                  <c:v>2015</c:v>
                </c:pt>
                <c:pt idx="8">
                  <c:v>2016</c:v>
                </c:pt>
                <c:pt idx="9">
                  <c:v>2017</c:v>
                </c:pt>
                <c:pt idx="10">
                  <c:v>2018</c:v>
                </c:pt>
                <c:pt idx="11">
                  <c:v>2019</c:v>
                </c:pt>
                <c:pt idx="12">
                  <c:v>2020</c:v>
                </c:pt>
                <c:pt idx="13">
                  <c:v>2021</c:v>
                </c:pt>
              </c:strCache>
            </c:strRef>
          </c:cat>
          <c:val>
            <c:numRef>
              <c:extLst>
                <c:ext xmlns:c15="http://schemas.microsoft.com/office/drawing/2012/chart" uri="{02D57815-91ED-43cb-92C2-25804820EDAC}">
                  <c15:fullRef>
                    <c15:sqref>TB!$R$9:$AF$9</c15:sqref>
                  </c15:fullRef>
                </c:ext>
              </c:extLst>
              <c:f>TB!$S$9:$AF$9</c:f>
              <c:numCache>
                <c:formatCode>#\ ###\ ##0</c:formatCode>
                <c:ptCount val="14"/>
                <c:pt idx="0">
                  <c:v>388882</c:v>
                </c:pt>
                <c:pt idx="1">
                  <c:v>406082</c:v>
                </c:pt>
                <c:pt idx="2">
                  <c:v>401048</c:v>
                </c:pt>
                <c:pt idx="3">
                  <c:v>389974</c:v>
                </c:pt>
                <c:pt idx="4">
                  <c:v>349582</c:v>
                </c:pt>
                <c:pt idx="5">
                  <c:v>328896</c:v>
                </c:pt>
                <c:pt idx="6">
                  <c:v>318193</c:v>
                </c:pt>
                <c:pt idx="7">
                  <c:v>235778</c:v>
                </c:pt>
                <c:pt idx="8">
                  <c:v>266105</c:v>
                </c:pt>
                <c:pt idx="9">
                  <c:v>227224</c:v>
                </c:pt>
                <c:pt idx="10">
                  <c:v>235652</c:v>
                </c:pt>
                <c:pt idx="11">
                  <c:v>168157</c:v>
                </c:pt>
                <c:pt idx="12">
                  <c:v>134747</c:v>
                </c:pt>
                <c:pt idx="13">
                  <c:v>181864</c:v>
                </c:pt>
              </c:numCache>
            </c:numRef>
          </c:val>
          <c:smooth val="0"/>
          <c:extLst>
            <c:ext xmlns:c16="http://schemas.microsoft.com/office/drawing/2014/chart" uri="{C3380CC4-5D6E-409C-BE32-E72D297353CC}">
              <c16:uniqueId val="{00000000-2A3D-4FDA-96BB-305775736980}"/>
            </c:ext>
          </c:extLst>
        </c:ser>
        <c:dLbls>
          <c:showLegendKey val="0"/>
          <c:showVal val="0"/>
          <c:showCatName val="0"/>
          <c:showSerName val="0"/>
          <c:showPercent val="0"/>
          <c:showBubbleSize val="0"/>
        </c:dLbls>
        <c:smooth val="0"/>
        <c:axId val="88053248"/>
        <c:axId val="88054784"/>
      </c:lineChart>
      <c:catAx>
        <c:axId val="8805324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88054784"/>
        <c:crosses val="autoZero"/>
        <c:auto val="1"/>
        <c:lblAlgn val="ctr"/>
        <c:lblOffset val="100"/>
        <c:tickLblSkip val="1"/>
        <c:tickMarkSkip val="1"/>
        <c:noMultiLvlLbl val="0"/>
      </c:catAx>
      <c:valAx>
        <c:axId val="88054784"/>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2.0134228187919809E-2"/>
              <c:y val="0.46017822993365315"/>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805324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TB TREATMENT</a:t>
            </a:r>
          </a:p>
        </c:rich>
      </c:tx>
      <c:layout>
        <c:manualLayout>
          <c:xMode val="edge"/>
          <c:yMode val="edge"/>
          <c:x val="9.5338932020537712E-2"/>
          <c:y val="3.5088026277417084E-2"/>
        </c:manualLayout>
      </c:layout>
      <c:overlay val="0"/>
      <c:spPr>
        <a:noFill/>
        <a:ln w="25400">
          <a:noFill/>
        </a:ln>
      </c:spPr>
    </c:title>
    <c:autoTitleDeleted val="0"/>
    <c:plotArea>
      <c:layout>
        <c:manualLayout>
          <c:layoutTarget val="inner"/>
          <c:xMode val="edge"/>
          <c:yMode val="edge"/>
          <c:x val="0.10990512957519935"/>
          <c:y val="0.14599222565533762"/>
          <c:w val="0.86024508827994661"/>
          <c:h val="0.67679557460381001"/>
        </c:manualLayout>
      </c:layout>
      <c:barChart>
        <c:barDir val="col"/>
        <c:grouping val="clustered"/>
        <c:varyColors val="0"/>
        <c:ser>
          <c:idx val="0"/>
          <c:order val="0"/>
          <c:tx>
            <c:strRef>
              <c:f>TB!$D$10</c:f>
              <c:strCache>
                <c:ptCount val="1"/>
                <c:pt idx="0">
                  <c:v>Treatment Success rate (%)</c:v>
                </c:pt>
              </c:strCache>
            </c:strRef>
          </c:tx>
          <c:spPr>
            <a:solidFill>
              <a:srgbClr val="FCD5B5"/>
            </a:solidFill>
            <a:ln w="25400">
              <a:noFill/>
            </a:ln>
          </c:spPr>
          <c:invertIfNegative val="0"/>
          <c:cat>
            <c:strRef>
              <c:extLst>
                <c:ext xmlns:c15="http://schemas.microsoft.com/office/drawing/2012/chart" uri="{02D57815-91ED-43cb-92C2-25804820EDAC}">
                  <c15:fullRef>
                    <c15:sqref>TB!$E$8:$AF$8</c15:sqref>
                  </c15:fullRef>
                </c:ext>
              </c:extLst>
              <c:f>TB!$R$8:$AF$8</c:f>
              <c:strCache>
                <c:ptCount val="15"/>
                <c:pt idx="0">
                  <c:v>2007</c:v>
                </c:pt>
                <c:pt idx="1">
                  <c:v>2008</c:v>
                </c:pt>
                <c:pt idx="2">
                  <c:v>2009</c:v>
                </c:pt>
                <c:pt idx="3">
                  <c:v>2010</c:v>
                </c:pt>
                <c:pt idx="4">
                  <c:v>2011</c:v>
                </c:pt>
                <c:pt idx="5">
                  <c:v>2012</c:v>
                </c:pt>
                <c:pt idx="6">
                  <c:v>2013 </c:v>
                </c:pt>
                <c:pt idx="7">
                  <c:v>2014 </c:v>
                </c:pt>
                <c:pt idx="8">
                  <c:v>2015</c:v>
                </c:pt>
                <c:pt idx="9">
                  <c:v>2016</c:v>
                </c:pt>
                <c:pt idx="10">
                  <c:v>2017</c:v>
                </c:pt>
                <c:pt idx="11">
                  <c:v>2018</c:v>
                </c:pt>
                <c:pt idx="12">
                  <c:v>2019</c:v>
                </c:pt>
                <c:pt idx="13">
                  <c:v>2020</c:v>
                </c:pt>
                <c:pt idx="14">
                  <c:v>2021</c:v>
                </c:pt>
              </c:strCache>
            </c:strRef>
          </c:cat>
          <c:val>
            <c:numRef>
              <c:extLst>
                <c:ext xmlns:c15="http://schemas.microsoft.com/office/drawing/2012/chart" uri="{02D57815-91ED-43cb-92C2-25804820EDAC}">
                  <c15:fullRef>
                    <c15:sqref>TB!$E$10:$AF$10</c15:sqref>
                  </c15:fullRef>
                </c:ext>
              </c:extLst>
              <c:f>TB!$R$10:$AF$10</c:f>
              <c:numCache>
                <c:formatCode>#</c:formatCode>
                <c:ptCount val="15"/>
                <c:pt idx="0">
                  <c:v>74</c:v>
                </c:pt>
                <c:pt idx="1">
                  <c:v>76</c:v>
                </c:pt>
                <c:pt idx="2">
                  <c:v>77</c:v>
                </c:pt>
                <c:pt idx="3">
                  <c:v>79</c:v>
                </c:pt>
                <c:pt idx="4">
                  <c:v>80</c:v>
                </c:pt>
                <c:pt idx="5">
                  <c:v>81</c:v>
                </c:pt>
                <c:pt idx="6">
                  <c:v>82</c:v>
                </c:pt>
                <c:pt idx="7">
                  <c:v>77.900000000000006</c:v>
                </c:pt>
                <c:pt idx="8">
                  <c:v>77.5</c:v>
                </c:pt>
                <c:pt idx="9">
                  <c:v>82.2</c:v>
                </c:pt>
                <c:pt idx="10">
                  <c:v>81.7</c:v>
                </c:pt>
                <c:pt idx="11">
                  <c:v>76</c:v>
                </c:pt>
                <c:pt idx="12" formatCode="#.0">
                  <c:v>80.599999999999994</c:v>
                </c:pt>
                <c:pt idx="13" formatCode="#.0">
                  <c:v>81</c:v>
                </c:pt>
                <c:pt idx="14" formatCode="#.0">
                  <c:v>78</c:v>
                </c:pt>
              </c:numCache>
            </c:numRef>
          </c:val>
          <c:extLst>
            <c:ext xmlns:c16="http://schemas.microsoft.com/office/drawing/2014/chart" uri="{C3380CC4-5D6E-409C-BE32-E72D297353CC}">
              <c16:uniqueId val="{00000000-26A9-4A5D-A6CF-F7E27A71EFA7}"/>
            </c:ext>
          </c:extLst>
        </c:ser>
        <c:ser>
          <c:idx val="1"/>
          <c:order val="1"/>
          <c:tx>
            <c:strRef>
              <c:f>TB!$D$11</c:f>
              <c:strCache>
                <c:ptCount val="1"/>
                <c:pt idx="0">
                  <c:v>Loss to Follow-up rate</c:v>
                </c:pt>
              </c:strCache>
            </c:strRef>
          </c:tx>
          <c:spPr>
            <a:solidFill>
              <a:srgbClr val="F8A662"/>
            </a:solidFill>
            <a:ln w="25400">
              <a:noFill/>
            </a:ln>
          </c:spPr>
          <c:invertIfNegative val="0"/>
          <c:cat>
            <c:strRef>
              <c:extLst>
                <c:ext xmlns:c15="http://schemas.microsoft.com/office/drawing/2012/chart" uri="{02D57815-91ED-43cb-92C2-25804820EDAC}">
                  <c15:fullRef>
                    <c15:sqref>TB!$E$8:$AF$8</c15:sqref>
                  </c15:fullRef>
                </c:ext>
              </c:extLst>
              <c:f>TB!$R$8:$AF$8</c:f>
              <c:strCache>
                <c:ptCount val="15"/>
                <c:pt idx="0">
                  <c:v>2007</c:v>
                </c:pt>
                <c:pt idx="1">
                  <c:v>2008</c:v>
                </c:pt>
                <c:pt idx="2">
                  <c:v>2009</c:v>
                </c:pt>
                <c:pt idx="3">
                  <c:v>2010</c:v>
                </c:pt>
                <c:pt idx="4">
                  <c:v>2011</c:v>
                </c:pt>
                <c:pt idx="5">
                  <c:v>2012</c:v>
                </c:pt>
                <c:pt idx="6">
                  <c:v>2013 </c:v>
                </c:pt>
                <c:pt idx="7">
                  <c:v>2014 </c:v>
                </c:pt>
                <c:pt idx="8">
                  <c:v>2015</c:v>
                </c:pt>
                <c:pt idx="9">
                  <c:v>2016</c:v>
                </c:pt>
                <c:pt idx="10">
                  <c:v>2017</c:v>
                </c:pt>
                <c:pt idx="11">
                  <c:v>2018</c:v>
                </c:pt>
                <c:pt idx="12">
                  <c:v>2019</c:v>
                </c:pt>
                <c:pt idx="13">
                  <c:v>2020</c:v>
                </c:pt>
                <c:pt idx="14">
                  <c:v>2021</c:v>
                </c:pt>
              </c:strCache>
            </c:strRef>
          </c:cat>
          <c:val>
            <c:numRef>
              <c:extLst>
                <c:ext xmlns:c15="http://schemas.microsoft.com/office/drawing/2012/chart" uri="{02D57815-91ED-43cb-92C2-25804820EDAC}">
                  <c15:fullRef>
                    <c15:sqref>TB!$E$11:$AE$11</c15:sqref>
                  </c15:fullRef>
                </c:ext>
              </c:extLst>
              <c:f>TB!$R$11:$AE$11</c:f>
              <c:numCache>
                <c:formatCode>#.0</c:formatCode>
                <c:ptCount val="14"/>
                <c:pt idx="0">
                  <c:v>9</c:v>
                </c:pt>
                <c:pt idx="1">
                  <c:v>8</c:v>
                </c:pt>
                <c:pt idx="2">
                  <c:v>7</c:v>
                </c:pt>
                <c:pt idx="3">
                  <c:v>7</c:v>
                </c:pt>
                <c:pt idx="4">
                  <c:v>6</c:v>
                </c:pt>
                <c:pt idx="5">
                  <c:v>6</c:v>
                </c:pt>
                <c:pt idx="6">
                  <c:v>5.8</c:v>
                </c:pt>
                <c:pt idx="7">
                  <c:v>6.3</c:v>
                </c:pt>
                <c:pt idx="8">
                  <c:v>6</c:v>
                </c:pt>
                <c:pt idx="9">
                  <c:v>6.5</c:v>
                </c:pt>
                <c:pt idx="10">
                  <c:v>6.9</c:v>
                </c:pt>
                <c:pt idx="11">
                  <c:v>8</c:v>
                </c:pt>
                <c:pt idx="12">
                  <c:v>12.5</c:v>
                </c:pt>
              </c:numCache>
            </c:numRef>
          </c:val>
          <c:extLst>
            <c:ext xmlns:c16="http://schemas.microsoft.com/office/drawing/2014/chart" uri="{C3380CC4-5D6E-409C-BE32-E72D297353CC}">
              <c16:uniqueId val="{00000001-26A9-4A5D-A6CF-F7E27A71EFA7}"/>
            </c:ext>
          </c:extLst>
        </c:ser>
        <c:ser>
          <c:idx val="2"/>
          <c:order val="2"/>
          <c:tx>
            <c:strRef>
              <c:f>TB!$D$12</c:f>
              <c:strCache>
                <c:ptCount val="1"/>
                <c:pt idx="0">
                  <c:v>Death rate</c:v>
                </c:pt>
              </c:strCache>
            </c:strRef>
          </c:tx>
          <c:spPr>
            <a:solidFill>
              <a:srgbClr val="E46C0A"/>
            </a:solidFill>
            <a:ln w="25400">
              <a:noFill/>
            </a:ln>
          </c:spPr>
          <c:invertIfNegative val="0"/>
          <c:cat>
            <c:strRef>
              <c:extLst>
                <c:ext xmlns:c15="http://schemas.microsoft.com/office/drawing/2012/chart" uri="{02D57815-91ED-43cb-92C2-25804820EDAC}">
                  <c15:fullRef>
                    <c15:sqref>TB!$E$8:$AF$8</c15:sqref>
                  </c15:fullRef>
                </c:ext>
              </c:extLst>
              <c:f>TB!$R$8:$AF$8</c:f>
              <c:strCache>
                <c:ptCount val="15"/>
                <c:pt idx="0">
                  <c:v>2007</c:v>
                </c:pt>
                <c:pt idx="1">
                  <c:v>2008</c:v>
                </c:pt>
                <c:pt idx="2">
                  <c:v>2009</c:v>
                </c:pt>
                <c:pt idx="3">
                  <c:v>2010</c:v>
                </c:pt>
                <c:pt idx="4">
                  <c:v>2011</c:v>
                </c:pt>
                <c:pt idx="5">
                  <c:v>2012</c:v>
                </c:pt>
                <c:pt idx="6">
                  <c:v>2013 </c:v>
                </c:pt>
                <c:pt idx="7">
                  <c:v>2014 </c:v>
                </c:pt>
                <c:pt idx="8">
                  <c:v>2015</c:v>
                </c:pt>
                <c:pt idx="9">
                  <c:v>2016</c:v>
                </c:pt>
                <c:pt idx="10">
                  <c:v>2017</c:v>
                </c:pt>
                <c:pt idx="11">
                  <c:v>2018</c:v>
                </c:pt>
                <c:pt idx="12">
                  <c:v>2019</c:v>
                </c:pt>
                <c:pt idx="13">
                  <c:v>2020</c:v>
                </c:pt>
                <c:pt idx="14">
                  <c:v>2021</c:v>
                </c:pt>
              </c:strCache>
            </c:strRef>
          </c:cat>
          <c:val>
            <c:numRef>
              <c:extLst>
                <c:ext xmlns:c15="http://schemas.microsoft.com/office/drawing/2012/chart" uri="{02D57815-91ED-43cb-92C2-25804820EDAC}">
                  <c15:fullRef>
                    <c15:sqref>TB!$E$12:$AE$12</c15:sqref>
                  </c15:fullRef>
                </c:ext>
              </c:extLst>
              <c:f>TB!$R$12:$AE$12</c:f>
              <c:numCache>
                <c:formatCode>#.0</c:formatCode>
                <c:ptCount val="14"/>
                <c:pt idx="7">
                  <c:v>7.4</c:v>
                </c:pt>
                <c:pt idx="8">
                  <c:v>6.7</c:v>
                </c:pt>
                <c:pt idx="9">
                  <c:v>6.7</c:v>
                </c:pt>
                <c:pt idx="10">
                  <c:v>6.6</c:v>
                </c:pt>
                <c:pt idx="11">
                  <c:v>7</c:v>
                </c:pt>
                <c:pt idx="12">
                  <c:v>7.4</c:v>
                </c:pt>
              </c:numCache>
            </c:numRef>
          </c:val>
          <c:extLst>
            <c:ext xmlns:c16="http://schemas.microsoft.com/office/drawing/2014/chart" uri="{C3380CC4-5D6E-409C-BE32-E72D297353CC}">
              <c16:uniqueId val="{00000002-26A9-4A5D-A6CF-F7E27A71EFA7}"/>
            </c:ext>
          </c:extLst>
        </c:ser>
        <c:dLbls>
          <c:showLegendKey val="0"/>
          <c:showVal val="0"/>
          <c:showCatName val="0"/>
          <c:showSerName val="0"/>
          <c:showPercent val="0"/>
          <c:showBubbleSize val="0"/>
        </c:dLbls>
        <c:gapWidth val="150"/>
        <c:axId val="95121408"/>
        <c:axId val="95122944"/>
      </c:barChart>
      <c:catAx>
        <c:axId val="95121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95122944"/>
        <c:crosses val="autoZero"/>
        <c:auto val="1"/>
        <c:lblAlgn val="ctr"/>
        <c:lblOffset val="100"/>
        <c:tickLblSkip val="1"/>
        <c:tickMarkSkip val="1"/>
        <c:noMultiLvlLbl val="0"/>
      </c:catAx>
      <c:valAx>
        <c:axId val="95122944"/>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rate</a:t>
                </a:r>
              </a:p>
            </c:rich>
          </c:tx>
          <c:layout>
            <c:manualLayout>
              <c:xMode val="edge"/>
              <c:yMode val="edge"/>
              <c:x val="3.3898258339423858E-2"/>
              <c:y val="0.46491350861844088"/>
            </c:manualLayout>
          </c:layout>
          <c:overlay val="0"/>
          <c:spPr>
            <a:noFill/>
            <a:ln w="25400">
              <a:noFill/>
            </a:ln>
          </c:spPr>
        </c:title>
        <c:numFmt formatCode="#"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121408"/>
        <c:crosses val="autoZero"/>
        <c:crossBetween val="between"/>
      </c:valAx>
      <c:spPr>
        <a:solidFill>
          <a:srgbClr val="FFFFFF"/>
        </a:solidFill>
        <a:ln w="3175">
          <a:solidFill>
            <a:srgbClr val="000000"/>
          </a:solidFill>
          <a:prstDash val="solid"/>
        </a:ln>
      </c:spPr>
    </c:plotArea>
    <c:legend>
      <c:legendPos val="r"/>
      <c:layout>
        <c:manualLayout>
          <c:xMode val="edge"/>
          <c:yMode val="edge"/>
          <c:x val="0.25373159543903773"/>
          <c:y val="0.92658571469188744"/>
          <c:w val="0.58073327726154123"/>
          <c:h val="6.07597189961889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'[2]Public Opinion'!$D$54</c:f>
              <c:strCache>
                <c:ptCount val="1"/>
                <c:pt idx="0">
                  <c:v>Performing well</c:v>
                </c:pt>
              </c:strCache>
            </c:strRef>
          </c:tx>
          <c:marker>
            <c:symbol val="none"/>
          </c:marker>
          <c:val>
            <c:numRef>
              <c:f>'[2]Public Opinion'!$E$54:$S$54</c:f>
              <c:numCache>
                <c:formatCode>General</c:formatCode>
                <c:ptCount val="15"/>
                <c:pt idx="0">
                  <c:v>70</c:v>
                </c:pt>
                <c:pt idx="1">
                  <c:v>64</c:v>
                </c:pt>
                <c:pt idx="2">
                  <c:v>73</c:v>
                </c:pt>
                <c:pt idx="3">
                  <c:v>74</c:v>
                </c:pt>
                <c:pt idx="4">
                  <c:v>79</c:v>
                </c:pt>
                <c:pt idx="5">
                  <c:v>73</c:v>
                </c:pt>
                <c:pt idx="6">
                  <c:v>74</c:v>
                </c:pt>
                <c:pt idx="7">
                  <c:v>65</c:v>
                </c:pt>
                <c:pt idx="8">
                  <c:v>58</c:v>
                </c:pt>
                <c:pt idx="9">
                  <c:v>59</c:v>
                </c:pt>
                <c:pt idx="10">
                  <c:v>55</c:v>
                </c:pt>
                <c:pt idx="11">
                  <c:v>50</c:v>
                </c:pt>
                <c:pt idx="12">
                  <c:v>52</c:v>
                </c:pt>
                <c:pt idx="13">
                  <c:v>53</c:v>
                </c:pt>
                <c:pt idx="14">
                  <c:v>56</c:v>
                </c:pt>
              </c:numCache>
            </c:numRef>
          </c:val>
          <c:smooth val="0"/>
          <c:extLst>
            <c:ext xmlns:c15="http://schemas.microsoft.com/office/drawing/2012/chart" uri="{02D57815-91ED-43cb-92C2-25804820EDAC}">
              <c15:filteredCategoryTitle>
                <c15:cat>
                  <c:numRef>
                    <c:extLst>
                      <c:ext uri="{02D57815-91ED-43cb-92C2-25804820EDAC}">
                        <c15:formulaRef>
                          <c15:sqref>'[3]Public Opinion'!$E$53:$S$53</c15:sqref>
                        </c15:formulaRef>
                      </c:ext>
                    </c:extLst>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15:cat>
              </c15:filteredCategoryTitle>
            </c:ext>
            <c:ext xmlns:c16="http://schemas.microsoft.com/office/drawing/2014/chart" uri="{C3380CC4-5D6E-409C-BE32-E72D297353CC}">
              <c16:uniqueId val="{00000000-D6FD-4701-BD71-536C2C6764D1}"/>
            </c:ext>
          </c:extLst>
        </c:ser>
        <c:dLbls>
          <c:showLegendKey val="0"/>
          <c:showVal val="0"/>
          <c:showCatName val="0"/>
          <c:showSerName val="0"/>
          <c:showPercent val="0"/>
          <c:showBubbleSize val="0"/>
        </c:dLbls>
        <c:marker val="1"/>
        <c:smooth val="0"/>
        <c:axId val="532764248"/>
        <c:axId val="532768168"/>
      </c:lineChart>
      <c:lineChart>
        <c:grouping val="standard"/>
        <c:varyColors val="0"/>
        <c:ser>
          <c:idx val="1"/>
          <c:order val="1"/>
          <c:tx>
            <c:strRef>
              <c:f>'[2]Public Opinion'!$D$55</c:f>
              <c:strCache>
                <c:ptCount val="1"/>
                <c:pt idx="0">
                  <c:v>Major service protests</c:v>
                </c:pt>
              </c:strCache>
            </c:strRef>
          </c:tx>
          <c:marker>
            <c:symbol val="none"/>
          </c:marker>
          <c:val>
            <c:numRef>
              <c:f>'[2]Public Opinion'!$E$55:$S$55</c:f>
              <c:numCache>
                <c:formatCode>General</c:formatCode>
                <c:ptCount val="15"/>
                <c:pt idx="4">
                  <c:v>10</c:v>
                </c:pt>
                <c:pt idx="5">
                  <c:v>34</c:v>
                </c:pt>
                <c:pt idx="6">
                  <c:v>2</c:v>
                </c:pt>
                <c:pt idx="7">
                  <c:v>32</c:v>
                </c:pt>
                <c:pt idx="8">
                  <c:v>27</c:v>
                </c:pt>
                <c:pt idx="9">
                  <c:v>107</c:v>
                </c:pt>
                <c:pt idx="10">
                  <c:v>111</c:v>
                </c:pt>
                <c:pt idx="11">
                  <c:v>82</c:v>
                </c:pt>
                <c:pt idx="12">
                  <c:v>173</c:v>
                </c:pt>
                <c:pt idx="13">
                  <c:v>155</c:v>
                </c:pt>
                <c:pt idx="14">
                  <c:v>134</c:v>
                </c:pt>
              </c:numCache>
            </c:numRef>
          </c:val>
          <c:smooth val="0"/>
          <c:extLst>
            <c:ext xmlns:c15="http://schemas.microsoft.com/office/drawing/2012/chart" uri="{02D57815-91ED-43cb-92C2-25804820EDAC}">
              <c15:filteredCategoryTitle>
                <c15:cat>
                  <c:numRef>
                    <c:extLst>
                      <c:ext uri="{02D57815-91ED-43cb-92C2-25804820EDAC}">
                        <c15:formulaRef>
                          <c15:sqref>'[3]Public Opinion'!$E$53:$S$53</c15:sqref>
                        </c15:formulaRef>
                      </c:ext>
                    </c:extLst>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15:cat>
              </c15:filteredCategoryTitle>
            </c:ext>
            <c:ext xmlns:c16="http://schemas.microsoft.com/office/drawing/2014/chart" uri="{C3380CC4-5D6E-409C-BE32-E72D297353CC}">
              <c16:uniqueId val="{00000001-D6FD-4701-BD71-536C2C6764D1}"/>
            </c:ext>
          </c:extLst>
        </c:ser>
        <c:dLbls>
          <c:showLegendKey val="0"/>
          <c:showVal val="0"/>
          <c:showCatName val="0"/>
          <c:showSerName val="0"/>
          <c:showPercent val="0"/>
          <c:showBubbleSize val="0"/>
        </c:dLbls>
        <c:marker val="1"/>
        <c:smooth val="0"/>
        <c:axId val="532765424"/>
        <c:axId val="532768952"/>
      </c:lineChart>
      <c:catAx>
        <c:axId val="532764248"/>
        <c:scaling>
          <c:orientation val="minMax"/>
        </c:scaling>
        <c:delete val="0"/>
        <c:axPos val="b"/>
        <c:numFmt formatCode="General" sourceLinked="1"/>
        <c:majorTickMark val="out"/>
        <c:minorTickMark val="none"/>
        <c:tickLblPos val="nextTo"/>
        <c:crossAx val="532768168"/>
        <c:crosses val="autoZero"/>
        <c:auto val="1"/>
        <c:lblAlgn val="ctr"/>
        <c:lblOffset val="100"/>
        <c:noMultiLvlLbl val="0"/>
      </c:catAx>
      <c:valAx>
        <c:axId val="532768168"/>
        <c:scaling>
          <c:orientation val="minMax"/>
        </c:scaling>
        <c:delete val="0"/>
        <c:axPos val="l"/>
        <c:majorGridlines/>
        <c:numFmt formatCode="General" sourceLinked="1"/>
        <c:majorTickMark val="out"/>
        <c:minorTickMark val="none"/>
        <c:tickLblPos val="nextTo"/>
        <c:crossAx val="532764248"/>
        <c:crosses val="autoZero"/>
        <c:crossBetween val="between"/>
      </c:valAx>
      <c:valAx>
        <c:axId val="532768952"/>
        <c:scaling>
          <c:orientation val="minMax"/>
        </c:scaling>
        <c:delete val="0"/>
        <c:axPos val="r"/>
        <c:numFmt formatCode="General" sourceLinked="1"/>
        <c:majorTickMark val="out"/>
        <c:minorTickMark val="none"/>
        <c:tickLblPos val="nextTo"/>
        <c:crossAx val="532765424"/>
        <c:crosses val="max"/>
        <c:crossBetween val="between"/>
      </c:valAx>
      <c:catAx>
        <c:axId val="532765424"/>
        <c:scaling>
          <c:orientation val="minMax"/>
        </c:scaling>
        <c:delete val="1"/>
        <c:axPos val="b"/>
        <c:numFmt formatCode="General" sourceLinked="1"/>
        <c:majorTickMark val="out"/>
        <c:minorTickMark val="none"/>
        <c:tickLblPos val="nextTo"/>
        <c:crossAx val="532768952"/>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TB!$D$9</c:f>
              <c:strCache>
                <c:ptCount val="1"/>
                <c:pt idx="0">
                  <c:v>TB case notification</c:v>
                </c:pt>
              </c:strCache>
            </c:strRef>
          </c:tx>
          <c:spPr>
            <a:ln w="28575" cap="rnd">
              <a:solidFill>
                <a:schemeClr val="accent2">
                  <a:lumMod val="60000"/>
                  <a:lumOff val="40000"/>
                </a:schemeClr>
              </a:solidFill>
              <a:round/>
            </a:ln>
            <a:effectLst/>
          </c:spPr>
          <c:marker>
            <c:symbol val="none"/>
          </c:marker>
          <c:cat>
            <c:strRef>
              <c:f>TB!$R$8:$AD$8</c:f>
              <c:strCache>
                <c:ptCount val="13"/>
                <c:pt idx="0">
                  <c:v>2007</c:v>
                </c:pt>
                <c:pt idx="1">
                  <c:v>2008</c:v>
                </c:pt>
                <c:pt idx="2">
                  <c:v>2009</c:v>
                </c:pt>
                <c:pt idx="3">
                  <c:v>2010</c:v>
                </c:pt>
                <c:pt idx="4">
                  <c:v>2011</c:v>
                </c:pt>
                <c:pt idx="5">
                  <c:v>2012</c:v>
                </c:pt>
                <c:pt idx="6">
                  <c:v>2013 </c:v>
                </c:pt>
                <c:pt idx="7">
                  <c:v>2014 </c:v>
                </c:pt>
                <c:pt idx="8">
                  <c:v>2015</c:v>
                </c:pt>
                <c:pt idx="9">
                  <c:v>2016</c:v>
                </c:pt>
                <c:pt idx="10">
                  <c:v>2017</c:v>
                </c:pt>
                <c:pt idx="11">
                  <c:v>2018</c:v>
                </c:pt>
                <c:pt idx="12">
                  <c:v>2019</c:v>
                </c:pt>
              </c:strCache>
            </c:strRef>
          </c:cat>
          <c:val>
            <c:numRef>
              <c:f>TB!$R$9:$AD$9</c:f>
              <c:numCache>
                <c:formatCode>#\ ###\ ##0</c:formatCode>
                <c:ptCount val="13"/>
                <c:pt idx="0">
                  <c:v>353879</c:v>
                </c:pt>
                <c:pt idx="1">
                  <c:v>388882</c:v>
                </c:pt>
                <c:pt idx="2">
                  <c:v>406082</c:v>
                </c:pt>
                <c:pt idx="3">
                  <c:v>401048</c:v>
                </c:pt>
                <c:pt idx="4">
                  <c:v>389974</c:v>
                </c:pt>
                <c:pt idx="5">
                  <c:v>349582</c:v>
                </c:pt>
                <c:pt idx="6">
                  <c:v>328896</c:v>
                </c:pt>
                <c:pt idx="7">
                  <c:v>318193</c:v>
                </c:pt>
                <c:pt idx="8">
                  <c:v>235778</c:v>
                </c:pt>
                <c:pt idx="9">
                  <c:v>266105</c:v>
                </c:pt>
                <c:pt idx="10">
                  <c:v>227224</c:v>
                </c:pt>
                <c:pt idx="11">
                  <c:v>235652</c:v>
                </c:pt>
                <c:pt idx="12">
                  <c:v>168157</c:v>
                </c:pt>
              </c:numCache>
            </c:numRef>
          </c:val>
          <c:smooth val="0"/>
          <c:extLst>
            <c:ext xmlns:c16="http://schemas.microsoft.com/office/drawing/2014/chart" uri="{C3380CC4-5D6E-409C-BE32-E72D297353CC}">
              <c16:uniqueId val="{00000000-01E7-4000-8C48-4F3641E845D5}"/>
            </c:ext>
          </c:extLst>
        </c:ser>
        <c:dLbls>
          <c:showLegendKey val="0"/>
          <c:showVal val="0"/>
          <c:showCatName val="0"/>
          <c:showSerName val="0"/>
          <c:showPercent val="0"/>
          <c:showBubbleSize val="0"/>
        </c:dLbls>
        <c:smooth val="0"/>
        <c:axId val="1957186495"/>
        <c:axId val="1951743807"/>
      </c:lineChart>
      <c:catAx>
        <c:axId val="195718649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1743807"/>
        <c:crosses val="autoZero"/>
        <c:auto val="1"/>
        <c:lblAlgn val="ctr"/>
        <c:lblOffset val="100"/>
        <c:noMultiLvlLbl val="0"/>
      </c:catAx>
      <c:valAx>
        <c:axId val="1951743807"/>
        <c:scaling>
          <c:orientation val="minMax"/>
        </c:scaling>
        <c:delete val="0"/>
        <c:axPos val="l"/>
        <c:majorGridlines>
          <c:spPr>
            <a:ln w="9525" cap="flat" cmpd="sng" algn="ctr">
              <a:solidFill>
                <a:schemeClr val="tx1">
                  <a:lumMod val="15000"/>
                  <a:lumOff val="85000"/>
                </a:schemeClr>
              </a:solidFill>
              <a:round/>
            </a:ln>
            <a:effectLst/>
          </c:spPr>
        </c:majorGridlines>
        <c:numFmt formatCode="#\ ###\ ##0" sourceLinked="1"/>
        <c:majorTickMark val="out"/>
        <c:minorTickMark val="none"/>
        <c:tickLblPos val="nextTo"/>
        <c:spPr>
          <a:noFill/>
          <a:ln>
            <a:solidFill>
              <a:schemeClr val="bg2">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71864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MALARIA</a:t>
            </a:r>
          </a:p>
        </c:rich>
      </c:tx>
      <c:layout>
        <c:manualLayout>
          <c:xMode val="edge"/>
          <c:yMode val="edge"/>
          <c:x val="5.8423857732069207E-2"/>
          <c:y val="2.4615384615384615E-2"/>
        </c:manualLayout>
      </c:layout>
      <c:overlay val="0"/>
      <c:spPr>
        <a:noFill/>
        <a:ln w="25400">
          <a:noFill/>
        </a:ln>
      </c:spPr>
    </c:title>
    <c:autoTitleDeleted val="0"/>
    <c:plotArea>
      <c:layout>
        <c:manualLayout>
          <c:layoutTarget val="inner"/>
          <c:xMode val="edge"/>
          <c:yMode val="edge"/>
          <c:x val="0.10089037825922853"/>
          <c:y val="0.16310160427807319"/>
          <c:w val="0.83762003199325319"/>
          <c:h val="0.62834224598930477"/>
        </c:manualLayout>
      </c:layout>
      <c:lineChart>
        <c:grouping val="standard"/>
        <c:varyColors val="0"/>
        <c:ser>
          <c:idx val="1"/>
          <c:order val="0"/>
          <c:tx>
            <c:strRef>
              <c:f>Malaria!$D$8</c:f>
              <c:strCache>
                <c:ptCount val="1"/>
                <c:pt idx="0">
                  <c:v>Cases</c:v>
                </c:pt>
              </c:strCache>
            </c:strRef>
          </c:tx>
          <c:spPr>
            <a:ln w="25400">
              <a:solidFill>
                <a:srgbClr val="FF6600"/>
              </a:solidFill>
              <a:prstDash val="solid"/>
            </a:ln>
          </c:spPr>
          <c:marker>
            <c:symbol val="none"/>
          </c:marker>
          <c:cat>
            <c:numRef>
              <c:extLst>
                <c:ext xmlns:c15="http://schemas.microsoft.com/office/drawing/2012/chart" uri="{02D57815-91ED-43cb-92C2-25804820EDAC}">
                  <c15:fullRef>
                    <c15:sqref>Malaria!$E$7:$AD$7</c15:sqref>
                  </c15:fullRef>
                </c:ext>
              </c:extLst>
              <c:f>Malaria!$P$7:$AD$7</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Malaria!$E$8:$AD$8</c15:sqref>
                  </c15:fullRef>
                </c:ext>
              </c:extLst>
              <c:f>Malaria!$P$8:$AD$8</c:f>
              <c:numCache>
                <c:formatCode>#\ ###\ ##0</c:formatCode>
                <c:ptCount val="15"/>
                <c:pt idx="0">
                  <c:v>5210</c:v>
                </c:pt>
                <c:pt idx="1">
                  <c:v>7727</c:v>
                </c:pt>
                <c:pt idx="2">
                  <c:v>5586</c:v>
                </c:pt>
                <c:pt idx="3">
                  <c:v>8066</c:v>
                </c:pt>
                <c:pt idx="4">
                  <c:v>9866</c:v>
                </c:pt>
                <c:pt idx="5">
                  <c:v>6646</c:v>
                </c:pt>
                <c:pt idx="6">
                  <c:v>8851</c:v>
                </c:pt>
                <c:pt idx="7">
                  <c:v>13988</c:v>
                </c:pt>
                <c:pt idx="8">
                  <c:v>11276</c:v>
                </c:pt>
                <c:pt idx="9">
                  <c:v>5846</c:v>
                </c:pt>
                <c:pt idx="10">
                  <c:v>30450</c:v>
                </c:pt>
                <c:pt idx="11">
                  <c:v>18638</c:v>
                </c:pt>
                <c:pt idx="12">
                  <c:v>13833</c:v>
                </c:pt>
                <c:pt idx="13">
                  <c:v>8126</c:v>
                </c:pt>
                <c:pt idx="14">
                  <c:v>5894</c:v>
                </c:pt>
              </c:numCache>
            </c:numRef>
          </c:val>
          <c:smooth val="1"/>
          <c:extLst>
            <c:ext xmlns:c16="http://schemas.microsoft.com/office/drawing/2014/chart" uri="{C3380CC4-5D6E-409C-BE32-E72D297353CC}">
              <c16:uniqueId val="{00000000-3A45-48B4-845F-895D4EF2CEFA}"/>
            </c:ext>
          </c:extLst>
        </c:ser>
        <c:dLbls>
          <c:showLegendKey val="0"/>
          <c:showVal val="0"/>
          <c:showCatName val="0"/>
          <c:showSerName val="0"/>
          <c:showPercent val="0"/>
          <c:showBubbleSize val="0"/>
        </c:dLbls>
        <c:marker val="1"/>
        <c:smooth val="0"/>
        <c:axId val="95197440"/>
        <c:axId val="95207424"/>
      </c:lineChart>
      <c:lineChart>
        <c:grouping val="standard"/>
        <c:varyColors val="0"/>
        <c:ser>
          <c:idx val="0"/>
          <c:order val="1"/>
          <c:tx>
            <c:strRef>
              <c:f>Malaria!$D$9</c:f>
              <c:strCache>
                <c:ptCount val="1"/>
                <c:pt idx="0">
                  <c:v>Deaths</c:v>
                </c:pt>
              </c:strCache>
            </c:strRef>
          </c:tx>
          <c:spPr>
            <a:ln w="25400">
              <a:solidFill>
                <a:srgbClr val="BE4B48"/>
              </a:solidFill>
              <a:prstDash val="solid"/>
            </a:ln>
          </c:spPr>
          <c:marker>
            <c:symbol val="none"/>
          </c:marker>
          <c:cat>
            <c:numRef>
              <c:extLst>
                <c:ext xmlns:c15="http://schemas.microsoft.com/office/drawing/2012/chart" uri="{02D57815-91ED-43cb-92C2-25804820EDAC}">
                  <c15:fullRef>
                    <c15:sqref>Malaria!$E$7:$AD$7</c15:sqref>
                  </c15:fullRef>
                </c:ext>
              </c:extLst>
              <c:f>Malaria!$P$7:$AD$7</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extLst>
                <c:ext xmlns:c15="http://schemas.microsoft.com/office/drawing/2012/chart" uri="{02D57815-91ED-43cb-92C2-25804820EDAC}">
                  <c15:fullRef>
                    <c15:sqref>Malaria!$E$9:$AD$9</c15:sqref>
                  </c15:fullRef>
                </c:ext>
              </c:extLst>
              <c:f>Malaria!$P$9:$AD$9</c:f>
              <c:numCache>
                <c:formatCode>General</c:formatCode>
                <c:ptCount val="15"/>
                <c:pt idx="0">
                  <c:v>48</c:v>
                </c:pt>
                <c:pt idx="1">
                  <c:v>44</c:v>
                </c:pt>
                <c:pt idx="2">
                  <c:v>43</c:v>
                </c:pt>
                <c:pt idx="3">
                  <c:v>87</c:v>
                </c:pt>
                <c:pt idx="4">
                  <c:v>89</c:v>
                </c:pt>
                <c:pt idx="5">
                  <c:v>72</c:v>
                </c:pt>
                <c:pt idx="6">
                  <c:v>104</c:v>
                </c:pt>
                <c:pt idx="7">
                  <c:v>174</c:v>
                </c:pt>
                <c:pt idx="8">
                  <c:v>141</c:v>
                </c:pt>
                <c:pt idx="9">
                  <c:v>54</c:v>
                </c:pt>
                <c:pt idx="10">
                  <c:v>331</c:v>
                </c:pt>
                <c:pt idx="11">
                  <c:v>120</c:v>
                </c:pt>
                <c:pt idx="12" formatCode="#\ ###\ ##0">
                  <c:v>79</c:v>
                </c:pt>
                <c:pt idx="13">
                  <c:v>43</c:v>
                </c:pt>
                <c:pt idx="14">
                  <c:v>77</c:v>
                </c:pt>
              </c:numCache>
            </c:numRef>
          </c:val>
          <c:smooth val="1"/>
          <c:extLst>
            <c:ext xmlns:c16="http://schemas.microsoft.com/office/drawing/2014/chart" uri="{C3380CC4-5D6E-409C-BE32-E72D297353CC}">
              <c16:uniqueId val="{00000001-3A45-48B4-845F-895D4EF2CEFA}"/>
            </c:ext>
          </c:extLst>
        </c:ser>
        <c:dLbls>
          <c:showLegendKey val="0"/>
          <c:showVal val="0"/>
          <c:showCatName val="0"/>
          <c:showSerName val="0"/>
          <c:showPercent val="0"/>
          <c:showBubbleSize val="0"/>
        </c:dLbls>
        <c:marker val="1"/>
        <c:smooth val="0"/>
        <c:axId val="95209344"/>
        <c:axId val="95210880"/>
      </c:lineChart>
      <c:catAx>
        <c:axId val="9519744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207424"/>
        <c:crosses val="autoZero"/>
        <c:auto val="0"/>
        <c:lblAlgn val="ctr"/>
        <c:lblOffset val="100"/>
        <c:tickLblSkip val="1"/>
        <c:tickMarkSkip val="1"/>
        <c:noMultiLvlLbl val="0"/>
      </c:catAx>
      <c:valAx>
        <c:axId val="95207424"/>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cases</a:t>
                </a:r>
              </a:p>
            </c:rich>
          </c:tx>
          <c:layout>
            <c:manualLayout>
              <c:xMode val="edge"/>
              <c:yMode val="edge"/>
              <c:x val="2.0380443515989072E-2"/>
              <c:y val="0.41538526145770743"/>
            </c:manualLayout>
          </c:layout>
          <c:overlay val="0"/>
          <c:spPr>
            <a:noFill/>
            <a:ln w="25400">
              <a:noFill/>
            </a:ln>
          </c:spPr>
        </c:title>
        <c:numFmt formatCode="#\ ##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197440"/>
        <c:crosses val="autoZero"/>
        <c:crossBetween val="midCat"/>
      </c:valAx>
      <c:catAx>
        <c:axId val="95209344"/>
        <c:scaling>
          <c:orientation val="minMax"/>
        </c:scaling>
        <c:delete val="1"/>
        <c:axPos val="b"/>
        <c:numFmt formatCode="General" sourceLinked="1"/>
        <c:majorTickMark val="out"/>
        <c:minorTickMark val="none"/>
        <c:tickLblPos val="none"/>
        <c:crossAx val="95210880"/>
        <c:crosses val="autoZero"/>
        <c:auto val="0"/>
        <c:lblAlgn val="ctr"/>
        <c:lblOffset val="100"/>
        <c:noMultiLvlLbl val="0"/>
      </c:catAx>
      <c:valAx>
        <c:axId val="9521088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en-ZA"/>
                  <a:t>deaths</a:t>
                </a:r>
              </a:p>
            </c:rich>
          </c:tx>
          <c:layout>
            <c:manualLayout>
              <c:xMode val="edge"/>
              <c:yMode val="edge"/>
              <c:x val="0.9624177266303251"/>
              <c:y val="0.4123084745296893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209344"/>
        <c:crosses val="max"/>
        <c:crossBetween val="midCat"/>
      </c:valAx>
      <c:spPr>
        <a:solidFill>
          <a:srgbClr val="FFFFFF"/>
        </a:solidFill>
        <a:ln w="3175">
          <a:solidFill>
            <a:srgbClr val="000000"/>
          </a:solidFill>
          <a:prstDash val="solid"/>
        </a:ln>
      </c:spPr>
    </c:plotArea>
    <c:legend>
      <c:legendPos val="r"/>
      <c:layout>
        <c:manualLayout>
          <c:xMode val="edge"/>
          <c:yMode val="edge"/>
          <c:x val="0.40588061658057212"/>
          <c:y val="0.91176470588234437"/>
          <c:w val="0.2004508390207681"/>
          <c:h val="7.4866310160428648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77" r="0.75000000000000577" t="1" header="0.5" footer="0.5"/>
    <c:pageSetup paperSize="9"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US"/>
              <a:t>CHILDREN ATTENDING ECD FACILITIES</a:t>
            </a:r>
          </a:p>
        </c:rich>
      </c:tx>
      <c:layout>
        <c:manualLayout>
          <c:xMode val="edge"/>
          <c:yMode val="edge"/>
          <c:x val="7.8320097447626524E-2"/>
          <c:y val="1.6611295681063183E-2"/>
        </c:manualLayout>
      </c:layout>
      <c:overlay val="0"/>
      <c:spPr>
        <a:noFill/>
        <a:ln w="25400">
          <a:noFill/>
        </a:ln>
      </c:spPr>
    </c:title>
    <c:autoTitleDeleted val="0"/>
    <c:plotArea>
      <c:layout>
        <c:manualLayout>
          <c:layoutTarget val="inner"/>
          <c:xMode val="edge"/>
          <c:yMode val="edge"/>
          <c:x val="9.5346197502837696E-2"/>
          <c:y val="0.11627925839528792"/>
          <c:w val="0.88989784335982114"/>
          <c:h val="0.61794120175781564"/>
        </c:manualLayout>
      </c:layout>
      <c:barChart>
        <c:barDir val="col"/>
        <c:grouping val="clustered"/>
        <c:varyColors val="0"/>
        <c:ser>
          <c:idx val="0"/>
          <c:order val="0"/>
          <c:tx>
            <c:strRef>
              <c:f>'ECD '!$D$8</c:f>
              <c:strCache>
                <c:ptCount val="1"/>
                <c:pt idx="0">
                  <c:v>0-4 year olds</c:v>
                </c:pt>
              </c:strCache>
            </c:strRef>
          </c:tx>
          <c:spPr>
            <a:solidFill>
              <a:srgbClr val="FCD5B5"/>
            </a:solidFill>
            <a:ln w="25400">
              <a:noFill/>
              <a:prstDash val="solid"/>
            </a:ln>
          </c:spPr>
          <c:invertIfNegative val="0"/>
          <c:cat>
            <c:numRef>
              <c:extLst>
                <c:ext xmlns:c15="http://schemas.microsoft.com/office/drawing/2012/chart" uri="{02D57815-91ED-43cb-92C2-25804820EDAC}">
                  <c15:fullRef>
                    <c15:sqref>'ECD '!$F$7:$Y$7</c15:sqref>
                  </c15:fullRef>
                </c:ext>
              </c:extLst>
              <c:f>'ECD '!$I$7:$Y$7</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extLst>
                <c:ext xmlns:c15="http://schemas.microsoft.com/office/drawing/2012/chart" uri="{02D57815-91ED-43cb-92C2-25804820EDAC}">
                  <c15:fullRef>
                    <c15:sqref>'ECD '!$F$8:$Y$8</c15:sqref>
                  </c15:fullRef>
                </c:ext>
              </c:extLst>
              <c:f>'ECD '!$I$8:$Y$8</c:f>
              <c:numCache>
                <c:formatCode>0.0</c:formatCode>
                <c:ptCount val="11"/>
                <c:pt idx="1">
                  <c:v>36.5</c:v>
                </c:pt>
                <c:pt idx="2">
                  <c:v>44.7</c:v>
                </c:pt>
                <c:pt idx="3">
                  <c:v>48.3</c:v>
                </c:pt>
                <c:pt idx="4">
                  <c:v>45.7</c:v>
                </c:pt>
                <c:pt idx="5">
                  <c:v>40.4</c:v>
                </c:pt>
                <c:pt idx="6">
                  <c:v>42.2</c:v>
                </c:pt>
                <c:pt idx="7">
                  <c:v>44.3</c:v>
                </c:pt>
                <c:pt idx="8">
                  <c:v>40.6</c:v>
                </c:pt>
                <c:pt idx="9">
                  <c:v>31.1</c:v>
                </c:pt>
                <c:pt idx="10">
                  <c:v>34.1</c:v>
                </c:pt>
              </c:numCache>
            </c:numRef>
          </c:val>
          <c:extLst>
            <c:ext xmlns:c16="http://schemas.microsoft.com/office/drawing/2014/chart" uri="{C3380CC4-5D6E-409C-BE32-E72D297353CC}">
              <c16:uniqueId val="{00000000-095D-4362-8FC6-45D2713CE47E}"/>
            </c:ext>
          </c:extLst>
        </c:ser>
        <c:ser>
          <c:idx val="1"/>
          <c:order val="1"/>
          <c:tx>
            <c:strRef>
              <c:f>'ECD '!$D$9</c:f>
              <c:strCache>
                <c:ptCount val="1"/>
                <c:pt idx="0">
                  <c:v>3-5 year olds</c:v>
                </c:pt>
              </c:strCache>
            </c:strRef>
          </c:tx>
          <c:spPr>
            <a:solidFill>
              <a:srgbClr val="F8A662"/>
            </a:solidFill>
            <a:ln w="25400">
              <a:noFill/>
              <a:prstDash val="solid"/>
            </a:ln>
          </c:spPr>
          <c:invertIfNegative val="0"/>
          <c:cat>
            <c:numRef>
              <c:extLst>
                <c:ext xmlns:c15="http://schemas.microsoft.com/office/drawing/2012/chart" uri="{02D57815-91ED-43cb-92C2-25804820EDAC}">
                  <c15:fullRef>
                    <c15:sqref>'ECD '!$F$7:$Y$7</c15:sqref>
                  </c15:fullRef>
                </c:ext>
              </c:extLst>
              <c:f>'ECD '!$I$7:$Y$7</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extLst>
                <c:ext xmlns:c15="http://schemas.microsoft.com/office/drawing/2012/chart" uri="{02D57815-91ED-43cb-92C2-25804820EDAC}">
                  <c15:fullRef>
                    <c15:sqref>'ECD '!$F$9:$Y$9</c15:sqref>
                  </c15:fullRef>
                </c:ext>
              </c:extLst>
              <c:f>'ECD '!$I$9:$Y$9</c:f>
              <c:numCache>
                <c:formatCode>0.0</c:formatCode>
                <c:ptCount val="11"/>
                <c:pt idx="0">
                  <c:v>66</c:v>
                </c:pt>
                <c:pt idx="1">
                  <c:v>67.387887449672405</c:v>
                </c:pt>
                <c:pt idx="2">
                  <c:v>71.275629761606439</c:v>
                </c:pt>
                <c:pt idx="3">
                  <c:v>72.898589999999999</c:v>
                </c:pt>
                <c:pt idx="4">
                  <c:v>70.582802999999998</c:v>
                </c:pt>
                <c:pt idx="5">
                  <c:v>70.012191000000001</c:v>
                </c:pt>
                <c:pt idx="6">
                  <c:v>70.777987999999993</c:v>
                </c:pt>
                <c:pt idx="7">
                  <c:v>71.555347999999995</c:v>
                </c:pt>
                <c:pt idx="8">
                  <c:v>74.705861999999996</c:v>
                </c:pt>
                <c:pt idx="9">
                  <c:v>57.514927999999998</c:v>
                </c:pt>
                <c:pt idx="10">
                  <c:v>63.557903000000003</c:v>
                </c:pt>
              </c:numCache>
            </c:numRef>
          </c:val>
          <c:extLst>
            <c:ext xmlns:c16="http://schemas.microsoft.com/office/drawing/2014/chart" uri="{C3380CC4-5D6E-409C-BE32-E72D297353CC}">
              <c16:uniqueId val="{00000001-095D-4362-8FC6-45D2713CE47E}"/>
            </c:ext>
          </c:extLst>
        </c:ser>
        <c:ser>
          <c:idx val="2"/>
          <c:order val="2"/>
          <c:tx>
            <c:strRef>
              <c:f>'ECD '!$D$10</c:f>
              <c:strCache>
                <c:ptCount val="1"/>
                <c:pt idx="0">
                  <c:v>5 year olds</c:v>
                </c:pt>
              </c:strCache>
            </c:strRef>
          </c:tx>
          <c:spPr>
            <a:solidFill>
              <a:srgbClr val="E46C0A"/>
            </a:solidFill>
            <a:ln>
              <a:noFill/>
            </a:ln>
          </c:spPr>
          <c:invertIfNegative val="0"/>
          <c:cat>
            <c:numRef>
              <c:extLst>
                <c:ext xmlns:c15="http://schemas.microsoft.com/office/drawing/2012/chart" uri="{02D57815-91ED-43cb-92C2-25804820EDAC}">
                  <c15:fullRef>
                    <c15:sqref>'ECD '!$F$7:$Y$7</c15:sqref>
                  </c15:fullRef>
                </c:ext>
              </c:extLst>
              <c:f>'ECD '!$I$7:$Y$7</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extLst>
                <c:ext xmlns:c15="http://schemas.microsoft.com/office/drawing/2012/chart" uri="{02D57815-91ED-43cb-92C2-25804820EDAC}">
                  <c15:fullRef>
                    <c15:sqref>'ECD '!$F$10:$Y$10</c15:sqref>
                  </c15:fullRef>
                </c:ext>
              </c:extLst>
              <c:f>'ECD '!$I$10:$Y$10</c:f>
              <c:numCache>
                <c:formatCode>0.0</c:formatCode>
                <c:ptCount val="11"/>
                <c:pt idx="1">
                  <c:v>84.6</c:v>
                </c:pt>
                <c:pt idx="6">
                  <c:v>88</c:v>
                </c:pt>
                <c:pt idx="7">
                  <c:v>85.4</c:v>
                </c:pt>
                <c:pt idx="8">
                  <c:v>89.1</c:v>
                </c:pt>
                <c:pt idx="9">
                  <c:v>62.3</c:v>
                </c:pt>
                <c:pt idx="10">
                  <c:v>80.7</c:v>
                </c:pt>
              </c:numCache>
            </c:numRef>
          </c:val>
          <c:extLst>
            <c:ext xmlns:c16="http://schemas.microsoft.com/office/drawing/2014/chart" uri="{C3380CC4-5D6E-409C-BE32-E72D297353CC}">
              <c16:uniqueId val="{00000002-095D-4362-8FC6-45D2713CE47E}"/>
            </c:ext>
          </c:extLst>
        </c:ser>
        <c:ser>
          <c:idx val="3"/>
          <c:order val="3"/>
          <c:tx>
            <c:strRef>
              <c:f>'ECD '!$D$11</c:f>
              <c:strCache>
                <c:ptCount val="1"/>
                <c:pt idx="0">
                  <c:v>6 year olds </c:v>
                </c:pt>
              </c:strCache>
            </c:strRef>
          </c:tx>
          <c:invertIfNegative val="0"/>
          <c:cat>
            <c:numRef>
              <c:extLst>
                <c:ext xmlns:c15="http://schemas.microsoft.com/office/drawing/2012/chart" uri="{02D57815-91ED-43cb-92C2-25804820EDAC}">
                  <c15:fullRef>
                    <c15:sqref>'ECD '!$F$7:$Y$7</c15:sqref>
                  </c15:fullRef>
                </c:ext>
              </c:extLst>
              <c:f>'ECD '!$I$7:$Y$7</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extLst>
                <c:ext xmlns:c15="http://schemas.microsoft.com/office/drawing/2012/chart" uri="{02D57815-91ED-43cb-92C2-25804820EDAC}">
                  <c15:fullRef>
                    <c15:sqref>'ECD '!$F$11:$Y$11</c15:sqref>
                  </c15:fullRef>
                </c:ext>
              </c:extLst>
              <c:f>'ECD '!$I$11:$Y$11</c:f>
              <c:numCache>
                <c:formatCode>General</c:formatCode>
                <c:ptCount val="11"/>
                <c:pt idx="0" formatCode="0.0">
                  <c:v>95.457340000000002</c:v>
                </c:pt>
                <c:pt idx="1" formatCode="0.0">
                  <c:v>95.849581000000001</c:v>
                </c:pt>
                <c:pt idx="6" formatCode="0.0">
                  <c:v>96.6</c:v>
                </c:pt>
                <c:pt idx="7" formatCode="0.0">
                  <c:v>97.3</c:v>
                </c:pt>
                <c:pt idx="8" formatCode="0.0">
                  <c:v>96.5</c:v>
                </c:pt>
                <c:pt idx="9" formatCode="0.0">
                  <c:v>88.2</c:v>
                </c:pt>
                <c:pt idx="10" formatCode="0.0">
                  <c:v>94.1</c:v>
                </c:pt>
              </c:numCache>
            </c:numRef>
          </c:val>
          <c:extLst>
            <c:ext xmlns:c16="http://schemas.microsoft.com/office/drawing/2014/chart" uri="{C3380CC4-5D6E-409C-BE32-E72D297353CC}">
              <c16:uniqueId val="{00000003-095D-4362-8FC6-45D2713CE47E}"/>
            </c:ext>
          </c:extLst>
        </c:ser>
        <c:ser>
          <c:idx val="4"/>
          <c:order val="4"/>
          <c:tx>
            <c:strRef>
              <c:f>'ECD '!$D$13</c:f>
              <c:strCache>
                <c:ptCount val="1"/>
                <c:pt idx="0">
                  <c:v>Grade 1 who attended Grade R</c:v>
                </c:pt>
              </c:strCache>
            </c:strRef>
          </c:tx>
          <c:invertIfNegative val="0"/>
          <c:cat>
            <c:numRef>
              <c:extLst>
                <c:ext xmlns:c15="http://schemas.microsoft.com/office/drawing/2012/chart" uri="{02D57815-91ED-43cb-92C2-25804820EDAC}">
                  <c15:fullRef>
                    <c15:sqref>'ECD '!$F$7:$Y$7</c15:sqref>
                  </c15:fullRef>
                </c:ext>
              </c:extLst>
              <c:f>'ECD '!$I$7:$Y$7</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extLst>
                <c:ext xmlns:c15="http://schemas.microsoft.com/office/drawing/2012/chart" uri="{02D57815-91ED-43cb-92C2-25804820EDAC}">
                  <c15:fullRef>
                    <c15:sqref>'ECD '!$F$13:$V$13</c15:sqref>
                  </c15:fullRef>
                </c:ext>
              </c:extLst>
              <c:f>'ECD '!$I$13:$V$13</c:f>
              <c:numCache>
                <c:formatCode>0.0</c:formatCode>
                <c:ptCount val="8"/>
                <c:pt idx="0">
                  <c:v>95</c:v>
                </c:pt>
                <c:pt idx="1">
                  <c:v>92.2</c:v>
                </c:pt>
                <c:pt idx="2">
                  <c:v>94.9</c:v>
                </c:pt>
                <c:pt idx="3">
                  <c:v>94.8</c:v>
                </c:pt>
                <c:pt idx="4">
                  <c:v>94.8</c:v>
                </c:pt>
                <c:pt idx="5">
                  <c:v>93.9</c:v>
                </c:pt>
                <c:pt idx="6">
                  <c:v>94.4</c:v>
                </c:pt>
                <c:pt idx="7">
                  <c:v>94.1</c:v>
                </c:pt>
              </c:numCache>
            </c:numRef>
          </c:val>
          <c:extLst>
            <c:ext xmlns:c16="http://schemas.microsoft.com/office/drawing/2014/chart" uri="{C3380CC4-5D6E-409C-BE32-E72D297353CC}">
              <c16:uniqueId val="{00000004-095D-4362-8FC6-45D2713CE47E}"/>
            </c:ext>
          </c:extLst>
        </c:ser>
        <c:dLbls>
          <c:showLegendKey val="0"/>
          <c:showVal val="0"/>
          <c:showCatName val="0"/>
          <c:showSerName val="0"/>
          <c:showPercent val="0"/>
          <c:showBubbleSize val="0"/>
        </c:dLbls>
        <c:gapWidth val="150"/>
        <c:axId val="-890480608"/>
        <c:axId val="-890480064"/>
      </c:barChart>
      <c:catAx>
        <c:axId val="-890480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90480064"/>
        <c:crosses val="autoZero"/>
        <c:auto val="1"/>
        <c:lblAlgn val="ctr"/>
        <c:lblOffset val="100"/>
        <c:tickLblSkip val="1"/>
        <c:tickMarkSkip val="1"/>
        <c:noMultiLvlLbl val="0"/>
      </c:catAx>
      <c:valAx>
        <c:axId val="-890480064"/>
        <c:scaling>
          <c:orientation val="minMax"/>
          <c:max val="100"/>
          <c:min val="0"/>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US"/>
                  <a:t>%</a:t>
                </a:r>
              </a:p>
            </c:rich>
          </c:tx>
          <c:layout>
            <c:manualLayout>
              <c:xMode val="edge"/>
              <c:yMode val="edge"/>
              <c:x val="3.6322308586025018E-2"/>
              <c:y val="0.3687714617068226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90480608"/>
        <c:crosses val="autoZero"/>
        <c:crossBetween val="between"/>
      </c:valAx>
      <c:spPr>
        <a:solidFill>
          <a:srgbClr val="FFFFFF"/>
        </a:solidFill>
        <a:ln w="12700">
          <a:solidFill>
            <a:schemeClr val="tx1"/>
          </a:solidFill>
        </a:ln>
      </c:spPr>
    </c:plotArea>
    <c:legend>
      <c:legendPos val="r"/>
      <c:layout>
        <c:manualLayout>
          <c:xMode val="edge"/>
          <c:yMode val="edge"/>
          <c:x val="0.24753608200347169"/>
          <c:y val="0.85404225144228629"/>
          <c:w val="0.60763699498678081"/>
          <c:h val="0.14595778014606756"/>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paperSize="9" orientation="landscape" horizontalDpi="0" verticalDpi="0"/>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46197502837696E-2"/>
          <c:y val="5.1679586563307491E-2"/>
          <c:w val="0.88989784335982114"/>
          <c:h val="0.68254084518504954"/>
        </c:manualLayout>
      </c:layout>
      <c:barChart>
        <c:barDir val="col"/>
        <c:grouping val="clustered"/>
        <c:varyColors val="0"/>
        <c:ser>
          <c:idx val="0"/>
          <c:order val="0"/>
          <c:tx>
            <c:strRef>
              <c:f>'ECD '!$D$8</c:f>
              <c:strCache>
                <c:ptCount val="1"/>
                <c:pt idx="0">
                  <c:v>0-4 year olds</c:v>
                </c:pt>
              </c:strCache>
            </c:strRef>
          </c:tx>
          <c:spPr>
            <a:ln w="25400">
              <a:solidFill>
                <a:srgbClr val="808000"/>
              </a:solidFill>
              <a:prstDash val="solid"/>
            </a:ln>
          </c:spPr>
          <c:invertIfNegative val="0"/>
          <c:cat>
            <c:strRef>
              <c:f>'ECD '!$E$7:$T$7</c:f>
              <c:strCache>
                <c:ptCount val="10"/>
                <c:pt idx="0">
                  <c:v>%</c:v>
                </c:pt>
                <c:pt idx="1">
                  <c:v>2002</c:v>
                </c:pt>
                <c:pt idx="2">
                  <c:v>2003</c:v>
                </c:pt>
                <c:pt idx="3">
                  <c:v>2004</c:v>
                </c:pt>
                <c:pt idx="4">
                  <c:v>2011</c:v>
                </c:pt>
                <c:pt idx="5">
                  <c:v>2012</c:v>
                </c:pt>
                <c:pt idx="6">
                  <c:v>2013</c:v>
                </c:pt>
                <c:pt idx="7">
                  <c:v>2014</c:v>
                </c:pt>
                <c:pt idx="8">
                  <c:v>2015</c:v>
                </c:pt>
                <c:pt idx="9">
                  <c:v>2016</c:v>
                </c:pt>
              </c:strCache>
            </c:strRef>
          </c:cat>
          <c:val>
            <c:numRef>
              <c:f>'ECD '!$E$8:$T$8</c:f>
              <c:numCache>
                <c:formatCode>0.0</c:formatCode>
                <c:ptCount val="10"/>
                <c:pt idx="1">
                  <c:v>7.3</c:v>
                </c:pt>
                <c:pt idx="2">
                  <c:v>11.6</c:v>
                </c:pt>
                <c:pt idx="3">
                  <c:v>11.5</c:v>
                </c:pt>
                <c:pt idx="5">
                  <c:v>36.5</c:v>
                </c:pt>
                <c:pt idx="6">
                  <c:v>44.7</c:v>
                </c:pt>
                <c:pt idx="7">
                  <c:v>48.3</c:v>
                </c:pt>
                <c:pt idx="8">
                  <c:v>45.7</c:v>
                </c:pt>
                <c:pt idx="9">
                  <c:v>40.4</c:v>
                </c:pt>
              </c:numCache>
            </c:numRef>
          </c:val>
          <c:extLst>
            <c:ext xmlns:c16="http://schemas.microsoft.com/office/drawing/2014/chart" uri="{C3380CC4-5D6E-409C-BE32-E72D297353CC}">
              <c16:uniqueId val="{00000000-5B7F-43D3-B86D-031A4068F7B0}"/>
            </c:ext>
          </c:extLst>
        </c:ser>
        <c:ser>
          <c:idx val="2"/>
          <c:order val="1"/>
          <c:tx>
            <c:strRef>
              <c:f>'ECD '!$D$10</c:f>
              <c:strCache>
                <c:ptCount val="1"/>
                <c:pt idx="0">
                  <c:v>5 year olds</c:v>
                </c:pt>
              </c:strCache>
            </c:strRef>
          </c:tx>
          <c:invertIfNegative val="0"/>
          <c:cat>
            <c:strRef>
              <c:f>'ECD '!$E$7:$T$7</c:f>
              <c:strCache>
                <c:ptCount val="10"/>
                <c:pt idx="0">
                  <c:v>%</c:v>
                </c:pt>
                <c:pt idx="1">
                  <c:v>2002</c:v>
                </c:pt>
                <c:pt idx="2">
                  <c:v>2003</c:v>
                </c:pt>
                <c:pt idx="3">
                  <c:v>2004</c:v>
                </c:pt>
                <c:pt idx="4">
                  <c:v>2011</c:v>
                </c:pt>
                <c:pt idx="5">
                  <c:v>2012</c:v>
                </c:pt>
                <c:pt idx="6">
                  <c:v>2013</c:v>
                </c:pt>
                <c:pt idx="7">
                  <c:v>2014</c:v>
                </c:pt>
                <c:pt idx="8">
                  <c:v>2015</c:v>
                </c:pt>
                <c:pt idx="9">
                  <c:v>2016</c:v>
                </c:pt>
              </c:strCache>
            </c:strRef>
          </c:cat>
          <c:val>
            <c:numRef>
              <c:f>'ECD '!$E$10:$T$10</c:f>
              <c:numCache>
                <c:formatCode>0.0</c:formatCode>
                <c:ptCount val="10"/>
                <c:pt idx="1">
                  <c:v>39.299999999999997</c:v>
                </c:pt>
                <c:pt idx="2">
                  <c:v>48.1</c:v>
                </c:pt>
                <c:pt idx="3">
                  <c:v>51.9</c:v>
                </c:pt>
                <c:pt idx="5">
                  <c:v>84.6</c:v>
                </c:pt>
              </c:numCache>
            </c:numRef>
          </c:val>
          <c:extLst>
            <c:ext xmlns:c16="http://schemas.microsoft.com/office/drawing/2014/chart" uri="{C3380CC4-5D6E-409C-BE32-E72D297353CC}">
              <c16:uniqueId val="{00000001-5B7F-43D3-B86D-031A4068F7B0}"/>
            </c:ext>
          </c:extLst>
        </c:ser>
        <c:dLbls>
          <c:showLegendKey val="0"/>
          <c:showVal val="0"/>
          <c:showCatName val="0"/>
          <c:showSerName val="0"/>
          <c:showPercent val="0"/>
          <c:showBubbleSize val="0"/>
        </c:dLbls>
        <c:gapWidth val="150"/>
        <c:axId val="-884934784"/>
        <c:axId val="-884938048"/>
      </c:barChart>
      <c:catAx>
        <c:axId val="-884934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84938048"/>
        <c:crosses val="autoZero"/>
        <c:auto val="1"/>
        <c:lblAlgn val="ctr"/>
        <c:lblOffset val="100"/>
        <c:tickLblSkip val="1"/>
        <c:tickMarkSkip val="1"/>
        <c:noMultiLvlLbl val="0"/>
      </c:catAx>
      <c:valAx>
        <c:axId val="-884938048"/>
        <c:scaling>
          <c:orientation val="minMax"/>
          <c:min val="5"/>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US"/>
                  <a:t>%</a:t>
                </a:r>
              </a:p>
            </c:rich>
          </c:tx>
          <c:layout>
            <c:manualLayout>
              <c:xMode val="edge"/>
              <c:yMode val="edge"/>
              <c:x val="1.5036721942324256E-2"/>
              <c:y val="0.368771490772955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84934784"/>
        <c:crosses val="autoZero"/>
        <c:crossBetween val="between"/>
      </c:valAx>
      <c:spPr>
        <a:noFill/>
        <a:ln w="25400">
          <a:noFill/>
        </a:ln>
      </c:spPr>
    </c:plotArea>
    <c:legend>
      <c:legendPos val="r"/>
      <c:layout>
        <c:manualLayout>
          <c:xMode val="edge"/>
          <c:yMode val="edge"/>
          <c:x val="0.24916968784237375"/>
          <c:y val="0.91516709511568106"/>
          <c:w val="0.53778020987414521"/>
          <c:h val="8.4833002744885894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paperSize="9" orientation="landscape" horizontalDpi="0" verticalDpi="0"/>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7.6921493835826915E-2"/>
          <c:y val="9.2973550332838412E-2"/>
          <c:w val="0.91054717784337114"/>
          <c:h val="0.82404062814922996"/>
        </c:manualLayout>
      </c:layout>
      <c:lineChart>
        <c:grouping val="standard"/>
        <c:varyColors val="0"/>
        <c:ser>
          <c:idx val="0"/>
          <c:order val="0"/>
          <c:tx>
            <c:strRef>
              <c:f>'Educator Learner ratio '!$D$10</c:f>
              <c:strCache>
                <c:ptCount val="1"/>
                <c:pt idx="0">
                  <c:v>Learner: Educator Ratio</c:v>
                </c:pt>
              </c:strCache>
            </c:strRef>
          </c:tx>
          <c:spPr>
            <a:ln w="25400">
              <a:solidFill>
                <a:srgbClr val="FF6600"/>
              </a:solidFill>
            </a:ln>
          </c:spPr>
          <c:marker>
            <c:symbol val="none"/>
          </c:marker>
          <c:cat>
            <c:numRef>
              <c:extLst>
                <c:ext xmlns:c15="http://schemas.microsoft.com/office/drawing/2012/chart" uri="{02D57815-91ED-43cb-92C2-25804820EDAC}">
                  <c15:fullRef>
                    <c15:sqref>'Educator Learner ratio '!$E$7:$AB$7</c15:sqref>
                  </c15:fullRef>
                </c:ext>
              </c:extLst>
              <c:f>'Educator Learner ratio '!$S$7:$AB$7</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extLst>
                <c:ext xmlns:c15="http://schemas.microsoft.com/office/drawing/2012/chart" uri="{02D57815-91ED-43cb-92C2-25804820EDAC}">
                  <c15:fullRef>
                    <c15:sqref>'Educator Learner ratio '!$E$10:$AB$10</c15:sqref>
                  </c15:fullRef>
                </c:ext>
              </c:extLst>
              <c:f>'Educator Learner ratio '!$S$10:$AB$10</c:f>
              <c:numCache>
                <c:formatCode>0</c:formatCode>
                <c:ptCount val="10"/>
                <c:pt idx="2">
                  <c:v>32</c:v>
                </c:pt>
                <c:pt idx="3">
                  <c:v>30.893992274450504</c:v>
                </c:pt>
                <c:pt idx="4">
                  <c:v>29.752314686605743</c:v>
                </c:pt>
                <c:pt idx="5">
                  <c:v>29</c:v>
                </c:pt>
                <c:pt idx="6">
                  <c:v>29.315483402531601</c:v>
                </c:pt>
                <c:pt idx="7" formatCode="#\ ###\ ##0">
                  <c:v>29.838063846119113</c:v>
                </c:pt>
                <c:pt idx="8">
                  <c:v>29.990067610031243</c:v>
                </c:pt>
                <c:pt idx="9">
                  <c:v>30</c:v>
                </c:pt>
              </c:numCache>
            </c:numRef>
          </c:val>
          <c:smooth val="0"/>
          <c:extLst>
            <c:ext xmlns:c16="http://schemas.microsoft.com/office/drawing/2014/chart" uri="{C3380CC4-5D6E-409C-BE32-E72D297353CC}">
              <c16:uniqueId val="{00000000-3D17-4C53-AF69-3080C88648BC}"/>
            </c:ext>
          </c:extLst>
        </c:ser>
        <c:dLbls>
          <c:showLegendKey val="0"/>
          <c:showVal val="0"/>
          <c:showCatName val="0"/>
          <c:showSerName val="0"/>
          <c:showPercent val="0"/>
          <c:showBubbleSize val="0"/>
        </c:dLbls>
        <c:smooth val="0"/>
        <c:axId val="-1618726672"/>
        <c:axId val="-1618719056"/>
      </c:lineChart>
      <c:catAx>
        <c:axId val="-1618726672"/>
        <c:scaling>
          <c:orientation val="minMax"/>
        </c:scaling>
        <c:delete val="0"/>
        <c:axPos val="b"/>
        <c:numFmt formatCode="General" sourceLinked="1"/>
        <c:majorTickMark val="out"/>
        <c:minorTickMark val="none"/>
        <c:tickLblPos val="nextTo"/>
        <c:spPr>
          <a:ln>
            <a:solidFill>
              <a:sysClr val="windowText" lastClr="000000"/>
            </a:solidFill>
          </a:ln>
        </c:spPr>
        <c:crossAx val="-1618719056"/>
        <c:crossesAt val="30"/>
        <c:auto val="1"/>
        <c:lblAlgn val="ctr"/>
        <c:lblOffset val="100"/>
        <c:noMultiLvlLbl val="0"/>
      </c:catAx>
      <c:valAx>
        <c:axId val="-1618719056"/>
        <c:scaling>
          <c:orientation val="minMax"/>
          <c:min val="28"/>
        </c:scaling>
        <c:delete val="0"/>
        <c:axPos val="l"/>
        <c:majorGridlines>
          <c:spPr>
            <a:ln>
              <a:solidFill>
                <a:sysClr val="windowText" lastClr="000000">
                  <a:tint val="75000"/>
                  <a:shade val="95000"/>
                  <a:satMod val="105000"/>
                  <a:alpha val="55000"/>
                </a:sysClr>
              </a:solidFill>
              <a:prstDash val="sysDash"/>
            </a:ln>
          </c:spPr>
        </c:majorGridlines>
        <c:title>
          <c:tx>
            <c:rich>
              <a:bodyPr rot="-5400000" vert="horz"/>
              <a:lstStyle/>
              <a:p>
                <a:pPr>
                  <a:defRPr/>
                </a:pPr>
                <a:r>
                  <a:rPr lang="en-US"/>
                  <a:t>ratio</a:t>
                </a:r>
              </a:p>
            </c:rich>
          </c:tx>
          <c:overlay val="0"/>
        </c:title>
        <c:numFmt formatCode="0" sourceLinked="1"/>
        <c:majorTickMark val="out"/>
        <c:minorTickMark val="none"/>
        <c:tickLblPos val="nextTo"/>
        <c:spPr>
          <a:ln>
            <a:solidFill>
              <a:schemeClr val="tx1"/>
            </a:solidFill>
          </a:ln>
        </c:spPr>
        <c:crossAx val="-1618726672"/>
        <c:crosses val="autoZero"/>
        <c:crossBetween val="between"/>
        <c:majorUnit val="1"/>
      </c:valAx>
      <c:spPr>
        <a:ln>
          <a:solidFill>
            <a:schemeClr val="tx1"/>
          </a:solidFill>
        </a:ln>
      </c:spPr>
    </c:plotArea>
    <c:plotVisOnly val="1"/>
    <c:dispBlanksAs val="gap"/>
    <c:showDLblsOverMax val="0"/>
  </c:chart>
  <c:spPr>
    <a:ln>
      <a:solidFill>
        <a:sysClr val="windowText" lastClr="000000"/>
      </a:solidFill>
    </a:ln>
  </c:spPr>
  <c:txPr>
    <a:bodyPr/>
    <a:lstStyle/>
    <a:p>
      <a:pPr>
        <a:defRPr sz="800">
          <a:latin typeface="Arial Narrow" pitchFamily="34" charset="0"/>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GENDER PARITY INDEX</a:t>
            </a:r>
          </a:p>
        </c:rich>
      </c:tx>
      <c:layout>
        <c:manualLayout>
          <c:xMode val="edge"/>
          <c:yMode val="edge"/>
          <c:x val="4.7898338220919004E-2"/>
          <c:y val="3.3898305084745811E-2"/>
        </c:manualLayout>
      </c:layout>
      <c:overlay val="0"/>
      <c:spPr>
        <a:noFill/>
        <a:ln w="25400">
          <a:noFill/>
        </a:ln>
      </c:spPr>
    </c:title>
    <c:autoTitleDeleted val="0"/>
    <c:plotArea>
      <c:layout>
        <c:manualLayout>
          <c:layoutTarget val="inner"/>
          <c:xMode val="edge"/>
          <c:yMode val="edge"/>
          <c:x val="6.4024396200821912E-2"/>
          <c:y val="0.11267836670161945"/>
          <c:w val="0.92066565518972576"/>
          <c:h val="0.72176055220447233"/>
        </c:manualLayout>
      </c:layout>
      <c:lineChart>
        <c:grouping val="standard"/>
        <c:varyColors val="0"/>
        <c:ser>
          <c:idx val="0"/>
          <c:order val="0"/>
          <c:tx>
            <c:strRef>
              <c:f>'Gender Parity Index'!$D$11</c:f>
              <c:strCache>
                <c:ptCount val="1"/>
                <c:pt idx="0">
                  <c:v>Primary GPI</c:v>
                </c:pt>
              </c:strCache>
            </c:strRef>
          </c:tx>
          <c:spPr>
            <a:ln w="25400">
              <a:solidFill>
                <a:srgbClr val="FF6600"/>
              </a:solidFill>
              <a:prstDash val="solid"/>
            </a:ln>
          </c:spPr>
          <c:marker>
            <c:symbol val="none"/>
          </c:marker>
          <c:cat>
            <c:numRef>
              <c:extLst>
                <c:ext xmlns:c15="http://schemas.microsoft.com/office/drawing/2012/chart" uri="{02D57815-91ED-43cb-92C2-25804820EDAC}">
                  <c15:fullRef>
                    <c15:sqref>'Gender Parity Index'!$E$7:$AC$7</c15:sqref>
                  </c15:fullRef>
                </c:ext>
              </c:extLst>
              <c:f>'Gender Parity Index'!$P$7:$AC$7</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extLst>
                <c:ext xmlns:c15="http://schemas.microsoft.com/office/drawing/2012/chart" uri="{02D57815-91ED-43cb-92C2-25804820EDAC}">
                  <c15:fullRef>
                    <c15:sqref>'Gender Parity Index'!$E$11:$AB$11</c15:sqref>
                  </c15:fullRef>
                </c:ext>
              </c:extLst>
              <c:f>'Gender Parity Index'!$P$11:$AB$11</c:f>
              <c:numCache>
                <c:formatCode>0.000</c:formatCode>
                <c:ptCount val="13"/>
                <c:pt idx="0">
                  <c:v>0.98</c:v>
                </c:pt>
                <c:pt idx="5">
                  <c:v>0.94510233556841527</c:v>
                </c:pt>
                <c:pt idx="6">
                  <c:v>0.96</c:v>
                </c:pt>
                <c:pt idx="7">
                  <c:v>0.96</c:v>
                </c:pt>
                <c:pt idx="8">
                  <c:v>0.96</c:v>
                </c:pt>
                <c:pt idx="9">
                  <c:v>0.94</c:v>
                </c:pt>
                <c:pt idx="10">
                  <c:v>0.96</c:v>
                </c:pt>
                <c:pt idx="11">
                  <c:v>0.96</c:v>
                </c:pt>
                <c:pt idx="12" formatCode="0.00">
                  <c:v>0.95959595959595956</c:v>
                </c:pt>
              </c:numCache>
            </c:numRef>
          </c:val>
          <c:smooth val="0"/>
          <c:extLst>
            <c:ext xmlns:c16="http://schemas.microsoft.com/office/drawing/2014/chart" uri="{C3380CC4-5D6E-409C-BE32-E72D297353CC}">
              <c16:uniqueId val="{00000000-9A29-4799-AA92-D27CA0A78595}"/>
            </c:ext>
          </c:extLst>
        </c:ser>
        <c:ser>
          <c:idx val="1"/>
          <c:order val="1"/>
          <c:tx>
            <c:strRef>
              <c:f>'Gender Parity Index'!$D$15</c:f>
              <c:strCache>
                <c:ptCount val="1"/>
                <c:pt idx="0">
                  <c:v>Secondary GPI</c:v>
                </c:pt>
              </c:strCache>
            </c:strRef>
          </c:tx>
          <c:spPr>
            <a:ln w="25400">
              <a:solidFill>
                <a:srgbClr val="BE4B48"/>
              </a:solidFill>
              <a:prstDash val="solid"/>
            </a:ln>
          </c:spPr>
          <c:marker>
            <c:symbol val="none"/>
          </c:marker>
          <c:cat>
            <c:numRef>
              <c:extLst>
                <c:ext xmlns:c15="http://schemas.microsoft.com/office/drawing/2012/chart" uri="{02D57815-91ED-43cb-92C2-25804820EDAC}">
                  <c15:fullRef>
                    <c15:sqref>'Gender Parity Index'!$E$7:$AC$7</c15:sqref>
                  </c15:fullRef>
                </c:ext>
              </c:extLst>
              <c:f>'Gender Parity Index'!$P$7:$AC$7</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extLst>
                <c:ext xmlns:c15="http://schemas.microsoft.com/office/drawing/2012/chart" uri="{02D57815-91ED-43cb-92C2-25804820EDAC}">
                  <c15:fullRef>
                    <c15:sqref>'Gender Parity Index'!$E$15:$AB$15</c15:sqref>
                  </c15:fullRef>
                </c:ext>
              </c:extLst>
              <c:f>'Gender Parity Index'!$P$15:$AB$15</c:f>
              <c:numCache>
                <c:formatCode>0.000</c:formatCode>
                <c:ptCount val="13"/>
                <c:pt idx="0">
                  <c:v>1.08</c:v>
                </c:pt>
                <c:pt idx="1">
                  <c:v>1.01</c:v>
                </c:pt>
                <c:pt idx="2">
                  <c:v>1.07078134597603</c:v>
                </c:pt>
                <c:pt idx="3">
                  <c:v>1.0714285714285714</c:v>
                </c:pt>
                <c:pt idx="4">
                  <c:v>1.069767441860465</c:v>
                </c:pt>
                <c:pt idx="5">
                  <c:v>1.0603352145470628</c:v>
                </c:pt>
                <c:pt idx="6">
                  <c:v>1.07</c:v>
                </c:pt>
                <c:pt idx="7">
                  <c:v>1.05</c:v>
                </c:pt>
                <c:pt idx="8">
                  <c:v>1.06</c:v>
                </c:pt>
                <c:pt idx="9">
                  <c:v>1.04</c:v>
                </c:pt>
                <c:pt idx="10">
                  <c:v>1.054945054945055</c:v>
                </c:pt>
                <c:pt idx="11" formatCode="0.00">
                  <c:v>1.04</c:v>
                </c:pt>
                <c:pt idx="12" formatCode="0.00">
                  <c:v>1.0568181818181819</c:v>
                </c:pt>
              </c:numCache>
            </c:numRef>
          </c:val>
          <c:smooth val="0"/>
          <c:extLst>
            <c:ext xmlns:c16="http://schemas.microsoft.com/office/drawing/2014/chart" uri="{C3380CC4-5D6E-409C-BE32-E72D297353CC}">
              <c16:uniqueId val="{00000001-9A29-4799-AA92-D27CA0A78595}"/>
            </c:ext>
          </c:extLst>
        </c:ser>
        <c:ser>
          <c:idx val="2"/>
          <c:order val="2"/>
          <c:tx>
            <c:strRef>
              <c:f>'Gender Parity Index'!$D$28</c:f>
              <c:strCache>
                <c:ptCount val="1"/>
                <c:pt idx="0">
                  <c:v>University GPI</c:v>
                </c:pt>
              </c:strCache>
            </c:strRef>
          </c:tx>
          <c:spPr>
            <a:ln w="25400">
              <a:solidFill>
                <a:srgbClr val="FFC600"/>
              </a:solidFill>
            </a:ln>
          </c:spPr>
          <c:marker>
            <c:symbol val="none"/>
          </c:marker>
          <c:cat>
            <c:numRef>
              <c:extLst>
                <c:ext xmlns:c15="http://schemas.microsoft.com/office/drawing/2012/chart" uri="{02D57815-91ED-43cb-92C2-25804820EDAC}">
                  <c15:fullRef>
                    <c15:sqref>'Gender Parity Index'!$E$7:$AC$7</c15:sqref>
                  </c15:fullRef>
                </c:ext>
              </c:extLst>
              <c:f>'Gender Parity Index'!$P$7:$AC$7</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extLst>
                <c:ext xmlns:c15="http://schemas.microsoft.com/office/drawing/2012/chart" uri="{02D57815-91ED-43cb-92C2-25804820EDAC}">
                  <c15:fullRef>
                    <c15:sqref>'Gender Parity Index'!$E$28:$AC$28</c15:sqref>
                  </c15:fullRef>
                </c:ext>
              </c:extLst>
              <c:f>'Gender Parity Index'!$P$28:$AC$28</c:f>
              <c:numCache>
                <c:formatCode>0.00</c:formatCode>
                <c:ptCount val="14"/>
                <c:pt idx="0">
                  <c:v>1.2653061224489797</c:v>
                </c:pt>
                <c:pt idx="1">
                  <c:v>1.318185787594814</c:v>
                </c:pt>
                <c:pt idx="2">
                  <c:v>1.36</c:v>
                </c:pt>
                <c:pt idx="3">
                  <c:v>1.3881705688694896</c:v>
                </c:pt>
                <c:pt idx="4">
                  <c:v>1.42</c:v>
                </c:pt>
                <c:pt idx="5">
                  <c:v>1.4262037283858577</c:v>
                </c:pt>
                <c:pt idx="6">
                  <c:v>1.4281177836052827</c:v>
                </c:pt>
                <c:pt idx="7">
                  <c:v>1.4071469246312569</c:v>
                </c:pt>
                <c:pt idx="8">
                  <c:v>1.3930599195757936</c:v>
                </c:pt>
                <c:pt idx="9">
                  <c:v>1.3985546506202122</c:v>
                </c:pt>
                <c:pt idx="10">
                  <c:v>1.4229767174182026</c:v>
                </c:pt>
                <c:pt idx="11">
                  <c:v>1.4957</c:v>
                </c:pt>
                <c:pt idx="12">
                  <c:v>1.57</c:v>
                </c:pt>
                <c:pt idx="13">
                  <c:v>1.6059588855061966</c:v>
                </c:pt>
              </c:numCache>
            </c:numRef>
          </c:val>
          <c:smooth val="0"/>
          <c:extLst>
            <c:ext xmlns:c16="http://schemas.microsoft.com/office/drawing/2014/chart" uri="{C3380CC4-5D6E-409C-BE32-E72D297353CC}">
              <c16:uniqueId val="{00000002-9A29-4799-AA92-D27CA0A78595}"/>
            </c:ext>
          </c:extLst>
        </c:ser>
        <c:ser>
          <c:idx val="3"/>
          <c:order val="3"/>
          <c:tx>
            <c:strRef>
              <c:f>'Gender Parity Index'!$D$37</c:f>
              <c:strCache>
                <c:ptCount val="1"/>
                <c:pt idx="0">
                  <c:v>TVET GPI</c:v>
                </c:pt>
              </c:strCache>
            </c:strRef>
          </c:tx>
          <c:marker>
            <c:symbol val="none"/>
          </c:marker>
          <c:cat>
            <c:numRef>
              <c:extLst>
                <c:ext xmlns:c15="http://schemas.microsoft.com/office/drawing/2012/chart" uri="{02D57815-91ED-43cb-92C2-25804820EDAC}">
                  <c15:fullRef>
                    <c15:sqref>'Gender Parity Index'!$E$7:$AC$7</c15:sqref>
                  </c15:fullRef>
                </c:ext>
              </c:extLst>
              <c:f>'Gender Parity Index'!$P$7:$AC$7</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extLst>
                <c:ext xmlns:c15="http://schemas.microsoft.com/office/drawing/2012/chart" uri="{02D57815-91ED-43cb-92C2-25804820EDAC}">
                  <c15:fullRef>
                    <c15:sqref>'Gender Parity Index'!$E$37:$AC$37</c15:sqref>
                  </c15:fullRef>
                </c:ext>
              </c:extLst>
              <c:f>'Gender Parity Index'!$P$37:$AC$37</c:f>
              <c:numCache>
                <c:formatCode>General</c:formatCode>
                <c:ptCount val="14"/>
                <c:pt idx="2" formatCode="0.00">
                  <c:v>0.90059105682944296</c:v>
                </c:pt>
                <c:pt idx="3" formatCode="0.00">
                  <c:v>0.95111808840951773</c:v>
                </c:pt>
                <c:pt idx="4" formatCode="0.00">
                  <c:v>0.99961293543493346</c:v>
                </c:pt>
                <c:pt idx="5" formatCode="0.00">
                  <c:v>1.0575871387631375</c:v>
                </c:pt>
                <c:pt idx="6" formatCode="0.00">
                  <c:v>1.1546626595627805</c:v>
                </c:pt>
                <c:pt idx="7" formatCode="0.00">
                  <c:v>1.2146182165630519</c:v>
                </c:pt>
                <c:pt idx="8" formatCode="0.00">
                  <c:v>1.3305050004448042</c:v>
                </c:pt>
                <c:pt idx="9" formatCode="0.00">
                  <c:v>1.3425066882690107</c:v>
                </c:pt>
                <c:pt idx="10" formatCode="0.00">
                  <c:v>1.3740404696770721</c:v>
                </c:pt>
                <c:pt idx="11" formatCode="0.00">
                  <c:v>1.4161129568106314</c:v>
                </c:pt>
                <c:pt idx="12" formatCode="0.00">
                  <c:v>1.57</c:v>
                </c:pt>
                <c:pt idx="13" formatCode="0.00">
                  <c:v>1.57</c:v>
                </c:pt>
              </c:numCache>
            </c:numRef>
          </c:val>
          <c:smooth val="0"/>
          <c:extLst>
            <c:ext xmlns:c16="http://schemas.microsoft.com/office/drawing/2014/chart" uri="{C3380CC4-5D6E-409C-BE32-E72D297353CC}">
              <c16:uniqueId val="{00000003-9A29-4799-AA92-D27CA0A78595}"/>
            </c:ext>
          </c:extLst>
        </c:ser>
        <c:dLbls>
          <c:showLegendKey val="0"/>
          <c:showVal val="0"/>
          <c:showCatName val="0"/>
          <c:showSerName val="0"/>
          <c:showPercent val="0"/>
          <c:showBubbleSize val="0"/>
        </c:dLbls>
        <c:smooth val="0"/>
        <c:axId val="-1618729392"/>
        <c:axId val="-1618734288"/>
      </c:lineChart>
      <c:catAx>
        <c:axId val="-1618729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734288"/>
        <c:crosses val="autoZero"/>
        <c:auto val="1"/>
        <c:lblAlgn val="ctr"/>
        <c:lblOffset val="100"/>
        <c:tickLblSkip val="1"/>
        <c:tickMarkSkip val="1"/>
        <c:noMultiLvlLbl val="0"/>
      </c:catAx>
      <c:valAx>
        <c:axId val="-1618734288"/>
        <c:scaling>
          <c:orientation val="minMax"/>
          <c:max val="1.7000000000000002"/>
          <c:min val="0.9"/>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sz="800"/>
                  <a:t>index</a:t>
                </a:r>
              </a:p>
            </c:rich>
          </c:tx>
          <c:layout>
            <c:manualLayout>
              <c:xMode val="edge"/>
              <c:yMode val="edge"/>
              <c:x val="1.2907398411640439E-2"/>
              <c:y val="0.4073047574351219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729392"/>
        <c:crosses val="autoZero"/>
        <c:crossBetween val="midCat"/>
        <c:majorUnit val="0.05"/>
        <c:minorUnit val="1.0000000000000005E-2"/>
      </c:valAx>
      <c:spPr>
        <a:solidFill>
          <a:srgbClr val="FFFFFF"/>
        </a:solidFill>
        <a:ln w="3175">
          <a:solidFill>
            <a:srgbClr val="000000"/>
          </a:solidFill>
          <a:prstDash val="solid"/>
        </a:ln>
      </c:spPr>
    </c:plotArea>
    <c:legend>
      <c:legendPos val="r"/>
      <c:layout>
        <c:manualLayout>
          <c:xMode val="edge"/>
          <c:yMode val="edge"/>
          <c:x val="0.17376310163216352"/>
          <c:y val="0.83741952870987324"/>
          <c:w val="0.50688984533197445"/>
          <c:h val="0.14326412530234195"/>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840590390564014E-2"/>
          <c:y val="5.33333333333341E-2"/>
          <c:w val="0.84557698376255885"/>
          <c:h val="0.70689000238607402"/>
        </c:manualLayout>
      </c:layout>
      <c:lineChart>
        <c:grouping val="standard"/>
        <c:varyColors val="0"/>
        <c:ser>
          <c:idx val="0"/>
          <c:order val="0"/>
          <c:tx>
            <c:strRef>
              <c:f>'Matric pass rate'!$D$8</c:f>
              <c:strCache>
                <c:ptCount val="1"/>
                <c:pt idx="0">
                  <c:v>Number Wrote</c:v>
                </c:pt>
              </c:strCache>
            </c:strRef>
          </c:tx>
          <c:spPr>
            <a:ln w="25400">
              <a:solidFill>
                <a:srgbClr val="FF6600"/>
              </a:solidFill>
            </a:ln>
          </c:spPr>
          <c:marker>
            <c:symbol val="none"/>
          </c:marker>
          <c:cat>
            <c:numRef>
              <c:extLst>
                <c:ext xmlns:c15="http://schemas.microsoft.com/office/drawing/2012/chart" uri="{02D57815-91ED-43cb-92C2-25804820EDAC}">
                  <c15:fullRef>
                    <c15:sqref>'Matric pass rate'!$E$7:$AG$7</c15:sqref>
                  </c15:fullRef>
                </c:ext>
              </c:extLst>
              <c:f>'Matric pass rate'!$V$7:$AG$7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extLst>
                <c:ext xmlns:c15="http://schemas.microsoft.com/office/drawing/2012/chart" uri="{02D57815-91ED-43cb-92C2-25804820EDAC}">
                  <c15:fullRef>
                    <c15:sqref>'Matric pass rate'!$E$8:$AG$8</c15:sqref>
                  </c15:fullRef>
                </c:ext>
              </c:extLst>
              <c:f>'Matric pass rate'!$V$8:$AG$8</c:f>
              <c:numCache>
                <c:formatCode>#\ ###\ ###</c:formatCode>
                <c:ptCount val="12"/>
                <c:pt idx="0" formatCode="#,##0">
                  <c:v>496090</c:v>
                </c:pt>
                <c:pt idx="1" formatCode="#,##0">
                  <c:v>511152</c:v>
                </c:pt>
                <c:pt idx="2" formatCode="#,##0">
                  <c:v>562116</c:v>
                </c:pt>
                <c:pt idx="3" formatCode="#,##0">
                  <c:v>532860</c:v>
                </c:pt>
                <c:pt idx="4" formatCode="#,##0">
                  <c:v>644536</c:v>
                </c:pt>
                <c:pt idx="5" formatCode="#,##0">
                  <c:v>610178</c:v>
                </c:pt>
                <c:pt idx="6" formatCode="#,##0">
                  <c:v>534484</c:v>
                </c:pt>
                <c:pt idx="7" formatCode="#,##0">
                  <c:v>512735</c:v>
                </c:pt>
                <c:pt idx="8" formatCode="#,##0">
                  <c:v>504303</c:v>
                </c:pt>
                <c:pt idx="9">
                  <c:v>578468</c:v>
                </c:pt>
                <c:pt idx="10">
                  <c:v>704021</c:v>
                </c:pt>
                <c:pt idx="11">
                  <c:v>725146</c:v>
                </c:pt>
              </c:numCache>
            </c:numRef>
          </c:val>
          <c:smooth val="1"/>
          <c:extLst>
            <c:ext xmlns:c16="http://schemas.microsoft.com/office/drawing/2014/chart" uri="{C3380CC4-5D6E-409C-BE32-E72D297353CC}">
              <c16:uniqueId val="{00000000-6B8E-43E4-8966-BD8315D673DC}"/>
            </c:ext>
          </c:extLst>
        </c:ser>
        <c:ser>
          <c:idx val="1"/>
          <c:order val="1"/>
          <c:tx>
            <c:strRef>
              <c:f>'Matric pass rate'!$D$9</c:f>
              <c:strCache>
                <c:ptCount val="1"/>
                <c:pt idx="0">
                  <c:v>Number Passed</c:v>
                </c:pt>
              </c:strCache>
            </c:strRef>
          </c:tx>
          <c:spPr>
            <a:ln w="25400">
              <a:solidFill>
                <a:srgbClr val="BE4B48"/>
              </a:solidFill>
            </a:ln>
          </c:spPr>
          <c:marker>
            <c:symbol val="none"/>
          </c:marker>
          <c:cat>
            <c:numRef>
              <c:extLst>
                <c:ext xmlns:c15="http://schemas.microsoft.com/office/drawing/2012/chart" uri="{02D57815-91ED-43cb-92C2-25804820EDAC}">
                  <c15:fullRef>
                    <c15:sqref>'Matric pass rate'!$E$7:$AG$7</c15:sqref>
                  </c15:fullRef>
                </c:ext>
              </c:extLst>
              <c:f>'Matric pass rate'!$V$7:$AG$7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extLst>
                <c:ext xmlns:c15="http://schemas.microsoft.com/office/drawing/2012/chart" uri="{02D57815-91ED-43cb-92C2-25804820EDAC}">
                  <c15:fullRef>
                    <c15:sqref>'Matric pass rate'!$E$9:$AG$9</c15:sqref>
                  </c15:fullRef>
                </c:ext>
              </c:extLst>
              <c:f>'Matric pass rate'!$V$9:$AG$9</c:f>
              <c:numCache>
                <c:formatCode>#\ ###\ ###</c:formatCode>
                <c:ptCount val="12"/>
                <c:pt idx="0" formatCode="#,##0">
                  <c:v>348117</c:v>
                </c:pt>
                <c:pt idx="1" formatCode="#,##0">
                  <c:v>377829</c:v>
                </c:pt>
                <c:pt idx="2" formatCode="#,##0">
                  <c:v>439779</c:v>
                </c:pt>
                <c:pt idx="3" formatCode="#,##0">
                  <c:v>403874</c:v>
                </c:pt>
                <c:pt idx="4" formatCode="#,##0">
                  <c:v>455825</c:v>
                </c:pt>
                <c:pt idx="5" formatCode="#,##0">
                  <c:v>442672</c:v>
                </c:pt>
                <c:pt idx="6" formatCode="#,##0">
                  <c:v>401435</c:v>
                </c:pt>
                <c:pt idx="7" formatCode="#,##0">
                  <c:v>400761</c:v>
                </c:pt>
                <c:pt idx="8" formatCode="#,##0">
                  <c:v>409906</c:v>
                </c:pt>
                <c:pt idx="9">
                  <c:v>440702</c:v>
                </c:pt>
                <c:pt idx="10" formatCode="#,##0">
                  <c:v>537687</c:v>
                </c:pt>
                <c:pt idx="11" formatCode="#,##0">
                  <c:v>580555</c:v>
                </c:pt>
              </c:numCache>
            </c:numRef>
          </c:val>
          <c:smooth val="1"/>
          <c:extLst>
            <c:ext xmlns:c16="http://schemas.microsoft.com/office/drawing/2014/chart" uri="{C3380CC4-5D6E-409C-BE32-E72D297353CC}">
              <c16:uniqueId val="{00000001-6B8E-43E4-8966-BD8315D673DC}"/>
            </c:ext>
          </c:extLst>
        </c:ser>
        <c:ser>
          <c:idx val="3"/>
          <c:order val="3"/>
          <c:tx>
            <c:strRef>
              <c:f>'Matric pass rate'!$D$10</c:f>
              <c:strCache>
                <c:ptCount val="1"/>
                <c:pt idx="0">
                  <c:v>Bachelor passes</c:v>
                </c:pt>
              </c:strCache>
            </c:strRef>
          </c:tx>
          <c:marker>
            <c:symbol val="none"/>
          </c:marker>
          <c:cat>
            <c:numRef>
              <c:extLst>
                <c:ext xmlns:c15="http://schemas.microsoft.com/office/drawing/2012/chart" uri="{02D57815-91ED-43cb-92C2-25804820EDAC}">
                  <c15:fullRef>
                    <c15:sqref>'Matric pass rate'!$E$7:$AG$7</c15:sqref>
                  </c15:fullRef>
                </c:ext>
              </c:extLst>
              <c:f>'Matric pass rate'!$V$7:$AG$7</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extLst>
                <c:ext xmlns:c15="http://schemas.microsoft.com/office/drawing/2012/chart" uri="{02D57815-91ED-43cb-92C2-25804820EDAC}">
                  <c15:fullRef>
                    <c15:sqref>'Matric pass rate'!$E$10:$AG$10</c15:sqref>
                  </c15:fullRef>
                </c:ext>
              </c:extLst>
              <c:f>'Matric pass rate'!$V$10:$AG$10</c:f>
              <c:numCache>
                <c:formatCode>#\ ###\ ###</c:formatCode>
                <c:ptCount val="12"/>
                <c:pt idx="0" formatCode="#,##0">
                  <c:v>120767</c:v>
                </c:pt>
                <c:pt idx="1" formatCode="#,##0">
                  <c:v>136047</c:v>
                </c:pt>
                <c:pt idx="2" formatCode="#,##0">
                  <c:v>171755</c:v>
                </c:pt>
                <c:pt idx="3" formatCode="#,##0">
                  <c:v>150752</c:v>
                </c:pt>
                <c:pt idx="4" formatCode="#,##0">
                  <c:v>166263</c:v>
                </c:pt>
                <c:pt idx="5" formatCode="#,##0">
                  <c:v>162374</c:v>
                </c:pt>
                <c:pt idx="6" formatCode="#,##0">
                  <c:v>153610</c:v>
                </c:pt>
                <c:pt idx="7" formatCode="#,##0">
                  <c:v>172043</c:v>
                </c:pt>
                <c:pt idx="8" formatCode="#,##0">
                  <c:v>186058</c:v>
                </c:pt>
                <c:pt idx="9">
                  <c:v>210820</c:v>
                </c:pt>
                <c:pt idx="10" formatCode="#,##0">
                  <c:v>256031</c:v>
                </c:pt>
                <c:pt idx="11" formatCode="#,##0">
                  <c:v>278814</c:v>
                </c:pt>
              </c:numCache>
            </c:numRef>
          </c:val>
          <c:smooth val="1"/>
          <c:extLst>
            <c:ext xmlns:c16="http://schemas.microsoft.com/office/drawing/2014/chart" uri="{C3380CC4-5D6E-409C-BE32-E72D297353CC}">
              <c16:uniqueId val="{00000002-6B8E-43E4-8966-BD8315D673DC}"/>
            </c:ext>
          </c:extLst>
        </c:ser>
        <c:dLbls>
          <c:showLegendKey val="0"/>
          <c:showVal val="0"/>
          <c:showCatName val="0"/>
          <c:showSerName val="0"/>
          <c:showPercent val="0"/>
          <c:showBubbleSize val="0"/>
        </c:dLbls>
        <c:marker val="1"/>
        <c:smooth val="0"/>
        <c:axId val="-1618725040"/>
        <c:axId val="-1618735376"/>
      </c:lineChart>
      <c:lineChart>
        <c:grouping val="standard"/>
        <c:varyColors val="0"/>
        <c:ser>
          <c:idx val="2"/>
          <c:order val="2"/>
          <c:tx>
            <c:strRef>
              <c:f>'Matric pass rate'!$D$11</c:f>
              <c:strCache>
                <c:ptCount val="1"/>
                <c:pt idx="0">
                  <c:v>Pass rate</c:v>
                </c:pt>
              </c:strCache>
            </c:strRef>
          </c:tx>
          <c:spPr>
            <a:ln w="25400">
              <a:solidFill>
                <a:srgbClr val="FFC600"/>
              </a:solidFill>
            </a:ln>
          </c:spPr>
          <c:marker>
            <c:symbol val="none"/>
          </c:marker>
          <c:cat>
            <c:numRef>
              <c:extLst>
                <c:ext xmlns:c15="http://schemas.microsoft.com/office/drawing/2012/chart" uri="{02D57815-91ED-43cb-92C2-25804820EDAC}">
                  <c15:fullRef>
                    <c15:sqref>'Matric pass rate'!$E$7:$AF$7</c15:sqref>
                  </c15:fullRef>
                </c:ext>
              </c:extLst>
              <c:f>'Matric pass rate'!$V$7:$AF$7</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extLst>
                <c:ext xmlns:c15="http://schemas.microsoft.com/office/drawing/2012/chart" uri="{02D57815-91ED-43cb-92C2-25804820EDAC}">
                  <c15:fullRef>
                    <c15:sqref>'Matric pass rate'!$E$11:$AG$11</c15:sqref>
                  </c15:fullRef>
                </c:ext>
              </c:extLst>
              <c:f>'Matric pass rate'!$V$11:$AG$11</c:f>
              <c:numCache>
                <c:formatCode>0.0%</c:formatCode>
                <c:ptCount val="12"/>
                <c:pt idx="0">
                  <c:v>0.70199999999999996</c:v>
                </c:pt>
                <c:pt idx="1">
                  <c:v>0.73917151845243689</c:v>
                </c:pt>
                <c:pt idx="2">
                  <c:v>0.78200000000000003</c:v>
                </c:pt>
                <c:pt idx="3">
                  <c:v>0.75800000000000001</c:v>
                </c:pt>
                <c:pt idx="4">
                  <c:v>0.70699999999999996</c:v>
                </c:pt>
                <c:pt idx="5">
                  <c:v>0.72499999999999998</c:v>
                </c:pt>
                <c:pt idx="6">
                  <c:v>0.751</c:v>
                </c:pt>
                <c:pt idx="7">
                  <c:v>0.78200000000000003</c:v>
                </c:pt>
                <c:pt idx="8">
                  <c:v>0.81299999999999994</c:v>
                </c:pt>
                <c:pt idx="9">
                  <c:v>0.76200000000000001</c:v>
                </c:pt>
                <c:pt idx="10">
                  <c:v>0.76400000000000001</c:v>
                </c:pt>
                <c:pt idx="11">
                  <c:v>0.80100000000000005</c:v>
                </c:pt>
              </c:numCache>
            </c:numRef>
          </c:val>
          <c:smooth val="1"/>
          <c:extLst>
            <c:ext xmlns:c16="http://schemas.microsoft.com/office/drawing/2014/chart" uri="{C3380CC4-5D6E-409C-BE32-E72D297353CC}">
              <c16:uniqueId val="{00000003-6B8E-43E4-8966-BD8315D673DC}"/>
            </c:ext>
          </c:extLst>
        </c:ser>
        <c:dLbls>
          <c:showLegendKey val="0"/>
          <c:showVal val="0"/>
          <c:showCatName val="0"/>
          <c:showSerName val="0"/>
          <c:showPercent val="0"/>
          <c:showBubbleSize val="0"/>
        </c:dLbls>
        <c:marker val="1"/>
        <c:smooth val="0"/>
        <c:axId val="-1618728848"/>
        <c:axId val="-1618734832"/>
      </c:lineChart>
      <c:catAx>
        <c:axId val="-1618725040"/>
        <c:scaling>
          <c:orientation val="minMax"/>
        </c:scaling>
        <c:delete val="0"/>
        <c:axPos val="b"/>
        <c:numFmt formatCode="General" sourceLinked="0"/>
        <c:majorTickMark val="out"/>
        <c:minorTickMark val="none"/>
        <c:tickLblPos val="nextTo"/>
        <c:crossAx val="-1618735376"/>
        <c:crosses val="autoZero"/>
        <c:auto val="1"/>
        <c:lblAlgn val="ctr"/>
        <c:lblOffset val="100"/>
        <c:tickMarkSkip val="1"/>
        <c:noMultiLvlLbl val="0"/>
      </c:catAx>
      <c:valAx>
        <c:axId val="-1618735376"/>
        <c:scaling>
          <c:orientation val="minMax"/>
          <c:max val="800000"/>
          <c:min val="100000"/>
        </c:scaling>
        <c:delete val="0"/>
        <c:axPos val="l"/>
        <c:majorGridlines>
          <c:spPr>
            <a:ln>
              <a:prstDash val="sysDash"/>
            </a:ln>
          </c:spPr>
        </c:majorGridlines>
        <c:numFmt formatCode="#\ ##0" sourceLinked="0"/>
        <c:majorTickMark val="out"/>
        <c:minorTickMark val="none"/>
        <c:tickLblPos val="nextTo"/>
        <c:crossAx val="-1618725040"/>
        <c:crosses val="autoZero"/>
        <c:crossBetween val="midCat"/>
        <c:majorUnit val="100000"/>
      </c:valAx>
      <c:catAx>
        <c:axId val="-1618728848"/>
        <c:scaling>
          <c:orientation val="minMax"/>
        </c:scaling>
        <c:delete val="1"/>
        <c:axPos val="b"/>
        <c:numFmt formatCode="General" sourceLinked="1"/>
        <c:majorTickMark val="out"/>
        <c:minorTickMark val="none"/>
        <c:tickLblPos val="none"/>
        <c:crossAx val="-1618734832"/>
        <c:crosses val="autoZero"/>
        <c:auto val="1"/>
        <c:lblAlgn val="ctr"/>
        <c:lblOffset val="100"/>
        <c:noMultiLvlLbl val="0"/>
      </c:catAx>
      <c:valAx>
        <c:axId val="-1618734832"/>
        <c:scaling>
          <c:orientation val="minMax"/>
          <c:min val="0"/>
        </c:scaling>
        <c:delete val="0"/>
        <c:axPos val="r"/>
        <c:numFmt formatCode="0.0%" sourceLinked="0"/>
        <c:majorTickMark val="out"/>
        <c:minorTickMark val="none"/>
        <c:tickLblPos val="nextTo"/>
        <c:crossAx val="-1618728848"/>
        <c:crosses val="max"/>
        <c:crossBetween val="between"/>
      </c:valAx>
    </c:plotArea>
    <c:legend>
      <c:legendPos val="r"/>
      <c:layout>
        <c:manualLayout>
          <c:xMode val="edge"/>
          <c:yMode val="edge"/>
          <c:x val="0.23377429580096454"/>
          <c:y val="0.87925866547609388"/>
          <c:w val="0.56022105277041379"/>
          <c:h val="9.4968138647617495E-2"/>
        </c:manualLayout>
      </c:layout>
      <c:overlay val="0"/>
    </c:legend>
    <c:plotVisOnly val="1"/>
    <c:dispBlanksAs val="gap"/>
    <c:showDLblsOverMax val="0"/>
  </c:chart>
  <c:spPr>
    <a:ln>
      <a:solidFill>
        <a:schemeClr val="tx1"/>
      </a:solidFill>
    </a:ln>
  </c:spPr>
  <c:txPr>
    <a:bodyPr/>
    <a:lstStyle/>
    <a:p>
      <a:pPr>
        <a:defRPr sz="800">
          <a:latin typeface="Arial Narrow" pitchFamily="34" charset="0"/>
          <a:cs typeface="Arial" pitchFamily="34" charset="0"/>
        </a:defRPr>
      </a:pPr>
      <a:endParaRPr lang="en-US"/>
    </a:p>
  </c:txPr>
  <c:printSettings>
    <c:headerFooter/>
    <c:pageMargins b="0.75000000000000544" l="0.70000000000000062" r="0.70000000000000062" t="0.75000000000000544" header="0.30000000000000032" footer="0.30000000000000032"/>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63825253550709"/>
          <c:y val="5.33333333333341E-2"/>
          <c:w val="0.77974213749597088"/>
          <c:h val="0.70689000238607402"/>
        </c:manualLayout>
      </c:layout>
      <c:lineChart>
        <c:grouping val="standard"/>
        <c:varyColors val="0"/>
        <c:ser>
          <c:idx val="0"/>
          <c:order val="0"/>
          <c:tx>
            <c:strRef>
              <c:f>'Matric pass rate'!$D$8</c:f>
              <c:strCache>
                <c:ptCount val="1"/>
                <c:pt idx="0">
                  <c:v>Number Wrote</c:v>
                </c:pt>
              </c:strCache>
            </c:strRef>
          </c:tx>
          <c:spPr>
            <a:ln w="12700">
              <a:solidFill>
                <a:schemeClr val="accent6">
                  <a:lumMod val="50000"/>
                </a:schemeClr>
              </a:solidFill>
            </a:ln>
          </c:spPr>
          <c:marker>
            <c:symbol val="none"/>
          </c:marker>
          <c:cat>
            <c:numRef>
              <c:f>'Matric pass rate'!$E$7:$Z$7</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'Matric pass rate'!$E$8:$Z$8</c:f>
              <c:numCache>
                <c:formatCode>#\ ###\ ###</c:formatCode>
                <c:ptCount val="22"/>
                <c:pt idx="1">
                  <c:v>531453</c:v>
                </c:pt>
                <c:pt idx="2">
                  <c:v>513868</c:v>
                </c:pt>
                <c:pt idx="3">
                  <c:v>558970</c:v>
                </c:pt>
                <c:pt idx="4">
                  <c:v>552384</c:v>
                </c:pt>
                <c:pt idx="5">
                  <c:v>511159</c:v>
                </c:pt>
                <c:pt idx="6">
                  <c:v>489298</c:v>
                </c:pt>
                <c:pt idx="7">
                  <c:v>449332</c:v>
                </c:pt>
                <c:pt idx="8">
                  <c:v>3372</c:v>
                </c:pt>
                <c:pt idx="9">
                  <c:v>440096</c:v>
                </c:pt>
                <c:pt idx="11">
                  <c:v>508180</c:v>
                </c:pt>
                <c:pt idx="12">
                  <c:v>527950</c:v>
                </c:pt>
                <c:pt idx="13">
                  <c:v>564381</c:v>
                </c:pt>
                <c:pt idx="14" formatCode="#,##0">
                  <c:v>554664</c:v>
                </c:pt>
                <c:pt idx="15" formatCode="#,##0">
                  <c:v>552073</c:v>
                </c:pt>
                <c:pt idx="16" formatCode="#,##0">
                  <c:v>537543</c:v>
                </c:pt>
                <c:pt idx="17" formatCode="#,##0">
                  <c:v>496090</c:v>
                </c:pt>
                <c:pt idx="18" formatCode="#,##0">
                  <c:v>511152</c:v>
                </c:pt>
                <c:pt idx="19" formatCode="#,##0">
                  <c:v>562116</c:v>
                </c:pt>
                <c:pt idx="20" formatCode="#,##0">
                  <c:v>532860</c:v>
                </c:pt>
                <c:pt idx="21" formatCode="#,##0">
                  <c:v>644536</c:v>
                </c:pt>
              </c:numCache>
            </c:numRef>
          </c:val>
          <c:smooth val="0"/>
          <c:extLst>
            <c:ext xmlns:c16="http://schemas.microsoft.com/office/drawing/2014/chart" uri="{C3380CC4-5D6E-409C-BE32-E72D297353CC}">
              <c16:uniqueId val="{00000000-A4B9-446D-B2F6-0F38298C9EE6}"/>
            </c:ext>
          </c:extLst>
        </c:ser>
        <c:ser>
          <c:idx val="1"/>
          <c:order val="1"/>
          <c:tx>
            <c:strRef>
              <c:f>'Matric pass rate'!$D$9</c:f>
              <c:strCache>
                <c:ptCount val="1"/>
                <c:pt idx="0">
                  <c:v>Number Passed</c:v>
                </c:pt>
              </c:strCache>
            </c:strRef>
          </c:tx>
          <c:spPr>
            <a:ln w="12700">
              <a:solidFill>
                <a:schemeClr val="tx1">
                  <a:lumMod val="50000"/>
                  <a:lumOff val="50000"/>
                </a:schemeClr>
              </a:solidFill>
            </a:ln>
          </c:spPr>
          <c:marker>
            <c:symbol val="none"/>
          </c:marker>
          <c:cat>
            <c:numRef>
              <c:f>'Matric pass rate'!$E$7:$Z$7</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'Matric pass rate'!$E$9:$Z$9</c:f>
              <c:numCache>
                <c:formatCode>#\ ###\ ###</c:formatCode>
                <c:ptCount val="22"/>
                <c:pt idx="1">
                  <c:v>283742</c:v>
                </c:pt>
                <c:pt idx="2">
                  <c:v>279487</c:v>
                </c:pt>
                <c:pt idx="3">
                  <c:v>264795</c:v>
                </c:pt>
                <c:pt idx="4">
                  <c:v>272488</c:v>
                </c:pt>
                <c:pt idx="5">
                  <c:v>249831</c:v>
                </c:pt>
                <c:pt idx="6">
                  <c:v>283294</c:v>
                </c:pt>
                <c:pt idx="7">
                  <c:v>277206</c:v>
                </c:pt>
                <c:pt idx="8">
                  <c:v>305774</c:v>
                </c:pt>
                <c:pt idx="9">
                  <c:v>322492</c:v>
                </c:pt>
                <c:pt idx="10">
                  <c:v>330717</c:v>
                </c:pt>
                <c:pt idx="11">
                  <c:v>347184</c:v>
                </c:pt>
                <c:pt idx="12">
                  <c:v>351503</c:v>
                </c:pt>
                <c:pt idx="13">
                  <c:v>368217</c:v>
                </c:pt>
                <c:pt idx="14">
                  <c:v>344794</c:v>
                </c:pt>
                <c:pt idx="15">
                  <c:v>334716</c:v>
                </c:pt>
                <c:pt idx="16" formatCode="#,##0">
                  <c:v>364147</c:v>
                </c:pt>
                <c:pt idx="17" formatCode="#,##0">
                  <c:v>348117</c:v>
                </c:pt>
                <c:pt idx="18" formatCode="#,##0">
                  <c:v>377829</c:v>
                </c:pt>
                <c:pt idx="19" formatCode="#,##0">
                  <c:v>439779</c:v>
                </c:pt>
                <c:pt idx="20" formatCode="#,##0">
                  <c:v>403874</c:v>
                </c:pt>
                <c:pt idx="21" formatCode="#,##0">
                  <c:v>455825</c:v>
                </c:pt>
              </c:numCache>
            </c:numRef>
          </c:val>
          <c:smooth val="0"/>
          <c:extLst>
            <c:ext xmlns:c16="http://schemas.microsoft.com/office/drawing/2014/chart" uri="{C3380CC4-5D6E-409C-BE32-E72D297353CC}">
              <c16:uniqueId val="{00000001-A4B9-446D-B2F6-0F38298C9EE6}"/>
            </c:ext>
          </c:extLst>
        </c:ser>
        <c:dLbls>
          <c:showLegendKey val="0"/>
          <c:showVal val="0"/>
          <c:showCatName val="0"/>
          <c:showSerName val="0"/>
          <c:showPercent val="0"/>
          <c:showBubbleSize val="0"/>
        </c:dLbls>
        <c:marker val="1"/>
        <c:smooth val="0"/>
        <c:axId val="-1618736464"/>
        <c:axId val="-1618713616"/>
      </c:lineChart>
      <c:lineChart>
        <c:grouping val="standard"/>
        <c:varyColors val="0"/>
        <c:ser>
          <c:idx val="2"/>
          <c:order val="2"/>
          <c:tx>
            <c:strRef>
              <c:f>'Matric pass rate'!$D$11</c:f>
              <c:strCache>
                <c:ptCount val="1"/>
                <c:pt idx="0">
                  <c:v>Pass rate</c:v>
                </c:pt>
              </c:strCache>
            </c:strRef>
          </c:tx>
          <c:spPr>
            <a:ln w="12700">
              <a:solidFill>
                <a:schemeClr val="accent6">
                  <a:lumMod val="75000"/>
                </a:schemeClr>
              </a:solidFill>
            </a:ln>
          </c:spPr>
          <c:marker>
            <c:symbol val="none"/>
          </c:marker>
          <c:cat>
            <c:numRef>
              <c:f>'Matric pass rate'!$E$7:$Z$7</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'Matric pass rate'!$E$11:$Z$11</c:f>
              <c:numCache>
                <c:formatCode>0.0%</c:formatCode>
                <c:ptCount val="22"/>
                <c:pt idx="0">
                  <c:v>0.57999999999999996</c:v>
                </c:pt>
                <c:pt idx="1">
                  <c:v>0.53389857616760095</c:v>
                </c:pt>
                <c:pt idx="2">
                  <c:v>0.54388870293538416</c:v>
                </c:pt>
                <c:pt idx="3">
                  <c:v>0.47371951983111793</c:v>
                </c:pt>
                <c:pt idx="4">
                  <c:v>0.49329451975437377</c:v>
                </c:pt>
                <c:pt idx="5">
                  <c:v>0.48875398848499196</c:v>
                </c:pt>
                <c:pt idx="6">
                  <c:v>0.57898049859186018</c:v>
                </c:pt>
                <c:pt idx="7">
                  <c:v>0.6169291303535025</c:v>
                </c:pt>
                <c:pt idx="8">
                  <c:v>0.68904487735625841</c:v>
                </c:pt>
                <c:pt idx="9">
                  <c:v>0.73277648513051696</c:v>
                </c:pt>
                <c:pt idx="10">
                  <c:v>0.70682639081835474</c:v>
                </c:pt>
                <c:pt idx="11">
                  <c:v>0.68319099531662009</c:v>
                </c:pt>
                <c:pt idx="16">
                  <c:v>0.67800000000000005</c:v>
                </c:pt>
                <c:pt idx="17">
                  <c:v>0.70199999999999996</c:v>
                </c:pt>
                <c:pt idx="18">
                  <c:v>0.73917151845243689</c:v>
                </c:pt>
                <c:pt idx="19">
                  <c:v>0.78200000000000003</c:v>
                </c:pt>
                <c:pt idx="20">
                  <c:v>0.75800000000000001</c:v>
                </c:pt>
                <c:pt idx="21">
                  <c:v>0.70699999999999996</c:v>
                </c:pt>
              </c:numCache>
            </c:numRef>
          </c:val>
          <c:smooth val="0"/>
          <c:extLst>
            <c:ext xmlns:c16="http://schemas.microsoft.com/office/drawing/2014/chart" uri="{C3380CC4-5D6E-409C-BE32-E72D297353CC}">
              <c16:uniqueId val="{00000002-A4B9-446D-B2F6-0F38298C9EE6}"/>
            </c:ext>
          </c:extLst>
        </c:ser>
        <c:dLbls>
          <c:showLegendKey val="0"/>
          <c:showVal val="0"/>
          <c:showCatName val="0"/>
          <c:showSerName val="0"/>
          <c:showPercent val="0"/>
          <c:showBubbleSize val="0"/>
        </c:dLbls>
        <c:marker val="1"/>
        <c:smooth val="0"/>
        <c:axId val="-1618717424"/>
        <c:axId val="-1618726128"/>
      </c:lineChart>
      <c:catAx>
        <c:axId val="-1618736464"/>
        <c:scaling>
          <c:orientation val="minMax"/>
        </c:scaling>
        <c:delete val="0"/>
        <c:axPos val="b"/>
        <c:numFmt formatCode="General" sourceLinked="0"/>
        <c:majorTickMark val="out"/>
        <c:minorTickMark val="none"/>
        <c:tickLblPos val="nextTo"/>
        <c:crossAx val="-1618713616"/>
        <c:crosses val="autoZero"/>
        <c:auto val="1"/>
        <c:lblAlgn val="ctr"/>
        <c:lblOffset val="100"/>
        <c:tickMarkSkip val="1"/>
        <c:noMultiLvlLbl val="0"/>
      </c:catAx>
      <c:valAx>
        <c:axId val="-1618713616"/>
        <c:scaling>
          <c:orientation val="minMax"/>
          <c:max val="600000"/>
          <c:min val="200000"/>
        </c:scaling>
        <c:delete val="0"/>
        <c:axPos val="l"/>
        <c:majorGridlines>
          <c:spPr>
            <a:ln>
              <a:prstDash val="sysDash"/>
            </a:ln>
          </c:spPr>
        </c:majorGridlines>
        <c:numFmt formatCode="#\ ##0" sourceLinked="0"/>
        <c:majorTickMark val="out"/>
        <c:minorTickMark val="none"/>
        <c:tickLblPos val="nextTo"/>
        <c:crossAx val="-1618736464"/>
        <c:crosses val="autoZero"/>
        <c:crossBetween val="between"/>
        <c:majorUnit val="100000"/>
      </c:valAx>
      <c:catAx>
        <c:axId val="-1618717424"/>
        <c:scaling>
          <c:orientation val="minMax"/>
        </c:scaling>
        <c:delete val="1"/>
        <c:axPos val="b"/>
        <c:numFmt formatCode="General" sourceLinked="1"/>
        <c:majorTickMark val="out"/>
        <c:minorTickMark val="none"/>
        <c:tickLblPos val="none"/>
        <c:crossAx val="-1618726128"/>
        <c:crosses val="autoZero"/>
        <c:auto val="1"/>
        <c:lblAlgn val="ctr"/>
        <c:lblOffset val="100"/>
        <c:noMultiLvlLbl val="0"/>
      </c:catAx>
      <c:valAx>
        <c:axId val="-1618726128"/>
        <c:scaling>
          <c:orientation val="minMax"/>
          <c:min val="0"/>
        </c:scaling>
        <c:delete val="0"/>
        <c:axPos val="r"/>
        <c:numFmt formatCode="0.0%" sourceLinked="0"/>
        <c:majorTickMark val="out"/>
        <c:minorTickMark val="none"/>
        <c:tickLblPos val="nextTo"/>
        <c:crossAx val="-1618717424"/>
        <c:crosses val="max"/>
        <c:crossBetween val="between"/>
      </c:valAx>
    </c:plotArea>
    <c:legend>
      <c:legendPos val="r"/>
      <c:layout>
        <c:manualLayout>
          <c:xMode val="edge"/>
          <c:yMode val="edge"/>
          <c:x val="9.2741017021995081E-2"/>
          <c:y val="0.90503194471486048"/>
          <c:w val="0.72979923562186311"/>
          <c:h val="6.7039403312211934E-2"/>
        </c:manualLayout>
      </c:layout>
      <c:overlay val="0"/>
    </c:legend>
    <c:plotVisOnly val="1"/>
    <c:dispBlanksAs val="gap"/>
    <c:showDLblsOverMax val="0"/>
  </c:chart>
  <c:spPr>
    <a:ln>
      <a:noFill/>
    </a:ln>
  </c:spPr>
  <c:txPr>
    <a:bodyPr/>
    <a:lstStyle/>
    <a:p>
      <a:pPr>
        <a:defRPr sz="800">
          <a:latin typeface="Arial Narrow" pitchFamily="34" charset="0"/>
          <a:cs typeface="Arial" pitchFamily="34" charset="0"/>
        </a:defRPr>
      </a:pPr>
      <a:endParaRPr lang="en-US"/>
    </a:p>
  </c:txPr>
  <c:printSettings>
    <c:headerFooter/>
    <c:pageMargins b="0.75000000000000544" l="0.70000000000000062" r="0.70000000000000062" t="0.75000000000000544" header="0.30000000000000032" footer="0.30000000000000032"/>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01806976596238E-2"/>
          <c:y val="7.0878389745037115E-2"/>
          <c:w val="0.88765032856275816"/>
          <c:h val="0.71998930047254917"/>
        </c:manualLayout>
      </c:layout>
      <c:barChart>
        <c:barDir val="col"/>
        <c:grouping val="clustered"/>
        <c:varyColors val="0"/>
        <c:ser>
          <c:idx val="8"/>
          <c:order val="0"/>
          <c:tx>
            <c:strRef>
              <c:f>'Mathematics pass rate '!$D$9</c:f>
              <c:strCache>
                <c:ptCount val="1"/>
                <c:pt idx="0">
                  <c:v>Mathematics passes</c:v>
                </c:pt>
              </c:strCache>
            </c:strRef>
          </c:tx>
          <c:spPr>
            <a:solidFill>
              <a:srgbClr val="FCD5B5"/>
            </a:solidFill>
          </c:spPr>
          <c:invertIfNegative val="0"/>
          <c:cat>
            <c:numRef>
              <c:extLst>
                <c:ext xmlns:c15="http://schemas.microsoft.com/office/drawing/2012/chart" uri="{02D57815-91ED-43cb-92C2-25804820EDAC}">
                  <c15:fullRef>
                    <c15:sqref>'Mathematics pass rate '!$R$8:$AF$8</c15:sqref>
                  </c15:fullRef>
                </c:ext>
              </c:extLst>
              <c:f>'Mathematics pass rate '!$Z$8:$AF$8</c:f>
              <c:numCache>
                <c:formatCode>General</c:formatCode>
                <c:ptCount val="7"/>
                <c:pt idx="0">
                  <c:v>2016</c:v>
                </c:pt>
                <c:pt idx="1">
                  <c:v>2017</c:v>
                </c:pt>
                <c:pt idx="2">
                  <c:v>2018</c:v>
                </c:pt>
                <c:pt idx="3">
                  <c:v>2019</c:v>
                </c:pt>
                <c:pt idx="4">
                  <c:v>2020</c:v>
                </c:pt>
                <c:pt idx="5">
                  <c:v>2021</c:v>
                </c:pt>
                <c:pt idx="6">
                  <c:v>2022</c:v>
                </c:pt>
              </c:numCache>
            </c:numRef>
          </c:cat>
          <c:val>
            <c:numRef>
              <c:extLst>
                <c:ext xmlns:c15="http://schemas.microsoft.com/office/drawing/2012/chart" uri="{02D57815-91ED-43cb-92C2-25804820EDAC}">
                  <c15:fullRef>
                    <c15:sqref>'Mathematics pass rate '!$R$9:$AF$9</c15:sqref>
                  </c15:fullRef>
                </c:ext>
              </c:extLst>
              <c:f>'Mathematics pass rate '!$Z$9:$AF$9</c:f>
              <c:numCache>
                <c:formatCode>###\ ###\ ###</c:formatCode>
                <c:ptCount val="7"/>
                <c:pt idx="0" formatCode="#,##0">
                  <c:v>135958</c:v>
                </c:pt>
                <c:pt idx="1" formatCode="#,##0">
                  <c:v>127197</c:v>
                </c:pt>
                <c:pt idx="2" formatCode="#,##0">
                  <c:v>135638</c:v>
                </c:pt>
                <c:pt idx="3" formatCode="#,##0">
                  <c:v>121179</c:v>
                </c:pt>
                <c:pt idx="4" formatCode="General">
                  <c:v>125526</c:v>
                </c:pt>
                <c:pt idx="5" formatCode="#,##0">
                  <c:v>149177</c:v>
                </c:pt>
                <c:pt idx="6" formatCode="General">
                  <c:v>148346</c:v>
                </c:pt>
              </c:numCache>
            </c:numRef>
          </c:val>
          <c:extLst>
            <c:ext xmlns:c16="http://schemas.microsoft.com/office/drawing/2014/chart" uri="{C3380CC4-5D6E-409C-BE32-E72D297353CC}">
              <c16:uniqueId val="{00000000-0DBF-480F-BF5F-9D145B48DC04}"/>
            </c:ext>
          </c:extLst>
        </c:ser>
        <c:ser>
          <c:idx val="0"/>
          <c:order val="1"/>
          <c:tx>
            <c:strRef>
              <c:f>'Mathematics pass rate '!$D$10</c:f>
              <c:strCache>
                <c:ptCount val="1"/>
                <c:pt idx="0">
                  <c:v>Achieved at 50% and above</c:v>
                </c:pt>
              </c:strCache>
            </c:strRef>
          </c:tx>
          <c:spPr>
            <a:solidFill>
              <a:srgbClr val="F8A662"/>
            </a:solidFill>
          </c:spPr>
          <c:invertIfNegative val="0"/>
          <c:cat>
            <c:numRef>
              <c:extLst>
                <c:ext xmlns:c15="http://schemas.microsoft.com/office/drawing/2012/chart" uri="{02D57815-91ED-43cb-92C2-25804820EDAC}">
                  <c15:fullRef>
                    <c15:sqref>'Mathematics pass rate '!$R$8:$AF$8</c15:sqref>
                  </c15:fullRef>
                </c:ext>
              </c:extLst>
              <c:f>'Mathematics pass rate '!$Z$8:$AF$8</c:f>
              <c:numCache>
                <c:formatCode>General</c:formatCode>
                <c:ptCount val="7"/>
                <c:pt idx="0">
                  <c:v>2016</c:v>
                </c:pt>
                <c:pt idx="1">
                  <c:v>2017</c:v>
                </c:pt>
                <c:pt idx="2">
                  <c:v>2018</c:v>
                </c:pt>
                <c:pt idx="3">
                  <c:v>2019</c:v>
                </c:pt>
                <c:pt idx="4">
                  <c:v>2020</c:v>
                </c:pt>
                <c:pt idx="5">
                  <c:v>2021</c:v>
                </c:pt>
                <c:pt idx="6">
                  <c:v>2022</c:v>
                </c:pt>
              </c:numCache>
            </c:numRef>
          </c:cat>
          <c:val>
            <c:numRef>
              <c:extLst>
                <c:ext xmlns:c15="http://schemas.microsoft.com/office/drawing/2012/chart" uri="{02D57815-91ED-43cb-92C2-25804820EDAC}">
                  <c15:fullRef>
                    <c15:sqref>'Mathematics pass rate '!$R$10:$AF$10</c15:sqref>
                  </c15:fullRef>
                </c:ext>
              </c:extLst>
              <c:f>'Mathematics pass rate '!$Z$10:$AF$10</c:f>
              <c:numCache>
                <c:formatCode>###\ ###\ ###</c:formatCode>
                <c:ptCount val="7"/>
                <c:pt idx="0">
                  <c:v>56555</c:v>
                </c:pt>
                <c:pt idx="1" formatCode="#,##0">
                  <c:v>54359</c:v>
                </c:pt>
                <c:pt idx="2" formatCode="#,##0">
                  <c:v>50701</c:v>
                </c:pt>
                <c:pt idx="3" formatCode="#,##0">
                  <c:v>45090</c:v>
                </c:pt>
                <c:pt idx="4" formatCode="#,##0">
                  <c:v>52073</c:v>
                </c:pt>
                <c:pt idx="5" formatCode="#,##0">
                  <c:v>59073</c:v>
                </c:pt>
                <c:pt idx="6" formatCode="#,##0">
                  <c:v>59450</c:v>
                </c:pt>
              </c:numCache>
            </c:numRef>
          </c:val>
          <c:extLst>
            <c:ext xmlns:c16="http://schemas.microsoft.com/office/drawing/2014/chart" uri="{C3380CC4-5D6E-409C-BE32-E72D297353CC}">
              <c16:uniqueId val="{00000001-0DBF-480F-BF5F-9D145B48DC04}"/>
            </c:ext>
          </c:extLst>
        </c:ser>
        <c:dLbls>
          <c:showLegendKey val="0"/>
          <c:showVal val="0"/>
          <c:showCatName val="0"/>
          <c:showSerName val="0"/>
          <c:showPercent val="0"/>
          <c:showBubbleSize val="0"/>
        </c:dLbls>
        <c:gapWidth val="150"/>
        <c:axId val="-883180816"/>
        <c:axId val="-883184624"/>
      </c:barChart>
      <c:catAx>
        <c:axId val="-883180816"/>
        <c:scaling>
          <c:orientation val="minMax"/>
        </c:scaling>
        <c:delete val="0"/>
        <c:axPos val="b"/>
        <c:numFmt formatCode="General" sourceLinked="1"/>
        <c:majorTickMark val="none"/>
        <c:minorTickMark val="none"/>
        <c:tickLblPos val="nextTo"/>
        <c:crossAx val="-883184624"/>
        <c:crosses val="autoZero"/>
        <c:auto val="1"/>
        <c:lblAlgn val="ctr"/>
        <c:lblOffset val="100"/>
        <c:noMultiLvlLbl val="0"/>
      </c:catAx>
      <c:valAx>
        <c:axId val="-883184624"/>
        <c:scaling>
          <c:orientation val="minMax"/>
        </c:scaling>
        <c:delete val="0"/>
        <c:axPos val="l"/>
        <c:majorGridlines>
          <c:spPr>
            <a:ln>
              <a:solidFill>
                <a:schemeClr val="bg1">
                  <a:lumMod val="75000"/>
                  <a:alpha val="60000"/>
                </a:schemeClr>
              </a:solidFill>
              <a:prstDash val="sysDash"/>
            </a:ln>
          </c:spPr>
        </c:majorGridlines>
        <c:numFmt formatCode="###\ ###\ ###" sourceLinked="0"/>
        <c:majorTickMark val="none"/>
        <c:minorTickMark val="none"/>
        <c:tickLblPos val="nextTo"/>
        <c:crossAx val="-883180816"/>
        <c:crosses val="autoZero"/>
        <c:crossBetween val="between"/>
      </c:valAx>
    </c:plotArea>
    <c:legend>
      <c:legendPos val="b"/>
      <c:overlay val="0"/>
    </c:legend>
    <c:plotVisOnly val="1"/>
    <c:dispBlanksAs val="gap"/>
    <c:showDLblsOverMax val="0"/>
  </c:chart>
  <c:spPr>
    <a:noFill/>
    <a:ln>
      <a:solidFill>
        <a:schemeClr val="tx1"/>
      </a:solidFill>
    </a:ln>
  </c:spPr>
  <c:txPr>
    <a:bodyPr/>
    <a:lstStyle/>
    <a:p>
      <a:pPr>
        <a:defRPr sz="900">
          <a:latin typeface="Arial Narrow" pitchFamily="34" charset="0"/>
        </a:defRPr>
      </a:pPr>
      <a:endParaRPr lang="en-US"/>
    </a:p>
  </c:txPr>
  <c:printSettings>
    <c:headerFooter alignWithMargins="0">
      <c:oddHeader>&amp;A</c:oddHeader>
      <c:oddFooter>Page &amp;P</c:oddFooter>
    </c:headerFooter>
    <c:pageMargins b="1" l="0.75000000000000544" r="0.75000000000000544" t="1" header="0.5" footer="0.5"/>
    <c:pageSetup paperSize="9"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MATRICULANTS WITH PHYSICAL</a:t>
            </a:r>
            <a:r>
              <a:rPr lang="en-US" baseline="0"/>
              <a:t> SCIENCE</a:t>
            </a:r>
            <a:endParaRPr lang="en-US"/>
          </a:p>
        </c:rich>
      </c:tx>
      <c:layout>
        <c:manualLayout>
          <c:xMode val="edge"/>
          <c:yMode val="edge"/>
          <c:x val="0.36676809127369914"/>
          <c:y val="3.5520118011496689E-2"/>
        </c:manualLayout>
      </c:layout>
      <c:overlay val="0"/>
    </c:title>
    <c:autoTitleDeleted val="0"/>
    <c:plotArea>
      <c:layout/>
      <c:barChart>
        <c:barDir val="col"/>
        <c:grouping val="clustered"/>
        <c:varyColors val="0"/>
        <c:ser>
          <c:idx val="8"/>
          <c:order val="0"/>
          <c:tx>
            <c:strRef>
              <c:f>'Mathematics pass rate '!$D$11</c:f>
              <c:strCache>
                <c:ptCount val="1"/>
                <c:pt idx="0">
                  <c:v>Physical Science passes</c:v>
                </c:pt>
              </c:strCache>
            </c:strRef>
          </c:tx>
          <c:spPr>
            <a:solidFill>
              <a:srgbClr val="FCD5B5"/>
            </a:solidFill>
          </c:spPr>
          <c:invertIfNegative val="0"/>
          <c:cat>
            <c:numRef>
              <c:extLst>
                <c:ext xmlns:c15="http://schemas.microsoft.com/office/drawing/2012/chart" uri="{02D57815-91ED-43cb-92C2-25804820EDAC}">
                  <c15:fullRef>
                    <c15:sqref>'Mathematics pass rate '!$R$8:$AF$8</c15:sqref>
                  </c15:fullRef>
                </c:ext>
              </c:extLst>
              <c:f>'Mathematics pass rate '!$Z$8:$AF$8</c:f>
              <c:numCache>
                <c:formatCode>General</c:formatCode>
                <c:ptCount val="7"/>
                <c:pt idx="0">
                  <c:v>2016</c:v>
                </c:pt>
                <c:pt idx="1">
                  <c:v>2017</c:v>
                </c:pt>
                <c:pt idx="2">
                  <c:v>2018</c:v>
                </c:pt>
                <c:pt idx="3">
                  <c:v>2019</c:v>
                </c:pt>
                <c:pt idx="4">
                  <c:v>2020</c:v>
                </c:pt>
                <c:pt idx="5">
                  <c:v>2021</c:v>
                </c:pt>
                <c:pt idx="6">
                  <c:v>2022</c:v>
                </c:pt>
              </c:numCache>
            </c:numRef>
          </c:cat>
          <c:val>
            <c:numRef>
              <c:extLst>
                <c:ext xmlns:c15="http://schemas.microsoft.com/office/drawing/2012/chart" uri="{02D57815-91ED-43cb-92C2-25804820EDAC}">
                  <c15:fullRef>
                    <c15:sqref>'Mathematics pass rate '!$R$11:$AF$11</c15:sqref>
                  </c15:fullRef>
                </c:ext>
              </c:extLst>
              <c:f>'Mathematics pass rate '!$Z$11:$AF$11</c:f>
              <c:numCache>
                <c:formatCode>###\ ###\ ###</c:formatCode>
                <c:ptCount val="7"/>
                <c:pt idx="0">
                  <c:v>119427</c:v>
                </c:pt>
                <c:pt idx="1">
                  <c:v>116862</c:v>
                </c:pt>
                <c:pt idx="2">
                  <c:v>127919</c:v>
                </c:pt>
                <c:pt idx="3">
                  <c:v>124237</c:v>
                </c:pt>
                <c:pt idx="4">
                  <c:v>114758</c:v>
                </c:pt>
                <c:pt idx="5">
                  <c:v>135915</c:v>
                </c:pt>
                <c:pt idx="6">
                  <c:v>155877</c:v>
                </c:pt>
              </c:numCache>
            </c:numRef>
          </c:val>
          <c:extLst>
            <c:ext xmlns:c16="http://schemas.microsoft.com/office/drawing/2014/chart" uri="{C3380CC4-5D6E-409C-BE32-E72D297353CC}">
              <c16:uniqueId val="{00000000-C9D3-4003-B2E9-3991FCE9B735}"/>
            </c:ext>
          </c:extLst>
        </c:ser>
        <c:ser>
          <c:idx val="0"/>
          <c:order val="1"/>
          <c:tx>
            <c:strRef>
              <c:f>'Mathematics pass rate '!$D$12</c:f>
              <c:strCache>
                <c:ptCount val="1"/>
                <c:pt idx="0">
                  <c:v>Achieved at 50% and above</c:v>
                </c:pt>
              </c:strCache>
            </c:strRef>
          </c:tx>
          <c:spPr>
            <a:solidFill>
              <a:srgbClr val="F8A662"/>
            </a:solidFill>
          </c:spPr>
          <c:invertIfNegative val="0"/>
          <c:cat>
            <c:numRef>
              <c:extLst>
                <c:ext xmlns:c15="http://schemas.microsoft.com/office/drawing/2012/chart" uri="{02D57815-91ED-43cb-92C2-25804820EDAC}">
                  <c15:fullRef>
                    <c15:sqref>'Mathematics pass rate '!$R$8:$AF$8</c15:sqref>
                  </c15:fullRef>
                </c:ext>
              </c:extLst>
              <c:f>'Mathematics pass rate '!$Z$8:$AF$8</c:f>
              <c:numCache>
                <c:formatCode>General</c:formatCode>
                <c:ptCount val="7"/>
                <c:pt idx="0">
                  <c:v>2016</c:v>
                </c:pt>
                <c:pt idx="1">
                  <c:v>2017</c:v>
                </c:pt>
                <c:pt idx="2">
                  <c:v>2018</c:v>
                </c:pt>
                <c:pt idx="3">
                  <c:v>2019</c:v>
                </c:pt>
                <c:pt idx="4">
                  <c:v>2020</c:v>
                </c:pt>
                <c:pt idx="5">
                  <c:v>2021</c:v>
                </c:pt>
                <c:pt idx="6">
                  <c:v>2022</c:v>
                </c:pt>
              </c:numCache>
            </c:numRef>
          </c:cat>
          <c:val>
            <c:numRef>
              <c:extLst>
                <c:ext xmlns:c15="http://schemas.microsoft.com/office/drawing/2012/chart" uri="{02D57815-91ED-43cb-92C2-25804820EDAC}">
                  <c15:fullRef>
                    <c15:sqref>'Mathematics pass rate '!$R$12:$AF$12</c15:sqref>
                  </c15:fullRef>
                </c:ext>
              </c:extLst>
              <c:f>'Mathematics pass rate '!$Z$12:$AF$12</c:f>
              <c:numCache>
                <c:formatCode>###\ ###\ ###</c:formatCode>
                <c:ptCount val="7"/>
                <c:pt idx="0">
                  <c:v>47586</c:v>
                </c:pt>
                <c:pt idx="1">
                  <c:v>48260</c:v>
                </c:pt>
                <c:pt idx="2">
                  <c:v>51466</c:v>
                </c:pt>
                <c:pt idx="3">
                  <c:v>54467</c:v>
                </c:pt>
                <c:pt idx="4">
                  <c:v>45860</c:v>
                </c:pt>
                <c:pt idx="5">
                  <c:v>53844</c:v>
                </c:pt>
                <c:pt idx="6">
                  <c:v>63457</c:v>
                </c:pt>
              </c:numCache>
            </c:numRef>
          </c:val>
          <c:extLst>
            <c:ext xmlns:c16="http://schemas.microsoft.com/office/drawing/2014/chart" uri="{C3380CC4-5D6E-409C-BE32-E72D297353CC}">
              <c16:uniqueId val="{00000001-C9D3-4003-B2E9-3991FCE9B735}"/>
            </c:ext>
          </c:extLst>
        </c:ser>
        <c:dLbls>
          <c:showLegendKey val="0"/>
          <c:showVal val="0"/>
          <c:showCatName val="0"/>
          <c:showSerName val="0"/>
          <c:showPercent val="0"/>
          <c:showBubbleSize val="0"/>
        </c:dLbls>
        <c:gapWidth val="150"/>
        <c:axId val="-883182448"/>
        <c:axId val="-883180272"/>
      </c:barChart>
      <c:catAx>
        <c:axId val="-883182448"/>
        <c:scaling>
          <c:orientation val="minMax"/>
        </c:scaling>
        <c:delete val="0"/>
        <c:axPos val="b"/>
        <c:numFmt formatCode="General" sourceLinked="1"/>
        <c:majorTickMark val="none"/>
        <c:minorTickMark val="none"/>
        <c:tickLblPos val="nextTo"/>
        <c:crossAx val="-883180272"/>
        <c:crosses val="autoZero"/>
        <c:auto val="1"/>
        <c:lblAlgn val="ctr"/>
        <c:lblOffset val="100"/>
        <c:noMultiLvlLbl val="0"/>
      </c:catAx>
      <c:valAx>
        <c:axId val="-883180272"/>
        <c:scaling>
          <c:orientation val="minMax"/>
        </c:scaling>
        <c:delete val="0"/>
        <c:axPos val="l"/>
        <c:majorGridlines>
          <c:spPr>
            <a:ln>
              <a:solidFill>
                <a:schemeClr val="bg1">
                  <a:lumMod val="75000"/>
                  <a:alpha val="60000"/>
                </a:schemeClr>
              </a:solidFill>
              <a:prstDash val="sysDash"/>
            </a:ln>
          </c:spPr>
        </c:majorGridlines>
        <c:numFmt formatCode="###\ ###\ ###" sourceLinked="0"/>
        <c:majorTickMark val="none"/>
        <c:minorTickMark val="none"/>
        <c:tickLblPos val="nextTo"/>
        <c:crossAx val="-883182448"/>
        <c:crosses val="autoZero"/>
        <c:crossBetween val="between"/>
      </c:valAx>
    </c:plotArea>
    <c:legend>
      <c:legendPos val="b"/>
      <c:overlay val="0"/>
    </c:legend>
    <c:plotVisOnly val="1"/>
    <c:dispBlanksAs val="gap"/>
    <c:showDLblsOverMax val="0"/>
  </c:chart>
  <c:spPr>
    <a:noFill/>
    <a:ln>
      <a:solidFill>
        <a:schemeClr val="tx1"/>
      </a:solidFill>
    </a:ln>
  </c:spPr>
  <c:txPr>
    <a:bodyPr/>
    <a:lstStyle/>
    <a:p>
      <a:pPr>
        <a:defRPr sz="900">
          <a:latin typeface="Arial Narrow" pitchFamily="34" charset="0"/>
        </a:defRPr>
      </a:pPr>
      <a:endParaRPr lang="en-US"/>
    </a:p>
  </c:txPr>
  <c:printSettings>
    <c:headerFooter alignWithMargins="0">
      <c:oddHeader>&amp;A</c:oddHeader>
      <c:oddFooter>Page &amp;P</c:oddFooter>
    </c:headerFooter>
    <c:pageMargins b="1" l="0.75000000000000544" r="0.75000000000000544"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a:t>MAJOR</a:t>
            </a:r>
            <a:r>
              <a:rPr lang="en-US" sz="1000" baseline="0"/>
              <a:t> SERVICE DELIVERY PROTESTS</a:t>
            </a:r>
            <a:endParaRPr lang="en-US" sz="1000"/>
          </a:p>
        </c:rich>
      </c:tx>
      <c:layout>
        <c:manualLayout>
          <c:xMode val="edge"/>
          <c:yMode val="edge"/>
          <c:x val="4.7475464598221814E-2"/>
          <c:y val="5.4662246166597588E-2"/>
        </c:manualLayout>
      </c:layout>
      <c:overlay val="0"/>
      <c:spPr>
        <a:noFill/>
        <a:ln w="25400">
          <a:noFill/>
        </a:ln>
      </c:spPr>
    </c:title>
    <c:autoTitleDeleted val="0"/>
    <c:plotArea>
      <c:layout>
        <c:manualLayout>
          <c:layoutTarget val="inner"/>
          <c:xMode val="edge"/>
          <c:yMode val="edge"/>
          <c:x val="9.0909099178317548E-2"/>
          <c:y val="0.21929906749710787"/>
          <c:w val="0.89791364352354663"/>
          <c:h val="0.61623037966686467"/>
        </c:manualLayout>
      </c:layout>
      <c:lineChart>
        <c:grouping val="standard"/>
        <c:varyColors val="0"/>
        <c:ser>
          <c:idx val="0"/>
          <c:order val="0"/>
          <c:tx>
            <c:strRef>
              <c:f>'Public Opinion'!$D$9</c:f>
              <c:strCache>
                <c:ptCount val="1"/>
                <c:pt idx="0">
                  <c:v>Performing well</c:v>
                </c:pt>
              </c:strCache>
            </c:strRef>
          </c:tx>
          <c:spPr>
            <a:ln w="25400">
              <a:solidFill>
                <a:srgbClr val="FF6600"/>
              </a:solidFill>
              <a:prstDash val="solid"/>
            </a:ln>
          </c:spPr>
          <c:marker>
            <c:symbol val="none"/>
          </c:marker>
          <c:cat>
            <c:numRef>
              <c:f>'Public Opinion'!$M$47:$AA$80</c:f>
              <c:numCache>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Cache>
            </c:numRef>
          </c:cat>
          <c:val>
            <c:numRef>
              <c:f>'Public Opinion'!$M$82:$AA$82</c:f>
              <c:numCache>
                <c:formatCode>_ * #\ ##0_ ;_ * \-#\ ##0_ ;_ * "-"??_ ;_ @_ </c:formatCode>
                <c:ptCount val="15"/>
                <c:pt idx="0">
                  <c:v>27</c:v>
                </c:pt>
                <c:pt idx="1">
                  <c:v>107</c:v>
                </c:pt>
                <c:pt idx="2">
                  <c:v>111</c:v>
                </c:pt>
                <c:pt idx="3">
                  <c:v>82</c:v>
                </c:pt>
                <c:pt idx="4">
                  <c:v>173</c:v>
                </c:pt>
                <c:pt idx="5">
                  <c:v>155</c:v>
                </c:pt>
                <c:pt idx="6">
                  <c:v>191</c:v>
                </c:pt>
                <c:pt idx="7">
                  <c:v>164</c:v>
                </c:pt>
                <c:pt idx="8">
                  <c:v>137</c:v>
                </c:pt>
                <c:pt idx="9">
                  <c:v>173</c:v>
                </c:pt>
                <c:pt idx="10" formatCode="General">
                  <c:v>237</c:v>
                </c:pt>
                <c:pt idx="11" formatCode="General">
                  <c:v>218</c:v>
                </c:pt>
                <c:pt idx="12" formatCode="General">
                  <c:v>102</c:v>
                </c:pt>
                <c:pt idx="13" formatCode="General">
                  <c:v>121</c:v>
                </c:pt>
                <c:pt idx="14" formatCode="General">
                  <c:v>146</c:v>
                </c:pt>
              </c:numCache>
            </c:numRef>
          </c:val>
          <c:smooth val="0"/>
          <c:extLst>
            <c:ext xmlns:c16="http://schemas.microsoft.com/office/drawing/2014/chart" uri="{C3380CC4-5D6E-409C-BE32-E72D297353CC}">
              <c16:uniqueId val="{00000000-D77A-483D-BBFA-B9BC88AE7A8E}"/>
            </c:ext>
          </c:extLst>
        </c:ser>
        <c:dLbls>
          <c:showLegendKey val="0"/>
          <c:showVal val="0"/>
          <c:showCatName val="0"/>
          <c:showSerName val="0"/>
          <c:showPercent val="0"/>
          <c:showBubbleSize val="0"/>
        </c:dLbls>
        <c:smooth val="0"/>
        <c:axId val="532769736"/>
        <c:axId val="532770912"/>
      </c:lineChart>
      <c:catAx>
        <c:axId val="53276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532770912"/>
        <c:crosses val="autoZero"/>
        <c:auto val="1"/>
        <c:lblAlgn val="ctr"/>
        <c:lblOffset val="100"/>
        <c:tickLblSkip val="1"/>
        <c:tickMarkSkip val="1"/>
        <c:noMultiLvlLbl val="0"/>
      </c:catAx>
      <c:valAx>
        <c:axId val="532770912"/>
        <c:scaling>
          <c:orientation val="minMax"/>
          <c:max val="250"/>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US"/>
                  <a:t>Number</a:t>
                </a:r>
              </a:p>
            </c:rich>
          </c:tx>
          <c:layout>
            <c:manualLayout>
              <c:xMode val="edge"/>
              <c:yMode val="edge"/>
              <c:x val="3.2194143436971466E-3"/>
              <c:y val="0.4855303925236788"/>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3276973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paperSize="9" orientation="landscape" horizontalDpi="0" verticalDpi="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ADULT LITERACY RATE</a:t>
            </a:r>
          </a:p>
        </c:rich>
      </c:tx>
      <c:layout>
        <c:manualLayout>
          <c:xMode val="edge"/>
          <c:yMode val="edge"/>
          <c:x val="1.8501387604070343E-2"/>
          <c:y val="5.6537102473498226E-2"/>
        </c:manualLayout>
      </c:layout>
      <c:overlay val="0"/>
      <c:spPr>
        <a:noFill/>
        <a:ln w="25400">
          <a:noFill/>
        </a:ln>
      </c:spPr>
    </c:title>
    <c:autoTitleDeleted val="0"/>
    <c:plotArea>
      <c:layout>
        <c:manualLayout>
          <c:layoutTarget val="inner"/>
          <c:xMode val="edge"/>
          <c:yMode val="edge"/>
          <c:x val="5.0164297451268033E-2"/>
          <c:y val="0.17675876452943384"/>
          <c:w val="0.93786209888091521"/>
          <c:h val="0.61749468816397945"/>
        </c:manualLayout>
      </c:layout>
      <c:lineChart>
        <c:grouping val="standard"/>
        <c:varyColors val="0"/>
        <c:ser>
          <c:idx val="0"/>
          <c:order val="0"/>
          <c:tx>
            <c:strRef>
              <c:f>'Literacy rate'!$D$56</c:f>
              <c:strCache>
                <c:ptCount val="1"/>
                <c:pt idx="0">
                  <c:v>Total literacy </c:v>
                </c:pt>
              </c:strCache>
            </c:strRef>
          </c:tx>
          <c:spPr>
            <a:ln w="25400">
              <a:solidFill>
                <a:srgbClr val="FF6600"/>
              </a:solidFill>
              <a:prstDash val="solid"/>
            </a:ln>
          </c:spPr>
          <c:marker>
            <c:symbol val="diamond"/>
            <c:size val="7"/>
            <c:spPr>
              <a:solidFill>
                <a:srgbClr val="FF6600"/>
              </a:solidFill>
              <a:ln>
                <a:noFill/>
                <a:prstDash val="solid"/>
              </a:ln>
            </c:spPr>
          </c:marker>
          <c:cat>
            <c:numRef>
              <c:extLst>
                <c:ext xmlns:c15="http://schemas.microsoft.com/office/drawing/2012/chart" uri="{02D57815-91ED-43cb-92C2-25804820EDAC}">
                  <c15:fullRef>
                    <c15:sqref>'Literacy rate'!$E$55:$AE$55</c15:sqref>
                  </c15:fullRef>
                </c:ext>
              </c:extLst>
              <c:f>'Literacy rate'!$S$55:$AE$55</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extLst>
                <c:ext xmlns:c15="http://schemas.microsoft.com/office/drawing/2012/chart" uri="{02D57815-91ED-43cb-92C2-25804820EDAC}">
                  <c15:fullRef>
                    <c15:sqref>'Literacy rate'!$E$56:$AE$56</c15:sqref>
                  </c15:fullRef>
                </c:ext>
              </c:extLst>
              <c:f>'Literacy rate'!$S$56:$AE$56</c:f>
              <c:numCache>
                <c:formatCode>General</c:formatCode>
                <c:ptCount val="13"/>
                <c:pt idx="0" formatCode="#\ ##0.0">
                  <c:v>80.7</c:v>
                </c:pt>
                <c:pt idx="1" formatCode="#\ ##0.0">
                  <c:v>81.3</c:v>
                </c:pt>
                <c:pt idx="2" formatCode="#\ ##0.0">
                  <c:v>82.5</c:v>
                </c:pt>
                <c:pt idx="3" formatCode="#\ ##0.0">
                  <c:v>83.8</c:v>
                </c:pt>
                <c:pt idx="4" formatCode="#\ ##0.0">
                  <c:v>84.2</c:v>
                </c:pt>
                <c:pt idx="5" formatCode="#\ ##0.0">
                  <c:v>84.6</c:v>
                </c:pt>
                <c:pt idx="6" formatCode="#\ ##0.0">
                  <c:v>85</c:v>
                </c:pt>
                <c:pt idx="7" formatCode="#\ ##0.0">
                  <c:v>85.8</c:v>
                </c:pt>
                <c:pt idx="8" formatCode="#\ ##0.0">
                  <c:v>86.3</c:v>
                </c:pt>
                <c:pt idx="9" formatCode="#\ ##0.0">
                  <c:v>87</c:v>
                </c:pt>
                <c:pt idx="10" formatCode="#\ ##0.0">
                  <c:v>87.9</c:v>
                </c:pt>
                <c:pt idx="11" formatCode="#\ ##0.0">
                  <c:v>90</c:v>
                </c:pt>
                <c:pt idx="12" formatCode="#\ ##0.0">
                  <c:v>85.5</c:v>
                </c:pt>
              </c:numCache>
            </c:numRef>
          </c:val>
          <c:smooth val="0"/>
          <c:extLst>
            <c:ext xmlns:c16="http://schemas.microsoft.com/office/drawing/2014/chart" uri="{C3380CC4-5D6E-409C-BE32-E72D297353CC}">
              <c16:uniqueId val="{00000000-B952-46B4-BA56-D76985C1718A}"/>
            </c:ext>
          </c:extLst>
        </c:ser>
        <c:ser>
          <c:idx val="4"/>
          <c:order val="4"/>
          <c:tx>
            <c:strRef>
              <c:f>'Literacy rate'!$D$60</c:f>
              <c:strCache>
                <c:ptCount val="1"/>
                <c:pt idx="0">
                  <c:v>Illiteracy</c:v>
                </c:pt>
              </c:strCache>
            </c:strRef>
          </c:tx>
          <c:cat>
            <c:numRef>
              <c:extLst>
                <c:ext xmlns:c15="http://schemas.microsoft.com/office/drawing/2012/chart" uri="{02D57815-91ED-43cb-92C2-25804820EDAC}">
                  <c15:fullRef>
                    <c15:sqref>'Literacy rate'!$E$55:$AE$55</c15:sqref>
                  </c15:fullRef>
                </c:ext>
              </c:extLst>
              <c:f>'Literacy rate'!$S$55:$AE$55</c:f>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extLst>
                <c:ext xmlns:c15="http://schemas.microsoft.com/office/drawing/2012/chart" uri="{02D57815-91ED-43cb-92C2-25804820EDAC}">
                  <c15:fullRef>
                    <c15:sqref>'Literacy rate'!$E$60:$AE$60</c15:sqref>
                  </c15:fullRef>
                </c:ext>
              </c:extLst>
              <c:f>'Literacy rate'!$S$60:$AE$60</c:f>
              <c:numCache>
                <c:formatCode>0.0%</c:formatCode>
                <c:ptCount val="13"/>
                <c:pt idx="0" formatCode="#\ ##0.0">
                  <c:v>19.3</c:v>
                </c:pt>
                <c:pt idx="1" formatCode="#\ ##0.0">
                  <c:v>18.7</c:v>
                </c:pt>
                <c:pt idx="2" formatCode="#\ ##0.0">
                  <c:v>17.5</c:v>
                </c:pt>
                <c:pt idx="3" formatCode="#\ ##0.0">
                  <c:v>16.2</c:v>
                </c:pt>
                <c:pt idx="4" formatCode="#\ ##0.0">
                  <c:v>15.8</c:v>
                </c:pt>
                <c:pt idx="5" formatCode="#\ ##0.0">
                  <c:v>15.4</c:v>
                </c:pt>
                <c:pt idx="6" formatCode="#\ ##0.0">
                  <c:v>15</c:v>
                </c:pt>
                <c:pt idx="7" formatCode="#\ ##0.0">
                  <c:v>14.2</c:v>
                </c:pt>
                <c:pt idx="8" formatCode="#\ ##0.0">
                  <c:v>13.7</c:v>
                </c:pt>
                <c:pt idx="9" formatCode="#\ ##0.0">
                  <c:v>13</c:v>
                </c:pt>
                <c:pt idx="10" formatCode="#\ ##0.0">
                  <c:v>12.1</c:v>
                </c:pt>
                <c:pt idx="11" formatCode="#\ ##0.0">
                  <c:v>10</c:v>
                </c:pt>
                <c:pt idx="12" formatCode="#\ ##0.0">
                  <c:v>10.5</c:v>
                </c:pt>
              </c:numCache>
            </c:numRef>
          </c:val>
          <c:smooth val="0"/>
          <c:extLst>
            <c:ext xmlns:c16="http://schemas.microsoft.com/office/drawing/2014/chart" uri="{C3380CC4-5D6E-409C-BE32-E72D297353CC}">
              <c16:uniqueId val="{00000001-B952-46B4-BA56-D76985C1718A}"/>
            </c:ext>
          </c:extLst>
        </c:ser>
        <c:dLbls>
          <c:showLegendKey val="0"/>
          <c:showVal val="0"/>
          <c:showCatName val="0"/>
          <c:showSerName val="0"/>
          <c:showPercent val="0"/>
          <c:showBubbleSize val="0"/>
        </c:dLbls>
        <c:marker val="1"/>
        <c:smooth val="0"/>
        <c:axId val="-1618720688"/>
        <c:axId val="-1618724496"/>
        <c:extLst>
          <c:ext xmlns:c15="http://schemas.microsoft.com/office/drawing/2012/chart" uri="{02D57815-91ED-43cb-92C2-25804820EDAC}">
            <c15:filteredLineSeries>
              <c15:ser>
                <c:idx val="1"/>
                <c:order val="1"/>
                <c:tx>
                  <c:strRef>
                    <c:extLst>
                      <c:ext uri="{02D57815-91ED-43cb-92C2-25804820EDAC}">
                        <c15:formulaRef>
                          <c15:sqref>'Literacy rate'!$D$57</c15:sqref>
                        </c15:formulaRef>
                      </c:ext>
                    </c:extLst>
                    <c:strCache>
                      <c:ptCount val="1"/>
                      <c:pt idx="0">
                        <c:v>Total literacy - OHS</c:v>
                      </c:pt>
                    </c:strCache>
                  </c:strRef>
                </c:tx>
                <c:spPr>
                  <a:ln w="25400">
                    <a:solidFill>
                      <a:srgbClr val="BE4B48"/>
                    </a:solidFill>
                    <a:prstDash val="solid"/>
                  </a:ln>
                </c:spPr>
                <c:marker>
                  <c:symbol val="circle"/>
                  <c:size val="7"/>
                  <c:spPr>
                    <a:solidFill>
                      <a:srgbClr val="BE4B48"/>
                    </a:solidFill>
                    <a:ln>
                      <a:noFill/>
                      <a:prstDash val="solid"/>
                    </a:ln>
                  </c:spPr>
                </c:marker>
                <c:cat>
                  <c:numRef>
                    <c:extLst>
                      <c:ext uri="{02D57815-91ED-43cb-92C2-25804820EDAC}">
                        <c15:fullRef>
                          <c15:sqref>'Literacy rate'!$E$55:$AE$55</c15:sqref>
                        </c15:fullRef>
                        <c15:formulaRef>
                          <c15:sqref>'Literacy rate'!$S$55:$AE$55</c15:sqref>
                        </c15:formulaRef>
                      </c:ext>
                    </c:extLst>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extLst>
                      <c:ext uri="{02D57815-91ED-43cb-92C2-25804820EDAC}">
                        <c15:fullRef>
                          <c15:sqref>'Literacy rate'!$E$57:$W$57</c15:sqref>
                        </c15:fullRef>
                        <c15:formulaRef>
                          <c15:sqref>'Literacy rate'!$S$57:$W$57</c15:sqref>
                        </c15:formulaRef>
                      </c:ext>
                    </c:extLst>
                    <c:numCache>
                      <c:formatCode>General</c:formatCode>
                      <c:ptCount val="5"/>
                    </c:numCache>
                  </c:numRef>
                </c:val>
                <c:smooth val="0"/>
                <c:extLst>
                  <c:ext xmlns:c16="http://schemas.microsoft.com/office/drawing/2014/chart" uri="{C3380CC4-5D6E-409C-BE32-E72D297353CC}">
                    <c16:uniqueId val="{00000002-B952-46B4-BA56-D76985C1718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'Literacy rate'!$D$58</c15:sqref>
                        </c15:formulaRef>
                      </c:ext>
                    </c:extLst>
                    <c:strCache>
                      <c:ptCount val="1"/>
                      <c:pt idx="0">
                        <c:v>Female literacy </c:v>
                      </c:pt>
                    </c:strCache>
                  </c:strRef>
                </c:tx>
                <c:spPr>
                  <a:ln>
                    <a:solidFill>
                      <a:srgbClr val="FFC600"/>
                    </a:solidFill>
                  </a:ln>
                </c:spPr>
                <c:marker>
                  <c:spPr>
                    <a:solidFill>
                      <a:srgbClr val="FFC600"/>
                    </a:solidFill>
                    <a:ln>
                      <a:noFill/>
                    </a:ln>
                  </c:spPr>
                </c:marker>
                <c:cat>
                  <c:numRef>
                    <c:extLst>
                      <c:ext xmlns:c15="http://schemas.microsoft.com/office/drawing/2012/chart" uri="{02D57815-91ED-43cb-92C2-25804820EDAC}">
                        <c15:fullRef>
                          <c15:sqref>'Literacy rate'!$E$55:$AE$55</c15:sqref>
                        </c15:fullRef>
                        <c15:formulaRef>
                          <c15:sqref>'Literacy rate'!$S$55:$AE$55</c15:sqref>
                        </c15:formulaRef>
                      </c:ext>
                    </c:extLst>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extLst>
                      <c:ext xmlns:c15="http://schemas.microsoft.com/office/drawing/2012/chart" uri="{02D57815-91ED-43cb-92C2-25804820EDAC}">
                        <c15:fullRef>
                          <c15:sqref>'Literacy rate'!$E$58:$AB$58</c15:sqref>
                        </c15:fullRef>
                        <c15:formulaRef>
                          <c15:sqref>'Literacy rate'!$S$58:$AB$58</c15:sqref>
                        </c15:formulaRef>
                      </c:ext>
                    </c:extLst>
                    <c:numCache>
                      <c:formatCode>General</c:formatCode>
                      <c:ptCount val="10"/>
                      <c:pt idx="0" formatCode="0.0%">
                        <c:v>0.78800000000000003</c:v>
                      </c:pt>
                      <c:pt idx="1" formatCode="0.0%">
                        <c:v>0.79500000000000004</c:v>
                      </c:pt>
                      <c:pt idx="2" formatCode="0.0%">
                        <c:v>0.80700000000000005</c:v>
                      </c:pt>
                      <c:pt idx="3" formatCode="0.0%">
                        <c:v>0.82</c:v>
                      </c:pt>
                      <c:pt idx="4" formatCode="0.0%">
                        <c:v>0.82499999999999996</c:v>
                      </c:pt>
                      <c:pt idx="5" formatCode="0.0%">
                        <c:v>0.83</c:v>
                      </c:pt>
                      <c:pt idx="6" formatCode="0.0%">
                        <c:v>0.83199999999999996</c:v>
                      </c:pt>
                      <c:pt idx="7" formatCode="0.0%">
                        <c:v>0.83923060999999999</c:v>
                      </c:pt>
                      <c:pt idx="8" formatCode="0.0%">
                        <c:v>0.85250806000000001</c:v>
                      </c:pt>
                    </c:numCache>
                  </c:numRef>
                </c:val>
                <c:smooth val="0"/>
                <c:extLst xmlns:c15="http://schemas.microsoft.com/office/drawing/2012/chart">
                  <c:ext xmlns:c16="http://schemas.microsoft.com/office/drawing/2014/chart" uri="{C3380CC4-5D6E-409C-BE32-E72D297353CC}">
                    <c16:uniqueId val="{00000003-B952-46B4-BA56-D76985C1718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'Literacy rate'!$D$59</c15:sqref>
                        </c15:formulaRef>
                      </c:ext>
                    </c:extLst>
                    <c:strCache>
                      <c:ptCount val="1"/>
                      <c:pt idx="0">
                        <c:v>Female literacy - OHS</c:v>
                      </c:pt>
                    </c:strCache>
                  </c:strRef>
                </c:tx>
                <c:spPr>
                  <a:ln>
                    <a:solidFill>
                      <a:srgbClr val="00B050"/>
                    </a:solidFill>
                  </a:ln>
                </c:spPr>
                <c:marker>
                  <c:spPr>
                    <a:solidFill>
                      <a:srgbClr val="00B050"/>
                    </a:solidFill>
                  </c:spPr>
                </c:marker>
                <c:cat>
                  <c:numRef>
                    <c:extLst>
                      <c:ext xmlns:c15="http://schemas.microsoft.com/office/drawing/2012/chart" uri="{02D57815-91ED-43cb-92C2-25804820EDAC}">
                        <c15:fullRef>
                          <c15:sqref>'Literacy rate'!$E$55:$AE$55</c15:sqref>
                        </c15:fullRef>
                        <c15:formulaRef>
                          <c15:sqref>'Literacy rate'!$S$55:$AE$55</c15:sqref>
                        </c15:formulaRef>
                      </c:ext>
                    </c:extLst>
                    <c:numCache>
                      <c:formatCode>General</c:formatCod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numCache>
                  </c:numRef>
                </c:cat>
                <c:val>
                  <c:numRef>
                    <c:extLst>
                      <c:ext xmlns:c15="http://schemas.microsoft.com/office/drawing/2012/chart" uri="{02D57815-91ED-43cb-92C2-25804820EDAC}">
                        <c15:fullRef>
                          <c15:sqref>'Literacy rate'!$E$59:$W$59</c15:sqref>
                        </c15:fullRef>
                        <c15:formulaRef>
                          <c15:sqref>'Literacy rate'!$S$59:$W$59</c15:sqref>
                        </c15:formulaRef>
                      </c:ext>
                    </c:extLst>
                    <c:numCache>
                      <c:formatCode>General</c:formatCode>
                      <c:ptCount val="5"/>
                    </c:numCache>
                  </c:numRef>
                </c:val>
                <c:smooth val="0"/>
                <c:extLst xmlns:c15="http://schemas.microsoft.com/office/drawing/2012/chart">
                  <c:ext xmlns:c16="http://schemas.microsoft.com/office/drawing/2014/chart" uri="{C3380CC4-5D6E-409C-BE32-E72D297353CC}">
                    <c16:uniqueId val="{00000004-B952-46B4-BA56-D76985C1718A}"/>
                  </c:ext>
                </c:extLst>
              </c15:ser>
            </c15:filteredLineSeries>
          </c:ext>
        </c:extLst>
      </c:lineChart>
      <c:catAx>
        <c:axId val="-1618720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724496"/>
        <c:crosses val="autoZero"/>
        <c:auto val="1"/>
        <c:lblAlgn val="ctr"/>
        <c:lblOffset val="100"/>
        <c:tickLblSkip val="1"/>
        <c:tickMarkSkip val="1"/>
        <c:noMultiLvlLbl val="0"/>
      </c:catAx>
      <c:valAx>
        <c:axId val="-1618724496"/>
        <c:scaling>
          <c:orientation val="minMax"/>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720688"/>
        <c:crosses val="autoZero"/>
        <c:crossBetween val="between"/>
      </c:valAx>
      <c:spPr>
        <a:solidFill>
          <a:srgbClr val="FFFFFF"/>
        </a:solidFill>
        <a:ln w="3175">
          <a:solidFill>
            <a:srgbClr val="000000"/>
          </a:solidFill>
          <a:prstDash val="solid"/>
        </a:ln>
      </c:spPr>
    </c:plotArea>
    <c:legend>
      <c:legendPos val="r"/>
      <c:layout>
        <c:manualLayout>
          <c:xMode val="edge"/>
          <c:yMode val="edge"/>
          <c:x val="0.1270151221181636"/>
          <c:y val="0.91690863816848067"/>
          <c:w val="0.53688676867796081"/>
          <c:h val="8.3091361831519314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portrait"/>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95663425213612E-2"/>
          <c:y val="8.7845235833456478E-2"/>
          <c:w val="0.92233870670380758"/>
          <c:h val="0.691527165002498"/>
        </c:manualLayout>
      </c:layout>
      <c:lineChart>
        <c:grouping val="standard"/>
        <c:varyColors val="0"/>
        <c:ser>
          <c:idx val="0"/>
          <c:order val="0"/>
          <c:tx>
            <c:strRef>
              <c:f>'Literacy rate'!$D$56</c:f>
              <c:strCache>
                <c:ptCount val="1"/>
                <c:pt idx="0">
                  <c:v>Total literacy </c:v>
                </c:pt>
              </c:strCache>
            </c:strRef>
          </c:tx>
          <c:spPr>
            <a:ln w="25400">
              <a:solidFill>
                <a:srgbClr val="993300"/>
              </a:solidFill>
              <a:prstDash val="solid"/>
            </a:ln>
          </c:spPr>
          <c:marker>
            <c:symbol val="diamond"/>
            <c:size val="7"/>
            <c:spPr>
              <a:solidFill>
                <a:srgbClr val="993300"/>
              </a:solidFill>
              <a:ln>
                <a:solidFill>
                  <a:srgbClr val="993300"/>
                </a:solidFill>
                <a:prstDash val="solid"/>
              </a:ln>
            </c:spPr>
          </c:marker>
          <c:cat>
            <c:numRef>
              <c:f>'Literacy rate'!$E$55:$AA$55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rate'!$E$56:$AA$56</c:f>
              <c:numCache>
                <c:formatCode>General</c:formatCode>
                <c:ptCount val="23"/>
                <c:pt idx="7" formatCode="#\ ##0.0">
                  <c:v>71.5</c:v>
                </c:pt>
                <c:pt idx="8" formatCode="#\ ##0.0">
                  <c:v>73.400000000000006</c:v>
                </c:pt>
                <c:pt idx="9" formatCode="#\ ##0.0">
                  <c:v>74.2</c:v>
                </c:pt>
                <c:pt idx="10" formatCode="#\ ##0.0">
                  <c:v>75.099999999999994</c:v>
                </c:pt>
                <c:pt idx="11" formatCode="#\ ##0.0">
                  <c:v>75.7</c:v>
                </c:pt>
                <c:pt idx="12" formatCode="#\ ##0.0">
                  <c:v>77</c:v>
                </c:pt>
                <c:pt idx="13" formatCode="#\ ##0.0">
                  <c:v>77.599999999999994</c:v>
                </c:pt>
                <c:pt idx="14" formatCode="#\ ##0.0">
                  <c:v>80.7</c:v>
                </c:pt>
                <c:pt idx="15" formatCode="#\ ##0.0">
                  <c:v>81.3</c:v>
                </c:pt>
                <c:pt idx="16" formatCode="#\ ##0.0">
                  <c:v>82.5</c:v>
                </c:pt>
                <c:pt idx="17" formatCode="#\ ##0.0">
                  <c:v>83.8</c:v>
                </c:pt>
                <c:pt idx="18" formatCode="#\ ##0.0">
                  <c:v>84.2</c:v>
                </c:pt>
                <c:pt idx="19" formatCode="#\ ##0.0">
                  <c:v>84.6</c:v>
                </c:pt>
                <c:pt idx="20" formatCode="#\ ##0.0">
                  <c:v>85</c:v>
                </c:pt>
                <c:pt idx="21" formatCode="#\ ##0.0">
                  <c:v>85.8</c:v>
                </c:pt>
                <c:pt idx="22" formatCode="#\ ##0.0">
                  <c:v>86.3</c:v>
                </c:pt>
              </c:numCache>
            </c:numRef>
          </c:val>
          <c:smooth val="0"/>
          <c:extLst>
            <c:ext xmlns:c16="http://schemas.microsoft.com/office/drawing/2014/chart" uri="{C3380CC4-5D6E-409C-BE32-E72D297353CC}">
              <c16:uniqueId val="{00000000-DD9F-44ED-BD8C-8417286E9654}"/>
            </c:ext>
          </c:extLst>
        </c:ser>
        <c:ser>
          <c:idx val="1"/>
          <c:order val="1"/>
          <c:tx>
            <c:strRef>
              <c:f>'Literacy rate'!$D$57</c:f>
              <c:strCache>
                <c:ptCount val="1"/>
                <c:pt idx="0">
                  <c:v>Total literacy - OHS</c:v>
                </c:pt>
              </c:strCache>
            </c:strRef>
          </c:tx>
          <c:spPr>
            <a:ln w="25400">
              <a:solidFill>
                <a:srgbClr val="FF9900"/>
              </a:solidFill>
              <a:prstDash val="solid"/>
            </a:ln>
          </c:spPr>
          <c:marker>
            <c:symbol val="circle"/>
            <c:size val="7"/>
            <c:spPr>
              <a:solidFill>
                <a:srgbClr val="FF9900"/>
              </a:solidFill>
              <a:ln>
                <a:solidFill>
                  <a:srgbClr val="FF9900"/>
                </a:solidFill>
                <a:prstDash val="solid"/>
              </a:ln>
            </c:spPr>
          </c:marker>
          <c:cat>
            <c:numRef>
              <c:f>'Literacy rate'!$E$55:$AA$55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rate'!$E$57:$W$57</c:f>
              <c:numCache>
                <c:formatCode>General</c:formatCode>
                <c:ptCount val="19"/>
                <c:pt idx="0" formatCode="0.0%">
                  <c:v>0.69582114118507699</c:v>
                </c:pt>
                <c:pt idx="2" formatCode="0.0%">
                  <c:v>0.69258781105587497</c:v>
                </c:pt>
                <c:pt idx="3" formatCode="0.0%">
                  <c:v>0.68703930601276797</c:v>
                </c:pt>
                <c:pt idx="4" formatCode="0.0%">
                  <c:v>0.69049620076509899</c:v>
                </c:pt>
              </c:numCache>
            </c:numRef>
          </c:val>
          <c:smooth val="0"/>
          <c:extLst>
            <c:ext xmlns:c16="http://schemas.microsoft.com/office/drawing/2014/chart" uri="{C3380CC4-5D6E-409C-BE32-E72D297353CC}">
              <c16:uniqueId val="{00000001-DD9F-44ED-BD8C-8417286E9654}"/>
            </c:ext>
          </c:extLst>
        </c:ser>
        <c:ser>
          <c:idx val="2"/>
          <c:order val="2"/>
          <c:tx>
            <c:strRef>
              <c:f>'Literacy rate'!$D$58</c:f>
              <c:strCache>
                <c:ptCount val="1"/>
                <c:pt idx="0">
                  <c:v>Female literacy </c:v>
                </c:pt>
              </c:strCache>
            </c:strRef>
          </c:tx>
          <c:cat>
            <c:numRef>
              <c:f>'Literacy rate'!$E$55:$AA$55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rate'!$E$58:$AA$58</c:f>
              <c:numCache>
                <c:formatCode>General</c:formatCode>
                <c:ptCount val="23"/>
                <c:pt idx="7" formatCode="0.0%">
                  <c:v>0.69379092021008704</c:v>
                </c:pt>
                <c:pt idx="8" formatCode="0.0%">
                  <c:v>0.70300464922628603</c:v>
                </c:pt>
                <c:pt idx="9" formatCode="0.0%">
                  <c:v>0.71803278688524597</c:v>
                </c:pt>
                <c:pt idx="10" formatCode="0.0%">
                  <c:v>0.73699999999999999</c:v>
                </c:pt>
                <c:pt idx="11" formatCode="0.0%">
                  <c:v>0.745</c:v>
                </c:pt>
                <c:pt idx="12" formatCode="0.0%">
                  <c:v>0.75700000000000001</c:v>
                </c:pt>
                <c:pt idx="13" formatCode="0.0%">
                  <c:v>0.753</c:v>
                </c:pt>
                <c:pt idx="14" formatCode="0.0%">
                  <c:v>0.78800000000000003</c:v>
                </c:pt>
                <c:pt idx="15" formatCode="0.0%">
                  <c:v>0.79500000000000004</c:v>
                </c:pt>
                <c:pt idx="16" formatCode="0.0%">
                  <c:v>0.80700000000000005</c:v>
                </c:pt>
                <c:pt idx="17" formatCode="0.0%">
                  <c:v>0.82</c:v>
                </c:pt>
                <c:pt idx="18" formatCode="0.0%">
                  <c:v>0.82499999999999996</c:v>
                </c:pt>
                <c:pt idx="19" formatCode="0.0%">
                  <c:v>0.83</c:v>
                </c:pt>
                <c:pt idx="20" formatCode="0.0%">
                  <c:v>0.83199999999999996</c:v>
                </c:pt>
                <c:pt idx="21" formatCode="0.0%">
                  <c:v>0.83923060999999999</c:v>
                </c:pt>
                <c:pt idx="22" formatCode="0.0%">
                  <c:v>0.85250806000000001</c:v>
                </c:pt>
              </c:numCache>
            </c:numRef>
          </c:val>
          <c:smooth val="0"/>
          <c:extLst>
            <c:ext xmlns:c16="http://schemas.microsoft.com/office/drawing/2014/chart" uri="{C3380CC4-5D6E-409C-BE32-E72D297353CC}">
              <c16:uniqueId val="{00000002-DD9F-44ED-BD8C-8417286E9654}"/>
            </c:ext>
          </c:extLst>
        </c:ser>
        <c:ser>
          <c:idx val="3"/>
          <c:order val="3"/>
          <c:tx>
            <c:strRef>
              <c:f>'Literacy rate'!$D$59</c:f>
              <c:strCache>
                <c:ptCount val="1"/>
                <c:pt idx="0">
                  <c:v>Female literacy - OHS</c:v>
                </c:pt>
              </c:strCache>
            </c:strRef>
          </c:tx>
          <c:cat>
            <c:numRef>
              <c:f>'Literacy rate'!$E$55:$AA$55</c:f>
              <c:numCache>
                <c:formatCode>General</c:formatCode>
                <c:ptCount val="23"/>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'Literacy rate'!$E$59:$W$59</c:f>
              <c:numCache>
                <c:formatCode>General</c:formatCode>
                <c:ptCount val="19"/>
                <c:pt idx="0" formatCode="0.0%">
                  <c:v>0.67228661749209695</c:v>
                </c:pt>
                <c:pt idx="2" formatCode="0.0%">
                  <c:v>0.675676991430467</c:v>
                </c:pt>
                <c:pt idx="3" formatCode="0.0%">
                  <c:v>0.67219802920879301</c:v>
                </c:pt>
                <c:pt idx="4" formatCode="0.0%">
                  <c:v>0.67376959649273205</c:v>
                </c:pt>
              </c:numCache>
            </c:numRef>
          </c:val>
          <c:smooth val="0"/>
          <c:extLst>
            <c:ext xmlns:c16="http://schemas.microsoft.com/office/drawing/2014/chart" uri="{C3380CC4-5D6E-409C-BE32-E72D297353CC}">
              <c16:uniqueId val="{00000003-DD9F-44ED-BD8C-8417286E9654}"/>
            </c:ext>
          </c:extLst>
        </c:ser>
        <c:dLbls>
          <c:showLegendKey val="0"/>
          <c:showVal val="0"/>
          <c:showCatName val="0"/>
          <c:showSerName val="0"/>
          <c:showPercent val="0"/>
          <c:showBubbleSize val="0"/>
        </c:dLbls>
        <c:marker val="1"/>
        <c:smooth val="0"/>
        <c:axId val="-1618714160"/>
        <c:axId val="-1618732656"/>
      </c:lineChart>
      <c:catAx>
        <c:axId val="-1618714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732656"/>
        <c:crosses val="autoZero"/>
        <c:auto val="1"/>
        <c:lblAlgn val="ctr"/>
        <c:lblOffset val="100"/>
        <c:tickLblSkip val="1"/>
        <c:tickMarkSkip val="1"/>
        <c:noMultiLvlLbl val="0"/>
      </c:catAx>
      <c:valAx>
        <c:axId val="-1618732656"/>
        <c:scaling>
          <c:orientation val="minMax"/>
          <c:min val="0.60000000000000009"/>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714160"/>
        <c:crosses val="autoZero"/>
        <c:crossBetween val="between"/>
      </c:valAx>
      <c:spPr>
        <a:noFill/>
        <a:ln w="25400">
          <a:noFill/>
        </a:ln>
      </c:spPr>
    </c:plotArea>
    <c:legend>
      <c:legendPos val="r"/>
      <c:layout>
        <c:manualLayout>
          <c:xMode val="edge"/>
          <c:yMode val="edge"/>
          <c:x val="4.4384168548698852E-2"/>
          <c:y val="0.91690865121276754"/>
          <c:w val="0.76475589533866406"/>
          <c:h val="8.3091500354908462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GRADUATING SET STUDENTS</a:t>
            </a:r>
          </a:p>
        </c:rich>
      </c:tx>
      <c:layout>
        <c:manualLayout>
          <c:xMode val="edge"/>
          <c:yMode val="edge"/>
          <c:x val="5.179701902053558E-2"/>
          <c:y val="1.7605633802816902E-2"/>
        </c:manualLayout>
      </c:layout>
      <c:overlay val="0"/>
      <c:spPr>
        <a:noFill/>
        <a:ln w="25400">
          <a:noFill/>
        </a:ln>
      </c:spPr>
    </c:title>
    <c:autoTitleDeleted val="0"/>
    <c:plotArea>
      <c:layout>
        <c:manualLayout>
          <c:layoutTarget val="inner"/>
          <c:xMode val="edge"/>
          <c:yMode val="edge"/>
          <c:x val="7.9198498889288815E-2"/>
          <c:y val="0.14019329369766603"/>
          <c:w val="0.89122178928138296"/>
          <c:h val="0.71830985915492962"/>
        </c:manualLayout>
      </c:layout>
      <c:lineChart>
        <c:grouping val="standard"/>
        <c:varyColors val="0"/>
        <c:ser>
          <c:idx val="1"/>
          <c:order val="0"/>
          <c:tx>
            <c:strRef>
              <c:f>'SET Uni'!$D$19</c:f>
              <c:strCache>
                <c:ptCount val="1"/>
                <c:pt idx="0">
                  <c:v>SET as % of total graduates</c:v>
                </c:pt>
              </c:strCache>
            </c:strRef>
          </c:tx>
          <c:spPr>
            <a:ln w="25400">
              <a:solidFill>
                <a:srgbClr val="FF6600"/>
              </a:solidFill>
              <a:prstDash val="solid"/>
            </a:ln>
          </c:spPr>
          <c:marker>
            <c:symbol val="none"/>
          </c:marker>
          <c:cat>
            <c:numRef>
              <c:extLst>
                <c:ext xmlns:c15="http://schemas.microsoft.com/office/drawing/2012/chart" uri="{02D57815-91ED-43cb-92C2-25804820EDAC}">
                  <c15:fullRef>
                    <c15:sqref>'SET Uni'!$F$7:$AG$7</c15:sqref>
                  </c15:fullRef>
                </c:ext>
              </c:extLst>
              <c:f>('SET Uni'!$H$7:$R$7,'SET Uni'!$T$7,'SET Uni'!$Y$7:$AG$7)</c:f>
              <c:numCache>
                <c:formatCode>General</c:formatCode>
                <c:ptCount val="9"/>
                <c:pt idx="0">
                  <c:v>2013</c:v>
                </c:pt>
                <c:pt idx="1">
                  <c:v>2014</c:v>
                </c:pt>
                <c:pt idx="2">
                  <c:v>2015</c:v>
                </c:pt>
                <c:pt idx="3">
                  <c:v>2016</c:v>
                </c:pt>
                <c:pt idx="4">
                  <c:v>2017</c:v>
                </c:pt>
                <c:pt idx="5">
                  <c:v>2018</c:v>
                </c:pt>
                <c:pt idx="6">
                  <c:v>2019</c:v>
                </c:pt>
                <c:pt idx="7">
                  <c:v>2020</c:v>
                </c:pt>
                <c:pt idx="8">
                  <c:v>2021</c:v>
                </c:pt>
              </c:numCache>
            </c:numRef>
          </c:cat>
          <c:val>
            <c:numRef>
              <c:extLst>
                <c:ext xmlns:c15="http://schemas.microsoft.com/office/drawing/2012/chart" uri="{02D57815-91ED-43cb-92C2-25804820EDAC}">
                  <c15:fullRef>
                    <c15:sqref>'SET Uni'!$F$19:$AG$19</c15:sqref>
                  </c15:fullRef>
                </c:ext>
              </c:extLst>
              <c:f>('SET Uni'!$H$19:$R$19,'SET Uni'!$T$19,'SET Uni'!$Y$19:$AG$19)</c:f>
              <c:numCache>
                <c:formatCode>_ * #\ ##0.0_ ;_ * \-#\ ##0.0_ ;_ * "-"??_ ;_ @_ </c:formatCode>
                <c:ptCount val="9"/>
                <c:pt idx="0">
                  <c:v>29.407926026700292</c:v>
                </c:pt>
                <c:pt idx="1">
                  <c:v>29.979231287929871</c:v>
                </c:pt>
                <c:pt idx="2">
                  <c:v>30.330402456089061</c:v>
                </c:pt>
                <c:pt idx="3">
                  <c:v>29.11471567295003</c:v>
                </c:pt>
                <c:pt idx="4">
                  <c:v>29.194855189611769</c:v>
                </c:pt>
                <c:pt idx="5">
                  <c:v>28.703540679965489</c:v>
                </c:pt>
                <c:pt idx="6">
                  <c:v>29.122924007173047</c:v>
                </c:pt>
                <c:pt idx="7">
                  <c:v>27.207186756459084</c:v>
                </c:pt>
                <c:pt idx="8">
                  <c:v>28.904598790175644</c:v>
                </c:pt>
              </c:numCache>
            </c:numRef>
          </c:val>
          <c:smooth val="0"/>
          <c:extLst>
            <c:ext xmlns:c16="http://schemas.microsoft.com/office/drawing/2014/chart" uri="{C3380CC4-5D6E-409C-BE32-E72D297353CC}">
              <c16:uniqueId val="{00000000-7651-4D7F-A327-71417D8AD7CD}"/>
            </c:ext>
          </c:extLst>
        </c:ser>
        <c:dLbls>
          <c:showLegendKey val="0"/>
          <c:showVal val="0"/>
          <c:showCatName val="0"/>
          <c:showSerName val="0"/>
          <c:showPercent val="0"/>
          <c:showBubbleSize val="0"/>
        </c:dLbls>
        <c:smooth val="0"/>
        <c:axId val="-1618722320"/>
        <c:axId val="-1618723952"/>
      </c:lineChart>
      <c:catAx>
        <c:axId val="-1618722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723952"/>
        <c:crosses val="autoZero"/>
        <c:auto val="1"/>
        <c:lblAlgn val="ctr"/>
        <c:lblOffset val="100"/>
        <c:tickLblSkip val="1"/>
        <c:tickMarkSkip val="1"/>
        <c:noMultiLvlLbl val="0"/>
      </c:catAx>
      <c:valAx>
        <c:axId val="-1618723952"/>
        <c:scaling>
          <c:orientation val="minMax"/>
          <c:min val="25"/>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2.4312845649284782E-2"/>
              <c:y val="0.4788732394366198"/>
            </c:manualLayout>
          </c:layout>
          <c:overlay val="0"/>
          <c:spPr>
            <a:noFill/>
            <a:ln w="25400">
              <a:noFill/>
            </a:ln>
          </c:spPr>
        </c:title>
        <c:numFmt formatCode="#\ ##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18722320"/>
        <c:crosses val="autoZero"/>
        <c:crossBetween val="midCat"/>
      </c:valAx>
      <c:spPr>
        <a:solidFill>
          <a:srgbClr val="FFFFFF"/>
        </a:solidFill>
        <a:ln w="12700">
          <a:solidFill>
            <a:srgbClr val="808080"/>
          </a:solidFill>
          <a:prstDash val="solid"/>
        </a:ln>
      </c:spPr>
    </c:plotArea>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paperSize="9" orientation="landscape" horizontalDpi="-4"/>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'[13]SET Uni'!$D$52</c:f>
              <c:strCache>
                <c:ptCount val="1"/>
                <c:pt idx="0">
                  <c:v>Total enrolment</c:v>
                </c:pt>
              </c:strCache>
            </c:strRef>
          </c:tx>
          <c:marker>
            <c:symbol val="none"/>
          </c:marker>
          <c:cat>
            <c:numRef>
              <c:f>'[13]SET Uni'!$E$51:$K$51</c:f>
              <c:numCache>
                <c:formatCode>General</c:formatCode>
                <c:ptCount val="7"/>
                <c:pt idx="0">
                  <c:v>2000</c:v>
                </c:pt>
                <c:pt idx="1">
                  <c:v>2001</c:v>
                </c:pt>
                <c:pt idx="2">
                  <c:v>2002</c:v>
                </c:pt>
                <c:pt idx="3">
                  <c:v>2003</c:v>
                </c:pt>
                <c:pt idx="4">
                  <c:v>2004</c:v>
                </c:pt>
                <c:pt idx="5">
                  <c:v>2005</c:v>
                </c:pt>
                <c:pt idx="6">
                  <c:v>2006</c:v>
                </c:pt>
              </c:numCache>
            </c:numRef>
          </c:cat>
          <c:val>
            <c:numRef>
              <c:f>'[13]SET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4A5A-4FE9-8D0D-BC4F61ED6AEB}"/>
            </c:ext>
          </c:extLst>
        </c:ser>
        <c:ser>
          <c:idx val="4"/>
          <c:order val="1"/>
          <c:tx>
            <c:strRef>
              <c:f>'[13]SET Uni'!$D$56</c:f>
              <c:strCache>
                <c:ptCount val="1"/>
                <c:pt idx="0">
                  <c:v>Total Graduates</c:v>
                </c:pt>
              </c:strCache>
            </c:strRef>
          </c:tx>
          <c:marker>
            <c:symbol val="none"/>
          </c:marker>
          <c:cat>
            <c:numRef>
              <c:f>'[13]SET Uni'!$E$51:$K$51</c:f>
              <c:numCache>
                <c:formatCode>General</c:formatCode>
                <c:ptCount val="7"/>
                <c:pt idx="0">
                  <c:v>2000</c:v>
                </c:pt>
                <c:pt idx="1">
                  <c:v>2001</c:v>
                </c:pt>
                <c:pt idx="2">
                  <c:v>2002</c:v>
                </c:pt>
                <c:pt idx="3">
                  <c:v>2003</c:v>
                </c:pt>
                <c:pt idx="4">
                  <c:v>2004</c:v>
                </c:pt>
                <c:pt idx="5">
                  <c:v>2005</c:v>
                </c:pt>
                <c:pt idx="6">
                  <c:v>2006</c:v>
                </c:pt>
              </c:numCache>
            </c:numRef>
          </c:cat>
          <c:val>
            <c:numRef>
              <c:f>'[13]SET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4A5A-4FE9-8D0D-BC4F61ED6AEB}"/>
            </c:ext>
          </c:extLst>
        </c:ser>
        <c:ser>
          <c:idx val="5"/>
          <c:order val="2"/>
          <c:tx>
            <c:strRef>
              <c:f>'[13]SET Uni'!$D$57</c:f>
              <c:strCache>
                <c:ptCount val="1"/>
                <c:pt idx="0">
                  <c:v>SET Graduates</c:v>
                </c:pt>
              </c:strCache>
            </c:strRef>
          </c:tx>
          <c:marker>
            <c:symbol val="none"/>
          </c:marker>
          <c:cat>
            <c:numRef>
              <c:f>'[13]SET Uni'!$E$51:$K$51</c:f>
              <c:numCache>
                <c:formatCode>General</c:formatCode>
                <c:ptCount val="7"/>
                <c:pt idx="0">
                  <c:v>2000</c:v>
                </c:pt>
                <c:pt idx="1">
                  <c:v>2001</c:v>
                </c:pt>
                <c:pt idx="2">
                  <c:v>2002</c:v>
                </c:pt>
                <c:pt idx="3">
                  <c:v>2003</c:v>
                </c:pt>
                <c:pt idx="4">
                  <c:v>2004</c:v>
                </c:pt>
                <c:pt idx="5">
                  <c:v>2005</c:v>
                </c:pt>
                <c:pt idx="6">
                  <c:v>2006</c:v>
                </c:pt>
              </c:numCache>
            </c:numRef>
          </c:cat>
          <c:val>
            <c:numRef>
              <c:f>'[13]SET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4A5A-4FE9-8D0D-BC4F61ED6AEB}"/>
            </c:ext>
          </c:extLst>
        </c:ser>
        <c:dLbls>
          <c:showLegendKey val="0"/>
          <c:showVal val="0"/>
          <c:showCatName val="0"/>
          <c:showSerName val="0"/>
          <c:showPercent val="0"/>
          <c:showBubbleSize val="0"/>
        </c:dLbls>
        <c:smooth val="0"/>
        <c:axId val="-1618716880"/>
        <c:axId val="-1618723408"/>
      </c:lineChart>
      <c:catAx>
        <c:axId val="-1618716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1618723408"/>
        <c:crosses val="autoZero"/>
        <c:auto val="1"/>
        <c:lblAlgn val="ctr"/>
        <c:lblOffset val="100"/>
        <c:tickLblSkip val="1"/>
        <c:tickMarkSkip val="1"/>
        <c:noMultiLvlLbl val="0"/>
      </c:catAx>
      <c:valAx>
        <c:axId val="-1618723408"/>
        <c:scaling>
          <c:orientation val="minMax"/>
        </c:scaling>
        <c:delete val="0"/>
        <c:axPos val="l"/>
        <c:majorGridlines>
          <c:spPr>
            <a:ln w="3175">
              <a:solidFill>
                <a:srgbClr val="000000"/>
              </a:solidFill>
              <a:prstDash val="solid"/>
            </a:ln>
          </c:spPr>
        </c:majorGridlines>
        <c:title>
          <c:tx>
            <c:rich>
              <a:bodyPr/>
              <a:lstStyle/>
              <a:p>
                <a:pPr>
                  <a:defRPr sz="275" b="1" i="0" u="none" strike="noStrike" baseline="0">
                    <a:solidFill>
                      <a:srgbClr val="000000"/>
                    </a:solidFill>
                    <a:latin typeface="Arial"/>
                    <a:ea typeface="Arial"/>
                    <a:cs typeface="Arial"/>
                  </a:defRPr>
                </a:pPr>
                <a:r>
                  <a:rPr lang="en-ZA"/>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161871688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15916023885152E-2"/>
          <c:y val="5.7298672785189797E-2"/>
          <c:w val="0.7355630310658462"/>
          <c:h val="0.87135018729057823"/>
        </c:manualLayout>
      </c:layout>
      <c:lineChart>
        <c:grouping val="standard"/>
        <c:varyColors val="0"/>
        <c:ser>
          <c:idx val="0"/>
          <c:order val="0"/>
          <c:tx>
            <c:strRef>
              <c:f>'SET Uni'!$AH$8:$AI$8</c:f>
              <c:strCache>
                <c:ptCount val="2"/>
                <c:pt idx="0">
                  <c:v>Total Enrolment</c:v>
                </c:pt>
              </c:strCache>
            </c:strRef>
          </c:tx>
          <c:marker>
            <c:symbol val="none"/>
          </c:marker>
          <c:cat>
            <c:numRef>
              <c:f>'SET Uni'!$AJ$7:$BG$7</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'SET Uni'!$AJ$8:$BG$8</c:f>
              <c:numCache>
                <c:formatCode>0.00</c:formatCode>
                <c:ptCount val="24"/>
                <c:pt idx="0">
                  <c:v>495356</c:v>
                </c:pt>
                <c:pt idx="1">
                  <c:v>557383</c:v>
                </c:pt>
                <c:pt idx="2">
                  <c:v>574771</c:v>
                </c:pt>
                <c:pt idx="3">
                  <c:v>569814</c:v>
                </c:pt>
                <c:pt idx="4">
                  <c:v>559309</c:v>
                </c:pt>
                <c:pt idx="5">
                  <c:v>553800</c:v>
                </c:pt>
                <c:pt idx="6">
                  <c:v>578134</c:v>
                </c:pt>
                <c:pt idx="7">
                  <c:v>627277</c:v>
                </c:pt>
                <c:pt idx="8">
                  <c:v>667182</c:v>
                </c:pt>
                <c:pt idx="9">
                  <c:v>705255</c:v>
                </c:pt>
                <c:pt idx="10">
                  <c:v>744478</c:v>
                </c:pt>
                <c:pt idx="11">
                  <c:v>735073</c:v>
                </c:pt>
                <c:pt idx="12">
                  <c:v>741380</c:v>
                </c:pt>
                <c:pt idx="13">
                  <c:v>760889</c:v>
                </c:pt>
                <c:pt idx="14">
                  <c:v>799490</c:v>
                </c:pt>
                <c:pt idx="15">
                  <c:v>837779</c:v>
                </c:pt>
                <c:pt idx="16">
                  <c:v>892936</c:v>
                </c:pt>
                <c:pt idx="17">
                  <c:v>937454</c:v>
                </c:pt>
                <c:pt idx="18">
                  <c:v>953373</c:v>
                </c:pt>
                <c:pt idx="19">
                  <c:v>983698</c:v>
                </c:pt>
                <c:pt idx="20">
                  <c:v>969154</c:v>
                </c:pt>
              </c:numCache>
            </c:numRef>
          </c:val>
          <c:smooth val="0"/>
          <c:extLst>
            <c:ext xmlns:c16="http://schemas.microsoft.com/office/drawing/2014/chart" uri="{C3380CC4-5D6E-409C-BE32-E72D297353CC}">
              <c16:uniqueId val="{00000000-8024-4FCE-A543-C452D588ED9E}"/>
            </c:ext>
          </c:extLst>
        </c:ser>
        <c:ser>
          <c:idx val="1"/>
          <c:order val="1"/>
          <c:tx>
            <c:strRef>
              <c:f>'SET Uni'!$AH$9:$AI$9</c:f>
              <c:strCache>
                <c:ptCount val="2"/>
                <c:pt idx="0">
                  <c:v>Total number of graduates</c:v>
                </c:pt>
              </c:strCache>
            </c:strRef>
          </c:tx>
          <c:marker>
            <c:symbol val="none"/>
          </c:marker>
          <c:cat>
            <c:numRef>
              <c:f>'SET Uni'!$AJ$7:$BG$7</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'SET Uni'!$AJ$9:$BG$9</c:f>
              <c:numCache>
                <c:formatCode>0.00</c:formatCode>
                <c:ptCount val="24"/>
                <c:pt idx="0">
                  <c:v>74137</c:v>
                </c:pt>
                <c:pt idx="1">
                  <c:v>81684</c:v>
                </c:pt>
                <c:pt idx="2">
                  <c:v>86215</c:v>
                </c:pt>
                <c:pt idx="3">
                  <c:v>88221</c:v>
                </c:pt>
                <c:pt idx="4">
                  <c:v>86625</c:v>
                </c:pt>
                <c:pt idx="5">
                  <c:v>92499</c:v>
                </c:pt>
                <c:pt idx="6">
                  <c:v>92819</c:v>
                </c:pt>
                <c:pt idx="7">
                  <c:v>95940</c:v>
                </c:pt>
                <c:pt idx="8">
                  <c:v>101047</c:v>
                </c:pt>
                <c:pt idx="9">
                  <c:v>108263</c:v>
                </c:pt>
                <c:pt idx="10">
                  <c:v>117240</c:v>
                </c:pt>
                <c:pt idx="11">
                  <c:v>120385</c:v>
                </c:pt>
                <c:pt idx="12">
                  <c:v>124676</c:v>
                </c:pt>
                <c:pt idx="13">
                  <c:v>126618</c:v>
                </c:pt>
                <c:pt idx="14">
                  <c:v>133241</c:v>
                </c:pt>
                <c:pt idx="15">
                  <c:v>144852</c:v>
                </c:pt>
                <c:pt idx="16">
                  <c:v>153325</c:v>
                </c:pt>
                <c:pt idx="17">
                  <c:v>160300</c:v>
                </c:pt>
                <c:pt idx="18">
                  <c:v>165995</c:v>
                </c:pt>
                <c:pt idx="19">
                  <c:v>180823</c:v>
                </c:pt>
                <c:pt idx="20">
                  <c:v>185375</c:v>
                </c:pt>
              </c:numCache>
            </c:numRef>
          </c:val>
          <c:smooth val="0"/>
          <c:extLst>
            <c:ext xmlns:c16="http://schemas.microsoft.com/office/drawing/2014/chart" uri="{C3380CC4-5D6E-409C-BE32-E72D297353CC}">
              <c16:uniqueId val="{00000001-8024-4FCE-A543-C452D588ED9E}"/>
            </c:ext>
          </c:extLst>
        </c:ser>
        <c:ser>
          <c:idx val="2"/>
          <c:order val="2"/>
          <c:tx>
            <c:strRef>
              <c:f>'SET Uni'!$AH$10:$AI$10</c:f>
              <c:strCache>
                <c:ptCount val="2"/>
                <c:pt idx="0">
                  <c:v>Total number of SET graduates</c:v>
                </c:pt>
              </c:strCache>
            </c:strRef>
          </c:tx>
          <c:marker>
            <c:symbol val="none"/>
          </c:marker>
          <c:cat>
            <c:numRef>
              <c:f>'SET Uni'!$AJ$7:$BG$7</c:f>
              <c:numCache>
                <c:formatCode>General</c:formatCode>
                <c:ptCount val="2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numCache>
            </c:numRef>
          </c:cat>
          <c:val>
            <c:numRef>
              <c:f>'SET Uni'!$AJ$10:$BG$10</c:f>
              <c:numCache>
                <c:formatCode>0.00</c:formatCode>
                <c:ptCount val="24"/>
                <c:pt idx="0">
                  <c:v>20598</c:v>
                </c:pt>
                <c:pt idx="1">
                  <c:v>20456</c:v>
                </c:pt>
                <c:pt idx="2">
                  <c:v>21682</c:v>
                </c:pt>
                <c:pt idx="3">
                  <c:v>22904</c:v>
                </c:pt>
                <c:pt idx="4">
                  <c:v>22506</c:v>
                </c:pt>
                <c:pt idx="5">
                  <c:v>23269</c:v>
                </c:pt>
                <c:pt idx="6">
                  <c:v>23679</c:v>
                </c:pt>
                <c:pt idx="7">
                  <c:v>24907</c:v>
                </c:pt>
                <c:pt idx="8">
                  <c:v>27240</c:v>
                </c:pt>
                <c:pt idx="9">
                  <c:v>29495</c:v>
                </c:pt>
                <c:pt idx="10">
                  <c:v>31436</c:v>
                </c:pt>
                <c:pt idx="11">
                  <c:v>33506</c:v>
                </c:pt>
                <c:pt idx="12">
                  <c:v>35562</c:v>
                </c:pt>
                <c:pt idx="13">
                  <c:v>36429</c:v>
                </c:pt>
                <c:pt idx="14">
                  <c:v>38819</c:v>
                </c:pt>
                <c:pt idx="15">
                  <c:v>40973</c:v>
                </c:pt>
                <c:pt idx="16">
                  <c:v>42759.582999999999</c:v>
                </c:pt>
                <c:pt idx="17">
                  <c:v>45841</c:v>
                </c:pt>
                <c:pt idx="18">
                  <c:v>48848.75</c:v>
                </c:pt>
                <c:pt idx="19">
                  <c:v>53176</c:v>
                </c:pt>
                <c:pt idx="20">
                  <c:v>55574</c:v>
                </c:pt>
              </c:numCache>
            </c:numRef>
          </c:val>
          <c:smooth val="0"/>
          <c:extLst>
            <c:ext xmlns:c16="http://schemas.microsoft.com/office/drawing/2014/chart" uri="{C3380CC4-5D6E-409C-BE32-E72D297353CC}">
              <c16:uniqueId val="{00000002-8024-4FCE-A543-C452D588ED9E}"/>
            </c:ext>
          </c:extLst>
        </c:ser>
        <c:dLbls>
          <c:showLegendKey val="0"/>
          <c:showVal val="0"/>
          <c:showCatName val="0"/>
          <c:showSerName val="0"/>
          <c:showPercent val="0"/>
          <c:showBubbleSize val="0"/>
        </c:dLbls>
        <c:smooth val="0"/>
        <c:axId val="-1618713072"/>
        <c:axId val="-1618735920"/>
      </c:lineChart>
      <c:catAx>
        <c:axId val="-1618713072"/>
        <c:scaling>
          <c:orientation val="minMax"/>
        </c:scaling>
        <c:delete val="0"/>
        <c:axPos val="b"/>
        <c:numFmt formatCode="General" sourceLinked="1"/>
        <c:majorTickMark val="out"/>
        <c:minorTickMark val="none"/>
        <c:tickLblPos val="nextTo"/>
        <c:crossAx val="-1618735920"/>
        <c:crosses val="autoZero"/>
        <c:auto val="1"/>
        <c:lblAlgn val="ctr"/>
        <c:lblOffset val="100"/>
        <c:noMultiLvlLbl val="0"/>
      </c:catAx>
      <c:valAx>
        <c:axId val="-1618735920"/>
        <c:scaling>
          <c:orientation val="minMax"/>
        </c:scaling>
        <c:delete val="0"/>
        <c:axPos val="l"/>
        <c:majorGridlines/>
        <c:numFmt formatCode="0.00" sourceLinked="1"/>
        <c:majorTickMark val="out"/>
        <c:minorTickMark val="none"/>
        <c:tickLblPos val="nextTo"/>
        <c:crossAx val="-16187130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'[14]SET Uni'!$D$52</c:f>
              <c:strCache>
                <c:ptCount val="1"/>
                <c:pt idx="0">
                  <c:v>Total enrolment</c:v>
                </c:pt>
              </c:strCache>
            </c:strRef>
          </c:tx>
          <c:marker>
            <c:symbol val="none"/>
          </c:marker>
          <c:cat>
            <c:numRef>
              <c:f>'[14]SET Uni'!$E$51:$K$51</c:f>
              <c:numCache>
                <c:formatCode>General</c:formatCode>
                <c:ptCount val="7"/>
                <c:pt idx="0">
                  <c:v>2000</c:v>
                </c:pt>
                <c:pt idx="1">
                  <c:v>2001</c:v>
                </c:pt>
                <c:pt idx="2">
                  <c:v>2002</c:v>
                </c:pt>
                <c:pt idx="3">
                  <c:v>2003</c:v>
                </c:pt>
                <c:pt idx="4">
                  <c:v>2004</c:v>
                </c:pt>
                <c:pt idx="5">
                  <c:v>2005</c:v>
                </c:pt>
                <c:pt idx="6">
                  <c:v>2006</c:v>
                </c:pt>
              </c:numCache>
            </c:numRef>
          </c:cat>
          <c:val>
            <c:numRef>
              <c:f>'[14]SET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F97A-4178-8981-A363FD20E9BE}"/>
            </c:ext>
          </c:extLst>
        </c:ser>
        <c:ser>
          <c:idx val="4"/>
          <c:order val="1"/>
          <c:tx>
            <c:strRef>
              <c:f>'[14]SET Uni'!$D$56</c:f>
              <c:strCache>
                <c:ptCount val="1"/>
                <c:pt idx="0">
                  <c:v>Total Graduates</c:v>
                </c:pt>
              </c:strCache>
            </c:strRef>
          </c:tx>
          <c:marker>
            <c:symbol val="none"/>
          </c:marker>
          <c:cat>
            <c:numRef>
              <c:f>'[14]SET Uni'!$E$51:$K$51</c:f>
              <c:numCache>
                <c:formatCode>General</c:formatCode>
                <c:ptCount val="7"/>
                <c:pt idx="0">
                  <c:v>2000</c:v>
                </c:pt>
                <c:pt idx="1">
                  <c:v>2001</c:v>
                </c:pt>
                <c:pt idx="2">
                  <c:v>2002</c:v>
                </c:pt>
                <c:pt idx="3">
                  <c:v>2003</c:v>
                </c:pt>
                <c:pt idx="4">
                  <c:v>2004</c:v>
                </c:pt>
                <c:pt idx="5">
                  <c:v>2005</c:v>
                </c:pt>
                <c:pt idx="6">
                  <c:v>2006</c:v>
                </c:pt>
              </c:numCache>
            </c:numRef>
          </c:cat>
          <c:val>
            <c:numRef>
              <c:f>'[14]SET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F97A-4178-8981-A363FD20E9BE}"/>
            </c:ext>
          </c:extLst>
        </c:ser>
        <c:ser>
          <c:idx val="5"/>
          <c:order val="2"/>
          <c:tx>
            <c:strRef>
              <c:f>'[14]SET Uni'!$D$57</c:f>
              <c:strCache>
                <c:ptCount val="1"/>
                <c:pt idx="0">
                  <c:v>SET Graduates</c:v>
                </c:pt>
              </c:strCache>
            </c:strRef>
          </c:tx>
          <c:marker>
            <c:symbol val="none"/>
          </c:marker>
          <c:cat>
            <c:numRef>
              <c:f>'[14]SET Uni'!$E$51:$K$51</c:f>
              <c:numCache>
                <c:formatCode>General</c:formatCode>
                <c:ptCount val="7"/>
                <c:pt idx="0">
                  <c:v>2000</c:v>
                </c:pt>
                <c:pt idx="1">
                  <c:v>2001</c:v>
                </c:pt>
                <c:pt idx="2">
                  <c:v>2002</c:v>
                </c:pt>
                <c:pt idx="3">
                  <c:v>2003</c:v>
                </c:pt>
                <c:pt idx="4">
                  <c:v>2004</c:v>
                </c:pt>
                <c:pt idx="5">
                  <c:v>2005</c:v>
                </c:pt>
                <c:pt idx="6">
                  <c:v>2006</c:v>
                </c:pt>
              </c:numCache>
            </c:numRef>
          </c:cat>
          <c:val>
            <c:numRef>
              <c:f>'[14]SET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F97A-4178-8981-A363FD20E9BE}"/>
            </c:ext>
          </c:extLst>
        </c:ser>
        <c:dLbls>
          <c:showLegendKey val="0"/>
          <c:showVal val="0"/>
          <c:showCatName val="0"/>
          <c:showSerName val="0"/>
          <c:showPercent val="0"/>
          <c:showBubbleSize val="0"/>
        </c:dLbls>
        <c:smooth val="0"/>
        <c:axId val="-1618712528"/>
        <c:axId val="-1618721776"/>
      </c:lineChart>
      <c:catAx>
        <c:axId val="-1618712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1618721776"/>
        <c:crosses val="autoZero"/>
        <c:auto val="1"/>
        <c:lblAlgn val="ctr"/>
        <c:lblOffset val="100"/>
        <c:tickLblSkip val="1"/>
        <c:tickMarkSkip val="1"/>
        <c:noMultiLvlLbl val="0"/>
      </c:catAx>
      <c:valAx>
        <c:axId val="-1618721776"/>
        <c:scaling>
          <c:orientation val="minMax"/>
        </c:scaling>
        <c:delete val="0"/>
        <c:axPos val="l"/>
        <c:majorGridlines>
          <c:spPr>
            <a:ln w="3175">
              <a:solidFill>
                <a:srgbClr val="000000"/>
              </a:solidFill>
              <a:prstDash val="solid"/>
            </a:ln>
          </c:spPr>
        </c:majorGridlines>
        <c:title>
          <c:tx>
            <c:rich>
              <a:bodyPr/>
              <a:lstStyle/>
              <a:p>
                <a:pPr>
                  <a:defRPr lang="en-ZA" sz="275" b="1"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161871252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ZA"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1000"/>
            </a:pPr>
            <a:r>
              <a:rPr lang="en-US" sz="1000"/>
              <a:t>Educational Perfomance of Grade 6 Learners 2004</a:t>
            </a:r>
          </a:p>
        </c:rich>
      </c:tx>
      <c:overlay val="0"/>
    </c:title>
    <c:autoTitleDeleted val="0"/>
    <c:plotArea>
      <c:layout/>
      <c:barChart>
        <c:barDir val="col"/>
        <c:grouping val="clustered"/>
        <c:varyColors val="0"/>
        <c:ser>
          <c:idx val="3"/>
          <c:order val="0"/>
          <c:tx>
            <c:strRef>
              <c:f>'[15]Educational Perf'!$H$69:$H$70</c:f>
              <c:strCache>
                <c:ptCount val="1"/>
                <c:pt idx="0">
                  <c:v>Not Achieved</c:v>
                </c:pt>
              </c:strCache>
            </c:strRef>
          </c:tx>
          <c:spPr>
            <a:solidFill>
              <a:schemeClr val="tx2">
                <a:lumMod val="75000"/>
              </a:schemeClr>
            </a:solidFill>
          </c:spPr>
          <c:invertIfNegative val="0"/>
          <c:cat>
            <c:strRef>
              <c:f>'[15]Educational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'[15]Educational Perf'!$H$71:$H$79</c:f>
              <c:numCache>
                <c:formatCode>General</c:formatCode>
                <c:ptCount val="9"/>
                <c:pt idx="0">
                  <c:v>76</c:v>
                </c:pt>
                <c:pt idx="1">
                  <c:v>66</c:v>
                </c:pt>
                <c:pt idx="2">
                  <c:v>36</c:v>
                </c:pt>
                <c:pt idx="3">
                  <c:v>68</c:v>
                </c:pt>
                <c:pt idx="4">
                  <c:v>86</c:v>
                </c:pt>
                <c:pt idx="5">
                  <c:v>67</c:v>
                </c:pt>
                <c:pt idx="6">
                  <c:v>67</c:v>
                </c:pt>
                <c:pt idx="7">
                  <c:v>33</c:v>
                </c:pt>
                <c:pt idx="8">
                  <c:v>28</c:v>
                </c:pt>
              </c:numCache>
            </c:numRef>
          </c:val>
          <c:extLst>
            <c:ext xmlns:c16="http://schemas.microsoft.com/office/drawing/2014/chart" uri="{C3380CC4-5D6E-409C-BE32-E72D297353CC}">
              <c16:uniqueId val="{00000000-95D2-4181-B3DA-F5548A0BA45C}"/>
            </c:ext>
          </c:extLst>
        </c:ser>
        <c:ser>
          <c:idx val="7"/>
          <c:order val="1"/>
          <c:tx>
            <c:strRef>
              <c:f>'[15]Educational Perf'!$L$69:$L$70</c:f>
              <c:strCache>
                <c:ptCount val="1"/>
                <c:pt idx="0">
                  <c:v>Not Achieved</c:v>
                </c:pt>
              </c:strCache>
            </c:strRef>
          </c:tx>
          <c:spPr>
            <a:solidFill>
              <a:schemeClr val="accent2">
                <a:lumMod val="75000"/>
              </a:schemeClr>
            </a:solidFill>
          </c:spPr>
          <c:invertIfNegative val="0"/>
          <c:cat>
            <c:strRef>
              <c:f>'[15]Educational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'[15]Educational Perf'!$L$71:$L$79</c:f>
              <c:numCache>
                <c:formatCode>General</c:formatCode>
                <c:ptCount val="9"/>
                <c:pt idx="0">
                  <c:v>87</c:v>
                </c:pt>
                <c:pt idx="1">
                  <c:v>75</c:v>
                </c:pt>
                <c:pt idx="2">
                  <c:v>68</c:v>
                </c:pt>
                <c:pt idx="3">
                  <c:v>82</c:v>
                </c:pt>
                <c:pt idx="4">
                  <c:v>95</c:v>
                </c:pt>
                <c:pt idx="5">
                  <c:v>86</c:v>
                </c:pt>
                <c:pt idx="6">
                  <c:v>88</c:v>
                </c:pt>
                <c:pt idx="7">
                  <c:v>70</c:v>
                </c:pt>
                <c:pt idx="8">
                  <c:v>55</c:v>
                </c:pt>
              </c:numCache>
            </c:numRef>
          </c:val>
          <c:extLst>
            <c:ext xmlns:c16="http://schemas.microsoft.com/office/drawing/2014/chart" uri="{C3380CC4-5D6E-409C-BE32-E72D297353CC}">
              <c16:uniqueId val="{00000001-95D2-4181-B3DA-F5548A0BA45C}"/>
            </c:ext>
          </c:extLst>
        </c:ser>
        <c:dLbls>
          <c:showLegendKey val="0"/>
          <c:showVal val="0"/>
          <c:showCatName val="0"/>
          <c:showSerName val="0"/>
          <c:showPercent val="0"/>
          <c:showBubbleSize val="0"/>
        </c:dLbls>
        <c:gapWidth val="55"/>
        <c:axId val="-1618732112"/>
        <c:axId val="-1618731568"/>
      </c:barChart>
      <c:catAx>
        <c:axId val="-1618732112"/>
        <c:scaling>
          <c:orientation val="minMax"/>
        </c:scaling>
        <c:delete val="0"/>
        <c:axPos val="b"/>
        <c:numFmt formatCode="General" sourceLinked="1"/>
        <c:majorTickMark val="none"/>
        <c:minorTickMark val="none"/>
        <c:tickLblPos val="nextTo"/>
        <c:txPr>
          <a:bodyPr/>
          <a:lstStyle/>
          <a:p>
            <a:pPr>
              <a:defRPr lang="en-ZA"/>
            </a:pPr>
            <a:endParaRPr lang="en-US"/>
          </a:p>
        </c:txPr>
        <c:crossAx val="-1618731568"/>
        <c:crosses val="autoZero"/>
        <c:auto val="1"/>
        <c:lblAlgn val="ctr"/>
        <c:lblOffset val="100"/>
        <c:noMultiLvlLbl val="0"/>
      </c:catAx>
      <c:valAx>
        <c:axId val="-1618731568"/>
        <c:scaling>
          <c:orientation val="minMax"/>
        </c:scaling>
        <c:delete val="0"/>
        <c:axPos val="l"/>
        <c:majorGridlines/>
        <c:numFmt formatCode="General" sourceLinked="1"/>
        <c:majorTickMark val="none"/>
        <c:minorTickMark val="none"/>
        <c:tickLblPos val="nextTo"/>
        <c:txPr>
          <a:bodyPr/>
          <a:lstStyle/>
          <a:p>
            <a:pPr>
              <a:defRPr lang="en-ZA"/>
            </a:pPr>
            <a:endParaRPr lang="en-US"/>
          </a:p>
        </c:txPr>
        <c:crossAx val="-1618732112"/>
        <c:crosses val="autoZero"/>
        <c:crossBetween val="between"/>
      </c:valAx>
    </c:plotArea>
    <c:legend>
      <c:legendPos val="r"/>
      <c:layout>
        <c:manualLayout>
          <c:xMode val="edge"/>
          <c:yMode val="edge"/>
          <c:x val="0.23931686353598974"/>
          <c:y val="0.90438269003640959"/>
          <c:w val="0.5042748195936988"/>
          <c:h val="5.7768938350344246E-2"/>
        </c:manualLayout>
      </c:layout>
      <c:overlay val="0"/>
      <c:txPr>
        <a:bodyPr/>
        <a:lstStyle/>
        <a:p>
          <a:pPr>
            <a:defRPr lang="en-ZA"/>
          </a:pPr>
          <a:endParaRPr lang="en-US"/>
        </a:p>
      </c:txPr>
    </c:legend>
    <c:plotVisOnly val="1"/>
    <c:dispBlanksAs val="gap"/>
    <c:showDLblsOverMax val="0"/>
  </c:chart>
  <c:printSettings>
    <c:headerFooter/>
    <c:pageMargins b="0.750000000000006" l="0.70000000000000062" r="0.70000000000000062" t="0.750000000000006" header="0.30000000000000032" footer="0.30000000000000032"/>
    <c:pageSetup orientation="landscape" horizontalDpi="0" verticalDpi="0"/>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1000"/>
            </a:pPr>
            <a:r>
              <a:rPr lang="en-US" sz="1000" b="1" i="0" u="none" strike="noStrike" baseline="0"/>
              <a:t>GRADE 3: Overall Literacy and Numeracy Achievement  </a:t>
            </a:r>
            <a:endParaRPr lang="en-US" sz="1000"/>
          </a:p>
        </c:rich>
      </c:tx>
      <c:overlay val="0"/>
    </c:title>
    <c:autoTitleDeleted val="0"/>
    <c:plotArea>
      <c:layout/>
      <c:barChart>
        <c:barDir val="col"/>
        <c:grouping val="clustered"/>
        <c:varyColors val="0"/>
        <c:ser>
          <c:idx val="2"/>
          <c:order val="2"/>
          <c:tx>
            <c:strRef>
              <c:f>'[15]Educational Perf'!$AM$33</c:f>
              <c:strCache>
                <c:ptCount val="1"/>
                <c:pt idx="0">
                  <c:v>Numeracy Achievement 2001</c:v>
                </c:pt>
              </c:strCache>
            </c:strRef>
          </c:tx>
          <c:invertIfNegative val="0"/>
          <c:cat>
            <c:strRef>
              <c:f>'[15]Educational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'[15]Educational Perf'!$H$88:$H$96</c:f>
              <c:numCache>
                <c:formatCode>General</c:formatCode>
                <c:ptCount val="9"/>
                <c:pt idx="0">
                  <c:v>34</c:v>
                </c:pt>
                <c:pt idx="1">
                  <c:v>29</c:v>
                </c:pt>
                <c:pt idx="2">
                  <c:v>32</c:v>
                </c:pt>
                <c:pt idx="3">
                  <c:v>31</c:v>
                </c:pt>
                <c:pt idx="4">
                  <c:v>24</c:v>
                </c:pt>
                <c:pt idx="5">
                  <c:v>29</c:v>
                </c:pt>
                <c:pt idx="6">
                  <c:v>25</c:v>
                </c:pt>
                <c:pt idx="7">
                  <c:v>26</c:v>
                </c:pt>
                <c:pt idx="8">
                  <c:v>32</c:v>
                </c:pt>
              </c:numCache>
            </c:numRef>
          </c:val>
          <c:extLst>
            <c:ext xmlns:c16="http://schemas.microsoft.com/office/drawing/2014/chart" uri="{C3380CC4-5D6E-409C-BE32-E72D297353CC}">
              <c16:uniqueId val="{00000000-ACF1-42B6-841D-0E20AF3FD145}"/>
            </c:ext>
          </c:extLst>
        </c:ser>
        <c:ser>
          <c:idx val="3"/>
          <c:order val="3"/>
          <c:tx>
            <c:strRef>
              <c:f>'[15]Educational Perf'!$AM$34</c:f>
              <c:strCache>
                <c:ptCount val="1"/>
                <c:pt idx="0">
                  <c:v>Numeracy Achievement 2007</c:v>
                </c:pt>
              </c:strCache>
            </c:strRef>
          </c:tx>
          <c:invertIfNegative val="0"/>
          <c:cat>
            <c:strRef>
              <c:f>'[15]Educational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'[15]Educational Perf'!$I$88:$I$96</c:f>
              <c:numCache>
                <c:formatCode>General</c:formatCode>
                <c:ptCount val="9"/>
                <c:pt idx="0">
                  <c:v>36</c:v>
                </c:pt>
                <c:pt idx="1">
                  <c:v>42</c:v>
                </c:pt>
                <c:pt idx="2">
                  <c:v>42</c:v>
                </c:pt>
                <c:pt idx="3">
                  <c:v>36</c:v>
                </c:pt>
                <c:pt idx="4">
                  <c:v>26</c:v>
                </c:pt>
                <c:pt idx="5">
                  <c:v>31</c:v>
                </c:pt>
                <c:pt idx="6">
                  <c:v>29</c:v>
                </c:pt>
                <c:pt idx="7">
                  <c:v>31</c:v>
                </c:pt>
                <c:pt idx="8">
                  <c:v>49</c:v>
                </c:pt>
              </c:numCache>
            </c:numRef>
          </c:val>
          <c:extLst>
            <c:ext xmlns:c16="http://schemas.microsoft.com/office/drawing/2014/chart" uri="{C3380CC4-5D6E-409C-BE32-E72D297353CC}">
              <c16:uniqueId val="{00000001-ACF1-42B6-841D-0E20AF3FD145}"/>
            </c:ext>
          </c:extLst>
        </c:ser>
        <c:dLbls>
          <c:showLegendKey val="0"/>
          <c:showVal val="0"/>
          <c:showCatName val="0"/>
          <c:showSerName val="0"/>
          <c:showPercent val="0"/>
          <c:showBubbleSize val="0"/>
        </c:dLbls>
        <c:gapWidth val="150"/>
        <c:axId val="-1618718512"/>
        <c:axId val="-1618722864"/>
      </c:barChart>
      <c:lineChart>
        <c:grouping val="standard"/>
        <c:varyColors val="0"/>
        <c:ser>
          <c:idx val="0"/>
          <c:order val="0"/>
          <c:tx>
            <c:strRef>
              <c:f>'[15]Educational Perf'!$AM$31</c:f>
              <c:strCache>
                <c:ptCount val="1"/>
                <c:pt idx="0">
                  <c:v>Litercay Achievement 2001</c:v>
                </c:pt>
              </c:strCache>
            </c:strRef>
          </c:tx>
          <c:marker>
            <c:symbol val="none"/>
          </c:marker>
          <c:cat>
            <c:strRef>
              <c:f>'[15]Educational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'[15]Educational Perf'!$E$88:$E$96</c:f>
              <c:numCache>
                <c:formatCode>General</c:formatCode>
                <c:ptCount val="9"/>
                <c:pt idx="0">
                  <c:v>24</c:v>
                </c:pt>
                <c:pt idx="1">
                  <c:v>27</c:v>
                </c:pt>
                <c:pt idx="2">
                  <c:v>33</c:v>
                </c:pt>
                <c:pt idx="3">
                  <c:v>35</c:v>
                </c:pt>
                <c:pt idx="4">
                  <c:v>27</c:v>
                </c:pt>
                <c:pt idx="5">
                  <c:v>28</c:v>
                </c:pt>
                <c:pt idx="6">
                  <c:v>29</c:v>
                </c:pt>
                <c:pt idx="7">
                  <c:v>23</c:v>
                </c:pt>
                <c:pt idx="8">
                  <c:v>33</c:v>
                </c:pt>
              </c:numCache>
            </c:numRef>
          </c:val>
          <c:smooth val="0"/>
          <c:extLst>
            <c:ext xmlns:c16="http://schemas.microsoft.com/office/drawing/2014/chart" uri="{C3380CC4-5D6E-409C-BE32-E72D297353CC}">
              <c16:uniqueId val="{00000002-ACF1-42B6-841D-0E20AF3FD145}"/>
            </c:ext>
          </c:extLst>
        </c:ser>
        <c:ser>
          <c:idx val="1"/>
          <c:order val="1"/>
          <c:tx>
            <c:strRef>
              <c:f>'[15]Educational Perf'!$AM$32</c:f>
              <c:strCache>
                <c:ptCount val="1"/>
                <c:pt idx="0">
                  <c:v>Litercay Achievement 2007</c:v>
                </c:pt>
              </c:strCache>
            </c:strRef>
          </c:tx>
          <c:marker>
            <c:symbol val="none"/>
          </c:marker>
          <c:cat>
            <c:strRef>
              <c:f>'[15]Educational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'[15]Educational Perf'!$F$88:$F$96</c:f>
              <c:numCache>
                <c:formatCode>General</c:formatCode>
                <c:ptCount val="9"/>
                <c:pt idx="0">
                  <c:v>35</c:v>
                </c:pt>
                <c:pt idx="1">
                  <c:v>43</c:v>
                </c:pt>
                <c:pt idx="2">
                  <c:v>38</c:v>
                </c:pt>
                <c:pt idx="3">
                  <c:v>38</c:v>
                </c:pt>
                <c:pt idx="4">
                  <c:v>29</c:v>
                </c:pt>
                <c:pt idx="5">
                  <c:v>32</c:v>
                </c:pt>
                <c:pt idx="6">
                  <c:v>35</c:v>
                </c:pt>
                <c:pt idx="7">
                  <c:v>34</c:v>
                </c:pt>
                <c:pt idx="8">
                  <c:v>48</c:v>
                </c:pt>
              </c:numCache>
            </c:numRef>
          </c:val>
          <c:smooth val="0"/>
          <c:extLst>
            <c:ext xmlns:c16="http://schemas.microsoft.com/office/drawing/2014/chart" uri="{C3380CC4-5D6E-409C-BE32-E72D297353CC}">
              <c16:uniqueId val="{00000003-ACF1-42B6-841D-0E20AF3FD145}"/>
            </c:ext>
          </c:extLst>
        </c:ser>
        <c:dLbls>
          <c:showLegendKey val="0"/>
          <c:showVal val="0"/>
          <c:showCatName val="0"/>
          <c:showSerName val="0"/>
          <c:showPercent val="0"/>
          <c:showBubbleSize val="0"/>
        </c:dLbls>
        <c:marker val="1"/>
        <c:smooth val="0"/>
        <c:axId val="-1618717968"/>
        <c:axId val="-1618721232"/>
      </c:lineChart>
      <c:catAx>
        <c:axId val="-1618718512"/>
        <c:scaling>
          <c:orientation val="minMax"/>
        </c:scaling>
        <c:delete val="0"/>
        <c:axPos val="b"/>
        <c:numFmt formatCode="General" sourceLinked="1"/>
        <c:majorTickMark val="out"/>
        <c:minorTickMark val="none"/>
        <c:tickLblPos val="nextTo"/>
        <c:txPr>
          <a:bodyPr/>
          <a:lstStyle/>
          <a:p>
            <a:pPr>
              <a:defRPr lang="en-ZA"/>
            </a:pPr>
            <a:endParaRPr lang="en-US"/>
          </a:p>
        </c:txPr>
        <c:crossAx val="-1618722864"/>
        <c:crosses val="autoZero"/>
        <c:auto val="1"/>
        <c:lblAlgn val="ctr"/>
        <c:lblOffset val="100"/>
        <c:noMultiLvlLbl val="0"/>
      </c:catAx>
      <c:valAx>
        <c:axId val="-1618722864"/>
        <c:scaling>
          <c:orientation val="minMax"/>
          <c:max val="50"/>
          <c:min val="15"/>
        </c:scaling>
        <c:delete val="0"/>
        <c:axPos val="l"/>
        <c:majorGridlines/>
        <c:title>
          <c:tx>
            <c:rich>
              <a:bodyPr rot="-5400000" vert="horz"/>
              <a:lstStyle/>
              <a:p>
                <a:pPr>
                  <a:defRPr lang="en-ZA" sz="1000">
                    <a:latin typeface="Arial" pitchFamily="34" charset="0"/>
                    <a:cs typeface="Arial" pitchFamily="34" charset="0"/>
                  </a:defRPr>
                </a:pPr>
                <a:r>
                  <a:rPr lang="en-US" sz="1000">
                    <a:latin typeface="Arial" pitchFamily="34" charset="0"/>
                    <a:cs typeface="Arial" pitchFamily="34" charset="0"/>
                  </a:rPr>
                  <a:t>Overall Achievement (%)</a:t>
                </a:r>
              </a:p>
            </c:rich>
          </c:tx>
          <c:overlay val="0"/>
        </c:title>
        <c:numFmt formatCode="#\ ##0" sourceLinked="0"/>
        <c:majorTickMark val="out"/>
        <c:minorTickMark val="none"/>
        <c:tickLblPos val="nextTo"/>
        <c:txPr>
          <a:bodyPr/>
          <a:lstStyle/>
          <a:p>
            <a:pPr>
              <a:defRPr lang="en-ZA"/>
            </a:pPr>
            <a:endParaRPr lang="en-US"/>
          </a:p>
        </c:txPr>
        <c:crossAx val="-1618718512"/>
        <c:crosses val="autoZero"/>
        <c:crossBetween val="between"/>
        <c:majorUnit val="5"/>
      </c:valAx>
      <c:catAx>
        <c:axId val="-1618717968"/>
        <c:scaling>
          <c:orientation val="minMax"/>
        </c:scaling>
        <c:delete val="1"/>
        <c:axPos val="b"/>
        <c:numFmt formatCode="General" sourceLinked="1"/>
        <c:majorTickMark val="out"/>
        <c:minorTickMark val="none"/>
        <c:tickLblPos val="none"/>
        <c:crossAx val="-1618721232"/>
        <c:crosses val="autoZero"/>
        <c:auto val="1"/>
        <c:lblAlgn val="ctr"/>
        <c:lblOffset val="100"/>
        <c:noMultiLvlLbl val="0"/>
      </c:catAx>
      <c:valAx>
        <c:axId val="-1618721232"/>
        <c:scaling>
          <c:orientation val="minMax"/>
        </c:scaling>
        <c:delete val="0"/>
        <c:axPos val="r"/>
        <c:numFmt formatCode="General" sourceLinked="1"/>
        <c:majorTickMark val="out"/>
        <c:minorTickMark val="none"/>
        <c:tickLblPos val="nextTo"/>
        <c:txPr>
          <a:bodyPr/>
          <a:lstStyle/>
          <a:p>
            <a:pPr>
              <a:defRPr lang="en-ZA"/>
            </a:pPr>
            <a:endParaRPr lang="en-US"/>
          </a:p>
        </c:txPr>
        <c:crossAx val="-1618717968"/>
        <c:crosses val="max"/>
        <c:crossBetween val="between"/>
      </c:valAx>
    </c:plotArea>
    <c:legend>
      <c:legendPos val="r"/>
      <c:layout>
        <c:manualLayout>
          <c:xMode val="edge"/>
          <c:yMode val="edge"/>
          <c:x val="0.22988860561279542"/>
          <c:y val="0.83011641698399874"/>
          <c:w val="0.60920480487390782"/>
          <c:h val="0.11196919112807405"/>
        </c:manualLayout>
      </c:layout>
      <c:overlay val="0"/>
      <c:txPr>
        <a:bodyPr/>
        <a:lstStyle/>
        <a:p>
          <a:pPr>
            <a:defRPr lang="en-ZA"/>
          </a:pPr>
          <a:endParaRPr lang="en-US"/>
        </a:p>
      </c:txPr>
    </c:legend>
    <c:plotVisOnly val="1"/>
    <c:dispBlanksAs val="gap"/>
    <c:showDLblsOverMax val="0"/>
  </c:chart>
  <c:printSettings>
    <c:headerFooter/>
    <c:pageMargins b="0.75000000000000622" l="0.70000000000000062" r="0.70000000000000062" t="0.75000000000000622" header="0.30000000000000032" footer="0.30000000000000032"/>
    <c:pageSetup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b="0"/>
            </a:pPr>
            <a:r>
              <a:rPr lang="en-US" sz="1200" b="0" baseline="0"/>
              <a:t>GRADE 6 LANGUAGE AND MATHS ACHIEVEMENT</a:t>
            </a:r>
          </a:p>
        </c:rich>
      </c:tx>
      <c:overlay val="0"/>
    </c:title>
    <c:autoTitleDeleted val="0"/>
    <c:plotArea>
      <c:layout/>
      <c:barChart>
        <c:barDir val="col"/>
        <c:grouping val="clustered"/>
        <c:varyColors val="0"/>
        <c:ser>
          <c:idx val="0"/>
          <c:order val="0"/>
          <c:tx>
            <c:strRef>
              <c:f>'[15]Educational Perf'!$E$8</c:f>
              <c:strCache>
                <c:ptCount val="1"/>
                <c:pt idx="0">
                  <c:v>Language Achievement</c:v>
                </c:pt>
              </c:strCache>
            </c:strRef>
          </c:tx>
          <c:spPr>
            <a:solidFill>
              <a:schemeClr val="accent6"/>
            </a:solidFill>
          </c:spPr>
          <c:invertIfNegative val="0"/>
          <c:val>
            <c:numRef>
              <c:f>('[22]Educational Perf'!$E$8 '[22]Educational Perf'!$E$10:$E$19)</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('[22]Educational Perf'!$D$8 '[22]Educational Perf'!$D$10:$D$19)</c15:sqref>
                        </c15:formulaRef>
                      </c:ext>
                    </c:extLst>
                    <c:strCache>
                      <c:ptCount val="1"/>
                      <c:pt idx="0">
                        <c:v>#REF!</c:v>
                      </c:pt>
                    </c:strCache>
                  </c:strRef>
                </c15:cat>
              </c15:filteredCategoryTitle>
            </c:ext>
            <c:ext xmlns:c16="http://schemas.microsoft.com/office/drawing/2014/chart" uri="{C3380CC4-5D6E-409C-BE32-E72D297353CC}">
              <c16:uniqueId val="{00000000-0361-4AF9-88C4-721FEA34C628}"/>
            </c:ext>
          </c:extLst>
        </c:ser>
        <c:ser>
          <c:idx val="1"/>
          <c:order val="1"/>
          <c:tx>
            <c:strRef>
              <c:f>'[15]Educational Perf'!$F$8</c:f>
              <c:strCache>
                <c:ptCount val="1"/>
                <c:pt idx="0">
                  <c:v>Mathematics Achievement</c:v>
                </c:pt>
              </c:strCache>
            </c:strRef>
          </c:tx>
          <c:spPr>
            <a:solidFill>
              <a:schemeClr val="accent6">
                <a:lumMod val="50000"/>
              </a:schemeClr>
            </a:solidFill>
          </c:spPr>
          <c:invertIfNegative val="0"/>
          <c:val>
            <c:numRef>
              <c:f>('[22]Educational Perf'!$F$8 '[22]Educational Perf'!$F$10:$F$19)</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('[22]Educational Perf'!$D$8 '[22]Educational Perf'!$D$10:$D$19)</c15:sqref>
                        </c15:formulaRef>
                      </c:ext>
                    </c:extLst>
                    <c:strCache>
                      <c:ptCount val="1"/>
                      <c:pt idx="0">
                        <c:v>#REF!</c:v>
                      </c:pt>
                    </c:strCache>
                  </c:strRef>
                </c15:cat>
              </c15:filteredCategoryTitle>
            </c:ext>
            <c:ext xmlns:c16="http://schemas.microsoft.com/office/drawing/2014/chart" uri="{C3380CC4-5D6E-409C-BE32-E72D297353CC}">
              <c16:uniqueId val="{00000001-0361-4AF9-88C4-721FEA34C628}"/>
            </c:ext>
          </c:extLst>
        </c:ser>
        <c:dLbls>
          <c:showLegendKey val="0"/>
          <c:showVal val="0"/>
          <c:showCatName val="0"/>
          <c:showSerName val="0"/>
          <c:showPercent val="0"/>
          <c:showBubbleSize val="0"/>
        </c:dLbls>
        <c:gapWidth val="150"/>
        <c:axId val="-1618715248"/>
        <c:axId val="-1618711984"/>
      </c:barChart>
      <c:catAx>
        <c:axId val="-1618715248"/>
        <c:scaling>
          <c:orientation val="minMax"/>
        </c:scaling>
        <c:delete val="0"/>
        <c:axPos val="b"/>
        <c:numFmt formatCode="General" sourceLinked="1"/>
        <c:majorTickMark val="out"/>
        <c:minorTickMark val="none"/>
        <c:tickLblPos val="nextTo"/>
        <c:txPr>
          <a:bodyPr rot="-5400000" vert="horz"/>
          <a:lstStyle/>
          <a:p>
            <a:pPr>
              <a:defRPr lang="en-ZA"/>
            </a:pPr>
            <a:endParaRPr lang="en-US"/>
          </a:p>
        </c:txPr>
        <c:crossAx val="-1618711984"/>
        <c:crosses val="autoZero"/>
        <c:auto val="1"/>
        <c:lblAlgn val="ctr"/>
        <c:lblOffset val="100"/>
        <c:noMultiLvlLbl val="0"/>
      </c:catAx>
      <c:valAx>
        <c:axId val="-1618711984"/>
        <c:scaling>
          <c:orientation val="minMax"/>
        </c:scaling>
        <c:delete val="0"/>
        <c:axPos val="l"/>
        <c:title>
          <c:tx>
            <c:rich>
              <a:bodyPr rot="-5400000" vert="horz"/>
              <a:lstStyle/>
              <a:p>
                <a:pPr>
                  <a:defRPr lang="en-ZA"/>
                </a:pPr>
                <a:r>
                  <a:rPr lang="en-US"/>
                  <a:t>%</a:t>
                </a:r>
              </a:p>
            </c:rich>
          </c:tx>
          <c:overlay val="0"/>
        </c:title>
        <c:numFmt formatCode="General" sourceLinked="1"/>
        <c:majorTickMark val="out"/>
        <c:minorTickMark val="none"/>
        <c:tickLblPos val="nextTo"/>
        <c:txPr>
          <a:bodyPr/>
          <a:lstStyle/>
          <a:p>
            <a:pPr>
              <a:defRPr lang="en-ZA"/>
            </a:pPr>
            <a:endParaRPr lang="en-US"/>
          </a:p>
        </c:txPr>
        <c:crossAx val="-1618715248"/>
        <c:crosses val="autoZero"/>
        <c:crossBetween val="between"/>
      </c:valAx>
    </c:plotArea>
    <c:legend>
      <c:legendPos val="r"/>
      <c:layout>
        <c:manualLayout>
          <c:xMode val="edge"/>
          <c:yMode val="edge"/>
          <c:x val="5.4369086683916761E-2"/>
          <c:y val="0.90430019632848091"/>
          <c:w val="0.8737888931343758"/>
          <c:h val="6.6574247582464247E-2"/>
        </c:manualLayout>
      </c:layout>
      <c:overlay val="0"/>
      <c:txPr>
        <a:bodyPr/>
        <a:lstStyle/>
        <a:p>
          <a:pPr>
            <a:defRPr lang="en-ZA" sz="800">
              <a:latin typeface="Arial" pitchFamily="34" charset="0"/>
              <a:cs typeface="Arial" pitchFamily="34" charset="0"/>
            </a:defRPr>
          </a:pPr>
          <a:endParaRPr lang="en-US"/>
        </a:p>
      </c:txPr>
    </c:legend>
    <c:plotVisOnly val="1"/>
    <c:dispBlanksAs val="gap"/>
    <c:showDLblsOverMax val="0"/>
  </c:chart>
  <c:printSettings>
    <c:headerFooter/>
    <c:pageMargins b="0.75000000000000577" l="0.70000000000000062" r="0.70000000000000062" t="0.75000000000000577"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1200" b="0"/>
            </a:pPr>
            <a:r>
              <a:rPr lang="en-US" sz="1200" b="0"/>
              <a:t>GRADE</a:t>
            </a:r>
            <a:r>
              <a:rPr lang="en-US" sz="1200" b="0" baseline="0"/>
              <a:t> 3 LITERACY AND NUMERACY ACHIEVEMENT</a:t>
            </a:r>
            <a:endParaRPr lang="en-US" sz="1200" b="0"/>
          </a:p>
        </c:rich>
      </c:tx>
      <c:layout>
        <c:manualLayout>
          <c:xMode val="edge"/>
          <c:yMode val="edge"/>
          <c:x val="9.7285743473682568E-4"/>
          <c:y val="2.7681833394986699E-2"/>
        </c:manualLayout>
      </c:layout>
      <c:overlay val="0"/>
    </c:title>
    <c:autoTitleDeleted val="0"/>
    <c:plotArea>
      <c:layout/>
      <c:barChart>
        <c:barDir val="col"/>
        <c:grouping val="clustered"/>
        <c:varyColors val="0"/>
        <c:ser>
          <c:idx val="2"/>
          <c:order val="2"/>
          <c:tx>
            <c:strRef>
              <c:f>'[15]Educational Perf'!$J$8:$J$9</c:f>
              <c:strCache>
                <c:ptCount val="1"/>
                <c:pt idx="0">
                  <c:v>Numeracy Achievement 2001</c:v>
                </c:pt>
              </c:strCache>
            </c:strRef>
          </c:tx>
          <c:invertIfNegative val="0"/>
          <c:cat>
            <c:strRef>
              <c:f>'[15]Educational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'[15]Educational Perf'!$J$10:$J$19</c:f>
              <c:numCache>
                <c:formatCode>General</c:formatCode>
                <c:ptCount val="10"/>
                <c:pt idx="0">
                  <c:v>34</c:v>
                </c:pt>
                <c:pt idx="1">
                  <c:v>29</c:v>
                </c:pt>
                <c:pt idx="2">
                  <c:v>32</c:v>
                </c:pt>
                <c:pt idx="3">
                  <c:v>31</c:v>
                </c:pt>
                <c:pt idx="4">
                  <c:v>24</c:v>
                </c:pt>
                <c:pt idx="5">
                  <c:v>29</c:v>
                </c:pt>
                <c:pt idx="6">
                  <c:v>25</c:v>
                </c:pt>
                <c:pt idx="7">
                  <c:v>26</c:v>
                </c:pt>
                <c:pt idx="8">
                  <c:v>32</c:v>
                </c:pt>
                <c:pt idx="9">
                  <c:v>29.111111111111111</c:v>
                </c:pt>
              </c:numCache>
            </c:numRef>
          </c:val>
          <c:extLst>
            <c:ext xmlns:c16="http://schemas.microsoft.com/office/drawing/2014/chart" uri="{C3380CC4-5D6E-409C-BE32-E72D297353CC}">
              <c16:uniqueId val="{00000000-BEDE-4E09-AE19-C6BA57631F7F}"/>
            </c:ext>
          </c:extLst>
        </c:ser>
        <c:ser>
          <c:idx val="3"/>
          <c:order val="3"/>
          <c:tx>
            <c:strRef>
              <c:f>'[15]Educational Perf'!$K$8:$K$9</c:f>
              <c:strCache>
                <c:ptCount val="1"/>
                <c:pt idx="0">
                  <c:v>Numeracy Achievement 2007</c:v>
                </c:pt>
              </c:strCache>
            </c:strRef>
          </c:tx>
          <c:invertIfNegative val="0"/>
          <c:cat>
            <c:strRef>
              <c:f>'[15]Educational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'[15]Educational Perf'!$K$10:$K$19</c:f>
              <c:numCache>
                <c:formatCode>General</c:formatCode>
                <c:ptCount val="10"/>
                <c:pt idx="0">
                  <c:v>36</c:v>
                </c:pt>
                <c:pt idx="1">
                  <c:v>42</c:v>
                </c:pt>
                <c:pt idx="2">
                  <c:v>42</c:v>
                </c:pt>
                <c:pt idx="3">
                  <c:v>36</c:v>
                </c:pt>
                <c:pt idx="4">
                  <c:v>26</c:v>
                </c:pt>
                <c:pt idx="5">
                  <c:v>31</c:v>
                </c:pt>
                <c:pt idx="6">
                  <c:v>29</c:v>
                </c:pt>
                <c:pt idx="7">
                  <c:v>31</c:v>
                </c:pt>
                <c:pt idx="8">
                  <c:v>49</c:v>
                </c:pt>
                <c:pt idx="9">
                  <c:v>35.777777777777779</c:v>
                </c:pt>
              </c:numCache>
            </c:numRef>
          </c:val>
          <c:extLst>
            <c:ext xmlns:c16="http://schemas.microsoft.com/office/drawing/2014/chart" uri="{C3380CC4-5D6E-409C-BE32-E72D297353CC}">
              <c16:uniqueId val="{00000001-BEDE-4E09-AE19-C6BA57631F7F}"/>
            </c:ext>
          </c:extLst>
        </c:ser>
        <c:ser>
          <c:idx val="4"/>
          <c:order val="4"/>
          <c:tx>
            <c:strRef>
              <c:f>'[15]Educational Perf'!$D$10:$D$11</c:f>
              <c:strCache>
                <c:ptCount val="1"/>
                <c:pt idx="0">
                  <c:v>Eastern Cape Free State</c:v>
                </c:pt>
              </c:strCache>
            </c:strRef>
          </c:tx>
          <c:invertIfNegative val="0"/>
          <c:cat>
            <c:strRef>
              <c:f>'[15]Educational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'[15]Educational Perf'!$D$12:$D$19</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BEDE-4E09-AE19-C6BA57631F7F}"/>
            </c:ext>
          </c:extLst>
        </c:ser>
        <c:dLbls>
          <c:showLegendKey val="0"/>
          <c:showVal val="0"/>
          <c:showCatName val="0"/>
          <c:showSerName val="0"/>
          <c:showPercent val="0"/>
          <c:showBubbleSize val="0"/>
        </c:dLbls>
        <c:gapWidth val="150"/>
        <c:axId val="-1618711440"/>
        <c:axId val="-1618737008"/>
      </c:barChart>
      <c:lineChart>
        <c:grouping val="standard"/>
        <c:varyColors val="0"/>
        <c:ser>
          <c:idx val="0"/>
          <c:order val="0"/>
          <c:tx>
            <c:strRef>
              <c:f>'[15]Educational Perf'!$H$8:$H$9</c:f>
              <c:strCache>
                <c:ptCount val="1"/>
                <c:pt idx="0">
                  <c:v>Literacy Achievement 2001</c:v>
                </c:pt>
              </c:strCache>
            </c:strRef>
          </c:tx>
          <c:marker>
            <c:symbol val="none"/>
          </c:marker>
          <c:cat>
            <c:strRef>
              <c:f>'[15]Educational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'[15]Educational Perf'!$H$10:$H$19</c:f>
              <c:numCache>
                <c:formatCode>General</c:formatCode>
                <c:ptCount val="10"/>
                <c:pt idx="0">
                  <c:v>24</c:v>
                </c:pt>
                <c:pt idx="1">
                  <c:v>27</c:v>
                </c:pt>
                <c:pt idx="2">
                  <c:v>33</c:v>
                </c:pt>
                <c:pt idx="3">
                  <c:v>35</c:v>
                </c:pt>
                <c:pt idx="4">
                  <c:v>27</c:v>
                </c:pt>
                <c:pt idx="5">
                  <c:v>28</c:v>
                </c:pt>
                <c:pt idx="6">
                  <c:v>29</c:v>
                </c:pt>
                <c:pt idx="7">
                  <c:v>23</c:v>
                </c:pt>
                <c:pt idx="8">
                  <c:v>33</c:v>
                </c:pt>
                <c:pt idx="9">
                  <c:v>28.777777777777779</c:v>
                </c:pt>
              </c:numCache>
            </c:numRef>
          </c:val>
          <c:smooth val="0"/>
          <c:extLst>
            <c:ext xmlns:c16="http://schemas.microsoft.com/office/drawing/2014/chart" uri="{C3380CC4-5D6E-409C-BE32-E72D297353CC}">
              <c16:uniqueId val="{00000003-BEDE-4E09-AE19-C6BA57631F7F}"/>
            </c:ext>
          </c:extLst>
        </c:ser>
        <c:ser>
          <c:idx val="1"/>
          <c:order val="1"/>
          <c:tx>
            <c:strRef>
              <c:f>'[15]Educational Perf'!$I$8:$I$9</c:f>
              <c:strCache>
                <c:ptCount val="1"/>
                <c:pt idx="0">
                  <c:v>Literacy Achievement 2007</c:v>
                </c:pt>
              </c:strCache>
            </c:strRef>
          </c:tx>
          <c:marker>
            <c:symbol val="none"/>
          </c:marker>
          <c:cat>
            <c:strRef>
              <c:f>'[15]Educational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'[15]Educational Perf'!$I$10:$I$19</c:f>
              <c:numCache>
                <c:formatCode>General</c:formatCode>
                <c:ptCount val="10"/>
                <c:pt idx="0">
                  <c:v>35</c:v>
                </c:pt>
                <c:pt idx="1">
                  <c:v>43</c:v>
                </c:pt>
                <c:pt idx="2">
                  <c:v>38</c:v>
                </c:pt>
                <c:pt idx="3">
                  <c:v>38</c:v>
                </c:pt>
                <c:pt idx="4">
                  <c:v>29</c:v>
                </c:pt>
                <c:pt idx="5">
                  <c:v>32</c:v>
                </c:pt>
                <c:pt idx="6">
                  <c:v>35</c:v>
                </c:pt>
                <c:pt idx="7">
                  <c:v>34</c:v>
                </c:pt>
                <c:pt idx="8">
                  <c:v>48</c:v>
                </c:pt>
                <c:pt idx="9">
                  <c:v>36.888888888888886</c:v>
                </c:pt>
              </c:numCache>
            </c:numRef>
          </c:val>
          <c:smooth val="0"/>
          <c:extLst>
            <c:ext xmlns:c16="http://schemas.microsoft.com/office/drawing/2014/chart" uri="{C3380CC4-5D6E-409C-BE32-E72D297353CC}">
              <c16:uniqueId val="{00000004-BEDE-4E09-AE19-C6BA57631F7F}"/>
            </c:ext>
          </c:extLst>
        </c:ser>
        <c:dLbls>
          <c:showLegendKey val="0"/>
          <c:showVal val="0"/>
          <c:showCatName val="0"/>
          <c:showSerName val="0"/>
          <c:showPercent val="0"/>
          <c:showBubbleSize val="0"/>
        </c:dLbls>
        <c:marker val="1"/>
        <c:smooth val="0"/>
        <c:axId val="-1618711440"/>
        <c:axId val="-1618737008"/>
      </c:lineChart>
      <c:catAx>
        <c:axId val="-1618711440"/>
        <c:scaling>
          <c:orientation val="minMax"/>
        </c:scaling>
        <c:delete val="0"/>
        <c:axPos val="b"/>
        <c:numFmt formatCode="General" sourceLinked="1"/>
        <c:majorTickMark val="out"/>
        <c:minorTickMark val="none"/>
        <c:tickLblPos val="nextTo"/>
        <c:txPr>
          <a:bodyPr rot="-5400000" vert="horz"/>
          <a:lstStyle/>
          <a:p>
            <a:pPr>
              <a:defRPr lang="en-ZA" sz="800">
                <a:latin typeface="Arial" pitchFamily="34" charset="0"/>
                <a:cs typeface="Arial" pitchFamily="34" charset="0"/>
              </a:defRPr>
            </a:pPr>
            <a:endParaRPr lang="en-US"/>
          </a:p>
        </c:txPr>
        <c:crossAx val="-1618737008"/>
        <c:crosses val="autoZero"/>
        <c:auto val="1"/>
        <c:lblAlgn val="ctr"/>
        <c:lblOffset val="100"/>
        <c:noMultiLvlLbl val="0"/>
      </c:catAx>
      <c:valAx>
        <c:axId val="-1618737008"/>
        <c:scaling>
          <c:orientation val="minMax"/>
        </c:scaling>
        <c:delete val="0"/>
        <c:axPos val="l"/>
        <c:title>
          <c:tx>
            <c:rich>
              <a:bodyPr rot="-5400000" vert="horz"/>
              <a:lstStyle/>
              <a:p>
                <a:pPr>
                  <a:defRPr lang="en-ZA"/>
                </a:pPr>
                <a:r>
                  <a:rPr lang="en-US"/>
                  <a:t>%</a:t>
                </a:r>
              </a:p>
            </c:rich>
          </c:tx>
          <c:overlay val="0"/>
        </c:title>
        <c:numFmt formatCode="General" sourceLinked="1"/>
        <c:majorTickMark val="out"/>
        <c:minorTickMark val="none"/>
        <c:tickLblPos val="nextTo"/>
        <c:txPr>
          <a:bodyPr/>
          <a:lstStyle/>
          <a:p>
            <a:pPr>
              <a:defRPr lang="en-ZA"/>
            </a:pPr>
            <a:endParaRPr lang="en-US"/>
          </a:p>
        </c:txPr>
        <c:crossAx val="-1618711440"/>
        <c:crosses val="autoZero"/>
        <c:crossBetween val="between"/>
      </c:valAx>
    </c:plotArea>
    <c:legend>
      <c:legendPos val="r"/>
      <c:legendEntry>
        <c:idx val="0"/>
        <c:delete val="1"/>
      </c:legendEntry>
      <c:layout>
        <c:manualLayout>
          <c:xMode val="edge"/>
          <c:yMode val="edge"/>
          <c:x val="0.63023381053458682"/>
          <c:y val="0.38121611236422986"/>
          <c:w val="0.34418673047644732"/>
          <c:h val="0.32182374703212158"/>
        </c:manualLayout>
      </c:layout>
      <c:overlay val="0"/>
      <c:txPr>
        <a:bodyPr/>
        <a:lstStyle/>
        <a:p>
          <a:pPr>
            <a:defRPr lang="en-ZA" sz="800"/>
          </a:pPr>
          <a:endParaRPr lang="en-US"/>
        </a:p>
      </c:txPr>
    </c:legend>
    <c:plotVisOnly val="1"/>
    <c:dispBlanksAs val="gap"/>
    <c:showDLblsOverMax val="0"/>
  </c:chart>
  <c:printSettings>
    <c:headerFooter/>
    <c:pageMargins b="0.75000000000000577" l="0.70000000000000062" r="0.70000000000000062" t="0.75000000000000577"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5" Type="http://schemas.openxmlformats.org/officeDocument/2006/relationships/chart" Target="../charts/chart33.xml"/><Relationship Id="rId4"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2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50.xml"/><Relationship Id="rId1" Type="http://schemas.openxmlformats.org/officeDocument/2006/relationships/chart" Target="../charts/chart4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3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52.xml"/><Relationship Id="rId1" Type="http://schemas.openxmlformats.org/officeDocument/2006/relationships/chart" Target="../charts/chart51.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5" Type="http://schemas.openxmlformats.org/officeDocument/2006/relationships/chart" Target="../charts/chart57.xml"/><Relationship Id="rId4" Type="http://schemas.openxmlformats.org/officeDocument/2006/relationships/chart" Target="../charts/chart56.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5" Type="http://schemas.openxmlformats.org/officeDocument/2006/relationships/chart" Target="../charts/chart70.xml"/><Relationship Id="rId4" Type="http://schemas.openxmlformats.org/officeDocument/2006/relationships/chart" Target="../charts/chart6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4" Type="http://schemas.openxmlformats.org/officeDocument/2006/relationships/chart" Target="../charts/chart8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5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5" Type="http://schemas.openxmlformats.org/officeDocument/2006/relationships/chart" Target="../charts/chart99.xml"/><Relationship Id="rId4" Type="http://schemas.openxmlformats.org/officeDocument/2006/relationships/chart" Target="../charts/chart98.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127.xml"/><Relationship Id="rId2" Type="http://schemas.openxmlformats.org/officeDocument/2006/relationships/chart" Target="../charts/chart126.xml"/><Relationship Id="rId1" Type="http://schemas.openxmlformats.org/officeDocument/2006/relationships/chart" Target="../charts/chart125.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130.xml"/><Relationship Id="rId2" Type="http://schemas.openxmlformats.org/officeDocument/2006/relationships/chart" Target="../charts/chart129.xml"/><Relationship Id="rId1" Type="http://schemas.openxmlformats.org/officeDocument/2006/relationships/chart" Target="../charts/chart128.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132.xml"/><Relationship Id="rId1" Type="http://schemas.openxmlformats.org/officeDocument/2006/relationships/chart" Target="../charts/chart131.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80.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 Id="rId4" Type="http://schemas.openxmlformats.org/officeDocument/2006/relationships/chart" Target="../charts/chart138.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140.xml"/><Relationship Id="rId1" Type="http://schemas.openxmlformats.org/officeDocument/2006/relationships/chart" Target="../charts/chart139.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142.xml"/><Relationship Id="rId1" Type="http://schemas.openxmlformats.org/officeDocument/2006/relationships/chart" Target="../charts/chart141.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145.xml"/><Relationship Id="rId1" Type="http://schemas.openxmlformats.org/officeDocument/2006/relationships/chart" Target="../charts/chart144.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147.xml"/><Relationship Id="rId1" Type="http://schemas.openxmlformats.org/officeDocument/2006/relationships/chart" Target="../charts/chart146.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148.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149.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150.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15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152.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154.xml"/><Relationship Id="rId1" Type="http://schemas.openxmlformats.org/officeDocument/2006/relationships/chart" Target="../charts/chart153.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55.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157.xml"/><Relationship Id="rId1" Type="http://schemas.openxmlformats.org/officeDocument/2006/relationships/chart" Target="../charts/chart156.xml"/></Relationships>
</file>

<file path=xl/drawings/_rels/drawing95.xml.rels><?xml version="1.0" encoding="UTF-8" standalone="yes"?>
<Relationships xmlns="http://schemas.openxmlformats.org/package/2006/relationships"><Relationship Id="rId2" Type="http://schemas.openxmlformats.org/officeDocument/2006/relationships/chart" Target="../charts/chart159.xml"/><Relationship Id="rId1" Type="http://schemas.openxmlformats.org/officeDocument/2006/relationships/chart" Target="../charts/chart158.xml"/></Relationships>
</file>

<file path=xl/drawings/drawing1.xml><?xml version="1.0" encoding="utf-8"?>
<xdr:wsDr xmlns:xdr="http://schemas.openxmlformats.org/drawingml/2006/spreadsheetDrawing" xmlns:a="http://schemas.openxmlformats.org/drawingml/2006/main">
  <xdr:twoCellAnchor>
    <xdr:from>
      <xdr:col>1</xdr:col>
      <xdr:colOff>99060</xdr:colOff>
      <xdr:row>49</xdr:row>
      <xdr:rowOff>0</xdr:rowOff>
    </xdr:from>
    <xdr:to>
      <xdr:col>11</xdr:col>
      <xdr:colOff>175260</xdr:colOff>
      <xdr:row>49</xdr:row>
      <xdr:rowOff>0</xdr:rowOff>
    </xdr:to>
    <xdr:graphicFrame macro="">
      <xdr:nvGraphicFramePr>
        <xdr:cNvPr id="2" name="Chart 1">
          <a:extLst>
            <a:ext uri="{FF2B5EF4-FFF2-40B4-BE49-F238E27FC236}">
              <a16:creationId xmlns:a16="http://schemas.microsoft.com/office/drawing/2014/main" id="{712F7B84-1FBE-4335-9539-52C9167D5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106680</xdr:colOff>
      <xdr:row>49</xdr:row>
      <xdr:rowOff>0</xdr:rowOff>
    </xdr:from>
    <xdr:to>
      <xdr:col>16</xdr:col>
      <xdr:colOff>449580</xdr:colOff>
      <xdr:row>49</xdr:row>
      <xdr:rowOff>0</xdr:rowOff>
    </xdr:to>
    <xdr:graphicFrame macro="">
      <xdr:nvGraphicFramePr>
        <xdr:cNvPr id="3" name="Chart 2">
          <a:extLst>
            <a:ext uri="{FF2B5EF4-FFF2-40B4-BE49-F238E27FC236}">
              <a16:creationId xmlns:a16="http://schemas.microsoft.com/office/drawing/2014/main" id="{6FB61C92-8D18-486D-B878-ABE73F9D41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23</xdr:row>
      <xdr:rowOff>38100</xdr:rowOff>
    </xdr:from>
    <xdr:to>
      <xdr:col>22</xdr:col>
      <xdr:colOff>400050</xdr:colOff>
      <xdr:row>44</xdr:row>
      <xdr:rowOff>48895</xdr:rowOff>
    </xdr:to>
    <xdr:graphicFrame macro="">
      <xdr:nvGraphicFramePr>
        <xdr:cNvPr id="4" name="Chart 3">
          <a:extLst>
            <a:ext uri="{FF2B5EF4-FFF2-40B4-BE49-F238E27FC236}">
              <a16:creationId xmlns:a16="http://schemas.microsoft.com/office/drawing/2014/main" id="{ED20EF48-F151-4563-AFBF-AB4045763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106680</xdr:colOff>
      <xdr:row>49</xdr:row>
      <xdr:rowOff>0</xdr:rowOff>
    </xdr:from>
    <xdr:to>
      <xdr:col>16</xdr:col>
      <xdr:colOff>449580</xdr:colOff>
      <xdr:row>49</xdr:row>
      <xdr:rowOff>0</xdr:rowOff>
    </xdr:to>
    <xdr:graphicFrame macro="">
      <xdr:nvGraphicFramePr>
        <xdr:cNvPr id="5" name="Chart 4">
          <a:extLst>
            <a:ext uri="{FF2B5EF4-FFF2-40B4-BE49-F238E27FC236}">
              <a16:creationId xmlns:a16="http://schemas.microsoft.com/office/drawing/2014/main" id="{FFF03088-E131-44B7-900C-D4ED40828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0.07514</cdr:x>
      <cdr:y>0.70708</cdr:y>
    </cdr:from>
    <cdr:to>
      <cdr:x>0.99756</cdr:x>
      <cdr:y>0.70918</cdr:y>
    </cdr:to>
    <cdr:sp macro="" textlink="">
      <cdr:nvSpPr>
        <cdr:cNvPr id="10241" name="Line 1"/>
        <cdr:cNvSpPr>
          <a:spLocks xmlns:a="http://schemas.openxmlformats.org/drawingml/2006/main" noChangeShapeType="1"/>
        </cdr:cNvSpPr>
      </cdr:nvSpPr>
      <cdr:spPr bwMode="auto">
        <a:xfrm xmlns:a="http://schemas.openxmlformats.org/drawingml/2006/main" flipV="1">
          <a:off x="891057" y="2667045"/>
          <a:ext cx="10938633" cy="7921"/>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11.xml><?xml version="1.0" encoding="utf-8"?>
<c:userShapes xmlns:c="http://schemas.openxmlformats.org/drawingml/2006/chart">
  <cdr:relSizeAnchor xmlns:cdr="http://schemas.openxmlformats.org/drawingml/2006/chartDrawing">
    <cdr:from>
      <cdr:x>0.10854</cdr:x>
      <cdr:y>0.57219</cdr:y>
    </cdr:from>
    <cdr:to>
      <cdr:x>1</cdr:x>
      <cdr:y>0.57442</cdr:y>
    </cdr:to>
    <cdr:sp macro="" textlink="">
      <cdr:nvSpPr>
        <cdr:cNvPr id="10241" name="Line 1"/>
        <cdr:cNvSpPr>
          <a:spLocks xmlns:a="http://schemas.openxmlformats.org/drawingml/2006/main" noChangeShapeType="1"/>
        </cdr:cNvSpPr>
      </cdr:nvSpPr>
      <cdr:spPr bwMode="auto">
        <a:xfrm xmlns:a="http://schemas.openxmlformats.org/drawingml/2006/main" flipV="1">
          <a:off x="678180" y="1874831"/>
          <a:ext cx="5570220" cy="7308"/>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12.xml><?xml version="1.0" encoding="utf-8"?>
<xdr:wsDr xmlns:xdr="http://schemas.openxmlformats.org/drawingml/2006/spreadsheetDrawing" xmlns:a="http://schemas.openxmlformats.org/drawingml/2006/main">
  <xdr:twoCellAnchor>
    <xdr:from>
      <xdr:col>3</xdr:col>
      <xdr:colOff>27940</xdr:colOff>
      <xdr:row>11</xdr:row>
      <xdr:rowOff>68581</xdr:rowOff>
    </xdr:from>
    <xdr:to>
      <xdr:col>27</xdr:col>
      <xdr:colOff>54610</xdr:colOff>
      <xdr:row>27</xdr:row>
      <xdr:rowOff>121921</xdr:rowOff>
    </xdr:to>
    <xdr:graphicFrame macro="">
      <xdr:nvGraphicFramePr>
        <xdr:cNvPr id="2" name="Chart 2">
          <a:extLst>
            <a:ext uri="{FF2B5EF4-FFF2-40B4-BE49-F238E27FC236}">
              <a16:creationId xmlns:a16="http://schemas.microsoft.com/office/drawing/2014/main" id="{8B3E326C-AE6F-4020-B965-AAF69D5F8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41</xdr:row>
      <xdr:rowOff>0</xdr:rowOff>
    </xdr:from>
    <xdr:to>
      <xdr:col>17</xdr:col>
      <xdr:colOff>536575</xdr:colOff>
      <xdr:row>57</xdr:row>
      <xdr:rowOff>170180</xdr:rowOff>
    </xdr:to>
    <xdr:sp macro="" textlink="">
      <xdr:nvSpPr>
        <xdr:cNvPr id="3" name="Rectangle 2">
          <a:extLst>
            <a:ext uri="{FF2B5EF4-FFF2-40B4-BE49-F238E27FC236}">
              <a16:creationId xmlns:a16="http://schemas.microsoft.com/office/drawing/2014/main" id="{AFCE30DA-65BC-400A-8F82-7D1583450398}"/>
            </a:ext>
          </a:extLst>
        </xdr:cNvPr>
        <xdr:cNvSpPr/>
      </xdr:nvSpPr>
      <xdr:spPr>
        <a:xfrm>
          <a:off x="3079750" y="7727950"/>
          <a:ext cx="4187825" cy="31165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4</xdr:col>
      <xdr:colOff>152400</xdr:colOff>
      <xdr:row>36</xdr:row>
      <xdr:rowOff>152400</xdr:rowOff>
    </xdr:from>
    <xdr:to>
      <xdr:col>41</xdr:col>
      <xdr:colOff>228600</xdr:colOff>
      <xdr:row>59</xdr:row>
      <xdr:rowOff>85724</xdr:rowOff>
    </xdr:to>
    <xdr:graphicFrame macro="">
      <xdr:nvGraphicFramePr>
        <xdr:cNvPr id="4" name="Chart 2">
          <a:extLst>
            <a:ext uri="{FF2B5EF4-FFF2-40B4-BE49-F238E27FC236}">
              <a16:creationId xmlns:a16="http://schemas.microsoft.com/office/drawing/2014/main" id="{6D8D9B7A-CD3F-4577-9A60-03AB737EBC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9525</xdr:colOff>
      <xdr:row>10</xdr:row>
      <xdr:rowOff>85725</xdr:rowOff>
    </xdr:from>
    <xdr:to>
      <xdr:col>26</xdr:col>
      <xdr:colOff>581025</xdr:colOff>
      <xdr:row>29</xdr:row>
      <xdr:rowOff>76200</xdr:rowOff>
    </xdr:to>
    <xdr:graphicFrame macro="">
      <xdr:nvGraphicFramePr>
        <xdr:cNvPr id="2" name="Chart 3">
          <a:extLst>
            <a:ext uri="{FF2B5EF4-FFF2-40B4-BE49-F238E27FC236}">
              <a16:creationId xmlns:a16="http://schemas.microsoft.com/office/drawing/2014/main" id="{09A4B890-0E01-4C4D-84AF-687E5B5110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40</xdr:row>
      <xdr:rowOff>0</xdr:rowOff>
    </xdr:from>
    <xdr:to>
      <xdr:col>17</xdr:col>
      <xdr:colOff>164123</xdr:colOff>
      <xdr:row>53</xdr:row>
      <xdr:rowOff>154744</xdr:rowOff>
    </xdr:to>
    <xdr:sp macro="" textlink="">
      <xdr:nvSpPr>
        <xdr:cNvPr id="3" name="Rectangle 2">
          <a:extLst>
            <a:ext uri="{FF2B5EF4-FFF2-40B4-BE49-F238E27FC236}">
              <a16:creationId xmlns:a16="http://schemas.microsoft.com/office/drawing/2014/main" id="{F601EA51-0320-43B4-A5D8-8B93A234079D}"/>
            </a:ext>
          </a:extLst>
        </xdr:cNvPr>
        <xdr:cNvSpPr/>
      </xdr:nvSpPr>
      <xdr:spPr>
        <a:xfrm>
          <a:off x="3479800" y="7359650"/>
          <a:ext cx="5879123" cy="254869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7</xdr:col>
      <xdr:colOff>0</xdr:colOff>
      <xdr:row>38</xdr:row>
      <xdr:rowOff>139699</xdr:rowOff>
    </xdr:from>
    <xdr:to>
      <xdr:col>29</xdr:col>
      <xdr:colOff>428625</xdr:colOff>
      <xdr:row>54</xdr:row>
      <xdr:rowOff>180974</xdr:rowOff>
    </xdr:to>
    <xdr:graphicFrame macro="">
      <xdr:nvGraphicFramePr>
        <xdr:cNvPr id="4" name="Chart 3">
          <a:extLst>
            <a:ext uri="{FF2B5EF4-FFF2-40B4-BE49-F238E27FC236}">
              <a16:creationId xmlns:a16="http://schemas.microsoft.com/office/drawing/2014/main" id="{FD16441D-3516-457A-9479-4EC7EBBE64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0.09197</cdr:x>
      <cdr:y>0.24096</cdr:y>
    </cdr:from>
    <cdr:to>
      <cdr:x>0.98316</cdr:x>
      <cdr:y>0.24398</cdr:y>
    </cdr:to>
    <cdr:sp macro="" textlink="">
      <cdr:nvSpPr>
        <cdr:cNvPr id="202753" name="Line 1025"/>
        <cdr:cNvSpPr>
          <a:spLocks xmlns:a="http://schemas.openxmlformats.org/drawingml/2006/main" noChangeShapeType="1"/>
        </cdr:cNvSpPr>
      </cdr:nvSpPr>
      <cdr:spPr bwMode="auto">
        <a:xfrm xmlns:a="http://schemas.openxmlformats.org/drawingml/2006/main" flipV="1">
          <a:off x="541020" y="609600"/>
          <a:ext cx="5242560" cy="7620"/>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15.xml><?xml version="1.0" encoding="utf-8"?>
<xdr:wsDr xmlns:xdr="http://schemas.openxmlformats.org/drawingml/2006/spreadsheetDrawing" xmlns:a="http://schemas.openxmlformats.org/drawingml/2006/main">
  <xdr:twoCellAnchor>
    <xdr:from>
      <xdr:col>3</xdr:col>
      <xdr:colOff>9524</xdr:colOff>
      <xdr:row>8</xdr:row>
      <xdr:rowOff>133350</xdr:rowOff>
    </xdr:from>
    <xdr:to>
      <xdr:col>30</xdr:col>
      <xdr:colOff>412749</xdr:colOff>
      <xdr:row>26</xdr:row>
      <xdr:rowOff>38100</xdr:rowOff>
    </xdr:to>
    <xdr:graphicFrame macro="">
      <xdr:nvGraphicFramePr>
        <xdr:cNvPr id="2" name="Chart 1">
          <a:extLst>
            <a:ext uri="{FF2B5EF4-FFF2-40B4-BE49-F238E27FC236}">
              <a16:creationId xmlns:a16="http://schemas.microsoft.com/office/drawing/2014/main" id="{7E2BFFEC-7B50-43AD-B309-FC56D44219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35</xdr:row>
      <xdr:rowOff>0</xdr:rowOff>
    </xdr:from>
    <xdr:to>
      <xdr:col>16</xdr:col>
      <xdr:colOff>228600</xdr:colOff>
      <xdr:row>49</xdr:row>
      <xdr:rowOff>157480</xdr:rowOff>
    </xdr:to>
    <xdr:sp macro="" textlink="">
      <xdr:nvSpPr>
        <xdr:cNvPr id="3" name="Rectangle 2">
          <a:extLst>
            <a:ext uri="{FF2B5EF4-FFF2-40B4-BE49-F238E27FC236}">
              <a16:creationId xmlns:a16="http://schemas.microsoft.com/office/drawing/2014/main" id="{BF930A20-4F2F-42F6-B984-C9334856C5F5}"/>
            </a:ext>
          </a:extLst>
        </xdr:cNvPr>
        <xdr:cNvSpPr/>
      </xdr:nvSpPr>
      <xdr:spPr>
        <a:xfrm>
          <a:off x="3155950" y="6718300"/>
          <a:ext cx="5943600"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6</xdr:col>
      <xdr:colOff>0</xdr:colOff>
      <xdr:row>35</xdr:row>
      <xdr:rowOff>0</xdr:rowOff>
    </xdr:from>
    <xdr:to>
      <xdr:col>16</xdr:col>
      <xdr:colOff>220979</xdr:colOff>
      <xdr:row>49</xdr:row>
      <xdr:rowOff>160020</xdr:rowOff>
    </xdr:to>
    <xdr:graphicFrame macro="">
      <xdr:nvGraphicFramePr>
        <xdr:cNvPr id="4" name="Chart 1">
          <a:extLst>
            <a:ext uri="{FF2B5EF4-FFF2-40B4-BE49-F238E27FC236}">
              <a16:creationId xmlns:a16="http://schemas.microsoft.com/office/drawing/2014/main" id="{F0C73E63-5612-44B0-9B85-173F815A4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231775</xdr:colOff>
      <xdr:row>14</xdr:row>
      <xdr:rowOff>152400</xdr:rowOff>
    </xdr:from>
    <xdr:to>
      <xdr:col>28</xdr:col>
      <xdr:colOff>35560</xdr:colOff>
      <xdr:row>35</xdr:row>
      <xdr:rowOff>85725</xdr:rowOff>
    </xdr:to>
    <xdr:graphicFrame macro="">
      <xdr:nvGraphicFramePr>
        <xdr:cNvPr id="2" name="Chart 2">
          <a:extLst>
            <a:ext uri="{FF2B5EF4-FFF2-40B4-BE49-F238E27FC236}">
              <a16:creationId xmlns:a16="http://schemas.microsoft.com/office/drawing/2014/main" id="{94F0FD56-CE62-4C43-9F69-BB0D92391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59</xdr:row>
      <xdr:rowOff>0</xdr:rowOff>
    </xdr:from>
    <xdr:to>
      <xdr:col>15</xdr:col>
      <xdr:colOff>53340</xdr:colOff>
      <xdr:row>73</xdr:row>
      <xdr:rowOff>26670</xdr:rowOff>
    </xdr:to>
    <xdr:sp macro="" textlink="">
      <xdr:nvSpPr>
        <xdr:cNvPr id="3" name="Rectangle 2">
          <a:extLst>
            <a:ext uri="{FF2B5EF4-FFF2-40B4-BE49-F238E27FC236}">
              <a16:creationId xmlns:a16="http://schemas.microsoft.com/office/drawing/2014/main" id="{AAA5104E-7DBD-4665-A72D-1A3D2A1E2444}"/>
            </a:ext>
          </a:extLst>
        </xdr:cNvPr>
        <xdr:cNvSpPr/>
      </xdr:nvSpPr>
      <xdr:spPr>
        <a:xfrm>
          <a:off x="1231900" y="9277350"/>
          <a:ext cx="5279390"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59</xdr:row>
      <xdr:rowOff>1</xdr:rowOff>
    </xdr:from>
    <xdr:to>
      <xdr:col>15</xdr:col>
      <xdr:colOff>45720</xdr:colOff>
      <xdr:row>73</xdr:row>
      <xdr:rowOff>68580</xdr:rowOff>
    </xdr:to>
    <xdr:graphicFrame macro="">
      <xdr:nvGraphicFramePr>
        <xdr:cNvPr id="4" name="Chart 2">
          <a:extLst>
            <a:ext uri="{FF2B5EF4-FFF2-40B4-BE49-F238E27FC236}">
              <a16:creationId xmlns:a16="http://schemas.microsoft.com/office/drawing/2014/main" id="{7E397C5C-C20D-4483-9510-B898DAF8E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0</xdr:colOff>
      <xdr:row>8</xdr:row>
      <xdr:rowOff>95250</xdr:rowOff>
    </xdr:from>
    <xdr:to>
      <xdr:col>28</xdr:col>
      <xdr:colOff>9525</xdr:colOff>
      <xdr:row>33</xdr:row>
      <xdr:rowOff>19050</xdr:rowOff>
    </xdr:to>
    <xdr:graphicFrame macro="">
      <xdr:nvGraphicFramePr>
        <xdr:cNvPr id="2" name="Chart 1">
          <a:extLst>
            <a:ext uri="{FF2B5EF4-FFF2-40B4-BE49-F238E27FC236}">
              <a16:creationId xmlns:a16="http://schemas.microsoft.com/office/drawing/2014/main" id="{32112CA0-820B-4A19-8216-5C6CFE9D0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47</xdr:row>
      <xdr:rowOff>0</xdr:rowOff>
    </xdr:from>
    <xdr:to>
      <xdr:col>18</xdr:col>
      <xdr:colOff>213360</xdr:colOff>
      <xdr:row>63</xdr:row>
      <xdr:rowOff>57150</xdr:rowOff>
    </xdr:to>
    <xdr:sp macro="" textlink="">
      <xdr:nvSpPr>
        <xdr:cNvPr id="3" name="Rectangle 2">
          <a:extLst>
            <a:ext uri="{FF2B5EF4-FFF2-40B4-BE49-F238E27FC236}">
              <a16:creationId xmlns:a16="http://schemas.microsoft.com/office/drawing/2014/main" id="{4EACBD69-2040-4757-A7FC-E8F4AA4D085A}"/>
            </a:ext>
          </a:extLst>
        </xdr:cNvPr>
        <xdr:cNvSpPr/>
      </xdr:nvSpPr>
      <xdr:spPr>
        <a:xfrm>
          <a:off x="1543050" y="8839200"/>
          <a:ext cx="6798310"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47</xdr:row>
      <xdr:rowOff>1</xdr:rowOff>
    </xdr:from>
    <xdr:to>
      <xdr:col>18</xdr:col>
      <xdr:colOff>236219</xdr:colOff>
      <xdr:row>63</xdr:row>
      <xdr:rowOff>121920</xdr:rowOff>
    </xdr:to>
    <xdr:graphicFrame macro="">
      <xdr:nvGraphicFramePr>
        <xdr:cNvPr id="4" name="Chart 2">
          <a:extLst>
            <a:ext uri="{FF2B5EF4-FFF2-40B4-BE49-F238E27FC236}">
              <a16:creationId xmlns:a16="http://schemas.microsoft.com/office/drawing/2014/main" id="{95BC23DF-1BD6-4A52-80C4-0B73D3DC29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xdr:col>
      <xdr:colOff>257174</xdr:colOff>
      <xdr:row>10</xdr:row>
      <xdr:rowOff>44450</xdr:rowOff>
    </xdr:from>
    <xdr:to>
      <xdr:col>29</xdr:col>
      <xdr:colOff>123825</xdr:colOff>
      <xdr:row>26</xdr:row>
      <xdr:rowOff>82550</xdr:rowOff>
    </xdr:to>
    <xdr:graphicFrame macro="">
      <xdr:nvGraphicFramePr>
        <xdr:cNvPr id="2" name="Chart 2">
          <a:extLst>
            <a:ext uri="{FF2B5EF4-FFF2-40B4-BE49-F238E27FC236}">
              <a16:creationId xmlns:a16="http://schemas.microsoft.com/office/drawing/2014/main" id="{27DFF851-CCD7-4FA2-80A7-BCCA909C15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733425</xdr:colOff>
      <xdr:row>94</xdr:row>
      <xdr:rowOff>85725</xdr:rowOff>
    </xdr:from>
    <xdr:to>
      <xdr:col>10</xdr:col>
      <xdr:colOff>47625</xdr:colOff>
      <xdr:row>117</xdr:row>
      <xdr:rowOff>114300</xdr:rowOff>
    </xdr:to>
    <xdr:graphicFrame macro="">
      <xdr:nvGraphicFramePr>
        <xdr:cNvPr id="2" name="Chart 1">
          <a:extLst>
            <a:ext uri="{FF2B5EF4-FFF2-40B4-BE49-F238E27FC236}">
              <a16:creationId xmlns:a16="http://schemas.microsoft.com/office/drawing/2014/main" id="{43DE4AAB-5F03-4E0C-BB35-E7D931C735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66675</xdr:colOff>
      <xdr:row>87</xdr:row>
      <xdr:rowOff>57150</xdr:rowOff>
    </xdr:from>
    <xdr:to>
      <xdr:col>15</xdr:col>
      <xdr:colOff>333375</xdr:colOff>
      <xdr:row>110</xdr:row>
      <xdr:rowOff>85725</xdr:rowOff>
    </xdr:to>
    <xdr:graphicFrame macro="">
      <xdr:nvGraphicFramePr>
        <xdr:cNvPr id="3" name="Chart 2">
          <a:extLst>
            <a:ext uri="{FF2B5EF4-FFF2-40B4-BE49-F238E27FC236}">
              <a16:creationId xmlns:a16="http://schemas.microsoft.com/office/drawing/2014/main" id="{8219566E-C717-4FCF-AAD3-1F4A112B8E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228600</xdr:colOff>
      <xdr:row>131</xdr:row>
      <xdr:rowOff>31115</xdr:rowOff>
    </xdr:from>
    <xdr:to>
      <xdr:col>28</xdr:col>
      <xdr:colOff>209550</xdr:colOff>
      <xdr:row>146</xdr:row>
      <xdr:rowOff>31115</xdr:rowOff>
    </xdr:to>
    <xdr:graphicFrame macro="">
      <xdr:nvGraphicFramePr>
        <xdr:cNvPr id="4" name="Chart 3">
          <a:extLst>
            <a:ext uri="{FF2B5EF4-FFF2-40B4-BE49-F238E27FC236}">
              <a16:creationId xmlns:a16="http://schemas.microsoft.com/office/drawing/2014/main" id="{BD2B98B9-E55D-41ED-A669-65FC2A806C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230505</xdr:colOff>
      <xdr:row>12</xdr:row>
      <xdr:rowOff>150495</xdr:rowOff>
    </xdr:from>
    <xdr:to>
      <xdr:col>27</xdr:col>
      <xdr:colOff>0</xdr:colOff>
      <xdr:row>31</xdr:row>
      <xdr:rowOff>150495</xdr:rowOff>
    </xdr:to>
    <xdr:graphicFrame macro="">
      <xdr:nvGraphicFramePr>
        <xdr:cNvPr id="5" name="Chart 4">
          <a:extLst>
            <a:ext uri="{FF2B5EF4-FFF2-40B4-BE49-F238E27FC236}">
              <a16:creationId xmlns:a16="http://schemas.microsoft.com/office/drawing/2014/main" id="{B404D715-AB73-412E-AFBA-F50DAB296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148</xdr:row>
      <xdr:rowOff>0</xdr:rowOff>
    </xdr:from>
    <xdr:to>
      <xdr:col>12</xdr:col>
      <xdr:colOff>445770</xdr:colOff>
      <xdr:row>162</xdr:row>
      <xdr:rowOff>141605</xdr:rowOff>
    </xdr:to>
    <xdr:sp macro="" textlink="">
      <xdr:nvSpPr>
        <xdr:cNvPr id="6" name="Rectangle 5">
          <a:extLst>
            <a:ext uri="{FF2B5EF4-FFF2-40B4-BE49-F238E27FC236}">
              <a16:creationId xmlns:a16="http://schemas.microsoft.com/office/drawing/2014/main" id="{E652CBFE-4091-4E7F-98ED-6C918AF9A009}"/>
            </a:ext>
          </a:extLst>
        </xdr:cNvPr>
        <xdr:cNvSpPr/>
      </xdr:nvSpPr>
      <xdr:spPr>
        <a:xfrm>
          <a:off x="1409700" y="13442950"/>
          <a:ext cx="6008370" cy="27197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3</xdr:col>
      <xdr:colOff>3174</xdr:colOff>
      <xdr:row>148</xdr:row>
      <xdr:rowOff>0</xdr:rowOff>
    </xdr:from>
    <xdr:to>
      <xdr:col>29</xdr:col>
      <xdr:colOff>409575</xdr:colOff>
      <xdr:row>162</xdr:row>
      <xdr:rowOff>141605</xdr:rowOff>
    </xdr:to>
    <xdr:graphicFrame macro="">
      <xdr:nvGraphicFramePr>
        <xdr:cNvPr id="7" name="Chart 6">
          <a:extLst>
            <a:ext uri="{FF2B5EF4-FFF2-40B4-BE49-F238E27FC236}">
              <a16:creationId xmlns:a16="http://schemas.microsoft.com/office/drawing/2014/main" id="{E360B259-754D-461E-8454-C07C9D93A6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1597026</xdr:colOff>
      <xdr:row>22</xdr:row>
      <xdr:rowOff>71436</xdr:rowOff>
    </xdr:from>
    <xdr:to>
      <xdr:col>25</xdr:col>
      <xdr:colOff>181768</xdr:colOff>
      <xdr:row>37</xdr:row>
      <xdr:rowOff>32543</xdr:rowOff>
    </xdr:to>
    <xdr:graphicFrame macro="">
      <xdr:nvGraphicFramePr>
        <xdr:cNvPr id="2" name="Chart 1">
          <a:extLst>
            <a:ext uri="{FF2B5EF4-FFF2-40B4-BE49-F238E27FC236}">
              <a16:creationId xmlns:a16="http://schemas.microsoft.com/office/drawing/2014/main" id="{C3AAE742-64E4-46B1-B76D-46F1F75A6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542925</xdr:colOff>
      <xdr:row>78</xdr:row>
      <xdr:rowOff>28575</xdr:rowOff>
    </xdr:from>
    <xdr:to>
      <xdr:col>3</xdr:col>
      <xdr:colOff>619125</xdr:colOff>
      <xdr:row>131</xdr:row>
      <xdr:rowOff>171450</xdr:rowOff>
    </xdr:to>
    <xdr:sp macro="" textlink="">
      <xdr:nvSpPr>
        <xdr:cNvPr id="2" name="Text Box 1">
          <a:extLst>
            <a:ext uri="{FF2B5EF4-FFF2-40B4-BE49-F238E27FC236}">
              <a16:creationId xmlns:a16="http://schemas.microsoft.com/office/drawing/2014/main" id="{0EDCB538-1C51-419A-BDB6-14A4946A9B2A}"/>
            </a:ext>
          </a:extLst>
        </xdr:cNvPr>
        <xdr:cNvSpPr txBox="1">
          <a:spLocks noChangeArrowheads="1"/>
        </xdr:cNvSpPr>
      </xdr:nvSpPr>
      <xdr:spPr bwMode="auto">
        <a:xfrm>
          <a:off x="2168525" y="12439650"/>
          <a:ext cx="730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276225</xdr:colOff>
      <xdr:row>66</xdr:row>
      <xdr:rowOff>47625</xdr:rowOff>
    </xdr:from>
    <xdr:to>
      <xdr:col>16</xdr:col>
      <xdr:colOff>485775</xdr:colOff>
      <xdr:row>79</xdr:row>
      <xdr:rowOff>361950</xdr:rowOff>
    </xdr:to>
    <xdr:graphicFrame macro="">
      <xdr:nvGraphicFramePr>
        <xdr:cNvPr id="3" name="Chart 2">
          <a:extLst>
            <a:ext uri="{FF2B5EF4-FFF2-40B4-BE49-F238E27FC236}">
              <a16:creationId xmlns:a16="http://schemas.microsoft.com/office/drawing/2014/main" id="{33342E32-1AC7-47FC-8E98-B0A1DFC81F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542925</xdr:colOff>
      <xdr:row>78</xdr:row>
      <xdr:rowOff>28575</xdr:rowOff>
    </xdr:from>
    <xdr:to>
      <xdr:col>3</xdr:col>
      <xdr:colOff>619125</xdr:colOff>
      <xdr:row>131</xdr:row>
      <xdr:rowOff>171450</xdr:rowOff>
    </xdr:to>
    <xdr:sp macro="" textlink="">
      <xdr:nvSpPr>
        <xdr:cNvPr id="4" name="Text Box 3">
          <a:extLst>
            <a:ext uri="{FF2B5EF4-FFF2-40B4-BE49-F238E27FC236}">
              <a16:creationId xmlns:a16="http://schemas.microsoft.com/office/drawing/2014/main" id="{6F787ABD-DCF9-4D0A-882E-793F2E4E7BC4}"/>
            </a:ext>
          </a:extLst>
        </xdr:cNvPr>
        <xdr:cNvSpPr txBox="1">
          <a:spLocks noChangeArrowheads="1"/>
        </xdr:cNvSpPr>
      </xdr:nvSpPr>
      <xdr:spPr bwMode="auto">
        <a:xfrm>
          <a:off x="2168525" y="12439650"/>
          <a:ext cx="730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304799</xdr:colOff>
      <xdr:row>43</xdr:row>
      <xdr:rowOff>62344</xdr:rowOff>
    </xdr:from>
    <xdr:to>
      <xdr:col>9</xdr:col>
      <xdr:colOff>173182</xdr:colOff>
      <xdr:row>61</xdr:row>
      <xdr:rowOff>17317</xdr:rowOff>
    </xdr:to>
    <xdr:graphicFrame macro="">
      <xdr:nvGraphicFramePr>
        <xdr:cNvPr id="5" name="Chart 4">
          <a:extLst>
            <a:ext uri="{FF2B5EF4-FFF2-40B4-BE49-F238E27FC236}">
              <a16:creationId xmlns:a16="http://schemas.microsoft.com/office/drawing/2014/main" id="{3DF6F74C-E9EE-45DC-9712-3417E11B78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238125</xdr:colOff>
      <xdr:row>43</xdr:row>
      <xdr:rowOff>69273</xdr:rowOff>
    </xdr:from>
    <xdr:to>
      <xdr:col>20</xdr:col>
      <xdr:colOff>342900</xdr:colOff>
      <xdr:row>61</xdr:row>
      <xdr:rowOff>17318</xdr:rowOff>
    </xdr:to>
    <xdr:graphicFrame macro="">
      <xdr:nvGraphicFramePr>
        <xdr:cNvPr id="6" name="Chart 5">
          <a:extLst>
            <a:ext uri="{FF2B5EF4-FFF2-40B4-BE49-F238E27FC236}">
              <a16:creationId xmlns:a16="http://schemas.microsoft.com/office/drawing/2014/main" id="{93578478-BF34-45BA-9B88-9442B8ACD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xdr:col>
      <xdr:colOff>238125</xdr:colOff>
      <xdr:row>15</xdr:row>
      <xdr:rowOff>152401</xdr:rowOff>
    </xdr:from>
    <xdr:to>
      <xdr:col>21</xdr:col>
      <xdr:colOff>0</xdr:colOff>
      <xdr:row>30</xdr:row>
      <xdr:rowOff>60325</xdr:rowOff>
    </xdr:to>
    <xdr:graphicFrame macro="">
      <xdr:nvGraphicFramePr>
        <xdr:cNvPr id="2" name="Chart 1">
          <a:extLst>
            <a:ext uri="{FF2B5EF4-FFF2-40B4-BE49-F238E27FC236}">
              <a16:creationId xmlns:a16="http://schemas.microsoft.com/office/drawing/2014/main" id="{06D24BFE-9ECB-4BD5-A931-2A2BA3823D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174624</xdr:colOff>
      <xdr:row>42</xdr:row>
      <xdr:rowOff>76200</xdr:rowOff>
    </xdr:from>
    <xdr:to>
      <xdr:col>25</xdr:col>
      <xdr:colOff>327025</xdr:colOff>
      <xdr:row>65</xdr:row>
      <xdr:rowOff>0</xdr:rowOff>
    </xdr:to>
    <xdr:graphicFrame macro="">
      <xdr:nvGraphicFramePr>
        <xdr:cNvPr id="2" name="Chart 1">
          <a:extLst>
            <a:ext uri="{FF2B5EF4-FFF2-40B4-BE49-F238E27FC236}">
              <a16:creationId xmlns:a16="http://schemas.microsoft.com/office/drawing/2014/main" id="{FAB62500-512F-4A28-B7B3-0494BFF1BF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xdr:col>
      <xdr:colOff>9524</xdr:colOff>
      <xdr:row>30</xdr:row>
      <xdr:rowOff>133350</xdr:rowOff>
    </xdr:from>
    <xdr:to>
      <xdr:col>25</xdr:col>
      <xdr:colOff>620889</xdr:colOff>
      <xdr:row>51</xdr:row>
      <xdr:rowOff>95250</xdr:rowOff>
    </xdr:to>
    <xdr:graphicFrame macro="">
      <xdr:nvGraphicFramePr>
        <xdr:cNvPr id="2" name="Chart 1">
          <a:extLst>
            <a:ext uri="{FF2B5EF4-FFF2-40B4-BE49-F238E27FC236}">
              <a16:creationId xmlns:a16="http://schemas.microsoft.com/office/drawing/2014/main" id="{00F26C8A-5E09-4132-A17F-D88B7102E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102</xdr:row>
      <xdr:rowOff>0</xdr:rowOff>
    </xdr:from>
    <xdr:to>
      <xdr:col>9</xdr:col>
      <xdr:colOff>0</xdr:colOff>
      <xdr:row>115</xdr:row>
      <xdr:rowOff>160655</xdr:rowOff>
    </xdr:to>
    <xdr:sp macro="" textlink="">
      <xdr:nvSpPr>
        <xdr:cNvPr id="3" name="Rectangle 2">
          <a:extLst>
            <a:ext uri="{FF2B5EF4-FFF2-40B4-BE49-F238E27FC236}">
              <a16:creationId xmlns:a16="http://schemas.microsoft.com/office/drawing/2014/main" id="{45E11115-2B19-4553-8EEC-2612D8856040}"/>
            </a:ext>
          </a:extLst>
        </xdr:cNvPr>
        <xdr:cNvSpPr/>
      </xdr:nvSpPr>
      <xdr:spPr>
        <a:xfrm>
          <a:off x="1943100" y="18783300"/>
          <a:ext cx="3886200" cy="2554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3</xdr:col>
      <xdr:colOff>0</xdr:colOff>
      <xdr:row>102</xdr:row>
      <xdr:rowOff>0</xdr:rowOff>
    </xdr:from>
    <xdr:to>
      <xdr:col>9</xdr:col>
      <xdr:colOff>0</xdr:colOff>
      <xdr:row>116</xdr:row>
      <xdr:rowOff>0</xdr:rowOff>
    </xdr:to>
    <xdr:graphicFrame macro="">
      <xdr:nvGraphicFramePr>
        <xdr:cNvPr id="4" name="Chart 1">
          <a:extLst>
            <a:ext uri="{FF2B5EF4-FFF2-40B4-BE49-F238E27FC236}">
              <a16:creationId xmlns:a16="http://schemas.microsoft.com/office/drawing/2014/main" id="{4094A7B1-3D76-4B49-8E91-D49B6EDF8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3</xdr:col>
      <xdr:colOff>8819</xdr:colOff>
      <xdr:row>10</xdr:row>
      <xdr:rowOff>51506</xdr:rowOff>
    </xdr:from>
    <xdr:to>
      <xdr:col>15</xdr:col>
      <xdr:colOff>127001</xdr:colOff>
      <xdr:row>25</xdr:row>
      <xdr:rowOff>32456</xdr:rowOff>
    </xdr:to>
    <xdr:graphicFrame macro="">
      <xdr:nvGraphicFramePr>
        <xdr:cNvPr id="2" name="Chart 1">
          <a:extLst>
            <a:ext uri="{FF2B5EF4-FFF2-40B4-BE49-F238E27FC236}">
              <a16:creationId xmlns:a16="http://schemas.microsoft.com/office/drawing/2014/main" id="{21A8542F-001B-4D9C-A019-CE11CC9972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501650</xdr:colOff>
      <xdr:row>19</xdr:row>
      <xdr:rowOff>57151</xdr:rowOff>
    </xdr:from>
    <xdr:to>
      <xdr:col>22</xdr:col>
      <xdr:colOff>200025</xdr:colOff>
      <xdr:row>29</xdr:row>
      <xdr:rowOff>619126</xdr:rowOff>
    </xdr:to>
    <xdr:graphicFrame macro="">
      <xdr:nvGraphicFramePr>
        <xdr:cNvPr id="2" name="Chart 1">
          <a:extLst>
            <a:ext uri="{FF2B5EF4-FFF2-40B4-BE49-F238E27FC236}">
              <a16:creationId xmlns:a16="http://schemas.microsoft.com/office/drawing/2014/main" id="{ABA0C83A-E7F9-4533-89EE-9CF9A771CD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202565</xdr:colOff>
      <xdr:row>19</xdr:row>
      <xdr:rowOff>164465</xdr:rowOff>
    </xdr:from>
    <xdr:to>
      <xdr:col>19</xdr:col>
      <xdr:colOff>559435</xdr:colOff>
      <xdr:row>43</xdr:row>
      <xdr:rowOff>76200</xdr:rowOff>
    </xdr:to>
    <xdr:graphicFrame macro="">
      <xdr:nvGraphicFramePr>
        <xdr:cNvPr id="2" name="Chart 1">
          <a:extLst>
            <a:ext uri="{FF2B5EF4-FFF2-40B4-BE49-F238E27FC236}">
              <a16:creationId xmlns:a16="http://schemas.microsoft.com/office/drawing/2014/main" id="{84D72336-4E98-47AB-8193-1FF994BC2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889000</xdr:colOff>
      <xdr:row>63</xdr:row>
      <xdr:rowOff>180622</xdr:rowOff>
    </xdr:from>
    <xdr:to>
      <xdr:col>6</xdr:col>
      <xdr:colOff>261055</xdr:colOff>
      <xdr:row>78</xdr:row>
      <xdr:rowOff>172156</xdr:rowOff>
    </xdr:to>
    <xdr:graphicFrame macro="">
      <xdr:nvGraphicFramePr>
        <xdr:cNvPr id="2" name="Chart 1">
          <a:extLst>
            <a:ext uri="{FF2B5EF4-FFF2-40B4-BE49-F238E27FC236}">
              <a16:creationId xmlns:a16="http://schemas.microsoft.com/office/drawing/2014/main" id="{6ACBBF2D-C768-487F-BF88-8CEE6FAA1E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183445</xdr:colOff>
      <xdr:row>64</xdr:row>
      <xdr:rowOff>11288</xdr:rowOff>
    </xdr:from>
    <xdr:to>
      <xdr:col>14</xdr:col>
      <xdr:colOff>649111</xdr:colOff>
      <xdr:row>79</xdr:row>
      <xdr:rowOff>2821</xdr:rowOff>
    </xdr:to>
    <xdr:graphicFrame macro="">
      <xdr:nvGraphicFramePr>
        <xdr:cNvPr id="3" name="Chart 2">
          <a:extLst>
            <a:ext uri="{FF2B5EF4-FFF2-40B4-BE49-F238E27FC236}">
              <a16:creationId xmlns:a16="http://schemas.microsoft.com/office/drawing/2014/main" id="{4DA9CE3E-DF42-4DFD-A439-ECDE9111B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17</xdr:col>
      <xdr:colOff>142523</xdr:colOff>
      <xdr:row>31</xdr:row>
      <xdr:rowOff>111478</xdr:rowOff>
    </xdr:from>
    <xdr:to>
      <xdr:col>26</xdr:col>
      <xdr:colOff>635353</xdr:colOff>
      <xdr:row>48</xdr:row>
      <xdr:rowOff>44450</xdr:rowOff>
    </xdr:to>
    <xdr:graphicFrame macro="">
      <xdr:nvGraphicFramePr>
        <xdr:cNvPr id="2" name="Chart 1">
          <a:extLst>
            <a:ext uri="{FF2B5EF4-FFF2-40B4-BE49-F238E27FC236}">
              <a16:creationId xmlns:a16="http://schemas.microsoft.com/office/drawing/2014/main" id="{BA248DAD-8FC7-4C8B-AC6C-D966E51B7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3174</xdr:colOff>
      <xdr:row>31</xdr:row>
      <xdr:rowOff>124882</xdr:rowOff>
    </xdr:from>
    <xdr:to>
      <xdr:col>17</xdr:col>
      <xdr:colOff>111125</xdr:colOff>
      <xdr:row>47</xdr:row>
      <xdr:rowOff>95250</xdr:rowOff>
    </xdr:to>
    <xdr:graphicFrame macro="">
      <xdr:nvGraphicFramePr>
        <xdr:cNvPr id="3" name="Chart 2">
          <a:extLst>
            <a:ext uri="{FF2B5EF4-FFF2-40B4-BE49-F238E27FC236}">
              <a16:creationId xmlns:a16="http://schemas.microsoft.com/office/drawing/2014/main" id="{D2A0B62D-D48B-4FF4-BEEA-B9311DA896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114300</xdr:colOff>
      <xdr:row>6</xdr:row>
      <xdr:rowOff>19050</xdr:rowOff>
    </xdr:from>
    <xdr:to>
      <xdr:col>32</xdr:col>
      <xdr:colOff>276775</xdr:colOff>
      <xdr:row>29</xdr:row>
      <xdr:rowOff>39076</xdr:rowOff>
    </xdr:to>
    <xdr:graphicFrame macro="">
      <xdr:nvGraphicFramePr>
        <xdr:cNvPr id="4" name="Chart 3">
          <a:extLst>
            <a:ext uri="{FF2B5EF4-FFF2-40B4-BE49-F238E27FC236}">
              <a16:creationId xmlns:a16="http://schemas.microsoft.com/office/drawing/2014/main" id="{0C91AD7D-44F0-4B13-A69B-1848264EBB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xdr:col>
      <xdr:colOff>236221</xdr:colOff>
      <xdr:row>33</xdr:row>
      <xdr:rowOff>28575</xdr:rowOff>
    </xdr:from>
    <xdr:to>
      <xdr:col>22</xdr:col>
      <xdr:colOff>9526</xdr:colOff>
      <xdr:row>46</xdr:row>
      <xdr:rowOff>57151</xdr:rowOff>
    </xdr:to>
    <xdr:graphicFrame macro="">
      <xdr:nvGraphicFramePr>
        <xdr:cNvPr id="2" name="Chart 1">
          <a:extLst>
            <a:ext uri="{FF2B5EF4-FFF2-40B4-BE49-F238E27FC236}">
              <a16:creationId xmlns:a16="http://schemas.microsoft.com/office/drawing/2014/main" id="{63150082-1598-4C38-A056-FAB191C84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69</xdr:row>
      <xdr:rowOff>0</xdr:rowOff>
    </xdr:from>
    <xdr:to>
      <xdr:col>10</xdr:col>
      <xdr:colOff>636270</xdr:colOff>
      <xdr:row>79</xdr:row>
      <xdr:rowOff>9525</xdr:rowOff>
    </xdr:to>
    <xdr:sp macro="" textlink="">
      <xdr:nvSpPr>
        <xdr:cNvPr id="3" name="Rectangle 2">
          <a:extLst>
            <a:ext uri="{FF2B5EF4-FFF2-40B4-BE49-F238E27FC236}">
              <a16:creationId xmlns:a16="http://schemas.microsoft.com/office/drawing/2014/main" id="{0FA840FE-6FF8-45A0-A920-472AD5A9F7D7}"/>
            </a:ext>
          </a:extLst>
        </xdr:cNvPr>
        <xdr:cNvSpPr/>
      </xdr:nvSpPr>
      <xdr:spPr>
        <a:xfrm>
          <a:off x="1530350" y="12363450"/>
          <a:ext cx="5608320" cy="1787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69</xdr:row>
      <xdr:rowOff>0</xdr:rowOff>
    </xdr:from>
    <xdr:to>
      <xdr:col>10</xdr:col>
      <xdr:colOff>632460</xdr:colOff>
      <xdr:row>79</xdr:row>
      <xdr:rowOff>7620</xdr:rowOff>
    </xdr:to>
    <xdr:graphicFrame macro="">
      <xdr:nvGraphicFramePr>
        <xdr:cNvPr id="4" name="Chart 3">
          <a:extLst>
            <a:ext uri="{FF2B5EF4-FFF2-40B4-BE49-F238E27FC236}">
              <a16:creationId xmlns:a16="http://schemas.microsoft.com/office/drawing/2014/main" id="{2B9D6299-D01E-4428-BD49-7642367D40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714375</xdr:colOff>
      <xdr:row>61</xdr:row>
      <xdr:rowOff>9525</xdr:rowOff>
    </xdr:from>
    <xdr:to>
      <xdr:col>19</xdr:col>
      <xdr:colOff>189895</xdr:colOff>
      <xdr:row>78</xdr:row>
      <xdr:rowOff>126571</xdr:rowOff>
    </xdr:to>
    <xdr:pic>
      <xdr:nvPicPr>
        <xdr:cNvPr id="5" name="Picture 4">
          <a:extLst>
            <a:ext uri="{FF2B5EF4-FFF2-40B4-BE49-F238E27FC236}">
              <a16:creationId xmlns:a16="http://schemas.microsoft.com/office/drawing/2014/main" id="{97F0DA60-3168-4918-B2E3-0FD358548A52}"/>
            </a:ext>
          </a:extLst>
        </xdr:cNvPr>
        <xdr:cNvPicPr>
          <a:picLocks noChangeAspect="1"/>
        </xdr:cNvPicPr>
      </xdr:nvPicPr>
      <xdr:blipFill>
        <a:blip xmlns:r="http://schemas.openxmlformats.org/officeDocument/2006/relationships" r:embed="rId3"/>
        <a:stretch>
          <a:fillRect/>
        </a:stretch>
      </xdr:blipFill>
      <xdr:spPr>
        <a:xfrm>
          <a:off x="7134225" y="10950575"/>
          <a:ext cx="5069870" cy="31396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85725</xdr:colOff>
      <xdr:row>10</xdr:row>
      <xdr:rowOff>152400</xdr:rowOff>
    </xdr:from>
    <xdr:to>
      <xdr:col>29</xdr:col>
      <xdr:colOff>495300</xdr:colOff>
      <xdr:row>32</xdr:row>
      <xdr:rowOff>104775</xdr:rowOff>
    </xdr:to>
    <xdr:graphicFrame macro="">
      <xdr:nvGraphicFramePr>
        <xdr:cNvPr id="2" name="Chart 1">
          <a:extLst>
            <a:ext uri="{FF2B5EF4-FFF2-40B4-BE49-F238E27FC236}">
              <a16:creationId xmlns:a16="http://schemas.microsoft.com/office/drawing/2014/main" id="{BB85976F-ED4D-44A7-BB2B-ACAF262B7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3</xdr:col>
      <xdr:colOff>33021</xdr:colOff>
      <xdr:row>45</xdr:row>
      <xdr:rowOff>38099</xdr:rowOff>
    </xdr:from>
    <xdr:to>
      <xdr:col>24</xdr:col>
      <xdr:colOff>53976</xdr:colOff>
      <xdr:row>58</xdr:row>
      <xdr:rowOff>95250</xdr:rowOff>
    </xdr:to>
    <xdr:graphicFrame macro="">
      <xdr:nvGraphicFramePr>
        <xdr:cNvPr id="2" name="Chart 1">
          <a:extLst>
            <a:ext uri="{FF2B5EF4-FFF2-40B4-BE49-F238E27FC236}">
              <a16:creationId xmlns:a16="http://schemas.microsoft.com/office/drawing/2014/main" id="{3FF1F491-819D-41A4-9F0B-883046F63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82</xdr:row>
      <xdr:rowOff>0</xdr:rowOff>
    </xdr:from>
    <xdr:to>
      <xdr:col>10</xdr:col>
      <xdr:colOff>636270</xdr:colOff>
      <xdr:row>92</xdr:row>
      <xdr:rowOff>9525</xdr:rowOff>
    </xdr:to>
    <xdr:sp macro="" textlink="">
      <xdr:nvSpPr>
        <xdr:cNvPr id="3" name="Rectangle 2">
          <a:extLst>
            <a:ext uri="{FF2B5EF4-FFF2-40B4-BE49-F238E27FC236}">
              <a16:creationId xmlns:a16="http://schemas.microsoft.com/office/drawing/2014/main" id="{8C73144D-59B4-4EBE-B95C-2E2334A98052}"/>
            </a:ext>
          </a:extLst>
        </xdr:cNvPr>
        <xdr:cNvSpPr/>
      </xdr:nvSpPr>
      <xdr:spPr>
        <a:xfrm>
          <a:off x="1530350" y="16211550"/>
          <a:ext cx="5354320" cy="1787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82</xdr:row>
      <xdr:rowOff>0</xdr:rowOff>
    </xdr:from>
    <xdr:to>
      <xdr:col>10</xdr:col>
      <xdr:colOff>632460</xdr:colOff>
      <xdr:row>92</xdr:row>
      <xdr:rowOff>7620</xdr:rowOff>
    </xdr:to>
    <xdr:graphicFrame macro="">
      <xdr:nvGraphicFramePr>
        <xdr:cNvPr id="4" name="Chart 3">
          <a:extLst>
            <a:ext uri="{FF2B5EF4-FFF2-40B4-BE49-F238E27FC236}">
              <a16:creationId xmlns:a16="http://schemas.microsoft.com/office/drawing/2014/main" id="{5FDE86AF-3F5E-40F7-8C1F-3A9352CF9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257175</xdr:colOff>
      <xdr:row>73</xdr:row>
      <xdr:rowOff>57150</xdr:rowOff>
    </xdr:from>
    <xdr:to>
      <xdr:col>20</xdr:col>
      <xdr:colOff>561370</xdr:colOff>
      <xdr:row>91</xdr:row>
      <xdr:rowOff>2746</xdr:rowOff>
    </xdr:to>
    <xdr:pic>
      <xdr:nvPicPr>
        <xdr:cNvPr id="5" name="Picture 4">
          <a:extLst>
            <a:ext uri="{FF2B5EF4-FFF2-40B4-BE49-F238E27FC236}">
              <a16:creationId xmlns:a16="http://schemas.microsoft.com/office/drawing/2014/main" id="{596F594B-A437-4BA1-A0A4-7808777CE5C7}"/>
            </a:ext>
          </a:extLst>
        </xdr:cNvPr>
        <xdr:cNvPicPr>
          <a:picLocks noChangeAspect="1"/>
        </xdr:cNvPicPr>
      </xdr:nvPicPr>
      <xdr:blipFill>
        <a:blip xmlns:r="http://schemas.openxmlformats.org/officeDocument/2006/relationships" r:embed="rId3"/>
        <a:stretch>
          <a:fillRect/>
        </a:stretch>
      </xdr:blipFill>
      <xdr:spPr>
        <a:xfrm>
          <a:off x="7686675" y="14668500"/>
          <a:ext cx="5057170" cy="314599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504825</xdr:colOff>
      <xdr:row>54</xdr:row>
      <xdr:rowOff>0</xdr:rowOff>
    </xdr:from>
    <xdr:to>
      <xdr:col>21</xdr:col>
      <xdr:colOff>0</xdr:colOff>
      <xdr:row>54</xdr:row>
      <xdr:rowOff>0</xdr:rowOff>
    </xdr:to>
    <xdr:graphicFrame macro="">
      <xdr:nvGraphicFramePr>
        <xdr:cNvPr id="2" name="Chart 1">
          <a:extLst>
            <a:ext uri="{FF2B5EF4-FFF2-40B4-BE49-F238E27FC236}">
              <a16:creationId xmlns:a16="http://schemas.microsoft.com/office/drawing/2014/main" id="{15D45010-46B7-4B41-8D07-31F1BC8908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133350</xdr:colOff>
      <xdr:row>54</xdr:row>
      <xdr:rowOff>0</xdr:rowOff>
    </xdr:from>
    <xdr:to>
      <xdr:col>10</xdr:col>
      <xdr:colOff>285750</xdr:colOff>
      <xdr:row>54</xdr:row>
      <xdr:rowOff>0</xdr:rowOff>
    </xdr:to>
    <xdr:graphicFrame macro="">
      <xdr:nvGraphicFramePr>
        <xdr:cNvPr id="3" name="Chart 1">
          <a:extLst>
            <a:ext uri="{FF2B5EF4-FFF2-40B4-BE49-F238E27FC236}">
              <a16:creationId xmlns:a16="http://schemas.microsoft.com/office/drawing/2014/main" id="{5F570C66-6E6A-48E9-8DC4-18E00E7983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381000</xdr:colOff>
      <xdr:row>54</xdr:row>
      <xdr:rowOff>0</xdr:rowOff>
    </xdr:from>
    <xdr:to>
      <xdr:col>15</xdr:col>
      <xdr:colOff>561975</xdr:colOff>
      <xdr:row>54</xdr:row>
      <xdr:rowOff>0</xdr:rowOff>
    </xdr:to>
    <xdr:graphicFrame macro="">
      <xdr:nvGraphicFramePr>
        <xdr:cNvPr id="4" name="Chart 3">
          <a:extLst>
            <a:ext uri="{FF2B5EF4-FFF2-40B4-BE49-F238E27FC236}">
              <a16:creationId xmlns:a16="http://schemas.microsoft.com/office/drawing/2014/main" id="{4FB1622A-2CE0-46B7-9CF4-F893246A1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35</xdr:row>
      <xdr:rowOff>152400</xdr:rowOff>
    </xdr:from>
    <xdr:to>
      <xdr:col>21</xdr:col>
      <xdr:colOff>0</xdr:colOff>
      <xdr:row>49</xdr:row>
      <xdr:rowOff>66675</xdr:rowOff>
    </xdr:to>
    <xdr:graphicFrame macro="">
      <xdr:nvGraphicFramePr>
        <xdr:cNvPr id="5" name="Chart 5">
          <a:extLst>
            <a:ext uri="{FF2B5EF4-FFF2-40B4-BE49-F238E27FC236}">
              <a16:creationId xmlns:a16="http://schemas.microsoft.com/office/drawing/2014/main" id="{34127B3C-6998-450E-BB41-F3B2BD2DC2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72</xdr:row>
      <xdr:rowOff>0</xdr:rowOff>
    </xdr:from>
    <xdr:to>
      <xdr:col>9</xdr:col>
      <xdr:colOff>69661</xdr:colOff>
      <xdr:row>80</xdr:row>
      <xdr:rowOff>106584</xdr:rowOff>
    </xdr:to>
    <xdr:sp macro="" textlink="">
      <xdr:nvSpPr>
        <xdr:cNvPr id="6" name="Rectangle 5">
          <a:extLst>
            <a:ext uri="{FF2B5EF4-FFF2-40B4-BE49-F238E27FC236}">
              <a16:creationId xmlns:a16="http://schemas.microsoft.com/office/drawing/2014/main" id="{FA752044-0709-4DF6-B2D6-43824D87B2EB}"/>
            </a:ext>
          </a:extLst>
        </xdr:cNvPr>
        <xdr:cNvSpPr/>
      </xdr:nvSpPr>
      <xdr:spPr>
        <a:xfrm>
          <a:off x="1504950" y="13138150"/>
          <a:ext cx="4521011" cy="157978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72</xdr:row>
      <xdr:rowOff>0</xdr:rowOff>
    </xdr:from>
    <xdr:to>
      <xdr:col>9</xdr:col>
      <xdr:colOff>83820</xdr:colOff>
      <xdr:row>80</xdr:row>
      <xdr:rowOff>129539</xdr:rowOff>
    </xdr:to>
    <xdr:graphicFrame macro="">
      <xdr:nvGraphicFramePr>
        <xdr:cNvPr id="7" name="Chart 5">
          <a:extLst>
            <a:ext uri="{FF2B5EF4-FFF2-40B4-BE49-F238E27FC236}">
              <a16:creationId xmlns:a16="http://schemas.microsoft.com/office/drawing/2014/main" id="{056563C2-5C55-458C-BB2C-595E33E9C0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56</xdr:row>
      <xdr:rowOff>0</xdr:rowOff>
    </xdr:from>
    <xdr:to>
      <xdr:col>16</xdr:col>
      <xdr:colOff>142875</xdr:colOff>
      <xdr:row>56</xdr:row>
      <xdr:rowOff>0</xdr:rowOff>
    </xdr:to>
    <xdr:graphicFrame macro="">
      <xdr:nvGraphicFramePr>
        <xdr:cNvPr id="2" name="Chart 2">
          <a:extLst>
            <a:ext uri="{FF2B5EF4-FFF2-40B4-BE49-F238E27FC236}">
              <a16:creationId xmlns:a16="http://schemas.microsoft.com/office/drawing/2014/main" id="{FCC78A0A-568E-45AD-9DCC-877D23AA81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19048</xdr:colOff>
      <xdr:row>23</xdr:row>
      <xdr:rowOff>114300</xdr:rowOff>
    </xdr:from>
    <xdr:to>
      <xdr:col>18</xdr:col>
      <xdr:colOff>439615</xdr:colOff>
      <xdr:row>49</xdr:row>
      <xdr:rowOff>57150</xdr:rowOff>
    </xdr:to>
    <xdr:graphicFrame macro="">
      <xdr:nvGraphicFramePr>
        <xdr:cNvPr id="3" name="Chart 4">
          <a:extLst>
            <a:ext uri="{FF2B5EF4-FFF2-40B4-BE49-F238E27FC236}">
              <a16:creationId xmlns:a16="http://schemas.microsoft.com/office/drawing/2014/main" id="{C45E9D37-5109-4110-BFD1-517DB21BD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3</xdr:col>
      <xdr:colOff>114300</xdr:colOff>
      <xdr:row>16</xdr:row>
      <xdr:rowOff>76200</xdr:rowOff>
    </xdr:from>
    <xdr:to>
      <xdr:col>3</xdr:col>
      <xdr:colOff>588645</xdr:colOff>
      <xdr:row>18</xdr:row>
      <xdr:rowOff>53340</xdr:rowOff>
    </xdr:to>
    <xdr:sp macro="" textlink="">
      <xdr:nvSpPr>
        <xdr:cNvPr id="2" name="Text Box 3">
          <a:extLst>
            <a:ext uri="{FF2B5EF4-FFF2-40B4-BE49-F238E27FC236}">
              <a16:creationId xmlns:a16="http://schemas.microsoft.com/office/drawing/2014/main" id="{26757F10-23D2-4434-8238-FBDA2EFC1617}"/>
            </a:ext>
          </a:extLst>
        </xdr:cNvPr>
        <xdr:cNvSpPr txBox="1">
          <a:spLocks noChangeArrowheads="1"/>
        </xdr:cNvSpPr>
      </xdr:nvSpPr>
      <xdr:spPr bwMode="auto">
        <a:xfrm>
          <a:off x="1943100" y="4514850"/>
          <a:ext cx="483870" cy="342900"/>
        </a:xfrm>
        <a:prstGeom prst="rect">
          <a:avLst/>
        </a:prstGeom>
        <a:noFill/>
        <a:ln w="9525">
          <a:noFill/>
          <a:miter lim="800000"/>
          <a:headEnd/>
          <a:tailEnd/>
        </a:ln>
      </xdr:spPr>
    </xdr:sp>
    <xdr:clientData/>
  </xdr:twoCellAnchor>
  <xdr:twoCellAnchor>
    <xdr:from>
      <xdr:col>2</xdr:col>
      <xdr:colOff>219076</xdr:colOff>
      <xdr:row>24</xdr:row>
      <xdr:rowOff>38100</xdr:rowOff>
    </xdr:from>
    <xdr:to>
      <xdr:col>25</xdr:col>
      <xdr:colOff>504826</xdr:colOff>
      <xdr:row>41</xdr:row>
      <xdr:rowOff>57149</xdr:rowOff>
    </xdr:to>
    <xdr:graphicFrame macro="">
      <xdr:nvGraphicFramePr>
        <xdr:cNvPr id="3" name="Chart 5">
          <a:extLst>
            <a:ext uri="{FF2B5EF4-FFF2-40B4-BE49-F238E27FC236}">
              <a16:creationId xmlns:a16="http://schemas.microsoft.com/office/drawing/2014/main" id="{D2A8300A-BA17-4F71-8118-A85AF3E4A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20</xdr:col>
      <xdr:colOff>95250</xdr:colOff>
      <xdr:row>26</xdr:row>
      <xdr:rowOff>70485</xdr:rowOff>
    </xdr:from>
    <xdr:ext cx="25400" cy="302865"/>
    <xdr:sp macro="" textlink="">
      <xdr:nvSpPr>
        <xdr:cNvPr id="4" name="Text Box 6">
          <a:extLst>
            <a:ext uri="{FF2B5EF4-FFF2-40B4-BE49-F238E27FC236}">
              <a16:creationId xmlns:a16="http://schemas.microsoft.com/office/drawing/2014/main" id="{FA206E07-EF16-483B-9C2A-D66840B65C28}"/>
            </a:ext>
          </a:extLst>
        </xdr:cNvPr>
        <xdr:cNvSpPr txBox="1">
          <a:spLocks noChangeArrowheads="1"/>
        </xdr:cNvSpPr>
      </xdr:nvSpPr>
      <xdr:spPr bwMode="auto">
        <a:xfrm>
          <a:off x="12616815" y="6316980"/>
          <a:ext cx="25400" cy="302865"/>
        </a:xfrm>
        <a:prstGeom prst="rect">
          <a:avLst/>
        </a:prstGeom>
        <a:noFill/>
        <a:ln w="9525">
          <a:noFill/>
          <a:miter lim="800000"/>
          <a:headEnd/>
          <a:tailEnd/>
        </a:ln>
      </xdr:spPr>
      <xdr:txBody>
        <a:bodyPr wrap="none" lIns="18288" tIns="22860" rIns="0" bIns="0" anchor="t" upright="1">
          <a:spAutoFit/>
        </a:bodyPr>
        <a:lstStyle/>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xdr:txBody>
    </xdr:sp>
    <xdr:clientData/>
  </xdr:oneCellAnchor>
  <xdr:twoCellAnchor editAs="oneCell">
    <xdr:from>
      <xdr:col>3</xdr:col>
      <xdr:colOff>114300</xdr:colOff>
      <xdr:row>17</xdr:row>
      <xdr:rowOff>76200</xdr:rowOff>
    </xdr:from>
    <xdr:to>
      <xdr:col>3</xdr:col>
      <xdr:colOff>588645</xdr:colOff>
      <xdr:row>19</xdr:row>
      <xdr:rowOff>57149</xdr:rowOff>
    </xdr:to>
    <xdr:sp macro="" textlink="">
      <xdr:nvSpPr>
        <xdr:cNvPr id="5" name="Text Box 3">
          <a:extLst>
            <a:ext uri="{FF2B5EF4-FFF2-40B4-BE49-F238E27FC236}">
              <a16:creationId xmlns:a16="http://schemas.microsoft.com/office/drawing/2014/main" id="{3776E284-0656-494C-BE62-928DC19E7A3A}"/>
            </a:ext>
          </a:extLst>
        </xdr:cNvPr>
        <xdr:cNvSpPr txBox="1">
          <a:spLocks noChangeArrowheads="1"/>
        </xdr:cNvSpPr>
      </xdr:nvSpPr>
      <xdr:spPr bwMode="auto">
        <a:xfrm>
          <a:off x="1943100" y="4695825"/>
          <a:ext cx="483870" cy="346709"/>
        </a:xfrm>
        <a:prstGeom prst="rect">
          <a:avLst/>
        </a:prstGeom>
        <a:noFill/>
        <a:ln w="9525">
          <a:noFill/>
          <a:miter lim="800000"/>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38100</xdr:colOff>
      <xdr:row>92</xdr:row>
      <xdr:rowOff>38100</xdr:rowOff>
    </xdr:from>
    <xdr:to>
      <xdr:col>10</xdr:col>
      <xdr:colOff>304800</xdr:colOff>
      <xdr:row>108</xdr:row>
      <xdr:rowOff>161925</xdr:rowOff>
    </xdr:to>
    <xdr:graphicFrame macro="">
      <xdr:nvGraphicFramePr>
        <xdr:cNvPr id="2" name="Chart 1">
          <a:extLst>
            <a:ext uri="{FF2B5EF4-FFF2-40B4-BE49-F238E27FC236}">
              <a16:creationId xmlns:a16="http://schemas.microsoft.com/office/drawing/2014/main" id="{9AD47FD2-6783-4875-9C9B-B7E1FC24E5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130175</xdr:colOff>
      <xdr:row>60</xdr:row>
      <xdr:rowOff>19050</xdr:rowOff>
    </xdr:from>
    <xdr:to>
      <xdr:col>19</xdr:col>
      <xdr:colOff>314325</xdr:colOff>
      <xdr:row>116</xdr:row>
      <xdr:rowOff>144462</xdr:rowOff>
    </xdr:to>
    <xdr:graphicFrame macro="">
      <xdr:nvGraphicFramePr>
        <xdr:cNvPr id="3" name="Chart 2">
          <a:extLst>
            <a:ext uri="{FF2B5EF4-FFF2-40B4-BE49-F238E27FC236}">
              <a16:creationId xmlns:a16="http://schemas.microsoft.com/office/drawing/2014/main" id="{7B65CAFE-FC64-4FAD-93BF-C9C93CE7CA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683896</xdr:colOff>
      <xdr:row>28</xdr:row>
      <xdr:rowOff>47625</xdr:rowOff>
    </xdr:from>
    <xdr:to>
      <xdr:col>17</xdr:col>
      <xdr:colOff>114300</xdr:colOff>
      <xdr:row>47</xdr:row>
      <xdr:rowOff>40004</xdr:rowOff>
    </xdr:to>
    <xdr:graphicFrame macro="">
      <xdr:nvGraphicFramePr>
        <xdr:cNvPr id="2" name="Chart 4">
          <a:extLst>
            <a:ext uri="{FF2B5EF4-FFF2-40B4-BE49-F238E27FC236}">
              <a16:creationId xmlns:a16="http://schemas.microsoft.com/office/drawing/2014/main" id="{8ED09F1F-0D25-4795-B038-EF15D2AFC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56</xdr:row>
      <xdr:rowOff>0</xdr:rowOff>
    </xdr:from>
    <xdr:to>
      <xdr:col>13</xdr:col>
      <xdr:colOff>533400</xdr:colOff>
      <xdr:row>67</xdr:row>
      <xdr:rowOff>104140</xdr:rowOff>
    </xdr:to>
    <xdr:sp macro="" textlink="">
      <xdr:nvSpPr>
        <xdr:cNvPr id="3" name="Rectangle 2">
          <a:extLst>
            <a:ext uri="{FF2B5EF4-FFF2-40B4-BE49-F238E27FC236}">
              <a16:creationId xmlns:a16="http://schemas.microsoft.com/office/drawing/2014/main" id="{BEE8B980-D054-4B18-B51F-D98B86DED945}"/>
            </a:ext>
          </a:extLst>
        </xdr:cNvPr>
        <xdr:cNvSpPr/>
      </xdr:nvSpPr>
      <xdr:spPr>
        <a:xfrm>
          <a:off x="1530350" y="10318750"/>
          <a:ext cx="7797800" cy="212979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76200</xdr:colOff>
      <xdr:row>55</xdr:row>
      <xdr:rowOff>161925</xdr:rowOff>
    </xdr:from>
    <xdr:to>
      <xdr:col>14</xdr:col>
      <xdr:colOff>13335</xdr:colOff>
      <xdr:row>67</xdr:row>
      <xdr:rowOff>93345</xdr:rowOff>
    </xdr:to>
    <xdr:graphicFrame macro="">
      <xdr:nvGraphicFramePr>
        <xdr:cNvPr id="4" name="Chart 4">
          <a:extLst>
            <a:ext uri="{FF2B5EF4-FFF2-40B4-BE49-F238E27FC236}">
              <a16:creationId xmlns:a16="http://schemas.microsoft.com/office/drawing/2014/main" id="{7F4E4E7B-D9E7-47C2-BB3E-6069462310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0.52921</cdr:x>
      <cdr:y>0.35561</cdr:y>
    </cdr:from>
    <cdr:to>
      <cdr:x>0.72707</cdr:x>
      <cdr:y>0.44748</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ZA"/>
        </a:p>
      </cdr:txBody>
    </cdr:sp>
  </cdr:relSizeAnchor>
</c:userShapes>
</file>

<file path=xl/drawings/drawing37.xml><?xml version="1.0" encoding="utf-8"?>
<c:userShapes xmlns:c="http://schemas.openxmlformats.org/drawingml/2006/chart">
  <cdr:relSizeAnchor xmlns:cdr="http://schemas.openxmlformats.org/drawingml/2006/chartDrawing">
    <cdr:from>
      <cdr:x>0.52921</cdr:x>
      <cdr:y>0.35561</cdr:y>
    </cdr:from>
    <cdr:to>
      <cdr:x>0.72707</cdr:x>
      <cdr:y>0.44748</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ZA"/>
        </a:p>
      </cdr:txBody>
    </cdr:sp>
  </cdr:relSizeAnchor>
</c:userShapes>
</file>

<file path=xl/drawings/drawing38.xml><?xml version="1.0" encoding="utf-8"?>
<xdr:wsDr xmlns:xdr="http://schemas.openxmlformats.org/drawingml/2006/spreadsheetDrawing" xmlns:a="http://schemas.openxmlformats.org/drawingml/2006/main">
  <xdr:twoCellAnchor>
    <xdr:from>
      <xdr:col>2</xdr:col>
      <xdr:colOff>247650</xdr:colOff>
      <xdr:row>55</xdr:row>
      <xdr:rowOff>87630</xdr:rowOff>
    </xdr:from>
    <xdr:to>
      <xdr:col>12</xdr:col>
      <xdr:colOff>464820</xdr:colOff>
      <xdr:row>67</xdr:row>
      <xdr:rowOff>91440</xdr:rowOff>
    </xdr:to>
    <xdr:graphicFrame macro="">
      <xdr:nvGraphicFramePr>
        <xdr:cNvPr id="2" name="Chart 1">
          <a:extLst>
            <a:ext uri="{FF2B5EF4-FFF2-40B4-BE49-F238E27FC236}">
              <a16:creationId xmlns:a16="http://schemas.microsoft.com/office/drawing/2014/main" id="{BA00DDA0-2BF0-497A-8823-72387C777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2</xdr:col>
      <xdr:colOff>244474</xdr:colOff>
      <xdr:row>65</xdr:row>
      <xdr:rowOff>12700</xdr:rowOff>
    </xdr:from>
    <xdr:to>
      <xdr:col>23</xdr:col>
      <xdr:colOff>15875</xdr:colOff>
      <xdr:row>83</xdr:row>
      <xdr:rowOff>12700</xdr:rowOff>
    </xdr:to>
    <xdr:graphicFrame macro="">
      <xdr:nvGraphicFramePr>
        <xdr:cNvPr id="2" name="Chart 1">
          <a:extLst>
            <a:ext uri="{FF2B5EF4-FFF2-40B4-BE49-F238E27FC236}">
              <a16:creationId xmlns:a16="http://schemas.microsoft.com/office/drawing/2014/main" id="{B9A381D0-001F-44EB-BCD9-ABB5B97463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7620</xdr:colOff>
      <xdr:row>134</xdr:row>
      <xdr:rowOff>15240</xdr:rowOff>
    </xdr:from>
    <xdr:to>
      <xdr:col>11</xdr:col>
      <xdr:colOff>190500</xdr:colOff>
      <xdr:row>148</xdr:row>
      <xdr:rowOff>7620</xdr:rowOff>
    </xdr:to>
    <xdr:graphicFrame macro="">
      <xdr:nvGraphicFramePr>
        <xdr:cNvPr id="3" name="Chart 2">
          <a:extLst>
            <a:ext uri="{FF2B5EF4-FFF2-40B4-BE49-F238E27FC236}">
              <a16:creationId xmlns:a16="http://schemas.microsoft.com/office/drawing/2014/main" id="{AA386D23-2056-488E-B55C-6C5BFEBD22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177800</xdr:colOff>
      <xdr:row>38</xdr:row>
      <xdr:rowOff>95250</xdr:rowOff>
    </xdr:from>
    <xdr:to>
      <xdr:col>25</xdr:col>
      <xdr:colOff>247650</xdr:colOff>
      <xdr:row>63</xdr:row>
      <xdr:rowOff>49212</xdr:rowOff>
    </xdr:to>
    <xdr:graphicFrame macro="">
      <xdr:nvGraphicFramePr>
        <xdr:cNvPr id="4" name="Chart 3">
          <a:extLst>
            <a:ext uri="{FF2B5EF4-FFF2-40B4-BE49-F238E27FC236}">
              <a16:creationId xmlns:a16="http://schemas.microsoft.com/office/drawing/2014/main" id="{90FE5ACF-32E1-43BA-BA9B-D66FBF92B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520700</xdr:colOff>
      <xdr:row>121</xdr:row>
      <xdr:rowOff>155575</xdr:rowOff>
    </xdr:from>
    <xdr:to>
      <xdr:col>17</xdr:col>
      <xdr:colOff>114300</xdr:colOff>
      <xdr:row>137</xdr:row>
      <xdr:rowOff>53975</xdr:rowOff>
    </xdr:to>
    <xdr:graphicFrame macro="">
      <xdr:nvGraphicFramePr>
        <xdr:cNvPr id="5" name="Chart 4">
          <a:extLst>
            <a:ext uri="{FF2B5EF4-FFF2-40B4-BE49-F238E27FC236}">
              <a16:creationId xmlns:a16="http://schemas.microsoft.com/office/drawing/2014/main" id="{9810DA6E-D547-4C17-9F28-9FE49A265B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311150</xdr:colOff>
      <xdr:row>12</xdr:row>
      <xdr:rowOff>96837</xdr:rowOff>
    </xdr:from>
    <xdr:to>
      <xdr:col>28</xdr:col>
      <xdr:colOff>142875</xdr:colOff>
      <xdr:row>29</xdr:row>
      <xdr:rowOff>7937</xdr:rowOff>
    </xdr:to>
    <xdr:graphicFrame macro="">
      <xdr:nvGraphicFramePr>
        <xdr:cNvPr id="6" name="Chart 5">
          <a:extLst>
            <a:ext uri="{FF2B5EF4-FFF2-40B4-BE49-F238E27FC236}">
              <a16:creationId xmlns:a16="http://schemas.microsoft.com/office/drawing/2014/main" id="{F737830F-38F8-4B06-B98D-3562A085C4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xdr:col>
      <xdr:colOff>548640</xdr:colOff>
      <xdr:row>43</xdr:row>
      <xdr:rowOff>0</xdr:rowOff>
    </xdr:from>
    <xdr:ext cx="83820" cy="193888"/>
    <xdr:sp macro="" textlink="">
      <xdr:nvSpPr>
        <xdr:cNvPr id="2" name="Text Box 1">
          <a:extLst>
            <a:ext uri="{FF2B5EF4-FFF2-40B4-BE49-F238E27FC236}">
              <a16:creationId xmlns:a16="http://schemas.microsoft.com/office/drawing/2014/main" id="{8A55AE4A-C746-4CCC-9498-79FCBB8C9475}"/>
            </a:ext>
          </a:extLst>
        </xdr:cNvPr>
        <xdr:cNvSpPr txBox="1">
          <a:spLocks noChangeArrowheads="1"/>
        </xdr:cNvSpPr>
      </xdr:nvSpPr>
      <xdr:spPr bwMode="auto">
        <a:xfrm>
          <a:off x="2472690" y="7918450"/>
          <a:ext cx="83820" cy="193888"/>
        </a:xfrm>
        <a:prstGeom prst="rect">
          <a:avLst/>
        </a:prstGeom>
        <a:noFill/>
        <a:ln w="9525">
          <a:noFill/>
          <a:miter lim="800000"/>
          <a:headEnd/>
          <a:tailEnd/>
        </a:ln>
      </xdr:spPr>
    </xdr:sp>
    <xdr:clientData/>
  </xdr:oneCellAnchor>
  <xdr:twoCellAnchor>
    <xdr:from>
      <xdr:col>5</xdr:col>
      <xdr:colOff>55880</xdr:colOff>
      <xdr:row>15</xdr:row>
      <xdr:rowOff>32385</xdr:rowOff>
    </xdr:from>
    <xdr:to>
      <xdr:col>17</xdr:col>
      <xdr:colOff>368299</xdr:colOff>
      <xdr:row>38</xdr:row>
      <xdr:rowOff>79375</xdr:rowOff>
    </xdr:to>
    <xdr:graphicFrame macro="">
      <xdr:nvGraphicFramePr>
        <xdr:cNvPr id="3" name="Chart 2">
          <a:extLst>
            <a:ext uri="{FF2B5EF4-FFF2-40B4-BE49-F238E27FC236}">
              <a16:creationId xmlns:a16="http://schemas.microsoft.com/office/drawing/2014/main" id="{3041101A-55A7-4E57-BCBD-FD3D4373F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160020</xdr:colOff>
      <xdr:row>55</xdr:row>
      <xdr:rowOff>57150</xdr:rowOff>
    </xdr:from>
    <xdr:to>
      <xdr:col>19</xdr:col>
      <xdr:colOff>68580</xdr:colOff>
      <xdr:row>73</xdr:row>
      <xdr:rowOff>57150</xdr:rowOff>
    </xdr:to>
    <xdr:graphicFrame macro="">
      <xdr:nvGraphicFramePr>
        <xdr:cNvPr id="4" name="Chart 3">
          <a:extLst>
            <a:ext uri="{FF2B5EF4-FFF2-40B4-BE49-F238E27FC236}">
              <a16:creationId xmlns:a16="http://schemas.microsoft.com/office/drawing/2014/main" id="{234220F5-94C4-45D0-BB3E-2443EE88B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60325</xdr:colOff>
      <xdr:row>14</xdr:row>
      <xdr:rowOff>82550</xdr:rowOff>
    </xdr:from>
    <xdr:to>
      <xdr:col>31</xdr:col>
      <xdr:colOff>134619</xdr:colOff>
      <xdr:row>38</xdr:row>
      <xdr:rowOff>18415</xdr:rowOff>
    </xdr:to>
    <xdr:graphicFrame macro="">
      <xdr:nvGraphicFramePr>
        <xdr:cNvPr id="5" name="Chart 4">
          <a:extLst>
            <a:ext uri="{FF2B5EF4-FFF2-40B4-BE49-F238E27FC236}">
              <a16:creationId xmlns:a16="http://schemas.microsoft.com/office/drawing/2014/main" id="{A0E8DD61-146A-4A06-957A-121ED3BCB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2</xdr:col>
      <xdr:colOff>450215</xdr:colOff>
      <xdr:row>22</xdr:row>
      <xdr:rowOff>114300</xdr:rowOff>
    </xdr:from>
    <xdr:to>
      <xdr:col>25</xdr:col>
      <xdr:colOff>123825</xdr:colOff>
      <xdr:row>37</xdr:row>
      <xdr:rowOff>50165</xdr:rowOff>
    </xdr:to>
    <xdr:graphicFrame macro="">
      <xdr:nvGraphicFramePr>
        <xdr:cNvPr id="2" name="Chart 1">
          <a:extLst>
            <a:ext uri="{FF2B5EF4-FFF2-40B4-BE49-F238E27FC236}">
              <a16:creationId xmlns:a16="http://schemas.microsoft.com/office/drawing/2014/main" id="{C96084E5-6C21-456F-97EB-9A91DD30A8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2</xdr:col>
      <xdr:colOff>200024</xdr:colOff>
      <xdr:row>16</xdr:row>
      <xdr:rowOff>152400</xdr:rowOff>
    </xdr:from>
    <xdr:to>
      <xdr:col>20</xdr:col>
      <xdr:colOff>571499</xdr:colOff>
      <xdr:row>33</xdr:row>
      <xdr:rowOff>9525</xdr:rowOff>
    </xdr:to>
    <xdr:graphicFrame macro="">
      <xdr:nvGraphicFramePr>
        <xdr:cNvPr id="2" name="Chart 1">
          <a:extLst>
            <a:ext uri="{FF2B5EF4-FFF2-40B4-BE49-F238E27FC236}">
              <a16:creationId xmlns:a16="http://schemas.microsoft.com/office/drawing/2014/main" id="{EF9D238D-EE9A-46E5-A000-56D351825B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2</xdr:col>
      <xdr:colOff>226060</xdr:colOff>
      <xdr:row>25</xdr:row>
      <xdr:rowOff>28575</xdr:rowOff>
    </xdr:from>
    <xdr:to>
      <xdr:col>25</xdr:col>
      <xdr:colOff>400050</xdr:colOff>
      <xdr:row>36</xdr:row>
      <xdr:rowOff>19050</xdr:rowOff>
    </xdr:to>
    <xdr:graphicFrame macro="">
      <xdr:nvGraphicFramePr>
        <xdr:cNvPr id="2" name="Chart 1">
          <a:extLst>
            <a:ext uri="{FF2B5EF4-FFF2-40B4-BE49-F238E27FC236}">
              <a16:creationId xmlns:a16="http://schemas.microsoft.com/office/drawing/2014/main" id="{056A7AD5-75A6-496A-B18A-FEE806893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203200</xdr:colOff>
      <xdr:row>60</xdr:row>
      <xdr:rowOff>104776</xdr:rowOff>
    </xdr:from>
    <xdr:to>
      <xdr:col>18</xdr:col>
      <xdr:colOff>120650</xdr:colOff>
      <xdr:row>81</xdr:row>
      <xdr:rowOff>173038</xdr:rowOff>
    </xdr:to>
    <xdr:graphicFrame macro="">
      <xdr:nvGraphicFramePr>
        <xdr:cNvPr id="3" name="Chart 2">
          <a:extLst>
            <a:ext uri="{FF2B5EF4-FFF2-40B4-BE49-F238E27FC236}">
              <a16:creationId xmlns:a16="http://schemas.microsoft.com/office/drawing/2014/main" id="{4F193BE8-9616-424F-82F0-8DAD223E6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3</xdr:col>
      <xdr:colOff>9525</xdr:colOff>
      <xdr:row>11</xdr:row>
      <xdr:rowOff>234951</xdr:rowOff>
    </xdr:from>
    <xdr:to>
      <xdr:col>19</xdr:col>
      <xdr:colOff>438150</xdr:colOff>
      <xdr:row>26</xdr:row>
      <xdr:rowOff>762000</xdr:rowOff>
    </xdr:to>
    <xdr:graphicFrame macro="">
      <xdr:nvGraphicFramePr>
        <xdr:cNvPr id="2" name="Chart 1">
          <a:extLst>
            <a:ext uri="{FF2B5EF4-FFF2-40B4-BE49-F238E27FC236}">
              <a16:creationId xmlns:a16="http://schemas.microsoft.com/office/drawing/2014/main" id="{472CC434-352B-4DBE-8F07-26CF6231B2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64</xdr:row>
      <xdr:rowOff>19050</xdr:rowOff>
    </xdr:from>
    <xdr:to>
      <xdr:col>4</xdr:col>
      <xdr:colOff>432434</xdr:colOff>
      <xdr:row>77</xdr:row>
      <xdr:rowOff>116204</xdr:rowOff>
    </xdr:to>
    <xdr:graphicFrame macro="">
      <xdr:nvGraphicFramePr>
        <xdr:cNvPr id="3" name="Chart 2">
          <a:extLst>
            <a:ext uri="{FF2B5EF4-FFF2-40B4-BE49-F238E27FC236}">
              <a16:creationId xmlns:a16="http://schemas.microsoft.com/office/drawing/2014/main" id="{59FAD233-0FC0-43B6-914F-0A1625AD6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205740</xdr:colOff>
      <xdr:row>16</xdr:row>
      <xdr:rowOff>7620</xdr:rowOff>
    </xdr:from>
    <xdr:to>
      <xdr:col>9</xdr:col>
      <xdr:colOff>365760</xdr:colOff>
      <xdr:row>33</xdr:row>
      <xdr:rowOff>7620</xdr:rowOff>
    </xdr:to>
    <xdr:graphicFrame macro="">
      <xdr:nvGraphicFramePr>
        <xdr:cNvPr id="2" name="Chart 1">
          <a:extLst>
            <a:ext uri="{FF2B5EF4-FFF2-40B4-BE49-F238E27FC236}">
              <a16:creationId xmlns:a16="http://schemas.microsoft.com/office/drawing/2014/main" id="{DD9DC640-2610-4C87-B3A7-254585DBD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205739</xdr:colOff>
      <xdr:row>15</xdr:row>
      <xdr:rowOff>114300</xdr:rowOff>
    </xdr:from>
    <xdr:to>
      <xdr:col>12</xdr:col>
      <xdr:colOff>276225</xdr:colOff>
      <xdr:row>32</xdr:row>
      <xdr:rowOff>104776</xdr:rowOff>
    </xdr:to>
    <xdr:graphicFrame macro="">
      <xdr:nvGraphicFramePr>
        <xdr:cNvPr id="3" name="Chart 1">
          <a:extLst>
            <a:ext uri="{FF2B5EF4-FFF2-40B4-BE49-F238E27FC236}">
              <a16:creationId xmlns:a16="http://schemas.microsoft.com/office/drawing/2014/main" id="{7E495A80-A363-468C-A11C-D4DBC04C3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7621</xdr:colOff>
      <xdr:row>15</xdr:row>
      <xdr:rowOff>7620</xdr:rowOff>
    </xdr:from>
    <xdr:to>
      <xdr:col>23</xdr:col>
      <xdr:colOff>209551</xdr:colOff>
      <xdr:row>32</xdr:row>
      <xdr:rowOff>34925</xdr:rowOff>
    </xdr:to>
    <xdr:graphicFrame macro="">
      <xdr:nvGraphicFramePr>
        <xdr:cNvPr id="4" name="Chart 2">
          <a:extLst>
            <a:ext uri="{FF2B5EF4-FFF2-40B4-BE49-F238E27FC236}">
              <a16:creationId xmlns:a16="http://schemas.microsoft.com/office/drawing/2014/main" id="{9414FBB3-AE05-4548-9528-5349361B3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495300</xdr:colOff>
      <xdr:row>14</xdr:row>
      <xdr:rowOff>152401</xdr:rowOff>
    </xdr:from>
    <xdr:to>
      <xdr:col>31</xdr:col>
      <xdr:colOff>409575</xdr:colOff>
      <xdr:row>31</xdr:row>
      <xdr:rowOff>101600</xdr:rowOff>
    </xdr:to>
    <xdr:graphicFrame macro="">
      <xdr:nvGraphicFramePr>
        <xdr:cNvPr id="5" name="Chart 4">
          <a:extLst>
            <a:ext uri="{FF2B5EF4-FFF2-40B4-BE49-F238E27FC236}">
              <a16:creationId xmlns:a16="http://schemas.microsoft.com/office/drawing/2014/main" id="{A85E4757-8825-4AA7-A751-AD85A2AF0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3</xdr:col>
      <xdr:colOff>1905</xdr:colOff>
      <xdr:row>11</xdr:row>
      <xdr:rowOff>27306</xdr:rowOff>
    </xdr:from>
    <xdr:to>
      <xdr:col>28</xdr:col>
      <xdr:colOff>268432</xdr:colOff>
      <xdr:row>27</xdr:row>
      <xdr:rowOff>6351</xdr:rowOff>
    </xdr:to>
    <xdr:graphicFrame macro="">
      <xdr:nvGraphicFramePr>
        <xdr:cNvPr id="2" name="Chart 1">
          <a:extLst>
            <a:ext uri="{FF2B5EF4-FFF2-40B4-BE49-F238E27FC236}">
              <a16:creationId xmlns:a16="http://schemas.microsoft.com/office/drawing/2014/main" id="{DDEA8764-EF63-4652-95AD-11CD10AD1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441960</xdr:colOff>
      <xdr:row>110</xdr:row>
      <xdr:rowOff>137160</xdr:rowOff>
    </xdr:from>
    <xdr:to>
      <xdr:col>13</xdr:col>
      <xdr:colOff>396240</xdr:colOff>
      <xdr:row>126</xdr:row>
      <xdr:rowOff>167640</xdr:rowOff>
    </xdr:to>
    <xdr:sp macro="" textlink="">
      <xdr:nvSpPr>
        <xdr:cNvPr id="3" name="Rectangle 1">
          <a:extLst>
            <a:ext uri="{FF2B5EF4-FFF2-40B4-BE49-F238E27FC236}">
              <a16:creationId xmlns:a16="http://schemas.microsoft.com/office/drawing/2014/main" id="{D56790D3-5E63-4E0E-9A55-52663072ABDE}"/>
            </a:ext>
          </a:extLst>
        </xdr:cNvPr>
        <xdr:cNvSpPr>
          <a:spLocks noChangeArrowheads="1"/>
        </xdr:cNvSpPr>
      </xdr:nvSpPr>
      <xdr:spPr bwMode="auto">
        <a:xfrm>
          <a:off x="702310" y="19949160"/>
          <a:ext cx="6691630" cy="2875280"/>
        </a:xfrm>
        <a:prstGeom prst="rect">
          <a:avLst/>
        </a:prstGeom>
        <a:solidFill>
          <a:srgbClr val="4F81BD"/>
        </a:solidFill>
        <a:ln w="38100">
          <a:solidFill>
            <a:srgbClr val="F2F2F2"/>
          </a:solidFill>
          <a:miter lim="800000"/>
          <a:headEnd/>
          <a:tailEnd/>
        </a:ln>
        <a:effectLst>
          <a:outerShdw dist="28398" dir="3806097" algn="ctr" rotWithShape="0">
            <a:srgbClr val="243F60">
              <a:alpha val="50000"/>
            </a:srgbClr>
          </a:outerShdw>
        </a:effectLst>
      </xdr:spPr>
    </xdr:sp>
    <xdr:clientData/>
  </xdr:twoCellAnchor>
</xdr:wsDr>
</file>

<file path=xl/drawings/drawing46.xml><?xml version="1.0" encoding="utf-8"?>
<xdr:wsDr xmlns:xdr="http://schemas.openxmlformats.org/drawingml/2006/spreadsheetDrawing" xmlns:a="http://schemas.openxmlformats.org/drawingml/2006/main">
  <xdr:twoCellAnchor>
    <xdr:from>
      <xdr:col>3</xdr:col>
      <xdr:colOff>10794</xdr:colOff>
      <xdr:row>30</xdr:row>
      <xdr:rowOff>0</xdr:rowOff>
    </xdr:from>
    <xdr:to>
      <xdr:col>18</xdr:col>
      <xdr:colOff>539749</xdr:colOff>
      <xdr:row>46</xdr:row>
      <xdr:rowOff>65405</xdr:rowOff>
    </xdr:to>
    <xdr:graphicFrame macro="">
      <xdr:nvGraphicFramePr>
        <xdr:cNvPr id="2" name="Chart 4">
          <a:extLst>
            <a:ext uri="{FF2B5EF4-FFF2-40B4-BE49-F238E27FC236}">
              <a16:creationId xmlns:a16="http://schemas.microsoft.com/office/drawing/2014/main" id="{57BDE121-FCD0-4D71-AB1C-7BB2EDCB8C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56</xdr:row>
      <xdr:rowOff>0</xdr:rowOff>
    </xdr:from>
    <xdr:to>
      <xdr:col>11</xdr:col>
      <xdr:colOff>464820</xdr:colOff>
      <xdr:row>66</xdr:row>
      <xdr:rowOff>106045</xdr:rowOff>
    </xdr:to>
    <xdr:sp macro="" textlink="">
      <xdr:nvSpPr>
        <xdr:cNvPr id="3" name="Rectangle 2">
          <a:extLst>
            <a:ext uri="{FF2B5EF4-FFF2-40B4-BE49-F238E27FC236}">
              <a16:creationId xmlns:a16="http://schemas.microsoft.com/office/drawing/2014/main" id="{8BDC4E2C-34F9-46F0-A574-69CA3FFECCE6}"/>
            </a:ext>
          </a:extLst>
        </xdr:cNvPr>
        <xdr:cNvSpPr/>
      </xdr:nvSpPr>
      <xdr:spPr>
        <a:xfrm>
          <a:off x="1530350" y="7670800"/>
          <a:ext cx="3606800" cy="19475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56</xdr:row>
      <xdr:rowOff>0</xdr:rowOff>
    </xdr:from>
    <xdr:to>
      <xdr:col>22</xdr:col>
      <xdr:colOff>232833</xdr:colOff>
      <xdr:row>79</xdr:row>
      <xdr:rowOff>52916</xdr:rowOff>
    </xdr:to>
    <xdr:graphicFrame macro="">
      <xdr:nvGraphicFramePr>
        <xdr:cNvPr id="4" name="Chart 4">
          <a:extLst>
            <a:ext uri="{FF2B5EF4-FFF2-40B4-BE49-F238E27FC236}">
              <a16:creationId xmlns:a16="http://schemas.microsoft.com/office/drawing/2014/main" id="{EEBFC605-7EB6-40AD-B9C6-0AA6768737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0.52798</cdr:x>
      <cdr:y>0.35536</cdr:y>
    </cdr:from>
    <cdr:to>
      <cdr:x>0.72608</cdr:x>
      <cdr:y>0.44675</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48.xml><?xml version="1.0" encoding="utf-8"?>
<c:userShapes xmlns:c="http://schemas.openxmlformats.org/drawingml/2006/chart">
  <cdr:relSizeAnchor xmlns:cdr="http://schemas.openxmlformats.org/drawingml/2006/chartDrawing">
    <cdr:from>
      <cdr:x>0.52798</cdr:x>
      <cdr:y>0.35536</cdr:y>
    </cdr:from>
    <cdr:to>
      <cdr:x>0.72608</cdr:x>
      <cdr:y>0.44675</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49.xml><?xml version="1.0" encoding="utf-8"?>
<xdr:wsDr xmlns:xdr="http://schemas.openxmlformats.org/drawingml/2006/spreadsheetDrawing" xmlns:a="http://schemas.openxmlformats.org/drawingml/2006/main">
  <xdr:twoCellAnchor>
    <xdr:from>
      <xdr:col>1</xdr:col>
      <xdr:colOff>744681</xdr:colOff>
      <xdr:row>24</xdr:row>
      <xdr:rowOff>150092</xdr:rowOff>
    </xdr:from>
    <xdr:to>
      <xdr:col>11</xdr:col>
      <xdr:colOff>276225</xdr:colOff>
      <xdr:row>38</xdr:row>
      <xdr:rowOff>133351</xdr:rowOff>
    </xdr:to>
    <xdr:graphicFrame macro="">
      <xdr:nvGraphicFramePr>
        <xdr:cNvPr id="2" name="Chart 1">
          <a:extLst>
            <a:ext uri="{FF2B5EF4-FFF2-40B4-BE49-F238E27FC236}">
              <a16:creationId xmlns:a16="http://schemas.microsoft.com/office/drawing/2014/main" id="{7CDC6D7E-8A9A-4700-8569-8258EF7AB1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104773</xdr:colOff>
      <xdr:row>21</xdr:row>
      <xdr:rowOff>38099</xdr:rowOff>
    </xdr:from>
    <xdr:to>
      <xdr:col>20</xdr:col>
      <xdr:colOff>31749</xdr:colOff>
      <xdr:row>39</xdr:row>
      <xdr:rowOff>9524</xdr:rowOff>
    </xdr:to>
    <xdr:graphicFrame macro="">
      <xdr:nvGraphicFramePr>
        <xdr:cNvPr id="2" name="Chart 1">
          <a:extLst>
            <a:ext uri="{FF2B5EF4-FFF2-40B4-BE49-F238E27FC236}">
              <a16:creationId xmlns:a16="http://schemas.microsoft.com/office/drawing/2014/main" id="{1EB21AE5-4E9A-4DDD-B6AB-4010FDCE77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3</xdr:col>
      <xdr:colOff>0</xdr:colOff>
      <xdr:row>40</xdr:row>
      <xdr:rowOff>76200</xdr:rowOff>
    </xdr:from>
    <xdr:to>
      <xdr:col>22</xdr:col>
      <xdr:colOff>419100</xdr:colOff>
      <xdr:row>62</xdr:row>
      <xdr:rowOff>88265</xdr:rowOff>
    </xdr:to>
    <xdr:graphicFrame macro="">
      <xdr:nvGraphicFramePr>
        <xdr:cNvPr id="2" name="Chart 1">
          <a:extLst>
            <a:ext uri="{FF2B5EF4-FFF2-40B4-BE49-F238E27FC236}">
              <a16:creationId xmlns:a16="http://schemas.microsoft.com/office/drawing/2014/main" id="{20989569-0B09-44C4-8627-3C3F63EE58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89</xdr:row>
      <xdr:rowOff>0</xdr:rowOff>
    </xdr:from>
    <xdr:to>
      <xdr:col>11</xdr:col>
      <xdr:colOff>389792</xdr:colOff>
      <xdr:row>101</xdr:row>
      <xdr:rowOff>22860</xdr:rowOff>
    </xdr:to>
    <xdr:sp macro="" textlink="">
      <xdr:nvSpPr>
        <xdr:cNvPr id="3" name="Rectangle 2">
          <a:extLst>
            <a:ext uri="{FF2B5EF4-FFF2-40B4-BE49-F238E27FC236}">
              <a16:creationId xmlns:a16="http://schemas.microsoft.com/office/drawing/2014/main" id="{0413987F-6064-49B8-8101-82652B169267}"/>
            </a:ext>
          </a:extLst>
        </xdr:cNvPr>
        <xdr:cNvSpPr/>
      </xdr:nvSpPr>
      <xdr:spPr>
        <a:xfrm>
          <a:off x="1543050" y="16821150"/>
          <a:ext cx="6498492" cy="219773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15</xdr:col>
      <xdr:colOff>64135</xdr:colOff>
      <xdr:row>25</xdr:row>
      <xdr:rowOff>139700</xdr:rowOff>
    </xdr:from>
    <xdr:to>
      <xdr:col>40</xdr:col>
      <xdr:colOff>412750</xdr:colOff>
      <xdr:row>43</xdr:row>
      <xdr:rowOff>71755</xdr:rowOff>
    </xdr:to>
    <xdr:graphicFrame macro="">
      <xdr:nvGraphicFramePr>
        <xdr:cNvPr id="2" name="Chart 2">
          <a:extLst>
            <a:ext uri="{FF2B5EF4-FFF2-40B4-BE49-F238E27FC236}">
              <a16:creationId xmlns:a16="http://schemas.microsoft.com/office/drawing/2014/main" id="{5B57D321-69E9-43B6-8179-B2A454F464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59</xdr:row>
      <xdr:rowOff>0</xdr:rowOff>
    </xdr:from>
    <xdr:to>
      <xdr:col>13</xdr:col>
      <xdr:colOff>434340</xdr:colOff>
      <xdr:row>72</xdr:row>
      <xdr:rowOff>60960</xdr:rowOff>
    </xdr:to>
    <xdr:graphicFrame macro="">
      <xdr:nvGraphicFramePr>
        <xdr:cNvPr id="3" name="Chart 2">
          <a:extLst>
            <a:ext uri="{FF2B5EF4-FFF2-40B4-BE49-F238E27FC236}">
              <a16:creationId xmlns:a16="http://schemas.microsoft.com/office/drawing/2014/main" id="{57390864-4FEF-4E41-8D47-CA467E64C4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0.00025</cdr:x>
      <cdr:y>0.25276</cdr:y>
    </cdr:from>
    <cdr:to>
      <cdr:x>0.00505</cdr:x>
      <cdr:y>0.58633</cdr:y>
    </cdr:to>
    <cdr:sp macro="" textlink="">
      <cdr:nvSpPr>
        <cdr:cNvPr id="2" name="TextBox 1"/>
        <cdr:cNvSpPr txBox="1"/>
      </cdr:nvSpPr>
      <cdr:spPr>
        <a:xfrm xmlns:a="http://schemas.openxmlformats.org/drawingml/2006/main">
          <a:off x="0" y="695325"/>
          <a:ext cx="47624" cy="914400"/>
        </a:xfrm>
        <a:prstGeom xmlns:a="http://schemas.openxmlformats.org/drawingml/2006/main" prst="rect">
          <a:avLst/>
        </a:prstGeom>
      </cdr:spPr>
      <cdr:txBody>
        <a:bodyPr xmlns:a="http://schemas.openxmlformats.org/drawingml/2006/main" vertOverflow="clip" vert="eaVert" wrap="none" rtlCol="0"/>
        <a:lstStyle xmlns:a="http://schemas.openxmlformats.org/drawingml/2006/main"/>
        <a:p xmlns:a="http://schemas.openxmlformats.org/drawingml/2006/main">
          <a:endParaRPr lang="en-ZA"/>
        </a:p>
      </cdr:txBody>
    </cdr:sp>
  </cdr:relSizeAnchor>
  <cdr:relSizeAnchor xmlns:cdr="http://schemas.openxmlformats.org/drawingml/2006/chartDrawing">
    <cdr:from>
      <cdr:x>0.00505</cdr:x>
      <cdr:y>0.24929</cdr:y>
    </cdr:from>
    <cdr:to>
      <cdr:x>0.01186</cdr:x>
      <cdr:y>0.62428</cdr:y>
    </cdr:to>
    <cdr:sp macro="" textlink="">
      <cdr:nvSpPr>
        <cdr:cNvPr id="3" name="TextBox 2"/>
        <cdr:cNvSpPr txBox="1"/>
      </cdr:nvSpPr>
      <cdr:spPr>
        <a:xfrm xmlns:a="http://schemas.openxmlformats.org/drawingml/2006/main">
          <a:off x="47624" y="685800"/>
          <a:ext cx="66675" cy="102870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en-US" sz="900">
              <a:latin typeface="Arial Narrow" pitchFamily="34" charset="0"/>
              <a:cs typeface="Arial" pitchFamily="34" charset="0"/>
            </a:rPr>
            <a:t>Number</a:t>
          </a:r>
          <a:endParaRPr lang="en-US" sz="900" b="1">
            <a:latin typeface="Arial Narrow" pitchFamily="34" charset="0"/>
            <a:cs typeface="Arial" pitchFamily="34" charset="0"/>
          </a:endParaRPr>
        </a:p>
      </cdr:txBody>
    </cdr:sp>
  </cdr:relSizeAnchor>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id="{71CCAFEB-7424-403B-8851-08960934F61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0.98587</cdr:x>
      <cdr:y>0.26318</cdr:y>
    </cdr:from>
    <cdr:to>
      <cdr:x>0.99596</cdr:x>
      <cdr:y>0.5898</cdr:y>
    </cdr:to>
    <cdr:sp macro="" textlink="">
      <cdr:nvSpPr>
        <cdr:cNvPr id="5" name="TextBox 4"/>
        <cdr:cNvSpPr txBox="1"/>
      </cdr:nvSpPr>
      <cdr:spPr>
        <a:xfrm xmlns:a="http://schemas.openxmlformats.org/drawingml/2006/main">
          <a:off x="9305924" y="723900"/>
          <a:ext cx="95250" cy="89535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r"/>
          <a:r>
            <a:rPr lang="en-US" sz="1000">
              <a:latin typeface="Arial Narrow" panose="020B0606020202030204" pitchFamily="34" charset="0"/>
              <a:cs typeface="Arial" pitchFamily="34" charset="0"/>
            </a:rPr>
            <a:t>Pass</a:t>
          </a:r>
          <a:r>
            <a:rPr lang="en-US" sz="1100"/>
            <a:t> rate</a:t>
          </a:r>
        </a:p>
      </cdr:txBody>
    </cdr:sp>
  </cdr:relSizeAnchor>
</c:userShapes>
</file>

<file path=xl/drawings/drawing53.xml><?xml version="1.0" encoding="utf-8"?>
<c:userShapes xmlns:c="http://schemas.openxmlformats.org/drawingml/2006/chart">
  <cdr:relSizeAnchor xmlns:cdr="http://schemas.openxmlformats.org/drawingml/2006/chartDrawing">
    <cdr:from>
      <cdr:x>0.00025</cdr:x>
      <cdr:y>0.25276</cdr:y>
    </cdr:from>
    <cdr:to>
      <cdr:x>0.00505</cdr:x>
      <cdr:y>0.58633</cdr:y>
    </cdr:to>
    <cdr:sp macro="" textlink="">
      <cdr:nvSpPr>
        <cdr:cNvPr id="2" name="TextBox 1"/>
        <cdr:cNvSpPr txBox="1"/>
      </cdr:nvSpPr>
      <cdr:spPr>
        <a:xfrm xmlns:a="http://schemas.openxmlformats.org/drawingml/2006/main">
          <a:off x="0" y="695325"/>
          <a:ext cx="47624" cy="914400"/>
        </a:xfrm>
        <a:prstGeom xmlns:a="http://schemas.openxmlformats.org/drawingml/2006/main" prst="rect">
          <a:avLst/>
        </a:prstGeom>
      </cdr:spPr>
      <cdr:txBody>
        <a:bodyPr xmlns:a="http://schemas.openxmlformats.org/drawingml/2006/main" vertOverflow="clip" vert="eaVert" wrap="none" rtlCol="0"/>
        <a:lstStyle xmlns:a="http://schemas.openxmlformats.org/drawingml/2006/main"/>
        <a:p xmlns:a="http://schemas.openxmlformats.org/drawingml/2006/main">
          <a:endParaRPr lang="en-ZA"/>
        </a:p>
      </cdr:txBody>
    </cdr:sp>
  </cdr:relSizeAnchor>
  <cdr:relSizeAnchor xmlns:cdr="http://schemas.openxmlformats.org/drawingml/2006/chartDrawing">
    <cdr:from>
      <cdr:x>0.00505</cdr:x>
      <cdr:y>0.24929</cdr:y>
    </cdr:from>
    <cdr:to>
      <cdr:x>0.03275</cdr:x>
      <cdr:y>0.62428</cdr:y>
    </cdr:to>
    <cdr:sp macro="" textlink="">
      <cdr:nvSpPr>
        <cdr:cNvPr id="3" name="TextBox 2"/>
        <cdr:cNvSpPr txBox="1"/>
      </cdr:nvSpPr>
      <cdr:spPr>
        <a:xfrm xmlns:a="http://schemas.openxmlformats.org/drawingml/2006/main">
          <a:off x="32900" y="583174"/>
          <a:ext cx="180459" cy="877229"/>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en-US" sz="800">
              <a:latin typeface="Arial Narrow" pitchFamily="34" charset="0"/>
              <a:cs typeface="Arial" pitchFamily="34" charset="0"/>
            </a:rPr>
            <a:t>Number</a:t>
          </a:r>
          <a:endParaRPr lang="en-US" sz="900" b="1">
            <a:latin typeface="Arial Narrow" pitchFamily="34" charset="0"/>
            <a:cs typeface="Arial" pitchFamily="34" charset="0"/>
          </a:endParaRPr>
        </a:p>
      </cdr:txBody>
    </cdr:sp>
  </cdr:relSizeAnchor>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id="{2E138279-B9FA-4066-A8D4-7C65FA64A36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0.9695</cdr:x>
      <cdr:y>0.26318</cdr:y>
    </cdr:from>
    <cdr:to>
      <cdr:x>0.98947</cdr:x>
      <cdr:y>0.5898</cdr:y>
    </cdr:to>
    <cdr:sp macro="" textlink="">
      <cdr:nvSpPr>
        <cdr:cNvPr id="5" name="TextBox 4"/>
        <cdr:cNvSpPr txBox="1"/>
      </cdr:nvSpPr>
      <cdr:spPr>
        <a:xfrm xmlns:a="http://schemas.openxmlformats.org/drawingml/2006/main">
          <a:off x="6316362" y="615668"/>
          <a:ext cx="130158" cy="764075"/>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r"/>
          <a:r>
            <a:rPr lang="en-US" sz="800">
              <a:latin typeface="Arial Narrow" pitchFamily="34" charset="0"/>
              <a:cs typeface="Arial" pitchFamily="34" charset="0"/>
            </a:rPr>
            <a:t>Pass</a:t>
          </a:r>
          <a:r>
            <a:rPr lang="en-US" sz="1100"/>
            <a:t> </a:t>
          </a:r>
          <a:r>
            <a:rPr lang="en-US" sz="900"/>
            <a:t>rate</a:t>
          </a:r>
          <a:endParaRPr lang="en-US" sz="1100"/>
        </a:p>
      </cdr:txBody>
    </cdr:sp>
  </cdr:relSizeAnchor>
</c:userShapes>
</file>

<file path=xl/drawings/drawing54.xml><?xml version="1.0" encoding="utf-8"?>
<xdr:wsDr xmlns:xdr="http://schemas.openxmlformats.org/drawingml/2006/spreadsheetDrawing" xmlns:a="http://schemas.openxmlformats.org/drawingml/2006/main">
  <xdr:twoCellAnchor>
    <xdr:from>
      <xdr:col>3</xdr:col>
      <xdr:colOff>524568</xdr:colOff>
      <xdr:row>12</xdr:row>
      <xdr:rowOff>130537</xdr:rowOff>
    </xdr:from>
    <xdr:to>
      <xdr:col>14</xdr:col>
      <xdr:colOff>1019175</xdr:colOff>
      <xdr:row>26</xdr:row>
      <xdr:rowOff>124459</xdr:rowOff>
    </xdr:to>
    <xdr:graphicFrame macro="">
      <xdr:nvGraphicFramePr>
        <xdr:cNvPr id="2" name="Chart 3">
          <a:extLst>
            <a:ext uri="{FF2B5EF4-FFF2-40B4-BE49-F238E27FC236}">
              <a16:creationId xmlns:a16="http://schemas.microsoft.com/office/drawing/2014/main" id="{1FE91DDE-DB90-48EC-B572-527B963241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796925</xdr:colOff>
      <xdr:row>12</xdr:row>
      <xdr:rowOff>77258</xdr:rowOff>
    </xdr:from>
    <xdr:to>
      <xdr:col>23</xdr:col>
      <xdr:colOff>285750</xdr:colOff>
      <xdr:row>26</xdr:row>
      <xdr:rowOff>106740</xdr:rowOff>
    </xdr:to>
    <xdr:graphicFrame macro="">
      <xdr:nvGraphicFramePr>
        <xdr:cNvPr id="3" name="Chart 2">
          <a:extLst>
            <a:ext uri="{FF2B5EF4-FFF2-40B4-BE49-F238E27FC236}">
              <a16:creationId xmlns:a16="http://schemas.microsoft.com/office/drawing/2014/main" id="{D81DC1E5-E7A3-4FAD-AFF1-1C89D7CF0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2</xdr:col>
      <xdr:colOff>126365</xdr:colOff>
      <xdr:row>27</xdr:row>
      <xdr:rowOff>114300</xdr:rowOff>
    </xdr:from>
    <xdr:to>
      <xdr:col>20</xdr:col>
      <xdr:colOff>582295</xdr:colOff>
      <xdr:row>43</xdr:row>
      <xdr:rowOff>86995</xdr:rowOff>
    </xdr:to>
    <xdr:graphicFrame macro="">
      <xdr:nvGraphicFramePr>
        <xdr:cNvPr id="2" name="Chart 1">
          <a:extLst>
            <a:ext uri="{FF2B5EF4-FFF2-40B4-BE49-F238E27FC236}">
              <a16:creationId xmlns:a16="http://schemas.microsoft.com/office/drawing/2014/main" id="{66467CBC-92D6-42D8-AE2D-BFB420CADF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65</xdr:row>
      <xdr:rowOff>0</xdr:rowOff>
    </xdr:from>
    <xdr:to>
      <xdr:col>15</xdr:col>
      <xdr:colOff>0</xdr:colOff>
      <xdr:row>81</xdr:row>
      <xdr:rowOff>11723</xdr:rowOff>
    </xdr:to>
    <xdr:sp macro="" textlink="">
      <xdr:nvSpPr>
        <xdr:cNvPr id="3" name="Rectangle 2">
          <a:extLst>
            <a:ext uri="{FF2B5EF4-FFF2-40B4-BE49-F238E27FC236}">
              <a16:creationId xmlns:a16="http://schemas.microsoft.com/office/drawing/2014/main" id="{82898FD8-8548-48CC-BD8F-42A0FA95385F}"/>
            </a:ext>
          </a:extLst>
        </xdr:cNvPr>
        <xdr:cNvSpPr/>
      </xdr:nvSpPr>
      <xdr:spPr>
        <a:xfrm>
          <a:off x="3536950" y="11131550"/>
          <a:ext cx="6096000" cy="28692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5</xdr:col>
      <xdr:colOff>0</xdr:colOff>
      <xdr:row>65</xdr:row>
      <xdr:rowOff>0</xdr:rowOff>
    </xdr:from>
    <xdr:to>
      <xdr:col>15</xdr:col>
      <xdr:colOff>22860</xdr:colOff>
      <xdr:row>81</xdr:row>
      <xdr:rowOff>22860</xdr:rowOff>
    </xdr:to>
    <xdr:graphicFrame macro="">
      <xdr:nvGraphicFramePr>
        <xdr:cNvPr id="4" name="Chart 3">
          <a:extLst>
            <a:ext uri="{FF2B5EF4-FFF2-40B4-BE49-F238E27FC236}">
              <a16:creationId xmlns:a16="http://schemas.microsoft.com/office/drawing/2014/main" id="{CCA2FB42-913E-4CFC-81A5-FA517395A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3</xdr:col>
      <xdr:colOff>47625</xdr:colOff>
      <xdr:row>27</xdr:row>
      <xdr:rowOff>38100</xdr:rowOff>
    </xdr:from>
    <xdr:to>
      <xdr:col>23</xdr:col>
      <xdr:colOff>190500</xdr:colOff>
      <xdr:row>43</xdr:row>
      <xdr:rowOff>135255</xdr:rowOff>
    </xdr:to>
    <xdr:graphicFrame macro="">
      <xdr:nvGraphicFramePr>
        <xdr:cNvPr id="2" name="Chart 1">
          <a:extLst>
            <a:ext uri="{FF2B5EF4-FFF2-40B4-BE49-F238E27FC236}">
              <a16:creationId xmlns:a16="http://schemas.microsoft.com/office/drawing/2014/main" id="{D658B132-DCD3-4166-BDBB-51CCAFEBA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95250</xdr:colOff>
      <xdr:row>48</xdr:row>
      <xdr:rowOff>0</xdr:rowOff>
    </xdr:from>
    <xdr:to>
      <xdr:col>17</xdr:col>
      <xdr:colOff>152400</xdr:colOff>
      <xdr:row>48</xdr:row>
      <xdr:rowOff>0</xdr:rowOff>
    </xdr:to>
    <xdr:graphicFrame macro="">
      <xdr:nvGraphicFramePr>
        <xdr:cNvPr id="3" name="Chart 1026">
          <a:extLst>
            <a:ext uri="{FF2B5EF4-FFF2-40B4-BE49-F238E27FC236}">
              <a16:creationId xmlns:a16="http://schemas.microsoft.com/office/drawing/2014/main" id="{83F122C1-459A-4380-8CE0-42306EFFD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57150</xdr:colOff>
      <xdr:row>18</xdr:row>
      <xdr:rowOff>71437</xdr:rowOff>
    </xdr:from>
    <xdr:to>
      <xdr:col>54</xdr:col>
      <xdr:colOff>438150</xdr:colOff>
      <xdr:row>37</xdr:row>
      <xdr:rowOff>176212</xdr:rowOff>
    </xdr:to>
    <xdr:graphicFrame macro="">
      <xdr:nvGraphicFramePr>
        <xdr:cNvPr id="4" name="Chart 3">
          <a:extLst>
            <a:ext uri="{FF2B5EF4-FFF2-40B4-BE49-F238E27FC236}">
              <a16:creationId xmlns:a16="http://schemas.microsoft.com/office/drawing/2014/main" id="{E9D621F2-FBE0-4A64-97D8-88D6C526AB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9</xdr:col>
      <xdr:colOff>99060</xdr:colOff>
      <xdr:row>26</xdr:row>
      <xdr:rowOff>0</xdr:rowOff>
    </xdr:from>
    <xdr:to>
      <xdr:col>19</xdr:col>
      <xdr:colOff>0</xdr:colOff>
      <xdr:row>26</xdr:row>
      <xdr:rowOff>0</xdr:rowOff>
    </xdr:to>
    <xdr:graphicFrame macro="">
      <xdr:nvGraphicFramePr>
        <xdr:cNvPr id="2" name="Chart 1026">
          <a:extLst>
            <a:ext uri="{FF2B5EF4-FFF2-40B4-BE49-F238E27FC236}">
              <a16:creationId xmlns:a16="http://schemas.microsoft.com/office/drawing/2014/main" id="{1A84D8DD-B5ED-43C8-9585-C4244C8B7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213360</xdr:colOff>
      <xdr:row>30</xdr:row>
      <xdr:rowOff>137160</xdr:rowOff>
    </xdr:from>
    <xdr:to>
      <xdr:col>19</xdr:col>
      <xdr:colOff>0</xdr:colOff>
      <xdr:row>52</xdr:row>
      <xdr:rowOff>76200</xdr:rowOff>
    </xdr:to>
    <xdr:graphicFrame macro="">
      <xdr:nvGraphicFramePr>
        <xdr:cNvPr id="3" name="Chart 6">
          <a:extLst>
            <a:ext uri="{FF2B5EF4-FFF2-40B4-BE49-F238E27FC236}">
              <a16:creationId xmlns:a16="http://schemas.microsoft.com/office/drawing/2014/main" id="{AFF323EA-7CD1-4449-B253-7BD1971334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56</xdr:row>
      <xdr:rowOff>0</xdr:rowOff>
    </xdr:from>
    <xdr:to>
      <xdr:col>19</xdr:col>
      <xdr:colOff>0</xdr:colOff>
      <xdr:row>79</xdr:row>
      <xdr:rowOff>91440</xdr:rowOff>
    </xdr:to>
    <xdr:graphicFrame macro="">
      <xdr:nvGraphicFramePr>
        <xdr:cNvPr id="4" name="Chart 7">
          <a:extLst>
            <a:ext uri="{FF2B5EF4-FFF2-40B4-BE49-F238E27FC236}">
              <a16:creationId xmlns:a16="http://schemas.microsoft.com/office/drawing/2014/main" id="{D77BB648-A30A-42F4-911E-E48B4E9F31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868680</xdr:colOff>
      <xdr:row>28</xdr:row>
      <xdr:rowOff>137160</xdr:rowOff>
    </xdr:from>
    <xdr:to>
      <xdr:col>9</xdr:col>
      <xdr:colOff>259080</xdr:colOff>
      <xdr:row>60</xdr:row>
      <xdr:rowOff>68580</xdr:rowOff>
    </xdr:to>
    <xdr:graphicFrame macro="">
      <xdr:nvGraphicFramePr>
        <xdr:cNvPr id="5" name="Chart 4">
          <a:extLst>
            <a:ext uri="{FF2B5EF4-FFF2-40B4-BE49-F238E27FC236}">
              <a16:creationId xmlns:a16="http://schemas.microsoft.com/office/drawing/2014/main" id="{151415B7-2D05-48AB-92AC-1B9741476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396240</xdr:colOff>
      <xdr:row>28</xdr:row>
      <xdr:rowOff>121920</xdr:rowOff>
    </xdr:from>
    <xdr:to>
      <xdr:col>18</xdr:col>
      <xdr:colOff>0</xdr:colOff>
      <xdr:row>60</xdr:row>
      <xdr:rowOff>76200</xdr:rowOff>
    </xdr:to>
    <xdr:graphicFrame macro="">
      <xdr:nvGraphicFramePr>
        <xdr:cNvPr id="6" name="Chart 5">
          <a:extLst>
            <a:ext uri="{FF2B5EF4-FFF2-40B4-BE49-F238E27FC236}">
              <a16:creationId xmlns:a16="http://schemas.microsoft.com/office/drawing/2014/main" id="{60C5B31A-FBE6-45D9-8BF8-00DC43576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10</xdr:col>
      <xdr:colOff>99060</xdr:colOff>
      <xdr:row>40</xdr:row>
      <xdr:rowOff>0</xdr:rowOff>
    </xdr:from>
    <xdr:to>
      <xdr:col>25</xdr:col>
      <xdr:colOff>152400</xdr:colOff>
      <xdr:row>40</xdr:row>
      <xdr:rowOff>0</xdr:rowOff>
    </xdr:to>
    <xdr:graphicFrame macro="">
      <xdr:nvGraphicFramePr>
        <xdr:cNvPr id="2" name="Chart 1026">
          <a:extLst>
            <a:ext uri="{FF2B5EF4-FFF2-40B4-BE49-F238E27FC236}">
              <a16:creationId xmlns:a16="http://schemas.microsoft.com/office/drawing/2014/main" id="{4C71A24C-6360-45E9-AE01-807B2725F7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9</xdr:col>
      <xdr:colOff>99060</xdr:colOff>
      <xdr:row>22</xdr:row>
      <xdr:rowOff>0</xdr:rowOff>
    </xdr:from>
    <xdr:to>
      <xdr:col>22</xdr:col>
      <xdr:colOff>0</xdr:colOff>
      <xdr:row>22</xdr:row>
      <xdr:rowOff>0</xdr:rowOff>
    </xdr:to>
    <xdr:graphicFrame macro="">
      <xdr:nvGraphicFramePr>
        <xdr:cNvPr id="2" name="Chart 1026">
          <a:extLst>
            <a:ext uri="{FF2B5EF4-FFF2-40B4-BE49-F238E27FC236}">
              <a16:creationId xmlns:a16="http://schemas.microsoft.com/office/drawing/2014/main" id="{6A5D464E-A1D8-475A-AC17-D07A9A7D3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28574</xdr:colOff>
      <xdr:row>32</xdr:row>
      <xdr:rowOff>107084</xdr:rowOff>
    </xdr:from>
    <xdr:to>
      <xdr:col>31</xdr:col>
      <xdr:colOff>60612</xdr:colOff>
      <xdr:row>50</xdr:row>
      <xdr:rowOff>114300</xdr:rowOff>
    </xdr:to>
    <xdr:graphicFrame macro="">
      <xdr:nvGraphicFramePr>
        <xdr:cNvPr id="2" name="Chart 1">
          <a:extLst>
            <a:ext uri="{FF2B5EF4-FFF2-40B4-BE49-F238E27FC236}">
              <a16:creationId xmlns:a16="http://schemas.microsoft.com/office/drawing/2014/main" id="{0E1C753B-ED61-435E-B35A-1032B65A6C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562328</xdr:colOff>
      <xdr:row>43</xdr:row>
      <xdr:rowOff>57503</xdr:rowOff>
    </xdr:from>
    <xdr:to>
      <xdr:col>26</xdr:col>
      <xdr:colOff>314678</xdr:colOff>
      <xdr:row>43</xdr:row>
      <xdr:rowOff>76553</xdr:rowOff>
    </xdr:to>
    <xdr:sp macro="" textlink="">
      <xdr:nvSpPr>
        <xdr:cNvPr id="3" name="Line 4">
          <a:extLst>
            <a:ext uri="{FF2B5EF4-FFF2-40B4-BE49-F238E27FC236}">
              <a16:creationId xmlns:a16="http://schemas.microsoft.com/office/drawing/2014/main" id="{5054C849-0633-4B48-8BC0-ECE9BD908938}"/>
            </a:ext>
          </a:extLst>
        </xdr:cNvPr>
        <xdr:cNvSpPr>
          <a:spLocks noChangeShapeType="1"/>
        </xdr:cNvSpPr>
      </xdr:nvSpPr>
      <xdr:spPr bwMode="auto">
        <a:xfrm flipV="1">
          <a:off x="1991078" y="7201253"/>
          <a:ext cx="10248900" cy="19050"/>
        </a:xfrm>
        <a:prstGeom prst="line">
          <a:avLst/>
        </a:prstGeom>
        <a:noFill/>
        <a:ln w="127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5</xdr:col>
      <xdr:colOff>39196</xdr:colOff>
      <xdr:row>65</xdr:row>
      <xdr:rowOff>31359</xdr:rowOff>
    </xdr:from>
    <xdr:to>
      <xdr:col>26</xdr:col>
      <xdr:colOff>172468</xdr:colOff>
      <xdr:row>81</xdr:row>
      <xdr:rowOff>135914</xdr:rowOff>
    </xdr:to>
    <xdr:sp macro="" textlink="">
      <xdr:nvSpPr>
        <xdr:cNvPr id="4" name="Rectangle 3">
          <a:extLst>
            <a:ext uri="{FF2B5EF4-FFF2-40B4-BE49-F238E27FC236}">
              <a16:creationId xmlns:a16="http://schemas.microsoft.com/office/drawing/2014/main" id="{7152A346-CD1B-4B76-9190-2A3AF283EB9B}"/>
            </a:ext>
          </a:extLst>
        </xdr:cNvPr>
        <xdr:cNvSpPr/>
      </xdr:nvSpPr>
      <xdr:spPr>
        <a:xfrm>
          <a:off x="2896696" y="11766159"/>
          <a:ext cx="9201072" cy="30509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4</xdr:col>
      <xdr:colOff>412317</xdr:colOff>
      <xdr:row>65</xdr:row>
      <xdr:rowOff>39199</xdr:rowOff>
    </xdr:from>
    <xdr:to>
      <xdr:col>31</xdr:col>
      <xdr:colOff>0</xdr:colOff>
      <xdr:row>82</xdr:row>
      <xdr:rowOff>10795</xdr:rowOff>
    </xdr:to>
    <xdr:graphicFrame macro="">
      <xdr:nvGraphicFramePr>
        <xdr:cNvPr id="5" name="Chart 1">
          <a:extLst>
            <a:ext uri="{FF2B5EF4-FFF2-40B4-BE49-F238E27FC236}">
              <a16:creationId xmlns:a16="http://schemas.microsoft.com/office/drawing/2014/main" id="{87BBB33E-7605-4DAA-986B-26261CF99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3</xdr:col>
      <xdr:colOff>952500</xdr:colOff>
      <xdr:row>9</xdr:row>
      <xdr:rowOff>31748</xdr:rowOff>
    </xdr:from>
    <xdr:to>
      <xdr:col>26</xdr:col>
      <xdr:colOff>447675</xdr:colOff>
      <xdr:row>28</xdr:row>
      <xdr:rowOff>66674</xdr:rowOff>
    </xdr:to>
    <xdr:graphicFrame macro="">
      <xdr:nvGraphicFramePr>
        <xdr:cNvPr id="2" name="Chart 2">
          <a:extLst>
            <a:ext uri="{FF2B5EF4-FFF2-40B4-BE49-F238E27FC236}">
              <a16:creationId xmlns:a16="http://schemas.microsoft.com/office/drawing/2014/main" id="{2BA85C66-1613-403B-B7D9-4960B5E4B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59</xdr:row>
      <xdr:rowOff>0</xdr:rowOff>
    </xdr:from>
    <xdr:to>
      <xdr:col>15</xdr:col>
      <xdr:colOff>124851</xdr:colOff>
      <xdr:row>75</xdr:row>
      <xdr:rowOff>6350</xdr:rowOff>
    </xdr:to>
    <xdr:sp macro="" textlink="">
      <xdr:nvSpPr>
        <xdr:cNvPr id="3" name="Rectangle 2">
          <a:extLst>
            <a:ext uri="{FF2B5EF4-FFF2-40B4-BE49-F238E27FC236}">
              <a16:creationId xmlns:a16="http://schemas.microsoft.com/office/drawing/2014/main" id="{95210FF4-ECEC-480B-AB2C-126A9D7BE999}"/>
            </a:ext>
          </a:extLst>
        </xdr:cNvPr>
        <xdr:cNvSpPr/>
      </xdr:nvSpPr>
      <xdr:spPr>
        <a:xfrm>
          <a:off x="3009900" y="11391900"/>
          <a:ext cx="7414651" cy="29527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4</xdr:col>
      <xdr:colOff>0</xdr:colOff>
      <xdr:row>59</xdr:row>
      <xdr:rowOff>0</xdr:rowOff>
    </xdr:from>
    <xdr:to>
      <xdr:col>20</xdr:col>
      <xdr:colOff>342900</xdr:colOff>
      <xdr:row>75</xdr:row>
      <xdr:rowOff>38100</xdr:rowOff>
    </xdr:to>
    <xdr:graphicFrame macro="">
      <xdr:nvGraphicFramePr>
        <xdr:cNvPr id="4" name="Chart 2">
          <a:extLst>
            <a:ext uri="{FF2B5EF4-FFF2-40B4-BE49-F238E27FC236}">
              <a16:creationId xmlns:a16="http://schemas.microsoft.com/office/drawing/2014/main" id="{A25403AF-67B0-4B20-B8C0-8A526C403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2</xdr:col>
      <xdr:colOff>205740</xdr:colOff>
      <xdr:row>14</xdr:row>
      <xdr:rowOff>114300</xdr:rowOff>
    </xdr:from>
    <xdr:to>
      <xdr:col>14</xdr:col>
      <xdr:colOff>342900</xdr:colOff>
      <xdr:row>29</xdr:row>
      <xdr:rowOff>171450</xdr:rowOff>
    </xdr:to>
    <xdr:graphicFrame macro="">
      <xdr:nvGraphicFramePr>
        <xdr:cNvPr id="2" name="Chart 1">
          <a:extLst>
            <a:ext uri="{FF2B5EF4-FFF2-40B4-BE49-F238E27FC236}">
              <a16:creationId xmlns:a16="http://schemas.microsoft.com/office/drawing/2014/main" id="{570D176F-5811-4BC3-88AC-72D92F9EE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57</xdr:row>
      <xdr:rowOff>0</xdr:rowOff>
    </xdr:from>
    <xdr:to>
      <xdr:col>16</xdr:col>
      <xdr:colOff>86360</xdr:colOff>
      <xdr:row>69</xdr:row>
      <xdr:rowOff>142240</xdr:rowOff>
    </xdr:to>
    <xdr:sp macro="" textlink="">
      <xdr:nvSpPr>
        <xdr:cNvPr id="3" name="Rectangle 2">
          <a:extLst>
            <a:ext uri="{FF2B5EF4-FFF2-40B4-BE49-F238E27FC236}">
              <a16:creationId xmlns:a16="http://schemas.microsoft.com/office/drawing/2014/main" id="{41177C47-C1FF-4D5B-9B89-FF9B6E3486FE}"/>
            </a:ext>
          </a:extLst>
        </xdr:cNvPr>
        <xdr:cNvSpPr/>
      </xdr:nvSpPr>
      <xdr:spPr>
        <a:xfrm>
          <a:off x="1504950" y="12204700"/>
          <a:ext cx="7623810" cy="23520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57</xdr:row>
      <xdr:rowOff>0</xdr:rowOff>
    </xdr:from>
    <xdr:to>
      <xdr:col>16</xdr:col>
      <xdr:colOff>91440</xdr:colOff>
      <xdr:row>69</xdr:row>
      <xdr:rowOff>114300</xdr:rowOff>
    </xdr:to>
    <xdr:graphicFrame macro="">
      <xdr:nvGraphicFramePr>
        <xdr:cNvPr id="4" name="Chart 3">
          <a:extLst>
            <a:ext uri="{FF2B5EF4-FFF2-40B4-BE49-F238E27FC236}">
              <a16:creationId xmlns:a16="http://schemas.microsoft.com/office/drawing/2014/main" id="{E7799422-0929-42B5-B159-D05E2FE716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0.5888</cdr:x>
      <cdr:y>0.40348</cdr:y>
    </cdr:from>
    <cdr:to>
      <cdr:x>0.85448</cdr:x>
      <cdr:y>0.56436</cdr:y>
    </cdr:to>
    <cdr:cxnSp macro="">
      <cdr:nvCxnSpPr>
        <cdr:cNvPr id="3" name="Straight Connector 2">
          <a:extLst xmlns:a="http://schemas.openxmlformats.org/drawingml/2006/main">
            <a:ext uri="{FF2B5EF4-FFF2-40B4-BE49-F238E27FC236}">
              <a16:creationId xmlns:a16="http://schemas.microsoft.com/office/drawing/2014/main" id="{5E5E87C7-1A38-4899-8F45-95034AA62EFC}"/>
            </a:ext>
          </a:extLst>
        </cdr:cNvPr>
        <cdr:cNvCxnSpPr/>
      </cdr:nvCxnSpPr>
      <cdr:spPr>
        <a:xfrm xmlns:a="http://schemas.openxmlformats.org/drawingml/2006/main">
          <a:off x="3607248" y="931588"/>
          <a:ext cx="1627692" cy="371432"/>
        </a:xfrm>
        <a:prstGeom xmlns:a="http://schemas.openxmlformats.org/drawingml/2006/main" prst="line">
          <a:avLst/>
        </a:prstGeom>
        <a:ln xmlns:a="http://schemas.openxmlformats.org/drawingml/2006/main" w="15875">
          <a:solidFill>
            <a:schemeClr val="accent6">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3.xml><?xml version="1.0" encoding="utf-8"?>
<xdr:wsDr xmlns:xdr="http://schemas.openxmlformats.org/drawingml/2006/spreadsheetDrawing" xmlns:a="http://schemas.openxmlformats.org/drawingml/2006/main">
  <xdr:twoCellAnchor>
    <xdr:from>
      <xdr:col>3</xdr:col>
      <xdr:colOff>69215</xdr:colOff>
      <xdr:row>11</xdr:row>
      <xdr:rowOff>191770</xdr:rowOff>
    </xdr:from>
    <xdr:to>
      <xdr:col>13</xdr:col>
      <xdr:colOff>152400</xdr:colOff>
      <xdr:row>26</xdr:row>
      <xdr:rowOff>182880</xdr:rowOff>
    </xdr:to>
    <xdr:graphicFrame macro="">
      <xdr:nvGraphicFramePr>
        <xdr:cNvPr id="2" name="Chart 3">
          <a:extLst>
            <a:ext uri="{FF2B5EF4-FFF2-40B4-BE49-F238E27FC236}">
              <a16:creationId xmlns:a16="http://schemas.microsoft.com/office/drawing/2014/main" id="{4B4CD0E9-DFBB-41A2-BFF6-CD89526927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16</xdr:col>
      <xdr:colOff>300990</xdr:colOff>
      <xdr:row>54</xdr:row>
      <xdr:rowOff>15240</xdr:rowOff>
    </xdr:from>
    <xdr:to>
      <xdr:col>44</xdr:col>
      <xdr:colOff>419100</xdr:colOff>
      <xdr:row>72</xdr:row>
      <xdr:rowOff>57150</xdr:rowOff>
    </xdr:to>
    <xdr:graphicFrame macro="">
      <xdr:nvGraphicFramePr>
        <xdr:cNvPr id="2" name="Chart 2">
          <a:extLst>
            <a:ext uri="{FF2B5EF4-FFF2-40B4-BE49-F238E27FC236}">
              <a16:creationId xmlns:a16="http://schemas.microsoft.com/office/drawing/2014/main" id="{F8C3F0A8-50F7-43C6-9E29-E2FD62339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190499</xdr:colOff>
      <xdr:row>10</xdr:row>
      <xdr:rowOff>85725</xdr:rowOff>
    </xdr:from>
    <xdr:to>
      <xdr:col>21</xdr:col>
      <xdr:colOff>38100</xdr:colOff>
      <xdr:row>29</xdr:row>
      <xdr:rowOff>9525</xdr:rowOff>
    </xdr:to>
    <xdr:graphicFrame macro="">
      <xdr:nvGraphicFramePr>
        <xdr:cNvPr id="3" name="Chart 2">
          <a:extLst>
            <a:ext uri="{FF2B5EF4-FFF2-40B4-BE49-F238E27FC236}">
              <a16:creationId xmlns:a16="http://schemas.microsoft.com/office/drawing/2014/main" id="{B43428B7-3BDE-4D44-8769-C669BEADA7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3</xdr:col>
      <xdr:colOff>171450</xdr:colOff>
      <xdr:row>11</xdr:row>
      <xdr:rowOff>10513</xdr:rowOff>
    </xdr:from>
    <xdr:to>
      <xdr:col>37</xdr:col>
      <xdr:colOff>469547</xdr:colOff>
      <xdr:row>29</xdr:row>
      <xdr:rowOff>47625</xdr:rowOff>
    </xdr:to>
    <xdr:graphicFrame macro="">
      <xdr:nvGraphicFramePr>
        <xdr:cNvPr id="2" name="Chart 1">
          <a:extLst>
            <a:ext uri="{FF2B5EF4-FFF2-40B4-BE49-F238E27FC236}">
              <a16:creationId xmlns:a16="http://schemas.microsoft.com/office/drawing/2014/main" id="{6AB5CD91-804C-42FE-8B45-FC06EF149E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426720</xdr:colOff>
      <xdr:row>71</xdr:row>
      <xdr:rowOff>160020</xdr:rowOff>
    </xdr:from>
    <xdr:to>
      <xdr:col>20</xdr:col>
      <xdr:colOff>129540</xdr:colOff>
      <xdr:row>83</xdr:row>
      <xdr:rowOff>137160</xdr:rowOff>
    </xdr:to>
    <xdr:graphicFrame macro="">
      <xdr:nvGraphicFramePr>
        <xdr:cNvPr id="3" name="Chart 2">
          <a:extLst>
            <a:ext uri="{FF2B5EF4-FFF2-40B4-BE49-F238E27FC236}">
              <a16:creationId xmlns:a16="http://schemas.microsoft.com/office/drawing/2014/main" id="{DBFEB1D8-96D9-4C3C-B9D0-4095606260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47623</xdr:colOff>
      <xdr:row>58</xdr:row>
      <xdr:rowOff>115357</xdr:rowOff>
    </xdr:from>
    <xdr:to>
      <xdr:col>50</xdr:col>
      <xdr:colOff>158750</xdr:colOff>
      <xdr:row>73</xdr:row>
      <xdr:rowOff>0</xdr:rowOff>
    </xdr:to>
    <xdr:graphicFrame macro="">
      <xdr:nvGraphicFramePr>
        <xdr:cNvPr id="4" name="Chart 3">
          <a:extLst>
            <a:ext uri="{FF2B5EF4-FFF2-40B4-BE49-F238E27FC236}">
              <a16:creationId xmlns:a16="http://schemas.microsoft.com/office/drawing/2014/main" id="{8F0A7181-5214-43F3-8CF8-B99ED421A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3</xdr:col>
      <xdr:colOff>640080</xdr:colOff>
      <xdr:row>18</xdr:row>
      <xdr:rowOff>142875</xdr:rowOff>
    </xdr:from>
    <xdr:to>
      <xdr:col>9</xdr:col>
      <xdr:colOff>348594</xdr:colOff>
      <xdr:row>20</xdr:row>
      <xdr:rowOff>9525</xdr:rowOff>
    </xdr:to>
    <xdr:sp macro="" textlink="">
      <xdr:nvSpPr>
        <xdr:cNvPr id="2" name="Rectangle 1">
          <a:extLst>
            <a:ext uri="{FF2B5EF4-FFF2-40B4-BE49-F238E27FC236}">
              <a16:creationId xmlns:a16="http://schemas.microsoft.com/office/drawing/2014/main" id="{E2D3241E-E75F-45CE-BDB3-36DE146ABADE}"/>
            </a:ext>
          </a:extLst>
        </xdr:cNvPr>
        <xdr:cNvSpPr>
          <a:spLocks noChangeArrowheads="1"/>
        </xdr:cNvSpPr>
      </xdr:nvSpPr>
      <xdr:spPr bwMode="auto">
        <a:xfrm>
          <a:off x="2170430" y="3127375"/>
          <a:ext cx="4801214" cy="158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National Inventory</a:t>
          </a:r>
        </a:p>
      </xdr:txBody>
    </xdr:sp>
    <xdr:clientData/>
  </xdr:twoCellAnchor>
  <xdr:twoCellAnchor>
    <xdr:from>
      <xdr:col>2</xdr:col>
      <xdr:colOff>200024</xdr:colOff>
      <xdr:row>11</xdr:row>
      <xdr:rowOff>88264</xdr:rowOff>
    </xdr:from>
    <xdr:to>
      <xdr:col>22</xdr:col>
      <xdr:colOff>47625</xdr:colOff>
      <xdr:row>38</xdr:row>
      <xdr:rowOff>85725</xdr:rowOff>
    </xdr:to>
    <xdr:graphicFrame macro="">
      <xdr:nvGraphicFramePr>
        <xdr:cNvPr id="3" name="Chart 2">
          <a:extLst>
            <a:ext uri="{FF2B5EF4-FFF2-40B4-BE49-F238E27FC236}">
              <a16:creationId xmlns:a16="http://schemas.microsoft.com/office/drawing/2014/main" id="{4FCC99D3-7E0B-494C-9DBC-8A2270BA70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3</xdr:col>
      <xdr:colOff>640080</xdr:colOff>
      <xdr:row>19</xdr:row>
      <xdr:rowOff>142875</xdr:rowOff>
    </xdr:from>
    <xdr:to>
      <xdr:col>6</xdr:col>
      <xdr:colOff>348594</xdr:colOff>
      <xdr:row>21</xdr:row>
      <xdr:rowOff>9525</xdr:rowOff>
    </xdr:to>
    <xdr:sp macro="" textlink="">
      <xdr:nvSpPr>
        <xdr:cNvPr id="2" name="Rectangle 1">
          <a:extLst>
            <a:ext uri="{FF2B5EF4-FFF2-40B4-BE49-F238E27FC236}">
              <a16:creationId xmlns:a16="http://schemas.microsoft.com/office/drawing/2014/main" id="{8F9249CE-7AD5-49F2-B23D-ABB3F00C8815}"/>
            </a:ext>
          </a:extLst>
        </xdr:cNvPr>
        <xdr:cNvSpPr>
          <a:spLocks noChangeArrowheads="1"/>
        </xdr:cNvSpPr>
      </xdr:nvSpPr>
      <xdr:spPr bwMode="auto">
        <a:xfrm>
          <a:off x="2170430" y="3457575"/>
          <a:ext cx="3315314" cy="1587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National Inventory</a:t>
          </a:r>
        </a:p>
      </xdr:txBody>
    </xdr:sp>
    <xdr:clientData/>
  </xdr:twoCellAnchor>
  <xdr:twoCellAnchor>
    <xdr:from>
      <xdr:col>2</xdr:col>
      <xdr:colOff>203199</xdr:colOff>
      <xdr:row>12</xdr:row>
      <xdr:rowOff>85090</xdr:rowOff>
    </xdr:from>
    <xdr:to>
      <xdr:col>20</xdr:col>
      <xdr:colOff>234950</xdr:colOff>
      <xdr:row>40</xdr:row>
      <xdr:rowOff>95250</xdr:rowOff>
    </xdr:to>
    <xdr:graphicFrame macro="">
      <xdr:nvGraphicFramePr>
        <xdr:cNvPr id="3" name="Chart 2">
          <a:extLst>
            <a:ext uri="{FF2B5EF4-FFF2-40B4-BE49-F238E27FC236}">
              <a16:creationId xmlns:a16="http://schemas.microsoft.com/office/drawing/2014/main" id="{95365270-12EB-4763-BABD-307E814D8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3</xdr:col>
      <xdr:colOff>640080</xdr:colOff>
      <xdr:row>20</xdr:row>
      <xdr:rowOff>142875</xdr:rowOff>
    </xdr:from>
    <xdr:to>
      <xdr:col>4</xdr:col>
      <xdr:colOff>0</xdr:colOff>
      <xdr:row>22</xdr:row>
      <xdr:rowOff>9525</xdr:rowOff>
    </xdr:to>
    <xdr:sp macro="" textlink="">
      <xdr:nvSpPr>
        <xdr:cNvPr id="2" name="Rectangle 1">
          <a:extLst>
            <a:ext uri="{FF2B5EF4-FFF2-40B4-BE49-F238E27FC236}">
              <a16:creationId xmlns:a16="http://schemas.microsoft.com/office/drawing/2014/main" id="{2A506652-17E8-4024-91D4-360CE2C26643}"/>
            </a:ext>
          </a:extLst>
        </xdr:cNvPr>
        <xdr:cNvSpPr>
          <a:spLocks noChangeArrowheads="1"/>
        </xdr:cNvSpPr>
      </xdr:nvSpPr>
      <xdr:spPr bwMode="auto">
        <a:xfrm>
          <a:off x="2170430" y="5108575"/>
          <a:ext cx="1912620" cy="1714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National Inventory</a:t>
          </a:r>
        </a:p>
      </xdr:txBody>
    </xdr:sp>
    <xdr:clientData/>
  </xdr:twoCellAnchor>
  <xdr:twoCellAnchor>
    <xdr:from>
      <xdr:col>2</xdr:col>
      <xdr:colOff>200024</xdr:colOff>
      <xdr:row>13</xdr:row>
      <xdr:rowOff>123825</xdr:rowOff>
    </xdr:from>
    <xdr:to>
      <xdr:col>15</xdr:col>
      <xdr:colOff>381000</xdr:colOff>
      <xdr:row>37</xdr:row>
      <xdr:rowOff>76201</xdr:rowOff>
    </xdr:to>
    <xdr:graphicFrame macro="">
      <xdr:nvGraphicFramePr>
        <xdr:cNvPr id="3" name="Chart 2">
          <a:extLst>
            <a:ext uri="{FF2B5EF4-FFF2-40B4-BE49-F238E27FC236}">
              <a16:creationId xmlns:a16="http://schemas.microsoft.com/office/drawing/2014/main" id="{67B0485B-5D8A-4163-8FDE-964CAF438D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3</xdr:col>
      <xdr:colOff>0</xdr:colOff>
      <xdr:row>13</xdr:row>
      <xdr:rowOff>6350</xdr:rowOff>
    </xdr:from>
    <xdr:to>
      <xdr:col>12</xdr:col>
      <xdr:colOff>0</xdr:colOff>
      <xdr:row>42</xdr:row>
      <xdr:rowOff>12700</xdr:rowOff>
    </xdr:to>
    <xdr:graphicFrame macro="">
      <xdr:nvGraphicFramePr>
        <xdr:cNvPr id="2" name="Chart 1">
          <a:extLst>
            <a:ext uri="{FF2B5EF4-FFF2-40B4-BE49-F238E27FC236}">
              <a16:creationId xmlns:a16="http://schemas.microsoft.com/office/drawing/2014/main" id="{83347791-3847-4D9A-A446-425D1AD31B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161925</xdr:colOff>
      <xdr:row>33</xdr:row>
      <xdr:rowOff>114300</xdr:rowOff>
    </xdr:from>
    <xdr:to>
      <xdr:col>19</xdr:col>
      <xdr:colOff>19050</xdr:colOff>
      <xdr:row>59</xdr:row>
      <xdr:rowOff>47625</xdr:rowOff>
    </xdr:to>
    <xdr:graphicFrame macro="">
      <xdr:nvGraphicFramePr>
        <xdr:cNvPr id="2" name="Chart 2">
          <a:extLst>
            <a:ext uri="{FF2B5EF4-FFF2-40B4-BE49-F238E27FC236}">
              <a16:creationId xmlns:a16="http://schemas.microsoft.com/office/drawing/2014/main" id="{5F4874DB-9DFF-4B35-A59F-E4060641E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209549</xdr:colOff>
      <xdr:row>8</xdr:row>
      <xdr:rowOff>95250</xdr:rowOff>
    </xdr:from>
    <xdr:to>
      <xdr:col>28</xdr:col>
      <xdr:colOff>412749</xdr:colOff>
      <xdr:row>27</xdr:row>
      <xdr:rowOff>57150</xdr:rowOff>
    </xdr:to>
    <xdr:graphicFrame macro="">
      <xdr:nvGraphicFramePr>
        <xdr:cNvPr id="3" name="Chart 5">
          <a:extLst>
            <a:ext uri="{FF2B5EF4-FFF2-40B4-BE49-F238E27FC236}">
              <a16:creationId xmlns:a16="http://schemas.microsoft.com/office/drawing/2014/main" id="{D8C19D45-2268-43D1-BAD8-EB68FD82C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68</xdr:row>
      <xdr:rowOff>0</xdr:rowOff>
    </xdr:from>
    <xdr:to>
      <xdr:col>18</xdr:col>
      <xdr:colOff>228600</xdr:colOff>
      <xdr:row>85</xdr:row>
      <xdr:rowOff>138405</xdr:rowOff>
    </xdr:to>
    <xdr:sp macro="" textlink="">
      <xdr:nvSpPr>
        <xdr:cNvPr id="4" name="Rectangle 3">
          <a:extLst>
            <a:ext uri="{FF2B5EF4-FFF2-40B4-BE49-F238E27FC236}">
              <a16:creationId xmlns:a16="http://schemas.microsoft.com/office/drawing/2014/main" id="{50D4EA8D-2C32-47B8-B47E-3F64EA1E980E}"/>
            </a:ext>
          </a:extLst>
        </xdr:cNvPr>
        <xdr:cNvSpPr/>
      </xdr:nvSpPr>
      <xdr:spPr>
        <a:xfrm>
          <a:off x="3638550" y="7162800"/>
          <a:ext cx="5689600" cy="326895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0</xdr:colOff>
      <xdr:row>64</xdr:row>
      <xdr:rowOff>161925</xdr:rowOff>
    </xdr:from>
    <xdr:to>
      <xdr:col>32</xdr:col>
      <xdr:colOff>419100</xdr:colOff>
      <xdr:row>85</xdr:row>
      <xdr:rowOff>140335</xdr:rowOff>
    </xdr:to>
    <xdr:graphicFrame macro="">
      <xdr:nvGraphicFramePr>
        <xdr:cNvPr id="5" name="Chart 5">
          <a:extLst>
            <a:ext uri="{FF2B5EF4-FFF2-40B4-BE49-F238E27FC236}">
              <a16:creationId xmlns:a16="http://schemas.microsoft.com/office/drawing/2014/main" id="{0590DA32-FF84-413A-B369-867F26F0F7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xdr:col>
      <xdr:colOff>889000</xdr:colOff>
      <xdr:row>63</xdr:row>
      <xdr:rowOff>180622</xdr:rowOff>
    </xdr:from>
    <xdr:to>
      <xdr:col>6</xdr:col>
      <xdr:colOff>261055</xdr:colOff>
      <xdr:row>78</xdr:row>
      <xdr:rowOff>172156</xdr:rowOff>
    </xdr:to>
    <xdr:graphicFrame macro="">
      <xdr:nvGraphicFramePr>
        <xdr:cNvPr id="2" name="Chart 1">
          <a:extLst>
            <a:ext uri="{FF2B5EF4-FFF2-40B4-BE49-F238E27FC236}">
              <a16:creationId xmlns:a16="http://schemas.microsoft.com/office/drawing/2014/main" id="{82DDFBFC-5768-4F65-BE59-8205E95B98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183445</xdr:colOff>
      <xdr:row>64</xdr:row>
      <xdr:rowOff>11288</xdr:rowOff>
    </xdr:from>
    <xdr:to>
      <xdr:col>14</xdr:col>
      <xdr:colOff>649111</xdr:colOff>
      <xdr:row>79</xdr:row>
      <xdr:rowOff>2821</xdr:rowOff>
    </xdr:to>
    <xdr:graphicFrame macro="">
      <xdr:nvGraphicFramePr>
        <xdr:cNvPr id="3" name="Chart 2">
          <a:extLst>
            <a:ext uri="{FF2B5EF4-FFF2-40B4-BE49-F238E27FC236}">
              <a16:creationId xmlns:a16="http://schemas.microsoft.com/office/drawing/2014/main" id="{89D2C9A3-72AA-44F3-96B8-2EC2251936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2</xdr:col>
      <xdr:colOff>214313</xdr:colOff>
      <xdr:row>13</xdr:row>
      <xdr:rowOff>142875</xdr:rowOff>
    </xdr:from>
    <xdr:to>
      <xdr:col>7</xdr:col>
      <xdr:colOff>781050</xdr:colOff>
      <xdr:row>27</xdr:row>
      <xdr:rowOff>76200</xdr:rowOff>
    </xdr:to>
    <xdr:graphicFrame macro="">
      <xdr:nvGraphicFramePr>
        <xdr:cNvPr id="2" name="Chart 1">
          <a:extLst>
            <a:ext uri="{FF2B5EF4-FFF2-40B4-BE49-F238E27FC236}">
              <a16:creationId xmlns:a16="http://schemas.microsoft.com/office/drawing/2014/main" id="{8497F3C4-B24B-4072-9F18-95E69CC50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3</xdr:col>
      <xdr:colOff>95250</xdr:colOff>
      <xdr:row>81</xdr:row>
      <xdr:rowOff>0</xdr:rowOff>
    </xdr:from>
    <xdr:to>
      <xdr:col>18</xdr:col>
      <xdr:colOff>0</xdr:colOff>
      <xdr:row>81</xdr:row>
      <xdr:rowOff>0</xdr:rowOff>
    </xdr:to>
    <xdr:graphicFrame macro="">
      <xdr:nvGraphicFramePr>
        <xdr:cNvPr id="2" name="Chart 1">
          <a:extLst>
            <a:ext uri="{FF2B5EF4-FFF2-40B4-BE49-F238E27FC236}">
              <a16:creationId xmlns:a16="http://schemas.microsoft.com/office/drawing/2014/main" id="{CC14A00C-EF3E-49F5-BD4F-FB255D86D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908602</xdr:colOff>
      <xdr:row>61</xdr:row>
      <xdr:rowOff>14495</xdr:rowOff>
    </xdr:from>
    <xdr:to>
      <xdr:col>18</xdr:col>
      <xdr:colOff>78270</xdr:colOff>
      <xdr:row>76</xdr:row>
      <xdr:rowOff>0</xdr:rowOff>
    </xdr:to>
    <xdr:graphicFrame macro="">
      <xdr:nvGraphicFramePr>
        <xdr:cNvPr id="3" name="Chart 2">
          <a:extLst>
            <a:ext uri="{FF2B5EF4-FFF2-40B4-BE49-F238E27FC236}">
              <a16:creationId xmlns:a16="http://schemas.microsoft.com/office/drawing/2014/main" id="{172A874D-85AC-4B92-BC96-DD4B69102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1</xdr:col>
      <xdr:colOff>885825</xdr:colOff>
      <xdr:row>18</xdr:row>
      <xdr:rowOff>176212</xdr:rowOff>
    </xdr:from>
    <xdr:to>
      <xdr:col>9</xdr:col>
      <xdr:colOff>104775</xdr:colOff>
      <xdr:row>33</xdr:row>
      <xdr:rowOff>61912</xdr:rowOff>
    </xdr:to>
    <xdr:graphicFrame macro="">
      <xdr:nvGraphicFramePr>
        <xdr:cNvPr id="2" name="Chart 1">
          <a:extLst>
            <a:ext uri="{FF2B5EF4-FFF2-40B4-BE49-F238E27FC236}">
              <a16:creationId xmlns:a16="http://schemas.microsoft.com/office/drawing/2014/main" id="{AC8789EF-6D92-4F1B-8F83-CB9DB785EC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142875</xdr:colOff>
      <xdr:row>19</xdr:row>
      <xdr:rowOff>14287</xdr:rowOff>
    </xdr:from>
    <xdr:to>
      <xdr:col>16</xdr:col>
      <xdr:colOff>390525</xdr:colOff>
      <xdr:row>33</xdr:row>
      <xdr:rowOff>90487</xdr:rowOff>
    </xdr:to>
    <xdr:graphicFrame macro="">
      <xdr:nvGraphicFramePr>
        <xdr:cNvPr id="3" name="Chart 2">
          <a:extLst>
            <a:ext uri="{FF2B5EF4-FFF2-40B4-BE49-F238E27FC236}">
              <a16:creationId xmlns:a16="http://schemas.microsoft.com/office/drawing/2014/main" id="{01D05A8D-78F6-464E-AE65-52D9826586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5</xdr:col>
      <xdr:colOff>342900</xdr:colOff>
      <xdr:row>59</xdr:row>
      <xdr:rowOff>28575</xdr:rowOff>
    </xdr:from>
    <xdr:to>
      <xdr:col>16</xdr:col>
      <xdr:colOff>183515</xdr:colOff>
      <xdr:row>72</xdr:row>
      <xdr:rowOff>168910</xdr:rowOff>
    </xdr:to>
    <xdr:sp macro="" textlink="">
      <xdr:nvSpPr>
        <xdr:cNvPr id="2" name="Rectangle 1">
          <a:extLst>
            <a:ext uri="{FF2B5EF4-FFF2-40B4-BE49-F238E27FC236}">
              <a16:creationId xmlns:a16="http://schemas.microsoft.com/office/drawing/2014/main" id="{820E8BB2-D10D-4668-B083-84EFB710AD9B}"/>
            </a:ext>
          </a:extLst>
        </xdr:cNvPr>
        <xdr:cNvSpPr/>
      </xdr:nvSpPr>
      <xdr:spPr>
        <a:xfrm>
          <a:off x="5448300" y="10702925"/>
          <a:ext cx="6857365" cy="249618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en-ZA"/>
        </a:p>
      </xdr:txBody>
    </xdr:sp>
    <xdr:clientData/>
  </xdr:twoCellAnchor>
  <xdr:twoCellAnchor>
    <xdr:from>
      <xdr:col>3</xdr:col>
      <xdr:colOff>1656715</xdr:colOff>
      <xdr:row>57</xdr:row>
      <xdr:rowOff>104775</xdr:rowOff>
    </xdr:from>
    <xdr:to>
      <xdr:col>26</xdr:col>
      <xdr:colOff>266700</xdr:colOff>
      <xdr:row>73</xdr:row>
      <xdr:rowOff>160655</xdr:rowOff>
    </xdr:to>
    <xdr:graphicFrame macro="">
      <xdr:nvGraphicFramePr>
        <xdr:cNvPr id="3" name="Chart 2">
          <a:extLst>
            <a:ext uri="{FF2B5EF4-FFF2-40B4-BE49-F238E27FC236}">
              <a16:creationId xmlns:a16="http://schemas.microsoft.com/office/drawing/2014/main" id="{72C53760-1075-41CE-BD71-D9DB034C5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11</xdr:col>
      <xdr:colOff>260177</xdr:colOff>
      <xdr:row>29</xdr:row>
      <xdr:rowOff>68234</xdr:rowOff>
    </xdr:from>
    <xdr:to>
      <xdr:col>21</xdr:col>
      <xdr:colOff>583333</xdr:colOff>
      <xdr:row>40</xdr:row>
      <xdr:rowOff>43296</xdr:rowOff>
    </xdr:to>
    <xdr:graphicFrame macro="">
      <xdr:nvGraphicFramePr>
        <xdr:cNvPr id="2" name="Chart 1">
          <a:extLst>
            <a:ext uri="{FF2B5EF4-FFF2-40B4-BE49-F238E27FC236}">
              <a16:creationId xmlns:a16="http://schemas.microsoft.com/office/drawing/2014/main" id="{0173BE13-D09A-4AA7-BFFF-5EE985738D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5</xdr:col>
      <xdr:colOff>342900</xdr:colOff>
      <xdr:row>58</xdr:row>
      <xdr:rowOff>28575</xdr:rowOff>
    </xdr:from>
    <xdr:to>
      <xdr:col>16</xdr:col>
      <xdr:colOff>183515</xdr:colOff>
      <xdr:row>71</xdr:row>
      <xdr:rowOff>168910</xdr:rowOff>
    </xdr:to>
    <xdr:sp macro="" textlink="">
      <xdr:nvSpPr>
        <xdr:cNvPr id="2" name="Rectangle 1">
          <a:extLst>
            <a:ext uri="{FF2B5EF4-FFF2-40B4-BE49-F238E27FC236}">
              <a16:creationId xmlns:a16="http://schemas.microsoft.com/office/drawing/2014/main" id="{C2DE6FCC-A39B-4E10-80D1-812B74B93819}"/>
            </a:ext>
          </a:extLst>
        </xdr:cNvPr>
        <xdr:cNvSpPr/>
      </xdr:nvSpPr>
      <xdr:spPr>
        <a:xfrm>
          <a:off x="4229100" y="10575925"/>
          <a:ext cx="1085850" cy="253428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p>
          <a:endParaRPr lang="en-ZA"/>
        </a:p>
      </xdr:txBody>
    </xdr:sp>
    <xdr:clientData/>
  </xdr:twoCellAnchor>
  <xdr:twoCellAnchor>
    <xdr:from>
      <xdr:col>2</xdr:col>
      <xdr:colOff>352426</xdr:colOff>
      <xdr:row>57</xdr:row>
      <xdr:rowOff>41274</xdr:rowOff>
    </xdr:from>
    <xdr:to>
      <xdr:col>32</xdr:col>
      <xdr:colOff>390525</xdr:colOff>
      <xdr:row>75</xdr:row>
      <xdr:rowOff>117474</xdr:rowOff>
    </xdr:to>
    <xdr:graphicFrame macro="">
      <xdr:nvGraphicFramePr>
        <xdr:cNvPr id="3" name="Chart 2">
          <a:extLst>
            <a:ext uri="{FF2B5EF4-FFF2-40B4-BE49-F238E27FC236}">
              <a16:creationId xmlns:a16="http://schemas.microsoft.com/office/drawing/2014/main" id="{9066DF56-9AF6-4CCD-838A-F7561A35FF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295275</xdr:colOff>
      <xdr:row>75</xdr:row>
      <xdr:rowOff>133349</xdr:rowOff>
    </xdr:from>
    <xdr:to>
      <xdr:col>32</xdr:col>
      <xdr:colOff>438150</xdr:colOff>
      <xdr:row>94</xdr:row>
      <xdr:rowOff>152400</xdr:rowOff>
    </xdr:to>
    <xdr:graphicFrame macro="">
      <xdr:nvGraphicFramePr>
        <xdr:cNvPr id="4" name="Chart 3">
          <a:extLst>
            <a:ext uri="{FF2B5EF4-FFF2-40B4-BE49-F238E27FC236}">
              <a16:creationId xmlns:a16="http://schemas.microsoft.com/office/drawing/2014/main" id="{813F35A4-BF35-46D7-B923-655845AAA0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95251</xdr:colOff>
      <xdr:row>15</xdr:row>
      <xdr:rowOff>114301</xdr:rowOff>
    </xdr:from>
    <xdr:to>
      <xdr:col>31</xdr:col>
      <xdr:colOff>390526</xdr:colOff>
      <xdr:row>33</xdr:row>
      <xdr:rowOff>47626</xdr:rowOff>
    </xdr:to>
    <xdr:graphicFrame macro="">
      <xdr:nvGraphicFramePr>
        <xdr:cNvPr id="7" name="Chart 6">
          <a:extLst>
            <a:ext uri="{FF2B5EF4-FFF2-40B4-BE49-F238E27FC236}">
              <a16:creationId xmlns:a16="http://schemas.microsoft.com/office/drawing/2014/main" id="{D9801BCD-05CE-4312-8D21-64E1E818B0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3</xdr:col>
      <xdr:colOff>428625</xdr:colOff>
      <xdr:row>15</xdr:row>
      <xdr:rowOff>71120</xdr:rowOff>
    </xdr:from>
    <xdr:to>
      <xdr:col>30</xdr:col>
      <xdr:colOff>292100</xdr:colOff>
      <xdr:row>30</xdr:row>
      <xdr:rowOff>15875</xdr:rowOff>
    </xdr:to>
    <xdr:graphicFrame macro="">
      <xdr:nvGraphicFramePr>
        <xdr:cNvPr id="2" name="Chart 6">
          <a:extLst>
            <a:ext uri="{FF2B5EF4-FFF2-40B4-BE49-F238E27FC236}">
              <a16:creationId xmlns:a16="http://schemas.microsoft.com/office/drawing/2014/main" id="{7721E3E0-A555-42E0-A095-0EE00429C4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57</xdr:row>
      <xdr:rowOff>0</xdr:rowOff>
    </xdr:from>
    <xdr:to>
      <xdr:col>13</xdr:col>
      <xdr:colOff>297180</xdr:colOff>
      <xdr:row>72</xdr:row>
      <xdr:rowOff>0</xdr:rowOff>
    </xdr:to>
    <xdr:sp macro="" textlink="">
      <xdr:nvSpPr>
        <xdr:cNvPr id="3" name="Rectangle 2">
          <a:extLst>
            <a:ext uri="{FF2B5EF4-FFF2-40B4-BE49-F238E27FC236}">
              <a16:creationId xmlns:a16="http://schemas.microsoft.com/office/drawing/2014/main" id="{5211D596-E841-44B8-AB0F-4998CDB1D796}"/>
            </a:ext>
          </a:extLst>
        </xdr:cNvPr>
        <xdr:cNvSpPr/>
      </xdr:nvSpPr>
      <xdr:spPr>
        <a:xfrm>
          <a:off x="1228725" y="11087100"/>
          <a:ext cx="1960880" cy="24288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p>
          <a:endParaRPr lang="en-ZA"/>
        </a:p>
      </xdr:txBody>
    </xdr:sp>
    <xdr:clientData/>
  </xdr:twoCellAnchor>
  <xdr:twoCellAnchor>
    <xdr:from>
      <xdr:col>2</xdr:col>
      <xdr:colOff>201928</xdr:colOff>
      <xdr:row>54</xdr:row>
      <xdr:rowOff>149226</xdr:rowOff>
    </xdr:from>
    <xdr:to>
      <xdr:col>26</xdr:col>
      <xdr:colOff>473075</xdr:colOff>
      <xdr:row>75</xdr:row>
      <xdr:rowOff>47626</xdr:rowOff>
    </xdr:to>
    <xdr:graphicFrame macro="">
      <xdr:nvGraphicFramePr>
        <xdr:cNvPr id="4" name="Chart 6">
          <a:extLst>
            <a:ext uri="{FF2B5EF4-FFF2-40B4-BE49-F238E27FC236}">
              <a16:creationId xmlns:a16="http://schemas.microsoft.com/office/drawing/2014/main" id="{162DEF71-4675-40E3-A05B-45ACBCFEA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46470</xdr:colOff>
      <xdr:row>14</xdr:row>
      <xdr:rowOff>60614</xdr:rowOff>
    </xdr:from>
    <xdr:to>
      <xdr:col>32</xdr:col>
      <xdr:colOff>17319</xdr:colOff>
      <xdr:row>30</xdr:row>
      <xdr:rowOff>178665</xdr:rowOff>
    </xdr:to>
    <xdr:graphicFrame macro="">
      <xdr:nvGraphicFramePr>
        <xdr:cNvPr id="5" name="Chart 4">
          <a:extLst>
            <a:ext uri="{FF2B5EF4-FFF2-40B4-BE49-F238E27FC236}">
              <a16:creationId xmlns:a16="http://schemas.microsoft.com/office/drawing/2014/main" id="{81D65DD0-B21A-434D-922F-49F52F1FC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3</xdr:col>
      <xdr:colOff>215900</xdr:colOff>
      <xdr:row>14</xdr:row>
      <xdr:rowOff>115570</xdr:rowOff>
    </xdr:from>
    <xdr:to>
      <xdr:col>32</xdr:col>
      <xdr:colOff>38100</xdr:colOff>
      <xdr:row>30</xdr:row>
      <xdr:rowOff>215900</xdr:rowOff>
    </xdr:to>
    <xdr:graphicFrame macro="">
      <xdr:nvGraphicFramePr>
        <xdr:cNvPr id="2" name="Chart 6">
          <a:extLst>
            <a:ext uri="{FF2B5EF4-FFF2-40B4-BE49-F238E27FC236}">
              <a16:creationId xmlns:a16="http://schemas.microsoft.com/office/drawing/2014/main" id="{2E3CB9D1-1DF7-4B98-9D01-F8EE9BA41B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57</xdr:row>
      <xdr:rowOff>0</xdr:rowOff>
    </xdr:from>
    <xdr:to>
      <xdr:col>13</xdr:col>
      <xdr:colOff>297180</xdr:colOff>
      <xdr:row>72</xdr:row>
      <xdr:rowOff>0</xdr:rowOff>
    </xdr:to>
    <xdr:sp macro="" textlink="">
      <xdr:nvSpPr>
        <xdr:cNvPr id="3" name="Rectangle 2">
          <a:extLst>
            <a:ext uri="{FF2B5EF4-FFF2-40B4-BE49-F238E27FC236}">
              <a16:creationId xmlns:a16="http://schemas.microsoft.com/office/drawing/2014/main" id="{9DD38CE1-CF32-4FD2-A87B-C7D9111C6FB9}"/>
            </a:ext>
          </a:extLst>
        </xdr:cNvPr>
        <xdr:cNvSpPr/>
      </xdr:nvSpPr>
      <xdr:spPr>
        <a:xfrm>
          <a:off x="1231900" y="11144250"/>
          <a:ext cx="6189980" cy="2381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noAutofit/>
        </a:bodyPr>
        <a:lstStyle/>
        <a:p>
          <a:endParaRPr lang="en-ZA"/>
        </a:p>
      </xdr:txBody>
    </xdr:sp>
    <xdr:clientData/>
  </xdr:twoCellAnchor>
  <xdr:twoCellAnchor>
    <xdr:from>
      <xdr:col>2</xdr:col>
      <xdr:colOff>201928</xdr:colOff>
      <xdr:row>54</xdr:row>
      <xdr:rowOff>149226</xdr:rowOff>
    </xdr:from>
    <xdr:to>
      <xdr:col>26</xdr:col>
      <xdr:colOff>473075</xdr:colOff>
      <xdr:row>75</xdr:row>
      <xdr:rowOff>47626</xdr:rowOff>
    </xdr:to>
    <xdr:graphicFrame macro="">
      <xdr:nvGraphicFramePr>
        <xdr:cNvPr id="4" name="Chart 6">
          <a:extLst>
            <a:ext uri="{FF2B5EF4-FFF2-40B4-BE49-F238E27FC236}">
              <a16:creationId xmlns:a16="http://schemas.microsoft.com/office/drawing/2014/main" id="{7EBC782D-EE8F-46FB-887A-55F16D1C3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2</xdr:col>
      <xdr:colOff>7620</xdr:colOff>
      <xdr:row>40</xdr:row>
      <xdr:rowOff>0</xdr:rowOff>
    </xdr:from>
    <xdr:to>
      <xdr:col>24</xdr:col>
      <xdr:colOff>320040</xdr:colOff>
      <xdr:row>40</xdr:row>
      <xdr:rowOff>0</xdr:rowOff>
    </xdr:to>
    <xdr:graphicFrame macro="">
      <xdr:nvGraphicFramePr>
        <xdr:cNvPr id="2" name="Chart 1">
          <a:extLst>
            <a:ext uri="{FF2B5EF4-FFF2-40B4-BE49-F238E27FC236}">
              <a16:creationId xmlns:a16="http://schemas.microsoft.com/office/drawing/2014/main" id="{1BC85DCC-55CB-4B60-9F53-89D78F326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1111251</xdr:colOff>
      <xdr:row>16</xdr:row>
      <xdr:rowOff>57151</xdr:rowOff>
    </xdr:from>
    <xdr:to>
      <xdr:col>31</xdr:col>
      <xdr:colOff>438151</xdr:colOff>
      <xdr:row>35</xdr:row>
      <xdr:rowOff>44451</xdr:rowOff>
    </xdr:to>
    <xdr:graphicFrame macro="">
      <xdr:nvGraphicFramePr>
        <xdr:cNvPr id="3" name="Chart 2">
          <a:extLst>
            <a:ext uri="{FF2B5EF4-FFF2-40B4-BE49-F238E27FC236}">
              <a16:creationId xmlns:a16="http://schemas.microsoft.com/office/drawing/2014/main" id="{6BF672B9-AF2F-4284-BC9B-62078A94E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0.07389</cdr:x>
      <cdr:y>0.44343</cdr:y>
    </cdr:from>
    <cdr:to>
      <cdr:x>0.96835</cdr:x>
      <cdr:y>0.44343</cdr:y>
    </cdr:to>
    <cdr:sp macro="" textlink="">
      <cdr:nvSpPr>
        <cdr:cNvPr id="7170" name="Line 1026"/>
        <cdr:cNvSpPr>
          <a:spLocks xmlns:a="http://schemas.openxmlformats.org/drawingml/2006/main" noChangeShapeType="1"/>
        </cdr:cNvSpPr>
      </cdr:nvSpPr>
      <cdr:spPr bwMode="auto">
        <a:xfrm xmlns:a="http://schemas.openxmlformats.org/drawingml/2006/main">
          <a:off x="883506" y="1528974"/>
          <a:ext cx="10695103" cy="0"/>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80.xml><?xml version="1.0" encoding="utf-8"?>
<xdr:wsDr xmlns:xdr="http://schemas.openxmlformats.org/drawingml/2006/spreadsheetDrawing" xmlns:a="http://schemas.openxmlformats.org/drawingml/2006/main">
  <xdr:twoCellAnchor>
    <xdr:from>
      <xdr:col>1</xdr:col>
      <xdr:colOff>47898</xdr:colOff>
      <xdr:row>85</xdr:row>
      <xdr:rowOff>78921</xdr:rowOff>
    </xdr:from>
    <xdr:to>
      <xdr:col>22</xdr:col>
      <xdr:colOff>1</xdr:colOff>
      <xdr:row>106</xdr:row>
      <xdr:rowOff>167821</xdr:rowOff>
    </xdr:to>
    <xdr:graphicFrame macro="">
      <xdr:nvGraphicFramePr>
        <xdr:cNvPr id="2" name="Chart 1">
          <a:extLst>
            <a:ext uri="{FF2B5EF4-FFF2-40B4-BE49-F238E27FC236}">
              <a16:creationId xmlns:a16="http://schemas.microsoft.com/office/drawing/2014/main" id="{A523AAFE-CBC7-4046-8972-7CC7D5D65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205771</xdr:colOff>
      <xdr:row>64</xdr:row>
      <xdr:rowOff>165102</xdr:rowOff>
    </xdr:from>
    <xdr:to>
      <xdr:col>37</xdr:col>
      <xdr:colOff>580572</xdr:colOff>
      <xdr:row>84</xdr:row>
      <xdr:rowOff>44452</xdr:rowOff>
    </xdr:to>
    <xdr:graphicFrame macro="">
      <xdr:nvGraphicFramePr>
        <xdr:cNvPr id="3" name="Chart 2">
          <a:extLst>
            <a:ext uri="{FF2B5EF4-FFF2-40B4-BE49-F238E27FC236}">
              <a16:creationId xmlns:a16="http://schemas.microsoft.com/office/drawing/2014/main" id="{9ED542B6-D6A7-4DA9-9277-7BF5B981E7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240242</xdr:colOff>
      <xdr:row>65</xdr:row>
      <xdr:rowOff>104775</xdr:rowOff>
    </xdr:from>
    <xdr:to>
      <xdr:col>23</xdr:col>
      <xdr:colOff>66676</xdr:colOff>
      <xdr:row>85</xdr:row>
      <xdr:rowOff>63500</xdr:rowOff>
    </xdr:to>
    <xdr:graphicFrame macro="">
      <xdr:nvGraphicFramePr>
        <xdr:cNvPr id="4" name="Chart 3">
          <a:extLst>
            <a:ext uri="{FF2B5EF4-FFF2-40B4-BE49-F238E27FC236}">
              <a16:creationId xmlns:a16="http://schemas.microsoft.com/office/drawing/2014/main" id="{79E58039-1117-4905-B7F5-F00F780BE3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18143</xdr:colOff>
      <xdr:row>15</xdr:row>
      <xdr:rowOff>27214</xdr:rowOff>
    </xdr:from>
    <xdr:to>
      <xdr:col>27</xdr:col>
      <xdr:colOff>317500</xdr:colOff>
      <xdr:row>35</xdr:row>
      <xdr:rowOff>145142</xdr:rowOff>
    </xdr:to>
    <xdr:graphicFrame macro="">
      <xdr:nvGraphicFramePr>
        <xdr:cNvPr id="5" name="Chart 4">
          <a:extLst>
            <a:ext uri="{FF2B5EF4-FFF2-40B4-BE49-F238E27FC236}">
              <a16:creationId xmlns:a16="http://schemas.microsoft.com/office/drawing/2014/main" id="{AA78A2DF-E1CC-441F-AEB1-74A3A8F98E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2</xdr:col>
      <xdr:colOff>0</xdr:colOff>
      <xdr:row>51</xdr:row>
      <xdr:rowOff>0</xdr:rowOff>
    </xdr:from>
    <xdr:to>
      <xdr:col>18</xdr:col>
      <xdr:colOff>320040</xdr:colOff>
      <xdr:row>51</xdr:row>
      <xdr:rowOff>0</xdr:rowOff>
    </xdr:to>
    <xdr:graphicFrame macro="">
      <xdr:nvGraphicFramePr>
        <xdr:cNvPr id="2" name="Chart 1">
          <a:extLst>
            <a:ext uri="{FF2B5EF4-FFF2-40B4-BE49-F238E27FC236}">
              <a16:creationId xmlns:a16="http://schemas.microsoft.com/office/drawing/2014/main" id="{766E0392-6B27-467A-A623-C473520816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1009650</xdr:colOff>
      <xdr:row>53</xdr:row>
      <xdr:rowOff>304800</xdr:rowOff>
    </xdr:from>
    <xdr:to>
      <xdr:col>18</xdr:col>
      <xdr:colOff>266700</xdr:colOff>
      <xdr:row>68</xdr:row>
      <xdr:rowOff>152400</xdr:rowOff>
    </xdr:to>
    <xdr:graphicFrame macro="">
      <xdr:nvGraphicFramePr>
        <xdr:cNvPr id="3" name="Chart 2">
          <a:extLst>
            <a:ext uri="{FF2B5EF4-FFF2-40B4-BE49-F238E27FC236}">
              <a16:creationId xmlns:a16="http://schemas.microsoft.com/office/drawing/2014/main" id="{449ACB05-FE11-461E-AE33-772B99CA4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2</xdr:col>
      <xdr:colOff>7620</xdr:colOff>
      <xdr:row>50</xdr:row>
      <xdr:rowOff>0</xdr:rowOff>
    </xdr:from>
    <xdr:to>
      <xdr:col>16</xdr:col>
      <xdr:colOff>320040</xdr:colOff>
      <xdr:row>50</xdr:row>
      <xdr:rowOff>0</xdr:rowOff>
    </xdr:to>
    <xdr:graphicFrame macro="">
      <xdr:nvGraphicFramePr>
        <xdr:cNvPr id="2" name="Chart 1">
          <a:extLst>
            <a:ext uri="{FF2B5EF4-FFF2-40B4-BE49-F238E27FC236}">
              <a16:creationId xmlns:a16="http://schemas.microsoft.com/office/drawing/2014/main" id="{D79872D6-8C33-4625-B39A-9E7F628DA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831273</xdr:colOff>
      <xdr:row>52</xdr:row>
      <xdr:rowOff>126999</xdr:rowOff>
    </xdr:from>
    <xdr:to>
      <xdr:col>21</xdr:col>
      <xdr:colOff>294409</xdr:colOff>
      <xdr:row>71</xdr:row>
      <xdr:rowOff>63787</xdr:rowOff>
    </xdr:to>
    <xdr:graphicFrame macro="">
      <xdr:nvGraphicFramePr>
        <xdr:cNvPr id="3" name="Chart 2">
          <a:extLst>
            <a:ext uri="{FF2B5EF4-FFF2-40B4-BE49-F238E27FC236}">
              <a16:creationId xmlns:a16="http://schemas.microsoft.com/office/drawing/2014/main" id="{7CB76616-2E3A-471D-A819-70B0740D73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3</xdr:col>
      <xdr:colOff>25400</xdr:colOff>
      <xdr:row>16</xdr:row>
      <xdr:rowOff>38099</xdr:rowOff>
    </xdr:from>
    <xdr:to>
      <xdr:col>17</xdr:col>
      <xdr:colOff>311150</xdr:colOff>
      <xdr:row>32</xdr:row>
      <xdr:rowOff>82549</xdr:rowOff>
    </xdr:to>
    <xdr:graphicFrame macro="">
      <xdr:nvGraphicFramePr>
        <xdr:cNvPr id="2" name="Chart 1">
          <a:extLst>
            <a:ext uri="{FF2B5EF4-FFF2-40B4-BE49-F238E27FC236}">
              <a16:creationId xmlns:a16="http://schemas.microsoft.com/office/drawing/2014/main" id="{A5BDA274-8F7E-4E3F-8AD7-CB6243B97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2</xdr:col>
      <xdr:colOff>361315</xdr:colOff>
      <xdr:row>16</xdr:row>
      <xdr:rowOff>83185</xdr:rowOff>
    </xdr:from>
    <xdr:to>
      <xdr:col>15</xdr:col>
      <xdr:colOff>59148</xdr:colOff>
      <xdr:row>31</xdr:row>
      <xdr:rowOff>190032</xdr:rowOff>
    </xdr:to>
    <xdr:graphicFrame macro="">
      <xdr:nvGraphicFramePr>
        <xdr:cNvPr id="2" name="Chart 1">
          <a:extLst>
            <a:ext uri="{FF2B5EF4-FFF2-40B4-BE49-F238E27FC236}">
              <a16:creationId xmlns:a16="http://schemas.microsoft.com/office/drawing/2014/main" id="{F33B9118-6036-4E41-93F5-47A7D4780A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276224</xdr:colOff>
      <xdr:row>16</xdr:row>
      <xdr:rowOff>38100</xdr:rowOff>
    </xdr:from>
    <xdr:to>
      <xdr:col>17</xdr:col>
      <xdr:colOff>209550</xdr:colOff>
      <xdr:row>31</xdr:row>
      <xdr:rowOff>203199</xdr:rowOff>
    </xdr:to>
    <xdr:graphicFrame macro="">
      <xdr:nvGraphicFramePr>
        <xdr:cNvPr id="3" name="Chart 2">
          <a:extLst>
            <a:ext uri="{FF2B5EF4-FFF2-40B4-BE49-F238E27FC236}">
              <a16:creationId xmlns:a16="http://schemas.microsoft.com/office/drawing/2014/main" id="{42A8234F-3F3D-4A8B-8A90-33893F19F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2</xdr:col>
      <xdr:colOff>285749</xdr:colOff>
      <xdr:row>14</xdr:row>
      <xdr:rowOff>8466</xdr:rowOff>
    </xdr:from>
    <xdr:to>
      <xdr:col>23</xdr:col>
      <xdr:colOff>514350</xdr:colOff>
      <xdr:row>32</xdr:row>
      <xdr:rowOff>127000</xdr:rowOff>
    </xdr:to>
    <xdr:graphicFrame macro="">
      <xdr:nvGraphicFramePr>
        <xdr:cNvPr id="2" name="Chart 2">
          <a:extLst>
            <a:ext uri="{FF2B5EF4-FFF2-40B4-BE49-F238E27FC236}">
              <a16:creationId xmlns:a16="http://schemas.microsoft.com/office/drawing/2014/main" id="{BBDBE418-F384-4120-AEC1-86AB70BD0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190500</xdr:colOff>
      <xdr:row>34</xdr:row>
      <xdr:rowOff>131761</xdr:rowOff>
    </xdr:from>
    <xdr:to>
      <xdr:col>31</xdr:col>
      <xdr:colOff>466724</xdr:colOff>
      <xdr:row>53</xdr:row>
      <xdr:rowOff>85724</xdr:rowOff>
    </xdr:to>
    <xdr:graphicFrame macro="">
      <xdr:nvGraphicFramePr>
        <xdr:cNvPr id="3" name="Chart 2">
          <a:extLst>
            <a:ext uri="{FF2B5EF4-FFF2-40B4-BE49-F238E27FC236}">
              <a16:creationId xmlns:a16="http://schemas.microsoft.com/office/drawing/2014/main" id="{066C99FE-55D5-4751-B257-830B89D8AF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2</xdr:col>
      <xdr:colOff>95249</xdr:colOff>
      <xdr:row>24</xdr:row>
      <xdr:rowOff>93664</xdr:rowOff>
    </xdr:from>
    <xdr:to>
      <xdr:col>30</xdr:col>
      <xdr:colOff>387350</xdr:colOff>
      <xdr:row>43</xdr:row>
      <xdr:rowOff>95250</xdr:rowOff>
    </xdr:to>
    <xdr:graphicFrame macro="">
      <xdr:nvGraphicFramePr>
        <xdr:cNvPr id="2" name="Chart 1">
          <a:extLst>
            <a:ext uri="{FF2B5EF4-FFF2-40B4-BE49-F238E27FC236}">
              <a16:creationId xmlns:a16="http://schemas.microsoft.com/office/drawing/2014/main" id="{734DFF87-ECCD-4A39-BD94-7467D6CE0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3</xdr:col>
      <xdr:colOff>152400</xdr:colOff>
      <xdr:row>17</xdr:row>
      <xdr:rowOff>66675</xdr:rowOff>
    </xdr:from>
    <xdr:to>
      <xdr:col>32</xdr:col>
      <xdr:colOff>82550</xdr:colOff>
      <xdr:row>33</xdr:row>
      <xdr:rowOff>92075</xdr:rowOff>
    </xdr:to>
    <xdr:graphicFrame macro="">
      <xdr:nvGraphicFramePr>
        <xdr:cNvPr id="2" name="Chart 1">
          <a:extLst>
            <a:ext uri="{FF2B5EF4-FFF2-40B4-BE49-F238E27FC236}">
              <a16:creationId xmlns:a16="http://schemas.microsoft.com/office/drawing/2014/main" id="{364CC05A-58FA-4F40-9B60-513E153DE5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4</xdr:col>
      <xdr:colOff>292100</xdr:colOff>
      <xdr:row>15</xdr:row>
      <xdr:rowOff>19050</xdr:rowOff>
    </xdr:from>
    <xdr:to>
      <xdr:col>30</xdr:col>
      <xdr:colOff>504825</xdr:colOff>
      <xdr:row>32</xdr:row>
      <xdr:rowOff>6351</xdr:rowOff>
    </xdr:to>
    <xdr:graphicFrame macro="">
      <xdr:nvGraphicFramePr>
        <xdr:cNvPr id="2" name="Chart 1">
          <a:extLst>
            <a:ext uri="{FF2B5EF4-FFF2-40B4-BE49-F238E27FC236}">
              <a16:creationId xmlns:a16="http://schemas.microsoft.com/office/drawing/2014/main" id="{B5E6A120-074D-4E98-A5E4-10E25B671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2</xdr:col>
      <xdr:colOff>438149</xdr:colOff>
      <xdr:row>10</xdr:row>
      <xdr:rowOff>106680</xdr:rowOff>
    </xdr:from>
    <xdr:to>
      <xdr:col>23</xdr:col>
      <xdr:colOff>76200</xdr:colOff>
      <xdr:row>32</xdr:row>
      <xdr:rowOff>6350</xdr:rowOff>
    </xdr:to>
    <xdr:graphicFrame macro="">
      <xdr:nvGraphicFramePr>
        <xdr:cNvPr id="2" name="Chart 1">
          <a:extLst>
            <a:ext uri="{FF2B5EF4-FFF2-40B4-BE49-F238E27FC236}">
              <a16:creationId xmlns:a16="http://schemas.microsoft.com/office/drawing/2014/main" id="{2E87C153-3786-4ED1-924D-20270AEE0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204963</xdr:colOff>
      <xdr:row>9</xdr:row>
      <xdr:rowOff>109360</xdr:rowOff>
    </xdr:from>
    <xdr:to>
      <xdr:col>28</xdr:col>
      <xdr:colOff>138288</xdr:colOff>
      <xdr:row>28</xdr:row>
      <xdr:rowOff>122412</xdr:rowOff>
    </xdr:to>
    <xdr:graphicFrame macro="">
      <xdr:nvGraphicFramePr>
        <xdr:cNvPr id="2" name="Chart 3">
          <a:extLst>
            <a:ext uri="{FF2B5EF4-FFF2-40B4-BE49-F238E27FC236}">
              <a16:creationId xmlns:a16="http://schemas.microsoft.com/office/drawing/2014/main" id="{5A5D9976-2676-4D6A-8852-9FD058D229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40</xdr:row>
      <xdr:rowOff>0</xdr:rowOff>
    </xdr:from>
    <xdr:to>
      <xdr:col>17</xdr:col>
      <xdr:colOff>120650</xdr:colOff>
      <xdr:row>57</xdr:row>
      <xdr:rowOff>179070</xdr:rowOff>
    </xdr:to>
    <xdr:sp macro="" textlink="">
      <xdr:nvSpPr>
        <xdr:cNvPr id="3" name="Rectangle 2">
          <a:extLst>
            <a:ext uri="{FF2B5EF4-FFF2-40B4-BE49-F238E27FC236}">
              <a16:creationId xmlns:a16="http://schemas.microsoft.com/office/drawing/2014/main" id="{EAC238AE-ADAD-40D6-81B7-1ACEA79062A6}"/>
            </a:ext>
          </a:extLst>
        </xdr:cNvPr>
        <xdr:cNvSpPr/>
      </xdr:nvSpPr>
      <xdr:spPr>
        <a:xfrm>
          <a:off x="3251200" y="7175500"/>
          <a:ext cx="6407150" cy="33096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6</xdr:col>
      <xdr:colOff>0</xdr:colOff>
      <xdr:row>39</xdr:row>
      <xdr:rowOff>19049</xdr:rowOff>
    </xdr:from>
    <xdr:to>
      <xdr:col>27</xdr:col>
      <xdr:colOff>247650</xdr:colOff>
      <xdr:row>59</xdr:row>
      <xdr:rowOff>142874</xdr:rowOff>
    </xdr:to>
    <xdr:graphicFrame macro="">
      <xdr:nvGraphicFramePr>
        <xdr:cNvPr id="4" name="Chart 3">
          <a:extLst>
            <a:ext uri="{FF2B5EF4-FFF2-40B4-BE49-F238E27FC236}">
              <a16:creationId xmlns:a16="http://schemas.microsoft.com/office/drawing/2014/main" id="{86109BE0-F4CA-4B7B-A63E-55A9B76C4D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5</xdr:col>
      <xdr:colOff>10583</xdr:colOff>
      <xdr:row>22</xdr:row>
      <xdr:rowOff>238126</xdr:rowOff>
    </xdr:from>
    <xdr:to>
      <xdr:col>24</xdr:col>
      <xdr:colOff>455082</xdr:colOff>
      <xdr:row>53</xdr:row>
      <xdr:rowOff>113242</xdr:rowOff>
    </xdr:to>
    <xdr:graphicFrame macro="">
      <xdr:nvGraphicFramePr>
        <xdr:cNvPr id="2" name="Chart 1">
          <a:extLst>
            <a:ext uri="{FF2B5EF4-FFF2-40B4-BE49-F238E27FC236}">
              <a16:creationId xmlns:a16="http://schemas.microsoft.com/office/drawing/2014/main" id="{D29CD587-39DB-474E-87E8-16BED7CB4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0.02789</cdr:x>
      <cdr:y>0.05133</cdr:y>
    </cdr:from>
    <cdr:to>
      <cdr:x>0.05324</cdr:x>
      <cdr:y>0.52143</cdr:y>
    </cdr:to>
    <cdr:sp macro="" textlink="">
      <cdr:nvSpPr>
        <cdr:cNvPr id="3" name="TextBox 2"/>
        <cdr:cNvSpPr txBox="1"/>
      </cdr:nvSpPr>
      <cdr:spPr>
        <a:xfrm xmlns:a="http://schemas.openxmlformats.org/drawingml/2006/main">
          <a:off x="351045" y="194213"/>
          <a:ext cx="319042" cy="1778811"/>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en-ZA" sz="1100" b="1"/>
            <a:t>Number</a:t>
          </a:r>
          <a:r>
            <a:rPr lang="en-ZA" sz="1100"/>
            <a:t> </a:t>
          </a:r>
        </a:p>
      </cdr:txBody>
    </cdr:sp>
  </cdr:relSizeAnchor>
  <cdr:relSizeAnchor xmlns:cdr="http://schemas.openxmlformats.org/drawingml/2006/chartDrawing">
    <cdr:from>
      <cdr:x>0.95967</cdr:x>
      <cdr:y>0.31986</cdr:y>
    </cdr:from>
    <cdr:to>
      <cdr:x>0.99374</cdr:x>
      <cdr:y>0.61632</cdr:y>
    </cdr:to>
    <cdr:sp macro="" textlink="">
      <cdr:nvSpPr>
        <cdr:cNvPr id="4" name="TextBox 3"/>
        <cdr:cNvSpPr txBox="1"/>
      </cdr:nvSpPr>
      <cdr:spPr>
        <a:xfrm xmlns:a="http://schemas.openxmlformats.org/drawingml/2006/main">
          <a:off x="12077871" y="1210329"/>
          <a:ext cx="428787" cy="1121774"/>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en-ZA" sz="1100" b="1"/>
            <a:t> Percentage</a:t>
          </a:r>
          <a:r>
            <a:rPr lang="en-ZA" sz="1100" b="1" baseline="0"/>
            <a:t> (%)</a:t>
          </a:r>
          <a:endParaRPr lang="en-ZA" sz="1100" b="1"/>
        </a:p>
      </cdr:txBody>
    </cdr:sp>
  </cdr:relSizeAnchor>
</c:userShapes>
</file>

<file path=xl/drawings/drawing92.xml><?xml version="1.0" encoding="utf-8"?>
<xdr:wsDr xmlns:xdr="http://schemas.openxmlformats.org/drawingml/2006/spreadsheetDrawing" xmlns:a="http://schemas.openxmlformats.org/drawingml/2006/main">
  <xdr:twoCellAnchor>
    <xdr:from>
      <xdr:col>3</xdr:col>
      <xdr:colOff>85724</xdr:colOff>
      <xdr:row>32</xdr:row>
      <xdr:rowOff>19050</xdr:rowOff>
    </xdr:from>
    <xdr:to>
      <xdr:col>14</xdr:col>
      <xdr:colOff>561974</xdr:colOff>
      <xdr:row>46</xdr:row>
      <xdr:rowOff>47625</xdr:rowOff>
    </xdr:to>
    <xdr:graphicFrame macro="">
      <xdr:nvGraphicFramePr>
        <xdr:cNvPr id="2" name="Chart 1">
          <a:extLst>
            <a:ext uri="{FF2B5EF4-FFF2-40B4-BE49-F238E27FC236}">
              <a16:creationId xmlns:a16="http://schemas.microsoft.com/office/drawing/2014/main" id="{D358ABCD-E305-45FC-98F6-DF7FE7B7E5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215900</xdr:colOff>
      <xdr:row>32</xdr:row>
      <xdr:rowOff>57149</xdr:rowOff>
    </xdr:from>
    <xdr:to>
      <xdr:col>23</xdr:col>
      <xdr:colOff>466725</xdr:colOff>
      <xdr:row>47</xdr:row>
      <xdr:rowOff>44450</xdr:rowOff>
    </xdr:to>
    <xdr:graphicFrame macro="">
      <xdr:nvGraphicFramePr>
        <xdr:cNvPr id="3" name="Chart 2">
          <a:extLst>
            <a:ext uri="{FF2B5EF4-FFF2-40B4-BE49-F238E27FC236}">
              <a16:creationId xmlns:a16="http://schemas.microsoft.com/office/drawing/2014/main" id="{63ED6EB4-6A91-4766-909F-80515EDA5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2</xdr:col>
      <xdr:colOff>371474</xdr:colOff>
      <xdr:row>11</xdr:row>
      <xdr:rowOff>49530</xdr:rowOff>
    </xdr:from>
    <xdr:to>
      <xdr:col>24</xdr:col>
      <xdr:colOff>387350</xdr:colOff>
      <xdr:row>31</xdr:row>
      <xdr:rowOff>26670</xdr:rowOff>
    </xdr:to>
    <xdr:graphicFrame macro="">
      <xdr:nvGraphicFramePr>
        <xdr:cNvPr id="2" name="Chart 1">
          <a:extLst>
            <a:ext uri="{FF2B5EF4-FFF2-40B4-BE49-F238E27FC236}">
              <a16:creationId xmlns:a16="http://schemas.microsoft.com/office/drawing/2014/main" id="{0720F6AE-6119-4E8B-A4DF-2F20D54A77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171450</xdr:colOff>
      <xdr:row>121</xdr:row>
      <xdr:rowOff>104775</xdr:rowOff>
    </xdr:from>
    <xdr:to>
      <xdr:col>8</xdr:col>
      <xdr:colOff>419101</xdr:colOff>
      <xdr:row>144</xdr:row>
      <xdr:rowOff>28575</xdr:rowOff>
    </xdr:to>
    <xdr:graphicFrame macro="">
      <xdr:nvGraphicFramePr>
        <xdr:cNvPr id="2" name="Chart 1">
          <a:extLst>
            <a:ext uri="{FF2B5EF4-FFF2-40B4-BE49-F238E27FC236}">
              <a16:creationId xmlns:a16="http://schemas.microsoft.com/office/drawing/2014/main" id="{7B0DCECB-7BD7-4FBE-88CC-6E161A4E80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476250</xdr:colOff>
      <xdr:row>121</xdr:row>
      <xdr:rowOff>104775</xdr:rowOff>
    </xdr:from>
    <xdr:to>
      <xdr:col>17</xdr:col>
      <xdr:colOff>180975</xdr:colOff>
      <xdr:row>144</xdr:row>
      <xdr:rowOff>28575</xdr:rowOff>
    </xdr:to>
    <xdr:graphicFrame macro="">
      <xdr:nvGraphicFramePr>
        <xdr:cNvPr id="3" name="Chart 2">
          <a:extLst>
            <a:ext uri="{FF2B5EF4-FFF2-40B4-BE49-F238E27FC236}">
              <a16:creationId xmlns:a16="http://schemas.microsoft.com/office/drawing/2014/main" id="{54B40795-B241-45CC-A6E0-2CAE8E84A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3</xdr:col>
      <xdr:colOff>412750</xdr:colOff>
      <xdr:row>15</xdr:row>
      <xdr:rowOff>13970</xdr:rowOff>
    </xdr:from>
    <xdr:to>
      <xdr:col>29</xdr:col>
      <xdr:colOff>469900</xdr:colOff>
      <xdr:row>31</xdr:row>
      <xdr:rowOff>38100</xdr:rowOff>
    </xdr:to>
    <xdr:graphicFrame macro="">
      <xdr:nvGraphicFramePr>
        <xdr:cNvPr id="2" name="Chart 6">
          <a:extLst>
            <a:ext uri="{FF2B5EF4-FFF2-40B4-BE49-F238E27FC236}">
              <a16:creationId xmlns:a16="http://schemas.microsoft.com/office/drawing/2014/main" id="{E6D0AF01-FA20-4C21-B65B-CD8B55F96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57</xdr:row>
      <xdr:rowOff>0</xdr:rowOff>
    </xdr:from>
    <xdr:to>
      <xdr:col>13</xdr:col>
      <xdr:colOff>297180</xdr:colOff>
      <xdr:row>72</xdr:row>
      <xdr:rowOff>0</xdr:rowOff>
    </xdr:to>
    <xdr:sp macro="" textlink="">
      <xdr:nvSpPr>
        <xdr:cNvPr id="3" name="Rectangle 2">
          <a:extLst>
            <a:ext uri="{FF2B5EF4-FFF2-40B4-BE49-F238E27FC236}">
              <a16:creationId xmlns:a16="http://schemas.microsoft.com/office/drawing/2014/main" id="{FEF566DD-7611-4A1B-8AC6-C99815967AD2}"/>
            </a:ext>
          </a:extLst>
        </xdr:cNvPr>
        <xdr:cNvSpPr/>
      </xdr:nvSpPr>
      <xdr:spPr>
        <a:xfrm>
          <a:off x="1231900" y="11144250"/>
          <a:ext cx="6189980" cy="2381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1</xdr:col>
      <xdr:colOff>697228</xdr:colOff>
      <xdr:row>56</xdr:row>
      <xdr:rowOff>107950</xdr:rowOff>
    </xdr:from>
    <xdr:to>
      <xdr:col>24</xdr:col>
      <xdr:colOff>222249</xdr:colOff>
      <xdr:row>76</xdr:row>
      <xdr:rowOff>107950</xdr:rowOff>
    </xdr:to>
    <xdr:graphicFrame macro="">
      <xdr:nvGraphicFramePr>
        <xdr:cNvPr id="4" name="Chart 6">
          <a:extLst>
            <a:ext uri="{FF2B5EF4-FFF2-40B4-BE49-F238E27FC236}">
              <a16:creationId xmlns:a16="http://schemas.microsoft.com/office/drawing/2014/main" id="{EBAB430D-6DC0-467E-9705-510180711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pme-ptaho-fnp03\Users\GWME\5.%20Development%20Indicators\Development%20Indicators-%20Additional\2.%20BASE%20DATA\11.%20Good%20Governance\Audits\Auditor%20General%20SA_ver01_13May201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Boitumelo.Moima\Downloads\Household%20and%20Community%20Assets%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GWME\5.%20Development%20Indicators\2008\Indicators\Shtr%20list%20Social%20(RE%20edi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mpme-ptaho-fnp01\dpme\Users\mandla.tshabalala\AppData\Local\Microsoft\Windows\Temporary%20Internet%20Files\Content.Outlook\UEQM1G47\Combined%20Version%202012%20ver%204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res-pta-fnp-01\DPME\GWME\5.%20Development%20Indicators\2009\3.%20INDICATORS\6.%20Education\Development%20Indicators%202009_%20EDUCATION%20(Ver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mpme-ptaho-fnp01\dpme\GWME\5.%20Development%20Indicators\2009\3.%20INDICATORS\6.%20Education\Development%20Indicators%202009_%20EDUCATION%20(Ver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vmpme-ptaho-fnp01\dpme\Users\Thabo.Mabogoane\AppData\Local\Microsoft\Windows\Temporary%20Internet%20Files\Content.Outlook\W02ZPCFK\Educational%20Performance%20Indicator%20reformat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vmpme-ptaho-fnp01\dpme\GWME\5.%20Development%20Indicators\2009\3.%20INDICATORS\3.%20Poverty%20and%20Inequality\Development%20Indicators%202009_Poverty%20and%20Inequalit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mpme-ptaho-fnp01\dpme\GWME\5.%20Development%20Indicators\2009\3.%20INDICATORS\8.%20Safety%20and%20Security\Development%20Indicators%202009_Safety%20and%20Security%20(Ver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Sseema\AppData\Local\Microsoft\Windows\Temporary%20Internet%20Files\Content.Outlook\830GZUIM\Graph%20290520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vmpme-ptaho-fnp01\dpme\GWME\5.%20Development%20Indicators\Development%20Indicators-%20Additional\2.%20BASE%20DATA\9.%20Safety%20and%20Security\NPA%20Perform%202009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pme-ptaho-fnp03\Users\Users\Mosa.Mojapelo\Documents\Development%20Indicators\DI%202016\3.%20INDICATORS\0.Combined%20Themes\Development%20Indicators%20Combined%20version%202014%20%20V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vmpme-ptaho-fnp01\dpme\Users\Tovhowani.Tharaga\AppData\Local\Microsoft\Windows\Temporary%20Internet%20Files\Content.Outlook\EC4OVTDE\Copy%20of%20Book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vmpme-ptaho-fnp01\dpme\STATISTICS\Annual%20Reports\2014%20to%202015\National%20Annual%20Progress%20Sheet%20Apr%2014%20to%20Mar%2015.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vmpme-ptaho-fnp04\DPME\STATISTICS\Annual%20Reports\2018%20to%202019\NPS%20PERFORM.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vmpme-ptaho-fnp04\DPME\STATISTICS\Annual%20Reports\2018%20to%202019\National%20Annual%20Progress%20Sheet%20Apr%2018%20to%20Mar%2019.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vmpme-ptaho-fnp01\dpme\STATISTICS\Annual%20Reports\2002%20to%202003\National%20Cluster%20Sheet%20Apr%202002%20to%20Mar%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vmpme-ptaho-fnp01\dpme\STATISTICS\Annual%20Reports\2003%20to%202004\National%20Cluster%20Sheet%20Apr%2003%20to%20Mar%2004%20SAT%20INC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mpme-ptaho-fnp01\dpme\STATISTICS\Annual%20Reports\2004%20to%202005\National%20Progress%20Sheet%20Apr%2004%20to%20Mar%2005%20200505.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mpme-ptaho-fnp01\dpme\STATISTICS\Annual%20Reports\2005%20to%202006\National%20Annual%20Progress%20Sheet%20Apr%2005%20to%20Mar%20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vmpme-ptaho-fnp01\dpme\STATISTICS\Annual%20Reports\2007%20to%202008\National%20Annual%20Progress%20Sheet%20Apr%2007%20to%20Mar%200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vmpme-ptaho-fnp01\dpme\GWME\5.%20Development%20Indicators\Development%20Indicators-%20Additional\2.%20BASE%20DATA\9.%20Safety%20and%20Security\National%20Annual%20Progress%20Sheet%20Apr%2009%20to%20Mar%20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mpme-ptaho-fnp01\dpme\15.%20Development%20Indicators\1.%20Development%20Indicators\2015\3.%20INDICATORS\11.%20Good%20Governance\Good%20Governance%20V5.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Tovhowani.Tharaga\Desktop\2021%20PDMS\Development%20Indicators\Dev%20Indicators%202022\Thematical%20Area\Safety%20&amp;%20Security\Safety%20%20Security%20June%202023(AutoRecover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GWME\5.%20Development%20Indicators\2009\3.%20INDICATORS\1.%20Economic%20growth%20&amp;%20transformation\Dev%20Indicators%202009_Econ%20growth%20&amp;%20transformation%20(ver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enneth.Matlala\AppData\Local\Microsoft\Windows\Temporary%20Internet%20Files\Content.Outlook\XT3LAW7G\Copy%20of%20version._analysis%20V1%20(000000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mpme-fnp04\dpme\15.%20Development%20Indicators\1.%20Development%20Indicators\2015\3.%20INDICATORS\3.%20Employment\Analysis\Employment.%20V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GWME\5.%20Development%20Indicators\2009\3.%20INDICATORS\4.%20Household%20&amp;%20Community%20Assets\Development%20Indicators%202009_HH%20Community%20Assets%20(Ver%2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GWME\5.%20Development%20Indicators\2008\Indicators\Documents%20and%20Settings\lufuno\Local%20Settings\Temporary%20Internet%20Files\OLK2\Social%20Sector%20MTR%20indicators%20(revised%20version%2021%20March%2007)%2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GWME\5.%20Development%20Indicators\2009\3.%20INDICATORS\4.%20Household%20&amp;%20Community%20Assets\Development%20Indicators%202009_HH%20Community%20Assets%20(Ver%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lified Audits"/>
      <sheetName val="AGSA Data - 2008-09 Gen Report"/>
      <sheetName val="Tax Admin"/>
      <sheetName val="Dwellings"/>
    </sheetNames>
    <sheetDataSet>
      <sheetData sheetId="0" refreshError="1"/>
      <sheetData sheetId="1" refreshError="1">
        <row r="17">
          <cell r="I17">
            <v>33</v>
          </cell>
        </row>
        <row r="18">
          <cell r="I18">
            <v>12</v>
          </cell>
        </row>
      </sheetData>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d redistribution "/>
    </sheetNames>
    <sheetDataSet>
      <sheetData sheetId="0">
        <row r="7">
          <cell r="E7">
            <v>1994</v>
          </cell>
          <cell r="F7">
            <v>1995</v>
          </cell>
          <cell r="G7">
            <v>1996</v>
          </cell>
          <cell r="H7">
            <v>1997</v>
          </cell>
          <cell r="I7">
            <v>1998</v>
          </cell>
          <cell r="J7">
            <v>1999</v>
          </cell>
          <cell r="K7" t="str">
            <v>2000
(Jan-Mar)</v>
          </cell>
          <cell r="L7" t="str">
            <v>2000/01</v>
          </cell>
          <cell r="M7" t="str">
            <v>2001/02</v>
          </cell>
          <cell r="N7" t="str">
            <v>2002/03</v>
          </cell>
          <cell r="O7" t="str">
            <v>2003/04</v>
          </cell>
          <cell r="P7" t="str">
            <v>2004/05</v>
          </cell>
          <cell r="Q7" t="str">
            <v>2005/06</v>
          </cell>
          <cell r="R7" t="str">
            <v>2006/07</v>
          </cell>
          <cell r="S7" t="str">
            <v>2007/08</v>
          </cell>
          <cell r="T7" t="str">
            <v>2008/09</v>
          </cell>
          <cell r="U7" t="str">
            <v>2009/10</v>
          </cell>
          <cell r="V7" t="str">
            <v>2010/11</v>
          </cell>
          <cell r="W7" t="str">
            <v>2011/12</v>
          </cell>
          <cell r="X7" t="str">
            <v>2012/13</v>
          </cell>
          <cell r="Y7" t="str">
            <v>2013/14</v>
          </cell>
          <cell r="Z7" t="str">
            <v>2014/15</v>
          </cell>
          <cell r="AA7" t="str">
            <v>2015/16</v>
          </cell>
          <cell r="AB7" t="str">
            <v>2016/17</v>
          </cell>
          <cell r="AC7" t="str">
            <v>2017/18</v>
          </cell>
          <cell r="AD7" t="str">
            <v>2018/19</v>
          </cell>
          <cell r="AE7" t="str">
            <v>2019/20</v>
          </cell>
        </row>
        <row r="9">
          <cell r="D9" t="str">
            <v>Distributed hectares per year</v>
          </cell>
          <cell r="E9">
            <v>8678.7134000000005</v>
          </cell>
          <cell r="F9">
            <v>10126.203599999999</v>
          </cell>
          <cell r="G9">
            <v>40675.686399999999</v>
          </cell>
          <cell r="H9">
            <v>102317.66140000001</v>
          </cell>
          <cell r="I9">
            <v>202246.32089999999</v>
          </cell>
          <cell r="J9">
            <v>154863.21859999999</v>
          </cell>
          <cell r="K9">
            <v>28157.256300000001</v>
          </cell>
          <cell r="L9">
            <v>137334.6862</v>
          </cell>
          <cell r="M9">
            <v>199593.12179999999</v>
          </cell>
          <cell r="N9">
            <v>248855.07249999998</v>
          </cell>
          <cell r="O9">
            <v>177018.8296</v>
          </cell>
          <cell r="P9">
            <v>214773.49530000001</v>
          </cell>
          <cell r="Q9">
            <v>223648.40980000002</v>
          </cell>
          <cell r="R9">
            <v>357671.15110000002</v>
          </cell>
          <cell r="S9">
            <v>509879.61969999998</v>
          </cell>
          <cell r="T9">
            <v>470477.95610000007</v>
          </cell>
          <cell r="U9">
            <v>242706.535</v>
          </cell>
          <cell r="V9">
            <v>331794.24449999997</v>
          </cell>
          <cell r="W9">
            <v>394170.57079999999</v>
          </cell>
          <cell r="X9">
            <v>157556</v>
          </cell>
          <cell r="Y9">
            <v>153586</v>
          </cell>
          <cell r="Z9">
            <v>210395.80410000001</v>
          </cell>
          <cell r="AA9">
            <v>140670.32939999999</v>
          </cell>
          <cell r="AB9">
            <v>94279.195100000012</v>
          </cell>
          <cell r="AC9">
            <v>92032.35149999999</v>
          </cell>
          <cell r="AD9">
            <v>85324.552299999996</v>
          </cell>
          <cell r="AE9">
            <v>92643</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listed SS Indicators"/>
      <sheetName val="Income"/>
      <sheetName val="Inequality"/>
      <sheetName val="HCI"/>
      <sheetName val="poverty"/>
      <sheetName val="Grants"/>
      <sheetName val="student teacher ratio"/>
      <sheetName val="enrolment"/>
      <sheetName val="Matric pass rate"/>
      <sheetName val="S&amp;M matric"/>
      <sheetName val="completion rate"/>
      <sheetName val="literacy"/>
      <sheetName val="HDI &amp; Life Exp"/>
      <sheetName val="Infant Mortality"/>
      <sheetName val="Kwashiokor"/>
      <sheetName val="Immunisation"/>
      <sheetName val="Matenal Mortality"/>
      <sheetName val="HIV and AIDS"/>
      <sheetName val="TB Notification"/>
      <sheetName val="Malaria"/>
      <sheetName val="Dwelling"/>
      <sheetName val="water new "/>
      <sheetName val="sanitation"/>
      <sheetName val="Electricity 2"/>
      <sheetName val="electricity"/>
      <sheetName val="land claims"/>
      <sheetName val="land restored"/>
      <sheetName val="Confident of Happy Future"/>
      <sheetName val="identity pride etc"/>
      <sheetName val="Race Relations"/>
      <sheetName val="Class Identity"/>
      <sheetName val="Pride in being South African"/>
      <sheetName val="Water"/>
    </sheetNames>
    <sheetDataSet>
      <sheetData sheetId="0"/>
      <sheetData sheetId="1"/>
      <sheetData sheetId="2"/>
      <sheetData sheetId="3"/>
      <sheetData sheetId="4"/>
      <sheetData sheetId="5">
        <row r="50">
          <cell r="C50">
            <v>1812695</v>
          </cell>
          <cell r="D50">
            <v>1860710</v>
          </cell>
          <cell r="E50">
            <v>1896932</v>
          </cell>
          <cell r="F50">
            <v>1946313</v>
          </cell>
          <cell r="G50">
            <v>2009419</v>
          </cell>
          <cell r="H50">
            <v>2060421</v>
          </cell>
          <cell r="I50">
            <v>2093075</v>
          </cell>
          <cell r="J50">
            <v>2149406</v>
          </cell>
        </row>
        <row r="51">
          <cell r="B51" t="str">
            <v>War veterans</v>
          </cell>
          <cell r="C51">
            <v>9197</v>
          </cell>
          <cell r="D51">
            <v>7554</v>
          </cell>
          <cell r="E51">
            <v>6175</v>
          </cell>
          <cell r="F51">
            <v>5266</v>
          </cell>
          <cell r="G51">
            <v>4594</v>
          </cell>
          <cell r="H51">
            <v>3961</v>
          </cell>
          <cell r="I51">
            <v>3340</v>
          </cell>
          <cell r="J51">
            <v>2795</v>
          </cell>
        </row>
        <row r="52">
          <cell r="B52" t="str">
            <v>Disability</v>
          </cell>
          <cell r="C52">
            <v>633778</v>
          </cell>
          <cell r="D52">
            <v>612614</v>
          </cell>
          <cell r="E52">
            <v>641459</v>
          </cell>
          <cell r="F52">
            <v>732928</v>
          </cell>
          <cell r="G52">
            <v>953965</v>
          </cell>
          <cell r="H52">
            <v>1270964</v>
          </cell>
          <cell r="I52">
            <v>1307459</v>
          </cell>
          <cell r="J52">
            <v>1332547</v>
          </cell>
        </row>
        <row r="53">
          <cell r="B53" t="str">
            <v>Grant in aid</v>
          </cell>
          <cell r="C53">
            <v>8496</v>
          </cell>
          <cell r="D53">
            <v>8748</v>
          </cell>
          <cell r="E53">
            <v>8529</v>
          </cell>
          <cell r="F53">
            <v>10435</v>
          </cell>
          <cell r="G53">
            <v>12787</v>
          </cell>
          <cell r="H53">
            <v>18170</v>
          </cell>
          <cell r="I53">
            <v>23131</v>
          </cell>
          <cell r="J53">
            <v>27252</v>
          </cell>
        </row>
        <row r="54">
          <cell r="B54" t="str">
            <v>Foster care</v>
          </cell>
          <cell r="C54">
            <v>71901</v>
          </cell>
          <cell r="D54">
            <v>79937</v>
          </cell>
          <cell r="E54">
            <v>85315</v>
          </cell>
          <cell r="F54">
            <v>108207</v>
          </cell>
          <cell r="G54">
            <v>138763</v>
          </cell>
          <cell r="H54">
            <v>200340</v>
          </cell>
          <cell r="I54">
            <v>256325</v>
          </cell>
          <cell r="J54">
            <v>209093</v>
          </cell>
        </row>
        <row r="55">
          <cell r="B55" t="str">
            <v>Care dependency</v>
          </cell>
          <cell r="C55">
            <v>16835</v>
          </cell>
          <cell r="D55">
            <v>24438</v>
          </cell>
          <cell r="E55">
            <v>33545</v>
          </cell>
          <cell r="F55">
            <v>43325</v>
          </cell>
          <cell r="G55">
            <v>58140</v>
          </cell>
          <cell r="H55">
            <v>77934</v>
          </cell>
          <cell r="I55">
            <v>85818</v>
          </cell>
          <cell r="J55">
            <v>88997</v>
          </cell>
        </row>
        <row r="56">
          <cell r="B56" t="str">
            <v>Child Support</v>
          </cell>
          <cell r="C56">
            <v>34471</v>
          </cell>
          <cell r="D56">
            <v>352617</v>
          </cell>
          <cell r="E56">
            <v>1102957</v>
          </cell>
          <cell r="F56">
            <v>1751563</v>
          </cell>
          <cell r="G56">
            <v>2630826</v>
          </cell>
          <cell r="H56">
            <v>4309772</v>
          </cell>
          <cell r="I56">
            <v>5633647</v>
          </cell>
          <cell r="J56">
            <v>7170564</v>
          </cell>
        </row>
        <row r="57">
          <cell r="B57" t="str">
            <v>Total beneficiaries</v>
          </cell>
          <cell r="C57">
            <v>2587373</v>
          </cell>
          <cell r="D57">
            <v>2946618</v>
          </cell>
          <cell r="E57">
            <v>3774912</v>
          </cell>
          <cell r="F57">
            <v>4598037</v>
          </cell>
          <cell r="G57">
            <v>5808494</v>
          </cell>
          <cell r="H57">
            <v>7941562</v>
          </cell>
          <cell r="I57">
            <v>9402795</v>
          </cell>
          <cell r="J57">
            <v>10980654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tro"/>
      <sheetName val="GDP "/>
      <sheetName val="GDP per Capita "/>
      <sheetName val="NFDI "/>
      <sheetName val="GFCF "/>
      <sheetName val="B deficit "/>
      <sheetName val="G debt "/>
      <sheetName val="Interest "/>
      <sheetName val="Inflation "/>
      <sheetName val="Bondpoints Spread "/>
      <sheetName val="R&amp;D "/>
      <sheetName val="ICT"/>
      <sheetName val="Patents"/>
      <sheetName val="Foreign Trade"/>
      <sheetName val="Competitiveness "/>
      <sheetName val="Knowledge Based Economy "/>
      <sheetName val="BM "/>
      <sheetName val="Employed"/>
      <sheetName val="Unempl"/>
      <sheetName val="EPWP"/>
      <sheetName val="CWP "/>
      <sheetName val="Income"/>
      <sheetName val="LSM"/>
      <sheetName val="Inequality"/>
      <sheetName val="Poverty Headcount"/>
      <sheetName val="Poverty Gap indices "/>
      <sheetName val="Grants"/>
      <sheetName val="People with disability "/>
      <sheetName val="Dwellings"/>
      <sheetName val="Water"/>
      <sheetName val="Sanitation"/>
      <sheetName val="Electricity"/>
      <sheetName val="Land restitution"/>
      <sheetName val="Land redistribution "/>
      <sheetName val="Life Expectancy"/>
      <sheetName val="Infant &amp; Child mortality"/>
      <sheetName val="Stunting "/>
      <sheetName val="Immunization"/>
      <sheetName val="Martenal mortality"/>
      <sheetName val="HIV Prevalance"/>
      <sheetName val="TB"/>
      <sheetName val="Malaria"/>
      <sheetName val="ECD"/>
      <sheetName val="Educator Learner ratio"/>
      <sheetName val="Gender parity index"/>
      <sheetName val="Matric pass rate"/>
      <sheetName val="Mathematics pass rate"/>
      <sheetName val="Literacy rate"/>
      <sheetName val="SET Uni"/>
      <sheetName val="Educational Perfomance  "/>
      <sheetName val="Maths, science perf"/>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Contact crime"/>
      <sheetName val="Drug-Related Crime"/>
      <sheetName val="Sexual offences"/>
      <sheetName val="Property crime"/>
      <sheetName val="Serious robberies"/>
      <sheetName val="Detection rate"/>
      <sheetName val="Charges to court"/>
      <sheetName val="Cases in court"/>
      <sheetName val="Detainees"/>
      <sheetName val="Rehabilitation"/>
      <sheetName val="Road Accidents"/>
      <sheetName val="Peace Operations"/>
      <sheetName val="Democracy in Africa"/>
      <sheetName val="Ecomonic performance of Africa"/>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Transport"/>
      <sheetName val="Energy"/>
      <sheetName val="Demographic tre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8">
          <cell r="F8" t="str">
            <v>1993/94</v>
          </cell>
        </row>
      </sheetData>
      <sheetData sheetId="31">
        <row r="8">
          <cell r="G8" t="str">
            <v>1994/95</v>
          </cell>
        </row>
      </sheetData>
      <sheetData sheetId="32">
        <row r="8">
          <cell r="E8" t="str">
            <v>1994/95</v>
          </cell>
        </row>
      </sheetData>
      <sheetData sheetId="33">
        <row r="8">
          <cell r="E8" t="str">
            <v>1994/95</v>
          </cell>
        </row>
      </sheetData>
      <sheetData sheetId="34">
        <row r="8">
          <cell r="E8">
            <v>1994</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41">
          <cell r="N41">
            <v>51770561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tor Learner Ratio"/>
      <sheetName val="Gender parity index "/>
      <sheetName val="Matric pass rate "/>
      <sheetName val="Mathematics pass rate"/>
      <sheetName val="Literacy rate"/>
      <sheetName val="SET Uni"/>
      <sheetName val="Water"/>
    </sheetNames>
    <sheetDataSet>
      <sheetData sheetId="0"/>
      <sheetData sheetId="1"/>
      <sheetData sheetId="2"/>
      <sheetData sheetId="3"/>
      <sheetData sheetId="4"/>
      <sheetData sheetId="5">
        <row r="51">
          <cell r="E51">
            <v>2000</v>
          </cell>
          <cell r="F51">
            <v>2001</v>
          </cell>
          <cell r="G51">
            <v>2002</v>
          </cell>
          <cell r="H51">
            <v>2003</v>
          </cell>
          <cell r="I51">
            <v>2004</v>
          </cell>
          <cell r="J51">
            <v>2005</v>
          </cell>
          <cell r="K51">
            <v>2006</v>
          </cell>
        </row>
        <row r="52">
          <cell r="D52" t="str">
            <v>Total enrolment</v>
          </cell>
          <cell r="E52">
            <v>578134</v>
          </cell>
          <cell r="F52">
            <v>627277</v>
          </cell>
          <cell r="G52">
            <v>667182</v>
          </cell>
          <cell r="H52">
            <v>705255</v>
          </cell>
          <cell r="I52">
            <v>744478</v>
          </cell>
          <cell r="J52">
            <v>735073</v>
          </cell>
          <cell r="K52">
            <v>741380</v>
          </cell>
        </row>
        <row r="56">
          <cell r="D56" t="str">
            <v>Total Graduates</v>
          </cell>
          <cell r="E56">
            <v>92819</v>
          </cell>
          <cell r="F56">
            <v>95940</v>
          </cell>
          <cell r="G56">
            <v>101047</v>
          </cell>
          <cell r="H56">
            <v>108263</v>
          </cell>
          <cell r="I56">
            <v>117240</v>
          </cell>
          <cell r="J56">
            <v>120385</v>
          </cell>
          <cell r="K56">
            <v>124676</v>
          </cell>
        </row>
        <row r="57">
          <cell r="D57" t="str">
            <v>SET Graduates</v>
          </cell>
          <cell r="E57">
            <v>23808.073500000002</v>
          </cell>
          <cell r="F57">
            <v>24186.473999999998</v>
          </cell>
          <cell r="G57">
            <v>26959.339599999999</v>
          </cell>
          <cell r="H57">
            <v>29133.5733</v>
          </cell>
          <cell r="I57">
            <v>31654.799999999999</v>
          </cell>
          <cell r="J57">
            <v>33467.03</v>
          </cell>
          <cell r="K57">
            <v>34846.941999999995</v>
          </cell>
        </row>
      </sheetData>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tor Learner Ratio"/>
      <sheetName val="Gender parity index "/>
      <sheetName val="Matric pass rate "/>
      <sheetName val="Mathematics pass rate"/>
      <sheetName val="Literacy rate"/>
      <sheetName val="SET Uni"/>
      <sheetName val="Martenal mortality"/>
    </sheetNames>
    <sheetDataSet>
      <sheetData sheetId="0"/>
      <sheetData sheetId="1"/>
      <sheetData sheetId="2"/>
      <sheetData sheetId="3">
        <row r="8">
          <cell r="E8">
            <v>1995</v>
          </cell>
        </row>
      </sheetData>
      <sheetData sheetId="4"/>
      <sheetData sheetId="5">
        <row r="51">
          <cell r="E51">
            <v>2000</v>
          </cell>
          <cell r="F51">
            <v>2001</v>
          </cell>
          <cell r="G51">
            <v>2002</v>
          </cell>
          <cell r="H51">
            <v>2003</v>
          </cell>
          <cell r="I51">
            <v>2004</v>
          </cell>
          <cell r="J51">
            <v>2005</v>
          </cell>
          <cell r="K51">
            <v>2006</v>
          </cell>
        </row>
        <row r="52">
          <cell r="D52" t="str">
            <v>Total enrolment</v>
          </cell>
          <cell r="E52">
            <v>578134</v>
          </cell>
          <cell r="F52">
            <v>627277</v>
          </cell>
          <cell r="G52">
            <v>667182</v>
          </cell>
          <cell r="H52">
            <v>705255</v>
          </cell>
          <cell r="I52">
            <v>744478</v>
          </cell>
          <cell r="J52">
            <v>735073</v>
          </cell>
          <cell r="K52">
            <v>741380</v>
          </cell>
        </row>
        <row r="56">
          <cell r="D56" t="str">
            <v>Total Graduates</v>
          </cell>
          <cell r="E56">
            <v>92819</v>
          </cell>
          <cell r="F56">
            <v>95940</v>
          </cell>
          <cell r="G56">
            <v>101047</v>
          </cell>
          <cell r="H56">
            <v>108263</v>
          </cell>
          <cell r="I56">
            <v>117240</v>
          </cell>
          <cell r="J56">
            <v>120385</v>
          </cell>
          <cell r="K56">
            <v>124676</v>
          </cell>
        </row>
        <row r="57">
          <cell r="D57" t="str">
            <v>SET Graduates</v>
          </cell>
          <cell r="E57">
            <v>23808.073500000002</v>
          </cell>
          <cell r="F57">
            <v>24186.473999999998</v>
          </cell>
          <cell r="G57">
            <v>26959.339599999999</v>
          </cell>
          <cell r="H57">
            <v>29133.5733</v>
          </cell>
          <cell r="I57">
            <v>31654.799999999999</v>
          </cell>
          <cell r="J57">
            <v>33467.03</v>
          </cell>
          <cell r="K57">
            <v>34846.941999999995</v>
          </cell>
        </row>
      </sheetData>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tional Perf"/>
      <sheetName val="Martenal mortality"/>
    </sheetNames>
    <sheetDataSet>
      <sheetData sheetId="0">
        <row r="8">
          <cell r="E8" t="str">
            <v>Language Achievement</v>
          </cell>
          <cell r="F8" t="str">
            <v>Mathematics Achievement</v>
          </cell>
          <cell r="H8" t="str">
            <v>Literacy Achievement</v>
          </cell>
          <cell r="J8" t="str">
            <v>Numeracy Achievement</v>
          </cell>
        </row>
        <row r="9">
          <cell r="H9" t="str">
            <v>2001</v>
          </cell>
          <cell r="I9" t="str">
            <v>2007</v>
          </cell>
          <cell r="J9" t="str">
            <v>2001</v>
          </cell>
          <cell r="K9" t="str">
            <v>2007</v>
          </cell>
        </row>
        <row r="10">
          <cell r="D10" t="str">
            <v>Eastern Cape</v>
          </cell>
          <cell r="H10">
            <v>24</v>
          </cell>
          <cell r="I10">
            <v>35</v>
          </cell>
          <cell r="J10">
            <v>34</v>
          </cell>
          <cell r="K10">
            <v>36</v>
          </cell>
        </row>
        <row r="11">
          <cell r="D11" t="str">
            <v>Free State</v>
          </cell>
          <cell r="H11">
            <v>27</v>
          </cell>
          <cell r="I11">
            <v>43</v>
          </cell>
          <cell r="J11">
            <v>29</v>
          </cell>
          <cell r="K11">
            <v>42</v>
          </cell>
        </row>
        <row r="12">
          <cell r="D12" t="str">
            <v>Gauteng</v>
          </cell>
          <cell r="H12">
            <v>33</v>
          </cell>
          <cell r="I12">
            <v>38</v>
          </cell>
          <cell r="J12">
            <v>32</v>
          </cell>
          <cell r="K12">
            <v>42</v>
          </cell>
        </row>
        <row r="13">
          <cell r="D13" t="str">
            <v>KwaZulu-Natal</v>
          </cell>
          <cell r="H13">
            <v>35</v>
          </cell>
          <cell r="I13">
            <v>38</v>
          </cell>
          <cell r="J13">
            <v>31</v>
          </cell>
          <cell r="K13">
            <v>36</v>
          </cell>
        </row>
        <row r="14">
          <cell r="D14" t="str">
            <v>Limpopo</v>
          </cell>
          <cell r="H14">
            <v>27</v>
          </cell>
          <cell r="I14">
            <v>29</v>
          </cell>
          <cell r="J14">
            <v>24</v>
          </cell>
          <cell r="K14">
            <v>26</v>
          </cell>
        </row>
        <row r="15">
          <cell r="D15" t="str">
            <v>Mpumalanga</v>
          </cell>
          <cell r="H15">
            <v>28</v>
          </cell>
          <cell r="I15">
            <v>32</v>
          </cell>
          <cell r="J15">
            <v>29</v>
          </cell>
          <cell r="K15">
            <v>31</v>
          </cell>
        </row>
        <row r="16">
          <cell r="D16" t="str">
            <v>North West</v>
          </cell>
          <cell r="H16">
            <v>29</v>
          </cell>
          <cell r="I16">
            <v>35</v>
          </cell>
          <cell r="J16">
            <v>25</v>
          </cell>
          <cell r="K16">
            <v>29</v>
          </cell>
        </row>
        <row r="17">
          <cell r="D17" t="str">
            <v>Northern Cape</v>
          </cell>
          <cell r="H17">
            <v>23</v>
          </cell>
          <cell r="I17">
            <v>34</v>
          </cell>
          <cell r="J17">
            <v>26</v>
          </cell>
          <cell r="K17">
            <v>31</v>
          </cell>
        </row>
        <row r="18">
          <cell r="D18" t="str">
            <v>Western Cape</v>
          </cell>
          <cell r="H18">
            <v>33</v>
          </cell>
          <cell r="I18">
            <v>48</v>
          </cell>
          <cell r="J18">
            <v>32</v>
          </cell>
          <cell r="K18">
            <v>49</v>
          </cell>
        </row>
        <row r="19">
          <cell r="D19" t="str">
            <v xml:space="preserve">South Africa </v>
          </cell>
          <cell r="H19">
            <v>28.777777777777779</v>
          </cell>
          <cell r="I19">
            <v>36.888888888888886</v>
          </cell>
          <cell r="J19">
            <v>29.111111111111111</v>
          </cell>
          <cell r="K19">
            <v>35.777777777777779</v>
          </cell>
        </row>
        <row r="31">
          <cell r="AM31" t="str">
            <v>Litercay Achievement 2001</v>
          </cell>
        </row>
        <row r="32">
          <cell r="AM32" t="str">
            <v>Litercay Achievement 2007</v>
          </cell>
        </row>
        <row r="33">
          <cell r="AM33" t="str">
            <v>Numeracy Achievement 2001</v>
          </cell>
        </row>
        <row r="34">
          <cell r="AM34" t="str">
            <v>Numeracy Achievement 2007</v>
          </cell>
        </row>
        <row r="70">
          <cell r="H70" t="str">
            <v>Not Achieved</v>
          </cell>
          <cell r="L70" t="str">
            <v>Not Achieved</v>
          </cell>
        </row>
        <row r="71">
          <cell r="D71" t="str">
            <v>Eastern Cape</v>
          </cell>
          <cell r="H71">
            <v>76</v>
          </cell>
          <cell r="L71">
            <v>87</v>
          </cell>
        </row>
        <row r="72">
          <cell r="D72" t="str">
            <v>Free State</v>
          </cell>
          <cell r="H72">
            <v>66</v>
          </cell>
          <cell r="L72">
            <v>75</v>
          </cell>
        </row>
        <row r="73">
          <cell r="D73" t="str">
            <v>Gauteng</v>
          </cell>
          <cell r="H73">
            <v>36</v>
          </cell>
          <cell r="L73">
            <v>68</v>
          </cell>
        </row>
        <row r="74">
          <cell r="D74" t="str">
            <v>KwaZulu-Natal</v>
          </cell>
          <cell r="H74">
            <v>68</v>
          </cell>
          <cell r="L74">
            <v>82</v>
          </cell>
        </row>
        <row r="75">
          <cell r="D75" t="str">
            <v>Limpopo</v>
          </cell>
          <cell r="H75">
            <v>86</v>
          </cell>
          <cell r="L75">
            <v>95</v>
          </cell>
        </row>
        <row r="76">
          <cell r="D76" t="str">
            <v>Mpumalanga</v>
          </cell>
          <cell r="H76">
            <v>67</v>
          </cell>
          <cell r="L76">
            <v>86</v>
          </cell>
        </row>
        <row r="77">
          <cell r="D77" t="str">
            <v>North West</v>
          </cell>
          <cell r="H77">
            <v>67</v>
          </cell>
          <cell r="L77">
            <v>88</v>
          </cell>
        </row>
        <row r="78">
          <cell r="D78" t="str">
            <v>Northern Cape</v>
          </cell>
          <cell r="H78">
            <v>33</v>
          </cell>
          <cell r="L78">
            <v>70</v>
          </cell>
        </row>
        <row r="79">
          <cell r="D79" t="str">
            <v>Western Cape</v>
          </cell>
          <cell r="H79">
            <v>28</v>
          </cell>
          <cell r="L79">
            <v>55</v>
          </cell>
        </row>
        <row r="88">
          <cell r="E88">
            <v>24</v>
          </cell>
          <cell r="F88">
            <v>35</v>
          </cell>
          <cell r="H88">
            <v>34</v>
          </cell>
          <cell r="I88">
            <v>36</v>
          </cell>
        </row>
        <row r="89">
          <cell r="E89">
            <v>27</v>
          </cell>
          <cell r="F89">
            <v>43</v>
          </cell>
          <cell r="H89">
            <v>29</v>
          </cell>
          <cell r="I89">
            <v>42</v>
          </cell>
        </row>
        <row r="90">
          <cell r="E90">
            <v>33</v>
          </cell>
          <cell r="F90">
            <v>38</v>
          </cell>
          <cell r="H90">
            <v>32</v>
          </cell>
          <cell r="I90">
            <v>42</v>
          </cell>
        </row>
        <row r="91">
          <cell r="E91">
            <v>35</v>
          </cell>
          <cell r="F91">
            <v>38</v>
          </cell>
          <cell r="H91">
            <v>31</v>
          </cell>
          <cell r="I91">
            <v>36</v>
          </cell>
        </row>
        <row r="92">
          <cell r="E92">
            <v>27</v>
          </cell>
          <cell r="F92">
            <v>29</v>
          </cell>
          <cell r="H92">
            <v>24</v>
          </cell>
          <cell r="I92">
            <v>26</v>
          </cell>
        </row>
        <row r="93">
          <cell r="E93">
            <v>28</v>
          </cell>
          <cell r="F93">
            <v>32</v>
          </cell>
          <cell r="H93">
            <v>29</v>
          </cell>
          <cell r="I93">
            <v>31</v>
          </cell>
        </row>
        <row r="94">
          <cell r="E94">
            <v>29</v>
          </cell>
          <cell r="F94">
            <v>35</v>
          </cell>
          <cell r="H94">
            <v>25</v>
          </cell>
          <cell r="I94">
            <v>29</v>
          </cell>
        </row>
        <row r="95">
          <cell r="E95">
            <v>23</v>
          </cell>
          <cell r="F95">
            <v>34</v>
          </cell>
          <cell r="H95">
            <v>26</v>
          </cell>
          <cell r="I95">
            <v>31</v>
          </cell>
        </row>
        <row r="96">
          <cell r="E96">
            <v>33</v>
          </cell>
          <cell r="F96">
            <v>48</v>
          </cell>
          <cell r="H96">
            <v>32</v>
          </cell>
          <cell r="I96">
            <v>49</v>
          </cell>
        </row>
      </sheetData>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LSM "/>
      <sheetName val="Inequality"/>
      <sheetName val="Poverty headcount"/>
      <sheetName val="Poverty gap indices "/>
      <sheetName val="Grants"/>
      <sheetName val="People with disability"/>
      <sheetName val="Martenal mortality"/>
    </sheetNames>
    <sheetDataSet>
      <sheetData sheetId="0"/>
      <sheetData sheetId="1"/>
      <sheetData sheetId="2">
        <row r="8">
          <cell r="F8">
            <v>1993</v>
          </cell>
          <cell r="G8">
            <v>1994</v>
          </cell>
          <cell r="H8">
            <v>1995</v>
          </cell>
          <cell r="I8">
            <v>1996</v>
          </cell>
          <cell r="J8">
            <v>1997</v>
          </cell>
          <cell r="K8">
            <v>1998</v>
          </cell>
          <cell r="L8">
            <v>1999</v>
          </cell>
          <cell r="M8">
            <v>2000</v>
          </cell>
          <cell r="N8">
            <v>2001</v>
          </cell>
          <cell r="O8">
            <v>2002</v>
          </cell>
          <cell r="P8">
            <v>2003</v>
          </cell>
          <cell r="Q8">
            <v>2004</v>
          </cell>
          <cell r="R8">
            <v>2005</v>
          </cell>
          <cell r="S8">
            <v>2006</v>
          </cell>
          <cell r="T8">
            <v>2007</v>
          </cell>
        </row>
        <row r="11">
          <cell r="F11">
            <v>0.67218999999999995</v>
          </cell>
          <cell r="G11">
            <v>0.66464000000000001</v>
          </cell>
          <cell r="H11">
            <v>0.67388999999999999</v>
          </cell>
          <cell r="I11">
            <v>0.67762999999999995</v>
          </cell>
          <cell r="J11">
            <v>0.67444999999999999</v>
          </cell>
          <cell r="K11">
            <v>0.68332999999999999</v>
          </cell>
          <cell r="L11">
            <v>0.68511999999999995</v>
          </cell>
          <cell r="M11">
            <v>0.68171000000000004</v>
          </cell>
          <cell r="N11">
            <v>0.68498999999999999</v>
          </cell>
          <cell r="O11">
            <v>0.67044000000000004</v>
          </cell>
          <cell r="P11">
            <v>0.68569000000000002</v>
          </cell>
          <cell r="Q11">
            <v>0.67750999999999995</v>
          </cell>
          <cell r="R11">
            <v>0.68267</v>
          </cell>
          <cell r="S11">
            <v>0.68462999999999996</v>
          </cell>
          <cell r="T11">
            <v>0.65961999999999998</v>
          </cell>
        </row>
        <row r="14">
          <cell r="D14" t="str">
            <v>Within-Race</v>
          </cell>
          <cell r="F14">
            <v>0.35005999999999998</v>
          </cell>
          <cell r="G14">
            <v>0.34866999999999998</v>
          </cell>
          <cell r="H14">
            <v>0.36642999999999998</v>
          </cell>
          <cell r="I14">
            <v>0.37019999999999997</v>
          </cell>
          <cell r="J14">
            <v>0.38213999999999998</v>
          </cell>
          <cell r="K14">
            <v>0.38912000000000002</v>
          </cell>
          <cell r="L14">
            <v>0.40029999999999999</v>
          </cell>
          <cell r="M14">
            <v>0.46387</v>
          </cell>
          <cell r="N14">
            <v>0.45641999999999999</v>
          </cell>
          <cell r="O14">
            <v>0.50229999999999997</v>
          </cell>
          <cell r="P14">
            <v>0.54988000000000004</v>
          </cell>
          <cell r="Q14">
            <v>0.51405999999999996</v>
          </cell>
          <cell r="R14">
            <v>0.59704999999999997</v>
          </cell>
          <cell r="S14">
            <v>0.61319000000000001</v>
          </cell>
          <cell r="T14">
            <v>0.57420000000000004</v>
          </cell>
        </row>
        <row r="16">
          <cell r="D16" t="str">
            <v>Between-Race</v>
          </cell>
          <cell r="F16">
            <v>0.54869000000000001</v>
          </cell>
          <cell r="G16">
            <v>0.53154999999999997</v>
          </cell>
          <cell r="H16">
            <v>0.53259000000000001</v>
          </cell>
          <cell r="I16">
            <v>0.54818</v>
          </cell>
          <cell r="J16">
            <v>0.52351999999999999</v>
          </cell>
          <cell r="K16">
            <v>0.54822000000000004</v>
          </cell>
          <cell r="L16">
            <v>0.53803999999999996</v>
          </cell>
          <cell r="M16">
            <v>0.47132000000000002</v>
          </cell>
          <cell r="N16">
            <v>0.48010999999999998</v>
          </cell>
          <cell r="O16">
            <v>0.41836000000000001</v>
          </cell>
          <cell r="P16">
            <v>0.46339000000000002</v>
          </cell>
          <cell r="Q16">
            <v>0.4526</v>
          </cell>
          <cell r="R16">
            <v>0.41492000000000001</v>
          </cell>
          <cell r="S16">
            <v>0.41643999999999998</v>
          </cell>
          <cell r="T16">
            <v>0.34243000000000001</v>
          </cell>
        </row>
        <row r="18">
          <cell r="D18" t="str">
            <v>Total value</v>
          </cell>
          <cell r="F18">
            <v>0.89875000000000005</v>
          </cell>
          <cell r="G18">
            <v>0.88022</v>
          </cell>
          <cell r="H18">
            <v>0.89901999999999993</v>
          </cell>
          <cell r="I18">
            <v>0.91837999999999997</v>
          </cell>
          <cell r="J18">
            <v>0.90565999999999991</v>
          </cell>
          <cell r="K18">
            <v>0.93734000000000006</v>
          </cell>
          <cell r="L18">
            <v>0.93833999999999995</v>
          </cell>
          <cell r="M18">
            <v>0.93518999999999997</v>
          </cell>
          <cell r="N18">
            <v>0.93652999999999997</v>
          </cell>
          <cell r="O18">
            <v>0.92066000000000003</v>
          </cell>
          <cell r="P18">
            <v>1.0132700000000001</v>
          </cell>
          <cell r="Q18">
            <v>0.96665999999999996</v>
          </cell>
          <cell r="R18">
            <v>1.01197</v>
          </cell>
          <cell r="S18">
            <v>1.02963</v>
          </cell>
          <cell r="T18">
            <v>0.91663000000000006</v>
          </cell>
        </row>
      </sheetData>
      <sheetData sheetId="3"/>
      <sheetData sheetId="4"/>
      <sheetData sheetId="5"/>
      <sheetData sheetId="6"/>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me rate"/>
      <sheetName val="Contact Crime"/>
      <sheetName val="Property crime"/>
      <sheetName val="Serious robberies"/>
      <sheetName val="Detection rate"/>
      <sheetName val="Charges to court"/>
      <sheetName val="Conviction rate"/>
      <sheetName val="Detainees"/>
      <sheetName val="Road accidents &amp; fatalities"/>
    </sheetNames>
    <sheetDataSet>
      <sheetData sheetId="0"/>
      <sheetData sheetId="1">
        <row r="170">
          <cell r="B170" t="str">
            <v>1994/95</v>
          </cell>
          <cell r="C170" t="str">
            <v>1995/96</v>
          </cell>
          <cell r="D170" t="str">
            <v>1996/97</v>
          </cell>
          <cell r="E170" t="str">
            <v>1997/98</v>
          </cell>
          <cell r="F170" t="str">
            <v>1998/99</v>
          </cell>
          <cell r="G170" t="str">
            <v>1999/00</v>
          </cell>
          <cell r="H170" t="str">
            <v>2000/01</v>
          </cell>
          <cell r="I170" t="str">
            <v>2001/02</v>
          </cell>
          <cell r="J170" t="str">
            <v>2002/03</v>
          </cell>
          <cell r="K170" t="str">
            <v>2003/04</v>
          </cell>
          <cell r="L170" t="str">
            <v>2004/05</v>
          </cell>
          <cell r="M170" t="str">
            <v>2005/06</v>
          </cell>
          <cell r="N170" t="str">
            <v>2006/07</v>
          </cell>
        </row>
        <row r="171">
          <cell r="A171" t="str">
            <v>Murder</v>
          </cell>
          <cell r="B171">
            <v>100</v>
          </cell>
          <cell r="C171">
            <v>101.48809863178425</v>
          </cell>
          <cell r="D171">
            <v>93.792224016122006</v>
          </cell>
          <cell r="E171">
            <v>88.88863667337769</v>
          </cell>
          <cell r="F171">
            <v>89.425679533944773</v>
          </cell>
          <cell r="G171">
            <v>78.461546575609759</v>
          </cell>
          <cell r="H171">
            <v>74.433399137940413</v>
          </cell>
          <cell r="I171">
            <v>71.372958646877066</v>
          </cell>
          <cell r="J171">
            <v>70.865078875843395</v>
          </cell>
          <cell r="K171">
            <v>63.87080275468464</v>
          </cell>
          <cell r="L171">
            <v>60.227275178124387</v>
          </cell>
          <cell r="M171">
            <v>59.031696514538801</v>
          </cell>
          <cell r="N171">
            <v>58.1661271719314</v>
          </cell>
        </row>
        <row r="172">
          <cell r="A172" t="str">
            <v>Attempted Murder</v>
          </cell>
          <cell r="B172">
            <v>100</v>
          </cell>
          <cell r="C172">
            <v>98.300396799455157</v>
          </cell>
          <cell r="D172">
            <v>101.92850161180844</v>
          </cell>
          <cell r="E172">
            <v>98.965988480689745</v>
          </cell>
          <cell r="F172">
            <v>101.85020728590619</v>
          </cell>
          <cell r="G172">
            <v>94.744379636660454</v>
          </cell>
          <cell r="H172">
            <v>93.206037906338395</v>
          </cell>
          <cell r="I172">
            <v>101.06993390949953</v>
          </cell>
          <cell r="J172">
            <v>114.20976962200314</v>
          </cell>
          <cell r="K172">
            <v>93.861496756907187</v>
          </cell>
          <cell r="L172">
            <v>76.143042602402446</v>
          </cell>
          <cell r="M172">
            <v>63.549041259419525</v>
          </cell>
          <cell r="N172">
            <v>64.647797291263586</v>
          </cell>
        </row>
        <row r="173">
          <cell r="A173" t="str">
            <v>Common Assault</v>
          </cell>
          <cell r="B173">
            <v>100</v>
          </cell>
          <cell r="C173">
            <v>100.86356963047767</v>
          </cell>
          <cell r="D173">
            <v>96.940056766335076</v>
          </cell>
          <cell r="E173">
            <v>94.760859194917018</v>
          </cell>
          <cell r="F173">
            <v>93.990913545732539</v>
          </cell>
          <cell r="G173">
            <v>104.42984058536841</v>
          </cell>
          <cell r="H173">
            <v>110.38945943236611</v>
          </cell>
          <cell r="I173">
            <v>113.22723186957828</v>
          </cell>
          <cell r="J173">
            <v>120.44897440470879</v>
          </cell>
          <cell r="K173">
            <v>117.36751111526502</v>
          </cell>
          <cell r="L173">
            <v>111.42333506452</v>
          </cell>
          <cell r="M173">
            <v>94.04129479445487</v>
          </cell>
          <cell r="N173">
            <v>93.236135840703653</v>
          </cell>
        </row>
        <row r="174">
          <cell r="A174" t="str">
            <v>Assault GBH</v>
          </cell>
          <cell r="B174">
            <v>100</v>
          </cell>
          <cell r="C174">
            <v>101.42023909693563</v>
          </cell>
          <cell r="D174">
            <v>102.63130030166299</v>
          </cell>
          <cell r="E174">
            <v>102.62619076688368</v>
          </cell>
          <cell r="F174">
            <v>101.89735397608868</v>
          </cell>
          <cell r="G174">
            <v>109.40682585435466</v>
          </cell>
          <cell r="H174">
            <v>113.37944140371015</v>
          </cell>
          <cell r="I174">
            <v>105.98361038677584</v>
          </cell>
          <cell r="J174">
            <v>105.42085488670978</v>
          </cell>
          <cell r="K174">
            <v>100.88299258504389</v>
          </cell>
          <cell r="L174">
            <v>96.312351683814683</v>
          </cell>
          <cell r="M174">
            <v>87.082343013200656</v>
          </cell>
          <cell r="N174">
            <v>85.862884754165208</v>
          </cell>
        </row>
        <row r="175">
          <cell r="A175" t="str">
            <v>Rape</v>
          </cell>
          <cell r="B175">
            <v>100</v>
          </cell>
          <cell r="C175">
            <v>109.13463626136526</v>
          </cell>
          <cell r="D175">
            <v>109.89608362935093</v>
          </cell>
          <cell r="E175">
            <v>109.43966794611318</v>
          </cell>
          <cell r="F175">
            <v>102.58409629960279</v>
          </cell>
          <cell r="G175">
            <v>106.521905451002</v>
          </cell>
          <cell r="H175">
            <v>104.94462529245878</v>
          </cell>
          <cell r="I175">
            <v>105.03834975306225</v>
          </cell>
          <cell r="J175">
            <v>100.01118371738772</v>
          </cell>
          <cell r="K175">
            <v>98.577805820101432</v>
          </cell>
          <cell r="L175">
            <v>102.57900829031755</v>
          </cell>
          <cell r="M175">
            <v>101.5384773524614</v>
          </cell>
          <cell r="N175">
            <v>93.039644269568171</v>
          </cell>
        </row>
        <row r="176">
          <cell r="A176" t="str">
            <v>Aggravated Robbery</v>
          </cell>
          <cell r="B176">
            <v>100</v>
          </cell>
          <cell r="C176">
            <v>89.235003265699802</v>
          </cell>
          <cell r="D176">
            <v>74.61435352574199</v>
          </cell>
          <cell r="E176">
            <v>81.214908237866752</v>
          </cell>
          <cell r="F176">
            <v>100.95842708080112</v>
          </cell>
          <cell r="G176">
            <v>105.04005802956391</v>
          </cell>
          <cell r="H176">
            <v>119.13510643002132</v>
          </cell>
          <cell r="I176">
            <v>119.20448020355859</v>
          </cell>
          <cell r="J176">
            <v>127.78285341991094</v>
          </cell>
          <cell r="K176">
            <v>131.8789091649472</v>
          </cell>
          <cell r="L176">
            <v>124.57921566314796</v>
          </cell>
          <cell r="M176">
            <v>116.84450315503922</v>
          </cell>
          <cell r="N176">
            <v>130.94021278525798</v>
          </cell>
        </row>
        <row r="177">
          <cell r="A177" t="str">
            <v>Common Robbery</v>
          </cell>
          <cell r="B177">
            <v>100</v>
          </cell>
          <cell r="C177">
            <v>137.14323363080365</v>
          </cell>
          <cell r="D177">
            <v>148.36301853422606</v>
          </cell>
          <cell r="E177">
            <v>158.54014668552037</v>
          </cell>
          <cell r="F177">
            <v>183.85413131696907</v>
          </cell>
          <cell r="G177">
            <v>206.17763770597759</v>
          </cell>
          <cell r="H177">
            <v>245.36526242085023</v>
          </cell>
          <cell r="I177">
            <v>239.13025278191299</v>
          </cell>
          <cell r="J177">
            <v>265.42041125464038</v>
          </cell>
          <cell r="K177">
            <v>244.75510917078935</v>
          </cell>
          <cell r="L177">
            <v>231.69049879053247</v>
          </cell>
          <cell r="M177">
            <v>189.39213080620962</v>
          </cell>
          <cell r="N177">
            <v>138.09804960269682</v>
          </cell>
        </row>
      </sheetData>
      <sheetData sheetId="2"/>
      <sheetData sheetId="3"/>
      <sheetData sheetId="4"/>
      <sheetData sheetId="5"/>
      <sheetData sheetId="6"/>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Educational Perf"/>
      <sheetName val="Martenal mortality"/>
    </sheetNames>
    <sheetDataSet>
      <sheetData sheetId="0"/>
      <sheetData sheetId="1">
        <row r="4">
          <cell r="E4" t="str">
            <v>2011/12</v>
          </cell>
          <cell r="F4" t="str">
            <v>2012/13</v>
          </cell>
          <cell r="G4" t="str">
            <v>2013/14</v>
          </cell>
          <cell r="H4" t="str">
            <v>2014/15</v>
          </cell>
          <cell r="I4" t="str">
            <v>2015/16</v>
          </cell>
          <cell r="J4" t="str">
            <v>2016/17</v>
          </cell>
          <cell r="K4" t="str">
            <v>2017/18</v>
          </cell>
          <cell r="L4" t="str">
            <v>2018/19</v>
          </cell>
          <cell r="M4" t="str">
            <v>2019/20</v>
          </cell>
        </row>
        <row r="5">
          <cell r="B5" t="str">
            <v>Value of Forfeiture Assets(Rand in Millions)</v>
          </cell>
          <cell r="E5">
            <v>164000</v>
          </cell>
          <cell r="F5">
            <v>119000</v>
          </cell>
          <cell r="G5">
            <v>294000</v>
          </cell>
          <cell r="H5">
            <v>1940000</v>
          </cell>
          <cell r="I5">
            <v>3495000</v>
          </cell>
          <cell r="J5">
            <v>1194000</v>
          </cell>
          <cell r="K5">
            <v>4400000</v>
          </cell>
          <cell r="L5">
            <v>455000</v>
          </cell>
          <cell r="M5">
            <v>455000</v>
          </cell>
        </row>
        <row r="6">
          <cell r="B6" t="str">
            <v>Freeze Assets completed</v>
          </cell>
          <cell r="E6">
            <v>318</v>
          </cell>
          <cell r="F6">
            <v>276</v>
          </cell>
          <cell r="G6">
            <v>363</v>
          </cell>
          <cell r="H6">
            <v>342</v>
          </cell>
          <cell r="I6">
            <v>326</v>
          </cell>
          <cell r="J6">
            <v>377</v>
          </cell>
          <cell r="K6">
            <v>324</v>
          </cell>
          <cell r="L6">
            <v>273</v>
          </cell>
          <cell r="M6">
            <v>326</v>
          </cell>
        </row>
      </sheetData>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A PERFORM (2)"/>
      <sheetName val="NPA PERFORM (3)"/>
      <sheetName val="NPA PERFORM"/>
      <sheetName val="NPS OVERVIEW"/>
      <sheetName val="Sheet1"/>
      <sheetName val="Sheet2"/>
      <sheetName val="Sheet4"/>
      <sheetName val="Educational Perf"/>
      <sheetName val="Martenal mortality"/>
    </sheetNames>
    <sheetDataSet>
      <sheetData sheetId="0" refreshError="1"/>
      <sheetData sheetId="1" refreshError="1"/>
      <sheetData sheetId="2" refreshError="1">
        <row r="7">
          <cell r="B7">
            <v>0</v>
          </cell>
          <cell r="C7">
            <v>0</v>
          </cell>
          <cell r="D7">
            <v>0</v>
          </cell>
          <cell r="E7">
            <v>0</v>
          </cell>
          <cell r="I7">
            <v>0</v>
          </cell>
          <cell r="J7">
            <v>15393</v>
          </cell>
          <cell r="K7">
            <v>38029</v>
          </cell>
          <cell r="L7">
            <v>68270</v>
          </cell>
        </row>
        <row r="8">
          <cell r="B8">
            <v>14808</v>
          </cell>
          <cell r="C8">
            <v>17952</v>
          </cell>
          <cell r="D8">
            <v>18946</v>
          </cell>
          <cell r="E8">
            <v>37422</v>
          </cell>
          <cell r="I8">
            <v>44483</v>
          </cell>
          <cell r="J8">
            <v>46445</v>
          </cell>
          <cell r="K8">
            <v>43728</v>
          </cell>
          <cell r="L8">
            <v>50361</v>
          </cell>
        </row>
        <row r="9">
          <cell r="B9">
            <v>407530</v>
          </cell>
          <cell r="C9">
            <v>396536</v>
          </cell>
          <cell r="D9">
            <v>381020</v>
          </cell>
          <cell r="E9">
            <v>373995</v>
          </cell>
          <cell r="I9">
            <v>334551</v>
          </cell>
          <cell r="J9">
            <v>296391</v>
          </cell>
          <cell r="K9">
            <v>311868</v>
          </cell>
          <cell r="L9">
            <v>350910</v>
          </cell>
        </row>
        <row r="11">
          <cell r="B11">
            <v>1117879</v>
          </cell>
          <cell r="C11">
            <v>1117488</v>
          </cell>
          <cell r="D11">
            <v>1084137</v>
          </cell>
          <cell r="E11">
            <v>1069724</v>
          </cell>
          <cell r="I11">
            <v>1062497</v>
          </cell>
          <cell r="J11">
            <v>1037309</v>
          </cell>
          <cell r="K11">
            <v>1058210</v>
          </cell>
          <cell r="L11">
            <v>1044346</v>
          </cell>
        </row>
        <row r="15">
          <cell r="B15">
            <v>188691</v>
          </cell>
          <cell r="C15">
            <v>185423</v>
          </cell>
          <cell r="D15">
            <v>206005</v>
          </cell>
          <cell r="E15">
            <v>198990</v>
          </cell>
          <cell r="I15">
            <v>206508</v>
          </cell>
          <cell r="J15">
            <v>232518</v>
          </cell>
          <cell r="K15">
            <v>234606</v>
          </cell>
          <cell r="L15">
            <v>230477</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
      <sheetName val="Content"/>
      <sheetName val="GDP "/>
      <sheetName val="GDP per Capita "/>
      <sheetName val="NFDI "/>
      <sheetName val="GFCF "/>
      <sheetName val="B deficit "/>
      <sheetName val="G debt "/>
      <sheetName val="Interest "/>
      <sheetName val="Inflation "/>
      <sheetName val="Bondpoints Spread "/>
      <sheetName val="R&amp;D "/>
      <sheetName val="ICT"/>
      <sheetName val="Patents"/>
      <sheetName val="Foreign Trade"/>
      <sheetName val="Competitiveness "/>
      <sheetName val="Knowledge Based Economy "/>
      <sheetName val="BM "/>
      <sheetName val="Employed "/>
      <sheetName val="Unempl"/>
      <sheetName val="EPWP"/>
      <sheetName val="CWP "/>
      <sheetName val="Income"/>
      <sheetName val="LSM"/>
      <sheetName val="Inequality"/>
      <sheetName val="Poverty Headcount"/>
      <sheetName val="Poverty Gap indices  "/>
      <sheetName val="Grants"/>
      <sheetName val="People with disability "/>
      <sheetName val="Dwellings"/>
      <sheetName val="Rental"/>
      <sheetName val="Gap market"/>
      <sheetName val="Water"/>
      <sheetName val="Sanitation"/>
      <sheetName val="Electricity"/>
      <sheetName val="Land restitution"/>
      <sheetName val="Land redistribution "/>
      <sheetName val="Life Expectancy "/>
      <sheetName val="Infant &amp; Child mortality"/>
      <sheetName val="Stunting "/>
      <sheetName val="Immunization"/>
      <sheetName val="Martenal mortality"/>
      <sheetName val="HIV Prevalance "/>
      <sheetName val="ART new TROA"/>
      <sheetName val="TB"/>
      <sheetName val="Malaria"/>
      <sheetName val="ECD"/>
      <sheetName val="Educator Learner ratio"/>
      <sheetName val="Gender parity index"/>
      <sheetName val="Matric pass rate"/>
      <sheetName val="Mathematics pass rate"/>
      <sheetName val="Literacy rate "/>
      <sheetName val="SET Uni"/>
      <sheetName val="Educational Perfomance  "/>
      <sheetName val="Maths, science perf"/>
      <sheetName val="Skills and training"/>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Property crime"/>
      <sheetName val="Contact crime"/>
      <sheetName val="Serious robberies"/>
      <sheetName val="Drug-Related Crime"/>
      <sheetName val="Sexual offences"/>
      <sheetName val="Charges to court"/>
      <sheetName val="Cases in court"/>
      <sheetName val="Detainees"/>
      <sheetName val="Rehabilitation"/>
      <sheetName val="Parolees"/>
      <sheetName val="Road Accidents"/>
      <sheetName val="Peace Operations"/>
      <sheetName val="Development cooperation"/>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Transport"/>
      <sheetName val="Energy"/>
      <sheetName val="Demographic trends"/>
      <sheetName val="Public Opinion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2">
          <cell r="C2">
            <v>52</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2">
          <cell r="C2">
            <v>79</v>
          </cell>
        </row>
      </sheetData>
      <sheetData sheetId="83"/>
      <sheetData sheetId="84"/>
      <sheetData sheetId="85"/>
      <sheetData sheetId="86"/>
      <sheetData sheetId="87">
        <row r="54">
          <cell r="D54" t="str">
            <v>Performing well</v>
          </cell>
          <cell r="E54">
            <v>70</v>
          </cell>
          <cell r="F54">
            <v>64</v>
          </cell>
          <cell r="G54">
            <v>73</v>
          </cell>
          <cell r="H54">
            <v>74</v>
          </cell>
          <cell r="I54">
            <v>79</v>
          </cell>
          <cell r="J54">
            <v>73</v>
          </cell>
          <cell r="K54">
            <v>74</v>
          </cell>
          <cell r="L54">
            <v>65</v>
          </cell>
          <cell r="M54">
            <v>58</v>
          </cell>
          <cell r="N54">
            <v>59</v>
          </cell>
          <cell r="O54">
            <v>55</v>
          </cell>
          <cell r="P54">
            <v>50</v>
          </cell>
          <cell r="Q54">
            <v>52</v>
          </cell>
          <cell r="R54">
            <v>53</v>
          </cell>
          <cell r="S54">
            <v>56</v>
          </cell>
        </row>
        <row r="55">
          <cell r="D55" t="str">
            <v>Major service protests</v>
          </cell>
          <cell r="I55">
            <v>10</v>
          </cell>
          <cell r="J55">
            <v>34</v>
          </cell>
          <cell r="K55">
            <v>2</v>
          </cell>
          <cell r="L55">
            <v>32</v>
          </cell>
          <cell r="M55">
            <v>27</v>
          </cell>
          <cell r="N55">
            <v>107</v>
          </cell>
          <cell r="O55">
            <v>111</v>
          </cell>
          <cell r="P55">
            <v>82</v>
          </cell>
          <cell r="Q55">
            <v>173</v>
          </cell>
          <cell r="R55">
            <v>155</v>
          </cell>
          <cell r="S55">
            <v>134</v>
          </cell>
        </row>
      </sheetData>
      <sheetData sheetId="88"/>
      <sheetData sheetId="89"/>
      <sheetData sheetId="90"/>
      <sheetData sheetId="91"/>
      <sheetData sheetId="92"/>
      <sheetData sheetId="9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ges referred to Courts"/>
      <sheetName val="Sheet2"/>
      <sheetName val="Sheet3"/>
      <sheetName val="Educational Perf"/>
    </sheetNames>
    <sheetDataSet>
      <sheetData sheetId="0" refreshError="1">
        <row r="9">
          <cell r="K9">
            <v>962317</v>
          </cell>
        </row>
        <row r="15">
          <cell r="K15">
            <v>331045</v>
          </cell>
        </row>
        <row r="16">
          <cell r="K16">
            <v>293673</v>
          </cell>
        </row>
        <row r="19">
          <cell r="K19">
            <v>129846</v>
          </cell>
        </row>
        <row r="23">
          <cell r="K23">
            <v>218660</v>
          </cell>
        </row>
      </sheetData>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13.14"/>
      <sheetName val="13.14 ALL CRTS"/>
      <sheetName val="13.14 (Q)"/>
      <sheetName val="13.14 LC"/>
      <sheetName val="GRAPHS14.15 (Q1)"/>
      <sheetName val="GRAPHS13.14 (Q2)"/>
      <sheetName val="DOC 13.14"/>
      <sheetName val="GRAPHS13.14 (Q3)"/>
      <sheetName val="GRAPHS13.14 (Q4)"/>
      <sheetName val="14.15 ALL CRTS"/>
      <sheetName val="graphs final"/>
      <sheetName val="14.15 (Q)"/>
      <sheetName val="14.15 LC"/>
      <sheetName val="DOC"/>
      <sheetName val="TRIO"/>
      <sheetName val="SO"/>
      <sheetName val="CYBER CRIME"/>
      <sheetName val="SCCU"/>
      <sheetName val="ENVIRO"/>
      <sheetName val="APPEALS.ORG CRIME.TAX"/>
    </sheetNames>
    <sheetDataSet>
      <sheetData sheetId="0" refreshError="1"/>
      <sheetData sheetId="1" refreshError="1">
        <row r="77">
          <cell r="AE77">
            <v>182979</v>
          </cell>
        </row>
        <row r="79">
          <cell r="J79">
            <v>931799</v>
          </cell>
          <cell r="T79">
            <v>301798</v>
          </cell>
          <cell r="X79">
            <v>329153</v>
          </cell>
          <cell r="BA79">
            <v>176189</v>
          </cell>
          <cell r="BB79">
            <v>505342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M"/>
      <sheetName val="sccu OVERVIEW (4)"/>
      <sheetName val="NPA PERFORM OVERVIEW"/>
      <sheetName val="Sheet2"/>
      <sheetName val="Sheet1"/>
      <sheetName val="graphs"/>
      <sheetName val="Sheet3"/>
      <sheetName val="Educational Perf"/>
    </sheetNames>
    <sheetDataSet>
      <sheetData sheetId="0" refreshError="1"/>
      <sheetData sheetId="1" refreshError="1"/>
      <sheetData sheetId="2">
        <row r="4">
          <cell r="P4">
            <v>884088</v>
          </cell>
          <cell r="Q4">
            <v>888053</v>
          </cell>
        </row>
        <row r="28">
          <cell r="P28">
            <v>341360</v>
          </cell>
          <cell r="Q28">
            <v>335161</v>
          </cell>
        </row>
        <row r="36">
          <cell r="P36">
            <v>321190</v>
          </cell>
          <cell r="Q36">
            <v>317475</v>
          </cell>
        </row>
        <row r="40">
          <cell r="P40">
            <v>164016</v>
          </cell>
          <cell r="Q40">
            <v>159654</v>
          </cell>
        </row>
        <row r="60">
          <cell r="P60">
            <v>171312</v>
          </cell>
          <cell r="R60">
            <v>167901</v>
          </cell>
        </row>
      </sheetData>
      <sheetData sheetId="3" refreshError="1"/>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18 ALL CRTS"/>
      <sheetName val="17.18 LC"/>
      <sheetName val="DOC17.18"/>
      <sheetName val="17.18 Q"/>
      <sheetName val="REPS 17.18"/>
      <sheetName val="18.19 ALL CRTS"/>
      <sheetName val="Sheet2"/>
      <sheetName val="18.19 LC"/>
      <sheetName val="DOC 18.19"/>
      <sheetName val="REPS 18.19"/>
      <sheetName val="18.19 (Q)"/>
      <sheetName val="GRAPHS18.19 (Q1)"/>
      <sheetName val="GRAPHS18.19 (Q1.Q2)"/>
      <sheetName val="GRAPHS18.19 (Q2)"/>
      <sheetName val="GRAPHS18.19 (Q3)"/>
      <sheetName val="GRAPHS18.19 (Q4)"/>
      <sheetName val="GRAPHS18.19"/>
      <sheetName val="MURDER"/>
      <sheetName val="SCCU"/>
      <sheetName val="SO"/>
      <sheetName val="CYBER CRIME"/>
      <sheetName val="TRIO"/>
      <sheetName val="RHINO"/>
      <sheetName val="ENVIRO"/>
      <sheetName val="APPEALS.ORG CRIME.TAX"/>
      <sheetName val="Sheet1"/>
      <sheetName val="Educational Perf"/>
    </sheetNames>
    <sheetDataSet>
      <sheetData sheetId="0">
        <row r="66">
          <cell r="O66">
            <v>5952</v>
          </cell>
        </row>
      </sheetData>
      <sheetData sheetId="1">
        <row r="31">
          <cell r="B31">
            <v>1032.9166666666667</v>
          </cell>
        </row>
      </sheetData>
      <sheetData sheetId="2">
        <row r="217">
          <cell r="U217">
            <v>0.94503470428356429</v>
          </cell>
        </row>
      </sheetData>
      <sheetData sheetId="3"/>
      <sheetData sheetId="4"/>
      <sheetData sheetId="5">
        <row r="19">
          <cell r="R19">
            <v>66</v>
          </cell>
        </row>
        <row r="32">
          <cell r="S32">
            <v>0.89958592132505177</v>
          </cell>
        </row>
        <row r="75">
          <cell r="AF75">
            <v>181912</v>
          </cell>
        </row>
        <row r="77">
          <cell r="R77">
            <v>260456</v>
          </cell>
          <cell r="S77">
            <v>0.94262582832987707</v>
          </cell>
          <cell r="U77">
            <v>276309</v>
          </cell>
          <cell r="AD77">
            <v>149469</v>
          </cell>
          <cell r="AE77">
            <v>425778</v>
          </cell>
          <cell r="AL77">
            <v>792895</v>
          </cell>
        </row>
      </sheetData>
      <sheetData sheetId="6" refreshError="1"/>
      <sheetData sheetId="7">
        <row r="24">
          <cell r="AH24">
            <v>14529</v>
          </cell>
        </row>
        <row r="32">
          <cell r="S32">
            <v>0.95699476837738839</v>
          </cell>
        </row>
        <row r="62">
          <cell r="S62">
            <v>0.8171851005321239</v>
          </cell>
        </row>
      </sheetData>
      <sheetData sheetId="8">
        <row r="231">
          <cell r="L231">
            <v>0.92591804434277203</v>
          </cell>
        </row>
      </sheetData>
      <sheetData sheetId="9"/>
      <sheetData sheetId="10">
        <row r="39">
          <cell r="S39">
            <v>0.89230769230769236</v>
          </cell>
        </row>
      </sheetData>
      <sheetData sheetId="11"/>
      <sheetData sheetId="12"/>
      <sheetData sheetId="13"/>
      <sheetData sheetId="14"/>
      <sheetData sheetId="15"/>
      <sheetData sheetId="16"/>
      <sheetData sheetId="17">
        <row r="3">
          <cell r="B3">
            <v>283</v>
          </cell>
        </row>
      </sheetData>
      <sheetData sheetId="18">
        <row r="3">
          <cell r="B3">
            <v>65</v>
          </cell>
        </row>
      </sheetData>
      <sheetData sheetId="19">
        <row r="3">
          <cell r="B3">
            <v>386</v>
          </cell>
        </row>
      </sheetData>
      <sheetData sheetId="20">
        <row r="3">
          <cell r="B3">
            <v>35</v>
          </cell>
        </row>
      </sheetData>
      <sheetData sheetId="21">
        <row r="3">
          <cell r="B3">
            <v>110</v>
          </cell>
        </row>
      </sheetData>
      <sheetData sheetId="22"/>
      <sheetData sheetId="23">
        <row r="3">
          <cell r="B3">
            <v>82</v>
          </cell>
        </row>
      </sheetData>
      <sheetData sheetId="24">
        <row r="3">
          <cell r="C3">
            <v>86</v>
          </cell>
        </row>
      </sheetData>
      <sheetData sheetId="25"/>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sheetName val="REG"/>
      <sheetName val="DOC"/>
      <sheetName val="BOP"/>
      <sheetName val="CIS"/>
      <sheetName val="CPD"/>
      <sheetName val="ECD"/>
      <sheetName val="FSD"/>
      <sheetName val="NCD"/>
      <sheetName val="KZN"/>
      <sheetName val="TPD"/>
      <sheetName val="TRA"/>
      <sheetName val="VEN"/>
      <sheetName val="WLD"/>
      <sheetName val="SEXUAL OFFENCES"/>
      <sheetName val="COMM CRIME"/>
      <sheetName val="SAT &amp; ADD"/>
      <sheetName val="REASONS DC"/>
      <sheetName val="REASONS RC"/>
    </sheetNames>
    <sheetDataSet>
      <sheetData sheetId="0" refreshError="1">
        <row r="18">
          <cell r="N18">
            <v>534067</v>
          </cell>
          <cell r="O18">
            <v>330728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Incl"/>
      <sheetName val="REG Incl"/>
      <sheetName val="DIS"/>
      <sheetName val="REG"/>
      <sheetName val="DOC"/>
      <sheetName val="BOP"/>
      <sheetName val="CIS"/>
      <sheetName val="CPD"/>
      <sheetName val="ECD"/>
      <sheetName val="FSD"/>
      <sheetName val="NCD"/>
      <sheetName val="KZN"/>
      <sheetName val="TPD"/>
      <sheetName val="TRA"/>
      <sheetName val="VEN"/>
      <sheetName val="WLD"/>
      <sheetName val="SOCA"/>
      <sheetName val="COMM CRIME"/>
      <sheetName val="SAT &amp; ADD"/>
      <sheetName val="REASONS DC"/>
      <sheetName val="REASONS RC"/>
    </sheetNames>
    <sheetDataSet>
      <sheetData sheetId="0" refreshError="1">
        <row r="19">
          <cell r="N19">
            <v>767588.08333333326</v>
          </cell>
          <cell r="O19">
            <v>328887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incl."/>
      <sheetName val="REG incl."/>
      <sheetName val="DIS excl."/>
      <sheetName val="REG excl."/>
      <sheetName val="DOC"/>
      <sheetName val="BOP"/>
      <sheetName val="CIS"/>
      <sheetName val="CPD"/>
      <sheetName val="ECD"/>
      <sheetName val="FSD"/>
      <sheetName val="NCD"/>
      <sheetName val="KZN"/>
      <sheetName val="TPD"/>
      <sheetName val="TRA"/>
      <sheetName val="VEN"/>
      <sheetName val="WLD"/>
      <sheetName val="SCCU"/>
      <sheetName val="COMMUNITY"/>
      <sheetName val="JACT"/>
      <sheetName val="SAT &amp; ADD"/>
    </sheetNames>
    <sheetDataSet>
      <sheetData sheetId="0" refreshError="1">
        <row r="19">
          <cell r="N19">
            <v>729934</v>
          </cell>
          <cell r="O19">
            <v>320938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incl."/>
      <sheetName val="REG incl."/>
      <sheetName val="DOC"/>
      <sheetName val="BOP"/>
      <sheetName val="CIS"/>
      <sheetName val="CPD"/>
      <sheetName val="ECD"/>
      <sheetName val="FSD"/>
      <sheetName val="NCD"/>
      <sheetName val="KZN"/>
      <sheetName val="TPD"/>
      <sheetName val="TRA"/>
      <sheetName val="VEN"/>
      <sheetName val="WLD"/>
      <sheetName val="SCCU"/>
      <sheetName val="COMMUNITY"/>
      <sheetName val="ENVIRO"/>
      <sheetName val="Hijacking"/>
      <sheetName val="DRUG"/>
      <sheetName val="SAT &amp; ADD"/>
    </sheetNames>
    <sheetDataSet>
      <sheetData sheetId="0" refreshError="1">
        <row r="19">
          <cell r="N19">
            <v>757376</v>
          </cell>
          <cell r="O19">
            <v>320413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07 (Q)"/>
      <sheetName val="0607"/>
      <sheetName val="Q PROGRESS"/>
      <sheetName val="GRAPHS"/>
      <sheetName val="0708 (Q)"/>
      <sheetName val="0708"/>
      <sheetName val="DIS incl."/>
      <sheetName val="REG incl."/>
      <sheetName val="DOC"/>
      <sheetName val="BOP"/>
      <sheetName val="CPD"/>
      <sheetName val="ECD"/>
      <sheetName val="FSD"/>
      <sheetName val="NCD"/>
      <sheetName val="NPD"/>
      <sheetName val="TPD"/>
      <sheetName val="TRA"/>
      <sheetName val="WLD"/>
      <sheetName val="SCCU"/>
      <sheetName val="COMMUNITY"/>
    </sheetNames>
    <sheetDataSet>
      <sheetData sheetId="0" refreshError="1"/>
      <sheetData sheetId="1" refreshError="1">
        <row r="18">
          <cell r="M18">
            <v>722259</v>
          </cell>
          <cell r="N18">
            <v>284865</v>
          </cell>
        </row>
      </sheetData>
      <sheetData sheetId="2" refreshError="1"/>
      <sheetData sheetId="3" refreshError="1"/>
      <sheetData sheetId="4" refreshError="1"/>
      <sheetData sheetId="5" refreshError="1">
        <row r="19">
          <cell r="P19">
            <v>654902</v>
          </cell>
          <cell r="Q19">
            <v>252605</v>
          </cell>
          <cell r="Y19">
            <v>30115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809 ALL CRTS"/>
      <sheetName val="0809 (Q)"/>
      <sheetName val="0809"/>
      <sheetName val="graphs"/>
      <sheetName val="0910 ALL CRTS"/>
      <sheetName val="0910 (Q)"/>
      <sheetName val="0910"/>
      <sheetName val="DIS incl."/>
      <sheetName val="REG incl."/>
      <sheetName val="DOC"/>
      <sheetName val="BOP"/>
      <sheetName val="CPD"/>
      <sheetName val="ECD"/>
      <sheetName val="FSD"/>
      <sheetName val="NCD"/>
      <sheetName val="NPD"/>
      <sheetName val="TPD"/>
      <sheetName val="TRA"/>
      <sheetName val="WLD"/>
      <sheetName val="SCCU"/>
    </sheetNames>
    <sheetDataSet>
      <sheetData sheetId="0" refreshError="1">
        <row r="19">
          <cell r="P19">
            <v>638699</v>
          </cell>
          <cell r="Q19">
            <v>267613</v>
          </cell>
          <cell r="Y19">
            <v>38015</v>
          </cell>
        </row>
      </sheetData>
      <sheetData sheetId="1" refreshError="1"/>
      <sheetData sheetId="2" refreshError="1"/>
      <sheetData sheetId="3" refreshError="1"/>
      <sheetData sheetId="4" refreshError="1">
        <row r="19">
          <cell r="Q19">
            <v>595623</v>
          </cell>
          <cell r="T19">
            <v>309868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Admin"/>
      <sheetName val="Qualified Audits"/>
      <sheetName val="Corruption"/>
      <sheetName val="Budget Process"/>
      <sheetName val="Public Opinion"/>
      <sheetName val="Doing business"/>
    </sheetNames>
    <sheetDataSet>
      <sheetData sheetId="0"/>
      <sheetData sheetId="1"/>
      <sheetData sheetId="2"/>
      <sheetData sheetId="3"/>
      <sheetData sheetId="4">
        <row r="53">
          <cell r="E53">
            <v>2000</v>
          </cell>
          <cell r="F53">
            <v>2001</v>
          </cell>
          <cell r="G53">
            <v>2002</v>
          </cell>
          <cell r="H53">
            <v>2003</v>
          </cell>
          <cell r="I53">
            <v>2004</v>
          </cell>
          <cell r="J53">
            <v>2005</v>
          </cell>
          <cell r="K53">
            <v>2006</v>
          </cell>
          <cell r="L53">
            <v>2007</v>
          </cell>
          <cell r="M53">
            <v>2008</v>
          </cell>
          <cell r="N53">
            <v>2009</v>
          </cell>
          <cell r="O53">
            <v>2010</v>
          </cell>
          <cell r="P53">
            <v>2011</v>
          </cell>
          <cell r="Q53">
            <v>2012</v>
          </cell>
          <cell r="R53">
            <v>2013</v>
          </cell>
          <cell r="S53">
            <v>2014</v>
          </cell>
        </row>
      </sheetData>
      <sheetData sheetId="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 Police Ratio (2)"/>
      <sheetName val="UN Police Ratio"/>
      <sheetName val="Crime Victims "/>
      <sheetName val="Crime rate  "/>
      <sheetName val="Crime rate Ratio"/>
      <sheetName val="Property crime"/>
      <sheetName val="Property crime Ratio"/>
      <sheetName val="Contact crime"/>
      <sheetName val="Serious robberies"/>
      <sheetName val="Drug-Related Crime "/>
      <sheetName val="Sexual offences "/>
      <sheetName val="Cybercrime "/>
      <sheetName val="Corruption Cases"/>
      <sheetName val="Conviction rate"/>
      <sheetName val="Inmates "/>
      <sheetName val="Rehabilitation  "/>
      <sheetName val="Parolees  "/>
      <sheetName val="Road Accid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AE9">
            <v>52275</v>
          </cell>
        </row>
        <row r="10">
          <cell r="AD10">
            <v>53256</v>
          </cell>
        </row>
        <row r="15">
          <cell r="AE15">
            <v>7597</v>
          </cell>
        </row>
        <row r="16">
          <cell r="AD16">
            <v>12605</v>
          </cell>
        </row>
      </sheetData>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
      <sheetName val="GDP Capita"/>
      <sheetName val="FDI"/>
      <sheetName val="GFCF"/>
      <sheetName val="B Deficit"/>
      <sheetName val="G debt"/>
      <sheetName val="Interest"/>
      <sheetName val="Inflation"/>
      <sheetName val="BondPointsSpread"/>
      <sheetName val="R&amp;D"/>
      <sheetName val="Foreign Trade"/>
      <sheetName val="Competitiveness"/>
      <sheetName val="Knowledge Based Economy"/>
      <sheetName val="BEE"/>
      <sheetName val="BM"/>
      <sheetName val="Dwellings"/>
      <sheetName val="Public Opinion "/>
    </sheetNames>
    <sheetDataSet>
      <sheetData sheetId="0"/>
      <sheetData sheetId="1">
        <row r="8">
          <cell r="E8" t="str">
            <v>1994</v>
          </cell>
          <cell r="F8" t="str">
            <v>1995</v>
          </cell>
          <cell r="G8" t="str">
            <v>1996</v>
          </cell>
          <cell r="H8" t="str">
            <v>1997</v>
          </cell>
          <cell r="I8" t="str">
            <v>1998</v>
          </cell>
          <cell r="J8" t="str">
            <v>1999</v>
          </cell>
          <cell r="K8" t="str">
            <v>2000</v>
          </cell>
          <cell r="L8" t="str">
            <v>2001</v>
          </cell>
          <cell r="M8" t="str">
            <v>2002</v>
          </cell>
          <cell r="N8" t="str">
            <v>2003</v>
          </cell>
          <cell r="O8" t="str">
            <v>2004</v>
          </cell>
          <cell r="P8" t="str">
            <v>2005</v>
          </cell>
          <cell r="Q8" t="str">
            <v>2006</v>
          </cell>
        </row>
        <row r="9">
          <cell r="D9" t="str">
            <v>Per Capita GDP</v>
          </cell>
          <cell r="E9">
            <v>1.1000000000000001</v>
          </cell>
          <cell r="F9">
            <v>1</v>
          </cell>
          <cell r="G9">
            <v>2.1</v>
          </cell>
          <cell r="H9">
            <v>0.5</v>
          </cell>
          <cell r="I9">
            <v>-1.6</v>
          </cell>
          <cell r="J9">
            <v>0.2</v>
          </cell>
          <cell r="K9">
            <v>2.1</v>
          </cell>
          <cell r="L9">
            <v>0.8</v>
          </cell>
          <cell r="M9">
            <v>1.9</v>
          </cell>
          <cell r="N9">
            <v>1.5</v>
          </cell>
          <cell r="O9">
            <v>3.4</v>
          </cell>
          <cell r="P9">
            <v>3.6</v>
          </cell>
          <cell r="Q9">
            <v>4</v>
          </cell>
        </row>
      </sheetData>
      <sheetData sheetId="2"/>
      <sheetData sheetId="3"/>
      <sheetData sheetId="4"/>
      <sheetData sheetId="5"/>
      <sheetData sheetId="6">
        <row r="2">
          <cell r="C2">
            <v>7</v>
          </cell>
        </row>
      </sheetData>
      <sheetData sheetId="7">
        <row r="45">
          <cell r="D45">
            <v>1994</v>
          </cell>
        </row>
      </sheetData>
      <sheetData sheetId="8"/>
      <sheetData sheetId="9"/>
      <sheetData sheetId="10">
        <row r="52">
          <cell r="B52">
            <v>1992</v>
          </cell>
          <cell r="C52">
            <v>1993</v>
          </cell>
          <cell r="D52">
            <v>1994</v>
          </cell>
          <cell r="E52">
            <v>1995</v>
          </cell>
          <cell r="F52">
            <v>1996</v>
          </cell>
          <cell r="G52">
            <v>1997</v>
          </cell>
          <cell r="H52">
            <v>1998</v>
          </cell>
          <cell r="I52">
            <v>1999</v>
          </cell>
          <cell r="J52">
            <v>2000</v>
          </cell>
          <cell r="K52">
            <v>2001</v>
          </cell>
          <cell r="L52">
            <v>2002</v>
          </cell>
          <cell r="M52">
            <v>2003</v>
          </cell>
          <cell r="N52">
            <v>2004</v>
          </cell>
          <cell r="O52">
            <v>2005</v>
          </cell>
          <cell r="P52">
            <v>2006</v>
          </cell>
        </row>
        <row r="53">
          <cell r="A53" t="str">
            <v>Exports (constant 2000 prices) R'billions</v>
          </cell>
          <cell r="B53">
            <v>160.21498</v>
          </cell>
          <cell r="C53">
            <v>176.84388000000001</v>
          </cell>
          <cell r="D53">
            <v>181.23876999999999</v>
          </cell>
          <cell r="E53">
            <v>201.06291000000002</v>
          </cell>
          <cell r="F53">
            <v>215.54748000000001</v>
          </cell>
          <cell r="G53">
            <v>226.96107999999998</v>
          </cell>
          <cell r="H53">
            <v>234.32900000000001</v>
          </cell>
          <cell r="I53">
            <v>237.28399999999999</v>
          </cell>
          <cell r="J53">
            <v>257.01100000000002</v>
          </cell>
          <cell r="K53">
            <v>263.161</v>
          </cell>
          <cell r="L53">
            <v>265.76400000000001</v>
          </cell>
          <cell r="M53">
            <v>266.05500000000001</v>
          </cell>
          <cell r="N53">
            <v>273.69400000000002</v>
          </cell>
          <cell r="O53">
            <v>295.58</v>
          </cell>
          <cell r="P53">
            <v>312.173</v>
          </cell>
        </row>
        <row r="54">
          <cell r="A54" t="str">
            <v xml:space="preserve">Ratio of exports to GDP </v>
          </cell>
          <cell r="B54">
            <v>21.34</v>
          </cell>
          <cell r="C54">
            <v>22.48</v>
          </cell>
          <cell r="D54">
            <v>22.1</v>
          </cell>
          <cell r="E54">
            <v>22.77</v>
          </cell>
          <cell r="F54">
            <v>24.73</v>
          </cell>
          <cell r="G54">
            <v>24.6</v>
          </cell>
          <cell r="H54">
            <v>25.65</v>
          </cell>
          <cell r="I54">
            <v>25.33</v>
          </cell>
          <cell r="J54">
            <v>27.87</v>
          </cell>
          <cell r="K54">
            <v>30.13</v>
          </cell>
          <cell r="L54">
            <v>32.99</v>
          </cell>
          <cell r="M54">
            <v>28.06</v>
          </cell>
          <cell r="N54">
            <v>26.71</v>
          </cell>
          <cell r="O54">
            <v>27.45</v>
          </cell>
          <cell r="P54">
            <v>29.63</v>
          </cell>
        </row>
        <row r="55">
          <cell r="A55" t="str">
            <v>Volume of Trade (2000=base)</v>
          </cell>
          <cell r="B55">
            <v>62.34</v>
          </cell>
          <cell r="C55">
            <v>68.81</v>
          </cell>
          <cell r="D55">
            <v>70.52</v>
          </cell>
          <cell r="E55">
            <v>78.23</v>
          </cell>
          <cell r="F55">
            <v>83.87</v>
          </cell>
          <cell r="G55">
            <v>87.14</v>
          </cell>
          <cell r="H55">
            <v>91.17</v>
          </cell>
          <cell r="I55">
            <v>85.65</v>
          </cell>
          <cell r="J55">
            <v>100</v>
          </cell>
          <cell r="K55">
            <v>102.31</v>
          </cell>
          <cell r="L55">
            <v>103.41</v>
          </cell>
          <cell r="M55">
            <v>103.52</v>
          </cell>
          <cell r="N55">
            <v>106.49</v>
          </cell>
          <cell r="O55">
            <v>115.01</v>
          </cell>
          <cell r="P55">
            <v>121.46</v>
          </cell>
        </row>
        <row r="73">
          <cell r="C73">
            <v>1992</v>
          </cell>
          <cell r="D73">
            <v>1993</v>
          </cell>
          <cell r="E73">
            <v>1994</v>
          </cell>
          <cell r="F73">
            <v>1995</v>
          </cell>
          <cell r="G73">
            <v>1996</v>
          </cell>
          <cell r="H73">
            <v>1997</v>
          </cell>
          <cell r="I73">
            <v>1998</v>
          </cell>
          <cell r="J73">
            <v>1999</v>
          </cell>
          <cell r="K73">
            <v>2000</v>
          </cell>
          <cell r="L73">
            <v>2001</v>
          </cell>
          <cell r="M73">
            <v>2002</v>
          </cell>
          <cell r="N73">
            <v>2003</v>
          </cell>
          <cell r="O73">
            <v>2004</v>
          </cell>
          <cell r="P73">
            <v>2005</v>
          </cell>
          <cell r="Q73">
            <v>2006</v>
          </cell>
        </row>
        <row r="74">
          <cell r="B74" t="str">
            <v>Ratio of exports to GDP (%)</v>
          </cell>
          <cell r="C74">
            <v>21.34</v>
          </cell>
          <cell r="D74">
            <v>22.48</v>
          </cell>
          <cell r="E74">
            <v>22.1</v>
          </cell>
          <cell r="F74">
            <v>22.77</v>
          </cell>
          <cell r="G74">
            <v>24.73</v>
          </cell>
          <cell r="H74">
            <v>24.6</v>
          </cell>
          <cell r="I74">
            <v>25.65</v>
          </cell>
          <cell r="J74">
            <v>25.33</v>
          </cell>
          <cell r="K74">
            <v>27.87</v>
          </cell>
          <cell r="L74">
            <v>30.13</v>
          </cell>
          <cell r="M74">
            <v>32.99</v>
          </cell>
          <cell r="N74">
            <v>28.06</v>
          </cell>
          <cell r="O74">
            <v>26.71</v>
          </cell>
          <cell r="P74">
            <v>27.45</v>
          </cell>
          <cell r="Q74">
            <v>29.63</v>
          </cell>
        </row>
        <row r="75">
          <cell r="B75" t="str">
            <v>Trade balance to GDP ratio</v>
          </cell>
          <cell r="C75">
            <v>1.5</v>
          </cell>
          <cell r="D75">
            <v>2.13</v>
          </cell>
          <cell r="E75">
            <v>0.01</v>
          </cell>
          <cell r="F75">
            <v>-1.65</v>
          </cell>
          <cell r="G75">
            <v>-1.1499999999999999</v>
          </cell>
          <cell r="H75">
            <v>-1.49</v>
          </cell>
          <cell r="I75">
            <v>-1.76</v>
          </cell>
          <cell r="J75">
            <v>-0.51</v>
          </cell>
          <cell r="K75">
            <v>-0.13</v>
          </cell>
          <cell r="L75">
            <v>0.28000000000000003</v>
          </cell>
          <cell r="M75">
            <v>0.83</v>
          </cell>
          <cell r="N75">
            <v>-1.08</v>
          </cell>
          <cell r="O75">
            <v>-3.2</v>
          </cell>
          <cell r="P75">
            <v>-4.03</v>
          </cell>
          <cell r="Q75">
            <v>-6.45</v>
          </cell>
        </row>
        <row r="76">
          <cell r="B76" t="str">
            <v>ZAR/US$</v>
          </cell>
          <cell r="C76">
            <v>2.8516000000000004</v>
          </cell>
          <cell r="D76">
            <v>3.2667000000000002</v>
          </cell>
          <cell r="E76">
            <v>3.5497000000000001</v>
          </cell>
          <cell r="F76">
            <v>3.6269999999999998</v>
          </cell>
          <cell r="G76">
            <v>4.2964000000000002</v>
          </cell>
          <cell r="H76">
            <v>4.6073000000000004</v>
          </cell>
          <cell r="I76">
            <v>5.5316000000000001</v>
          </cell>
          <cell r="J76">
            <v>6.1130999999999993</v>
          </cell>
          <cell r="K76">
            <v>6.9352999999999998</v>
          </cell>
          <cell r="L76">
            <v>8.6030999999999995</v>
          </cell>
          <cell r="M76">
            <v>10.516500000000001</v>
          </cell>
          <cell r="N76">
            <v>7.5647000000000002</v>
          </cell>
          <cell r="O76">
            <v>6.4499000000000004</v>
          </cell>
          <cell r="P76">
            <v>6.3623000000000003</v>
          </cell>
          <cell r="Q76">
            <v>6.7671999999999999</v>
          </cell>
        </row>
      </sheetData>
      <sheetData sheetId="11">
        <row r="8">
          <cell r="E8" t="str">
            <v xml:space="preserve">2005-2006 </v>
          </cell>
          <cell r="F8" t="str">
            <v xml:space="preserve">2006-2007 </v>
          </cell>
          <cell r="G8" t="str">
            <v>2007-2008</v>
          </cell>
        </row>
        <row r="9">
          <cell r="D9" t="str">
            <v>Malaysia</v>
          </cell>
          <cell r="E9">
            <v>26</v>
          </cell>
          <cell r="F9">
            <v>19</v>
          </cell>
          <cell r="G9">
            <v>21</v>
          </cell>
        </row>
        <row r="10">
          <cell r="D10" t="str">
            <v>Chile</v>
          </cell>
          <cell r="E10">
            <v>27</v>
          </cell>
          <cell r="F10">
            <v>27</v>
          </cell>
          <cell r="G10">
            <v>26</v>
          </cell>
        </row>
        <row r="11">
          <cell r="D11" t="str">
            <v>Estonia</v>
          </cell>
          <cell r="E11">
            <v>25</v>
          </cell>
          <cell r="F11">
            <v>26</v>
          </cell>
          <cell r="G11">
            <v>27</v>
          </cell>
        </row>
        <row r="12">
          <cell r="D12" t="str">
            <v>Lithuania</v>
          </cell>
          <cell r="E12">
            <v>40</v>
          </cell>
          <cell r="F12">
            <v>39</v>
          </cell>
          <cell r="G12">
            <v>38</v>
          </cell>
        </row>
        <row r="13">
          <cell r="D13" t="str">
            <v>Slovakia</v>
          </cell>
          <cell r="E13">
            <v>37</v>
          </cell>
          <cell r="F13">
            <v>37</v>
          </cell>
          <cell r="G13">
            <v>41</v>
          </cell>
        </row>
        <row r="14">
          <cell r="D14" t="str">
            <v>South Africa</v>
          </cell>
          <cell r="E14">
            <v>45</v>
          </cell>
          <cell r="F14">
            <v>36</v>
          </cell>
          <cell r="G14">
            <v>44</v>
          </cell>
        </row>
        <row r="15">
          <cell r="D15" t="str">
            <v>Latvia</v>
          </cell>
          <cell r="E15">
            <v>36</v>
          </cell>
          <cell r="F15">
            <v>44</v>
          </cell>
          <cell r="G15">
            <v>45</v>
          </cell>
        </row>
        <row r="16">
          <cell r="D16" t="str">
            <v>Hungary</v>
          </cell>
          <cell r="E16">
            <v>41</v>
          </cell>
          <cell r="F16">
            <v>38</v>
          </cell>
          <cell r="G16">
            <v>47</v>
          </cell>
        </row>
        <row r="17">
          <cell r="D17" t="str">
            <v>Poland</v>
          </cell>
          <cell r="E17">
            <v>48</v>
          </cell>
          <cell r="F17">
            <v>45</v>
          </cell>
          <cell r="G17">
            <v>51</v>
          </cell>
        </row>
        <row r="18">
          <cell r="D18" t="str">
            <v>Mexico</v>
          </cell>
          <cell r="E18">
            <v>58</v>
          </cell>
          <cell r="F18">
            <v>52</v>
          </cell>
          <cell r="G18">
            <v>52</v>
          </cell>
        </row>
        <row r="19">
          <cell r="D19" t="str">
            <v>Mauritius</v>
          </cell>
          <cell r="E19">
            <v>55</v>
          </cell>
          <cell r="F19">
            <v>55</v>
          </cell>
          <cell r="G19">
            <v>60</v>
          </cell>
        </row>
        <row r="20">
          <cell r="D20" t="str">
            <v>Brazil</v>
          </cell>
          <cell r="E20">
            <v>66</v>
          </cell>
          <cell r="F20">
            <v>66</v>
          </cell>
          <cell r="G20">
            <v>72</v>
          </cell>
        </row>
        <row r="21">
          <cell r="D21" t="str">
            <v>Romania</v>
          </cell>
          <cell r="E21">
            <v>68</v>
          </cell>
          <cell r="F21">
            <v>73</v>
          </cell>
          <cell r="G21">
            <v>74</v>
          </cell>
        </row>
        <row r="22">
          <cell r="D22" t="str">
            <v>Botswana</v>
          </cell>
          <cell r="E22">
            <v>81</v>
          </cell>
          <cell r="F22">
            <v>57</v>
          </cell>
          <cell r="G22">
            <v>76</v>
          </cell>
        </row>
      </sheetData>
      <sheetData sheetId="12"/>
      <sheetData sheetId="13"/>
      <sheetData sheetId="14"/>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ign Trade (2)"/>
      <sheetName val="Intro "/>
      <sheetName val="GDP "/>
      <sheetName val="GDP per Capita "/>
      <sheetName val="R&amp;D "/>
      <sheetName val="Competitiveness "/>
      <sheetName val="Inflation "/>
      <sheetName val="Patents"/>
      <sheetName val="Foreign Trade"/>
      <sheetName val="GFCF "/>
      <sheetName val="NFDI "/>
      <sheetName val="B deficit "/>
      <sheetName val="G debt "/>
      <sheetName val="Interest "/>
      <sheetName val="Bondpoints Spread "/>
      <sheetName val="Patents_T"/>
      <sheetName val="ICT_T"/>
      <sheetName val="Public Opinion "/>
    </sheetNames>
    <sheetDataSet>
      <sheetData sheetId="0" refreshError="1"/>
      <sheetData sheetId="1" refreshError="1"/>
      <sheetData sheetId="2" refreshError="1"/>
      <sheetData sheetId="3" refreshError="1"/>
      <sheetData sheetId="4" refreshError="1"/>
      <sheetData sheetId="5" refreshError="1"/>
      <sheetData sheetId="6">
        <row r="2">
          <cell r="C2">
            <v>8</v>
          </cell>
        </row>
        <row r="46">
          <cell r="G46">
            <v>9.7990149990723641</v>
          </cell>
        </row>
      </sheetData>
      <sheetData sheetId="7">
        <row r="8">
          <cell r="E8">
            <v>2003</v>
          </cell>
        </row>
      </sheetData>
      <sheetData sheetId="8">
        <row r="8">
          <cell r="E8">
            <v>35064</v>
          </cell>
        </row>
      </sheetData>
      <sheetData sheetId="9">
        <row r="8">
          <cell r="F8">
            <v>1995</v>
          </cell>
        </row>
      </sheetData>
      <sheetData sheetId="10">
        <row r="8">
          <cell r="E8" t="str">
            <v>1994</v>
          </cell>
        </row>
      </sheetData>
      <sheetData sheetId="11">
        <row r="9">
          <cell r="E9" t="str">
            <v>1993/94</v>
          </cell>
        </row>
      </sheetData>
      <sheetData sheetId="12">
        <row r="8">
          <cell r="E8" t="str">
            <v>1994/95</v>
          </cell>
        </row>
      </sheetData>
      <sheetData sheetId="13">
        <row r="9">
          <cell r="E9" t="str">
            <v>1994</v>
          </cell>
        </row>
      </sheetData>
      <sheetData sheetId="14">
        <row r="8">
          <cell r="E8">
            <v>36160</v>
          </cell>
        </row>
      </sheetData>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empl"/>
      <sheetName val="Employed "/>
      <sheetName val="EPWP "/>
      <sheetName val="CWP "/>
    </sheetNames>
    <sheetDataSet>
      <sheetData sheetId="0"/>
      <sheetData sheetId="1">
        <row r="102">
          <cell r="E102">
            <v>2001</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row>
        <row r="103">
          <cell r="E103" t="str">
            <v>S</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row>
      </sheetData>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ellings"/>
      <sheetName val="Water"/>
      <sheetName val="Sanitation"/>
      <sheetName val="Electricity"/>
      <sheetName val="Land restitution"/>
      <sheetName val="Land redistribution"/>
    </sheetNames>
    <sheetDataSet>
      <sheetData sheetId="0">
        <row r="8">
          <cell r="E8">
            <v>1994</v>
          </cell>
          <cell r="F8">
            <v>1995</v>
          </cell>
          <cell r="G8">
            <v>1996</v>
          </cell>
          <cell r="H8">
            <v>1997</v>
          </cell>
          <cell r="I8">
            <v>1998</v>
          </cell>
          <cell r="J8">
            <v>1999</v>
          </cell>
          <cell r="K8">
            <v>2000</v>
          </cell>
          <cell r="L8">
            <v>2001</v>
          </cell>
          <cell r="M8">
            <v>2002</v>
          </cell>
          <cell r="N8">
            <v>2003</v>
          </cell>
          <cell r="O8">
            <v>2004</v>
          </cell>
          <cell r="P8">
            <v>2005</v>
          </cell>
          <cell r="Q8">
            <v>2006</v>
          </cell>
          <cell r="R8">
            <v>2007</v>
          </cell>
        </row>
        <row r="9">
          <cell r="D9" t="str">
            <v>Number of households (HH)</v>
          </cell>
          <cell r="E9">
            <v>8584556</v>
          </cell>
          <cell r="G9">
            <v>9059606</v>
          </cell>
          <cell r="H9">
            <v>9256706.9999995604</v>
          </cell>
          <cell r="I9">
            <v>9287695.6120841391</v>
          </cell>
          <cell r="J9">
            <v>10770793.000000101</v>
          </cell>
          <cell r="L9">
            <v>11205705</v>
          </cell>
          <cell r="M9">
            <v>11479000</v>
          </cell>
          <cell r="N9">
            <v>12041000</v>
          </cell>
          <cell r="O9">
            <v>12194000</v>
          </cell>
          <cell r="P9">
            <v>12726000</v>
          </cell>
          <cell r="Q9">
            <v>12972000</v>
          </cell>
          <cell r="R9">
            <v>12500610</v>
          </cell>
        </row>
        <row r="10">
          <cell r="D10" t="str">
            <v>HH in formal dwelling</v>
          </cell>
          <cell r="G10">
            <v>5794386</v>
          </cell>
          <cell r="H10">
            <v>6832118.9999995902</v>
          </cell>
          <cell r="I10">
            <v>6624272.6928029303</v>
          </cell>
          <cell r="J10">
            <v>7957934.0000000903</v>
          </cell>
          <cell r="L10">
            <v>7680422</v>
          </cell>
          <cell r="M10">
            <v>8349000</v>
          </cell>
          <cell r="N10">
            <v>8865000</v>
          </cell>
          <cell r="O10">
            <v>8974000</v>
          </cell>
          <cell r="P10">
            <v>8878000</v>
          </cell>
          <cell r="Q10">
            <v>9111000</v>
          </cell>
          <cell r="R10">
            <v>8812930</v>
          </cell>
        </row>
        <row r="20">
          <cell r="D20" t="str">
            <v>Subsidised Housing units completed / in progress</v>
          </cell>
        </row>
      </sheetData>
      <sheetData sheetId="1"/>
      <sheetData sheetId="2"/>
      <sheetData sheetId="3">
        <row r="59">
          <cell r="E59">
            <v>1995</v>
          </cell>
          <cell r="F59">
            <v>1996</v>
          </cell>
          <cell r="G59">
            <v>1997</v>
          </cell>
          <cell r="H59">
            <v>1998</v>
          </cell>
          <cell r="I59">
            <v>1999</v>
          </cell>
          <cell r="J59">
            <v>2000</v>
          </cell>
          <cell r="K59">
            <v>2001</v>
          </cell>
          <cell r="L59">
            <v>2002</v>
          </cell>
          <cell r="M59">
            <v>2003</v>
          </cell>
          <cell r="N59">
            <v>2004</v>
          </cell>
          <cell r="O59">
            <v>2005</v>
          </cell>
          <cell r="P59">
            <v>2006</v>
          </cell>
        </row>
        <row r="60">
          <cell r="D60" t="str">
            <v>Total number of households</v>
          </cell>
          <cell r="E60">
            <v>8802000</v>
          </cell>
          <cell r="F60">
            <v>9059571</v>
          </cell>
          <cell r="G60">
            <v>9258000</v>
          </cell>
          <cell r="H60">
            <v>9288000</v>
          </cell>
          <cell r="I60">
            <v>11077100</v>
          </cell>
          <cell r="J60">
            <v>11098642</v>
          </cell>
          <cell r="K60">
            <v>11205705</v>
          </cell>
          <cell r="L60">
            <v>11147900</v>
          </cell>
          <cell r="M60">
            <v>11205706</v>
          </cell>
          <cell r="N60">
            <v>11634817</v>
          </cell>
          <cell r="O60">
            <v>12726000</v>
          </cell>
          <cell r="P60">
            <v>12980520</v>
          </cell>
        </row>
        <row r="61">
          <cell r="D61" t="str">
            <v>HH with access to electricity</v>
          </cell>
          <cell r="E61">
            <v>4477400</v>
          </cell>
          <cell r="F61">
            <v>4900694</v>
          </cell>
          <cell r="G61">
            <v>5544968</v>
          </cell>
          <cell r="H61">
            <v>5801242</v>
          </cell>
          <cell r="I61">
            <v>6774207</v>
          </cell>
          <cell r="J61">
            <v>6777997</v>
          </cell>
          <cell r="K61">
            <v>7735748</v>
          </cell>
          <cell r="L61">
            <v>8459895</v>
          </cell>
          <cell r="M61">
            <v>8571043</v>
          </cell>
          <cell r="N61">
            <v>8677400</v>
          </cell>
          <cell r="O61">
            <v>9508000</v>
          </cell>
          <cell r="P61">
            <v>9563987</v>
          </cell>
        </row>
        <row r="63">
          <cell r="D63" t="str">
            <v>New electrical connections</v>
          </cell>
          <cell r="F63">
            <v>932762</v>
          </cell>
          <cell r="G63">
            <v>1432073</v>
          </cell>
          <cell r="H63">
            <v>1859499</v>
          </cell>
          <cell r="I63">
            <v>2302789</v>
          </cell>
          <cell r="J63">
            <v>2699808</v>
          </cell>
          <cell r="K63">
            <v>3036726</v>
          </cell>
          <cell r="L63">
            <v>3375298</v>
          </cell>
          <cell r="M63">
            <v>3654060</v>
          </cell>
          <cell r="N63">
            <v>3900899</v>
          </cell>
          <cell r="O63">
            <v>4124912</v>
          </cell>
          <cell r="P63">
            <v>4283396</v>
          </cell>
        </row>
      </sheetData>
      <sheetData sheetId="4">
        <row r="12">
          <cell r="K12" t="str">
            <v xml:space="preserve">GRANTS IN RANDS </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listed SS Indicators"/>
      <sheetName val="Income"/>
      <sheetName val="Gini Coefficient"/>
      <sheetName val="HCI"/>
      <sheetName val="PGI"/>
      <sheetName val="Theil Index of Inequality"/>
      <sheetName val="Squared PGI"/>
      <sheetName val="Grants"/>
      <sheetName val="HDI"/>
      <sheetName val="student teacher ratio"/>
      <sheetName val="gender parity index"/>
      <sheetName val="Matric pass rate"/>
      <sheetName val="S&amp;M matric"/>
      <sheetName val="literacy"/>
      <sheetName val="Science gender parity"/>
      <sheetName val="Maths gender parity"/>
      <sheetName val="Life Expectancy"/>
      <sheetName val="Infant Mortality"/>
      <sheetName val="Matenal Mortality"/>
      <sheetName val="HIV and AIDS"/>
      <sheetName val="TB Notification"/>
      <sheetName val="Malaria"/>
      <sheetName val="Kwashiokor"/>
      <sheetName val="Stunting Prevelance Rate"/>
      <sheetName val="Dwelling"/>
      <sheetName val="water"/>
      <sheetName val="sanitation"/>
      <sheetName val="electricity"/>
      <sheetName val="land claims"/>
      <sheetName val="land restored"/>
      <sheetName val="members participation"/>
      <sheetName val="identity pride etc"/>
      <sheetName val="Race Relations"/>
      <sheetName val="Confident of Happy Future"/>
      <sheetName val="Pride in being South African"/>
      <sheetName val="Class Ident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8">
          <cell r="D8">
            <v>1994</v>
          </cell>
          <cell r="E8">
            <v>1995</v>
          </cell>
          <cell r="F8">
            <v>1996</v>
          </cell>
          <cell r="G8">
            <v>1997</v>
          </cell>
          <cell r="H8">
            <v>1998</v>
          </cell>
          <cell r="I8">
            <v>1999</v>
          </cell>
          <cell r="J8">
            <v>2000</v>
          </cell>
          <cell r="K8">
            <v>2001</v>
          </cell>
          <cell r="L8">
            <v>2002</v>
          </cell>
          <cell r="M8">
            <v>2003</v>
          </cell>
          <cell r="N8">
            <v>2004</v>
          </cell>
          <cell r="O8">
            <v>2005</v>
          </cell>
        </row>
        <row r="9">
          <cell r="C9" t="str">
            <v>Household with access to electricity for lighting</v>
          </cell>
          <cell r="D9">
            <v>0.51900000000000002</v>
          </cell>
          <cell r="F9">
            <v>0.57299999999999995</v>
          </cell>
          <cell r="I9">
            <v>0.69499999999999995</v>
          </cell>
          <cell r="L9">
            <v>0.76200000000000001</v>
          </cell>
          <cell r="M9">
            <v>0.77800000000000002</v>
          </cell>
          <cell r="N9">
            <v>0.80200000000000005</v>
          </cell>
          <cell r="O9">
            <v>0.80200000000000005</v>
          </cell>
        </row>
        <row r="10">
          <cell r="C10" t="str">
            <v>Proportion of Households with access to electricity</v>
          </cell>
        </row>
        <row r="11">
          <cell r="C11" t="str">
            <v>Total number of households</v>
          </cell>
        </row>
      </sheetData>
      <sheetData sheetId="28"/>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ellings"/>
      <sheetName val="Water"/>
      <sheetName val="Sanitation"/>
      <sheetName val="Electricity"/>
      <sheetName val="Land restitution"/>
      <sheetName val="Land redistribution"/>
    </sheetNames>
    <sheetDataSet>
      <sheetData sheetId="0">
        <row r="8">
          <cell r="E8">
            <v>1994</v>
          </cell>
        </row>
      </sheetData>
      <sheetData sheetId="1"/>
      <sheetData sheetId="2"/>
      <sheetData sheetId="3">
        <row r="59">
          <cell r="E59">
            <v>1995</v>
          </cell>
        </row>
      </sheetData>
      <sheetData sheetId="4">
        <row r="12">
          <cell r="K12" t="str">
            <v xml:space="preserve">GRANTS IN RANDS </v>
          </cell>
        </row>
        <row r="13">
          <cell r="E13" t="str">
            <v>Claims</v>
          </cell>
          <cell r="F13" t="str">
            <v>HHs</v>
          </cell>
          <cell r="G13" t="str">
            <v>Beneficiaries</v>
          </cell>
          <cell r="H13" t="str">
            <v>Ha</v>
          </cell>
          <cell r="I13" t="str">
            <v>Land Costs</v>
          </cell>
          <cell r="J13" t="str">
            <v>Financial Compensation</v>
          </cell>
          <cell r="K13" t="str">
            <v xml:space="preserve">Development </v>
          </cell>
          <cell r="L13" t="str">
            <v>RDG</v>
          </cell>
          <cell r="M13" t="str">
            <v>SPG</v>
          </cell>
          <cell r="N13" t="str">
            <v>RSG</v>
          </cell>
          <cell r="O13" t="str">
            <v>TOTAL</v>
          </cell>
        </row>
      </sheetData>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dev ind line graph">
    <a:dk1>
      <a:sysClr val="windowText" lastClr="000000"/>
    </a:dk1>
    <a:lt1>
      <a:sysClr val="window" lastClr="FFFFFF"/>
    </a:lt1>
    <a:dk2>
      <a:srgbClr val="1F497D"/>
    </a:dk2>
    <a:lt2>
      <a:srgbClr val="EEECE1"/>
    </a:lt2>
    <a:accent1>
      <a:srgbClr val="FF6600"/>
    </a:accent1>
    <a:accent2>
      <a:srgbClr val="BE4B48"/>
    </a:accent2>
    <a:accent3>
      <a:srgbClr val="FFC000"/>
    </a:accent3>
    <a:accent4>
      <a:srgbClr val="00B050"/>
    </a:accent4>
    <a:accent5>
      <a:srgbClr val="3D96AE"/>
    </a:accent5>
    <a:accent6>
      <a:srgbClr val="FBC69B"/>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transparency.org/"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internationalbudget.org/open-budget-survey/results-by-country/country-info/?country=af" TargetMode="External"/><Relationship Id="rId1" Type="http://schemas.openxmlformats.org/officeDocument/2006/relationships/hyperlink" Target="http://www.openbudgetindex.org/"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39.bin"/><Relationship Id="rId1" Type="http://schemas.openxmlformats.org/officeDocument/2006/relationships/hyperlink" Target="https://bhekisisa.org/article/2018-03-28-00-maternal-mortality-ratio-south-africa-decreased-by-29"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0.xml"/><Relationship Id="rId1" Type="http://schemas.openxmlformats.org/officeDocument/2006/relationships/printerSettings" Target="../printerSettings/printerSettings89.bin"/><Relationship Id="rId4" Type="http://schemas.openxmlformats.org/officeDocument/2006/relationships/comments" Target="../comments4.xml"/></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EDE14-762A-4352-BE3F-E74CDB63F754}">
  <sheetPr>
    <tabColor rgb="FFFFC000"/>
    <pageSetUpPr fitToPage="1"/>
  </sheetPr>
  <dimension ref="A1:AI76"/>
  <sheetViews>
    <sheetView showGridLines="0" zoomScaleNormal="100" zoomScaleSheetLayoutView="90" workbookViewId="0">
      <selection activeCell="D4" sqref="D4:AB4"/>
    </sheetView>
  </sheetViews>
  <sheetFormatPr defaultColWidth="9.140625" defaultRowHeight="12" x14ac:dyDescent="0.2"/>
  <cols>
    <col min="1" max="1" width="3.85546875" style="203" customWidth="1"/>
    <col min="2" max="2" width="12.85546875" style="527" customWidth="1"/>
    <col min="3" max="3" width="3.85546875" style="527" customWidth="1"/>
    <col min="4" max="4" width="20.85546875" style="512" customWidth="1"/>
    <col min="5" max="5" width="4.140625" style="2399" customWidth="1"/>
    <col min="6" max="13" width="10" style="512" bestFit="1" customWidth="1"/>
    <col min="14" max="19" width="9.85546875" style="512" bestFit="1" customWidth="1"/>
    <col min="20" max="20" width="10.85546875" style="512" bestFit="1" customWidth="1"/>
    <col min="21" max="21" width="10.140625" style="512" customWidth="1"/>
    <col min="22" max="22" width="10.85546875" style="512" bestFit="1" customWidth="1"/>
    <col min="23" max="23" width="11.5703125" style="512" bestFit="1" customWidth="1"/>
    <col min="24" max="25" width="9.5703125" style="512" bestFit="1" customWidth="1"/>
    <col min="26" max="26" width="11" style="512" bestFit="1" customWidth="1"/>
    <col min="27" max="27" width="12.5703125" style="512" bestFit="1" customWidth="1"/>
    <col min="28" max="28" width="10" style="512" bestFit="1" customWidth="1"/>
    <col min="29" max="29" width="11" style="512" customWidth="1"/>
    <col min="30" max="30" width="11.42578125" style="512" customWidth="1"/>
    <col min="31" max="31" width="10" style="512" bestFit="1" customWidth="1"/>
    <col min="32" max="32" width="10.140625" style="512" bestFit="1" customWidth="1"/>
    <col min="33" max="260" width="9.140625" style="512"/>
    <col min="261" max="261" width="3.85546875" style="512" customWidth="1"/>
    <col min="262" max="262" width="12.85546875" style="512" customWidth="1"/>
    <col min="263" max="263" width="3.85546875" style="512" customWidth="1"/>
    <col min="264" max="264" width="20.85546875" style="512" customWidth="1"/>
    <col min="265" max="265" width="4.140625" style="512" customWidth="1"/>
    <col min="266" max="279" width="8.85546875" style="512" customWidth="1"/>
    <col min="280" max="280" width="10.140625" style="512" customWidth="1"/>
    <col min="281" max="516" width="9.140625" style="512"/>
    <col min="517" max="517" width="3.85546875" style="512" customWidth="1"/>
    <col min="518" max="518" width="12.85546875" style="512" customWidth="1"/>
    <col min="519" max="519" width="3.85546875" style="512" customWidth="1"/>
    <col min="520" max="520" width="20.85546875" style="512" customWidth="1"/>
    <col min="521" max="521" width="4.140625" style="512" customWidth="1"/>
    <col min="522" max="535" width="8.85546875" style="512" customWidth="1"/>
    <col min="536" max="536" width="10.140625" style="512" customWidth="1"/>
    <col min="537" max="772" width="9.140625" style="512"/>
    <col min="773" max="773" width="3.85546875" style="512" customWidth="1"/>
    <col min="774" max="774" width="12.85546875" style="512" customWidth="1"/>
    <col min="775" max="775" width="3.85546875" style="512" customWidth="1"/>
    <col min="776" max="776" width="20.85546875" style="512" customWidth="1"/>
    <col min="777" max="777" width="4.140625" style="512" customWidth="1"/>
    <col min="778" max="791" width="8.85546875" style="512" customWidth="1"/>
    <col min="792" max="792" width="10.140625" style="512" customWidth="1"/>
    <col min="793" max="1028" width="9.140625" style="512"/>
    <col min="1029" max="1029" width="3.85546875" style="512" customWidth="1"/>
    <col min="1030" max="1030" width="12.85546875" style="512" customWidth="1"/>
    <col min="1031" max="1031" width="3.85546875" style="512" customWidth="1"/>
    <col min="1032" max="1032" width="20.85546875" style="512" customWidth="1"/>
    <col min="1033" max="1033" width="4.140625" style="512" customWidth="1"/>
    <col min="1034" max="1047" width="8.85546875" style="512" customWidth="1"/>
    <col min="1048" max="1048" width="10.140625" style="512" customWidth="1"/>
    <col min="1049" max="1284" width="9.140625" style="512"/>
    <col min="1285" max="1285" width="3.85546875" style="512" customWidth="1"/>
    <col min="1286" max="1286" width="12.85546875" style="512" customWidth="1"/>
    <col min="1287" max="1287" width="3.85546875" style="512" customWidth="1"/>
    <col min="1288" max="1288" width="20.85546875" style="512" customWidth="1"/>
    <col min="1289" max="1289" width="4.140625" style="512" customWidth="1"/>
    <col min="1290" max="1303" width="8.85546875" style="512" customWidth="1"/>
    <col min="1304" max="1304" width="10.140625" style="512" customWidth="1"/>
    <col min="1305" max="1540" width="9.140625" style="512"/>
    <col min="1541" max="1541" width="3.85546875" style="512" customWidth="1"/>
    <col min="1542" max="1542" width="12.85546875" style="512" customWidth="1"/>
    <col min="1543" max="1543" width="3.85546875" style="512" customWidth="1"/>
    <col min="1544" max="1544" width="20.85546875" style="512" customWidth="1"/>
    <col min="1545" max="1545" width="4.140625" style="512" customWidth="1"/>
    <col min="1546" max="1559" width="8.85546875" style="512" customWidth="1"/>
    <col min="1560" max="1560" width="10.140625" style="512" customWidth="1"/>
    <col min="1561" max="1796" width="9.140625" style="512"/>
    <col min="1797" max="1797" width="3.85546875" style="512" customWidth="1"/>
    <col min="1798" max="1798" width="12.85546875" style="512" customWidth="1"/>
    <col min="1799" max="1799" width="3.85546875" style="512" customWidth="1"/>
    <col min="1800" max="1800" width="20.85546875" style="512" customWidth="1"/>
    <col min="1801" max="1801" width="4.140625" style="512" customWidth="1"/>
    <col min="1802" max="1815" width="8.85546875" style="512" customWidth="1"/>
    <col min="1816" max="1816" width="10.140625" style="512" customWidth="1"/>
    <col min="1817" max="2052" width="9.140625" style="512"/>
    <col min="2053" max="2053" width="3.85546875" style="512" customWidth="1"/>
    <col min="2054" max="2054" width="12.85546875" style="512" customWidth="1"/>
    <col min="2055" max="2055" width="3.85546875" style="512" customWidth="1"/>
    <col min="2056" max="2056" width="20.85546875" style="512" customWidth="1"/>
    <col min="2057" max="2057" width="4.140625" style="512" customWidth="1"/>
    <col min="2058" max="2071" width="8.85546875" style="512" customWidth="1"/>
    <col min="2072" max="2072" width="10.140625" style="512" customWidth="1"/>
    <col min="2073" max="2308" width="9.140625" style="512"/>
    <col min="2309" max="2309" width="3.85546875" style="512" customWidth="1"/>
    <col min="2310" max="2310" width="12.85546875" style="512" customWidth="1"/>
    <col min="2311" max="2311" width="3.85546875" style="512" customWidth="1"/>
    <col min="2312" max="2312" width="20.85546875" style="512" customWidth="1"/>
    <col min="2313" max="2313" width="4.140625" style="512" customWidth="1"/>
    <col min="2314" max="2327" width="8.85546875" style="512" customWidth="1"/>
    <col min="2328" max="2328" width="10.140625" style="512" customWidth="1"/>
    <col min="2329" max="2564" width="9.140625" style="512"/>
    <col min="2565" max="2565" width="3.85546875" style="512" customWidth="1"/>
    <col min="2566" max="2566" width="12.85546875" style="512" customWidth="1"/>
    <col min="2567" max="2567" width="3.85546875" style="512" customWidth="1"/>
    <col min="2568" max="2568" width="20.85546875" style="512" customWidth="1"/>
    <col min="2569" max="2569" width="4.140625" style="512" customWidth="1"/>
    <col min="2570" max="2583" width="8.85546875" style="512" customWidth="1"/>
    <col min="2584" max="2584" width="10.140625" style="512" customWidth="1"/>
    <col min="2585" max="2820" width="9.140625" style="512"/>
    <col min="2821" max="2821" width="3.85546875" style="512" customWidth="1"/>
    <col min="2822" max="2822" width="12.85546875" style="512" customWidth="1"/>
    <col min="2823" max="2823" width="3.85546875" style="512" customWidth="1"/>
    <col min="2824" max="2824" width="20.85546875" style="512" customWidth="1"/>
    <col min="2825" max="2825" width="4.140625" style="512" customWidth="1"/>
    <col min="2826" max="2839" width="8.85546875" style="512" customWidth="1"/>
    <col min="2840" max="2840" width="10.140625" style="512" customWidth="1"/>
    <col min="2841" max="3076" width="9.140625" style="512"/>
    <col min="3077" max="3077" width="3.85546875" style="512" customWidth="1"/>
    <col min="3078" max="3078" width="12.85546875" style="512" customWidth="1"/>
    <col min="3079" max="3079" width="3.85546875" style="512" customWidth="1"/>
    <col min="3080" max="3080" width="20.85546875" style="512" customWidth="1"/>
    <col min="3081" max="3081" width="4.140625" style="512" customWidth="1"/>
    <col min="3082" max="3095" width="8.85546875" style="512" customWidth="1"/>
    <col min="3096" max="3096" width="10.140625" style="512" customWidth="1"/>
    <col min="3097" max="3332" width="9.140625" style="512"/>
    <col min="3333" max="3333" width="3.85546875" style="512" customWidth="1"/>
    <col min="3334" max="3334" width="12.85546875" style="512" customWidth="1"/>
    <col min="3335" max="3335" width="3.85546875" style="512" customWidth="1"/>
    <col min="3336" max="3336" width="20.85546875" style="512" customWidth="1"/>
    <col min="3337" max="3337" width="4.140625" style="512" customWidth="1"/>
    <col min="3338" max="3351" width="8.85546875" style="512" customWidth="1"/>
    <col min="3352" max="3352" width="10.140625" style="512" customWidth="1"/>
    <col min="3353" max="3588" width="9.140625" style="512"/>
    <col min="3589" max="3589" width="3.85546875" style="512" customWidth="1"/>
    <col min="3590" max="3590" width="12.85546875" style="512" customWidth="1"/>
    <col min="3591" max="3591" width="3.85546875" style="512" customWidth="1"/>
    <col min="3592" max="3592" width="20.85546875" style="512" customWidth="1"/>
    <col min="3593" max="3593" width="4.140625" style="512" customWidth="1"/>
    <col min="3594" max="3607" width="8.85546875" style="512" customWidth="1"/>
    <col min="3608" max="3608" width="10.140625" style="512" customWidth="1"/>
    <col min="3609" max="3844" width="9.140625" style="512"/>
    <col min="3845" max="3845" width="3.85546875" style="512" customWidth="1"/>
    <col min="3846" max="3846" width="12.85546875" style="512" customWidth="1"/>
    <col min="3847" max="3847" width="3.85546875" style="512" customWidth="1"/>
    <col min="3848" max="3848" width="20.85546875" style="512" customWidth="1"/>
    <col min="3849" max="3849" width="4.140625" style="512" customWidth="1"/>
    <col min="3850" max="3863" width="8.85546875" style="512" customWidth="1"/>
    <col min="3864" max="3864" width="10.140625" style="512" customWidth="1"/>
    <col min="3865" max="4100" width="9.140625" style="512"/>
    <col min="4101" max="4101" width="3.85546875" style="512" customWidth="1"/>
    <col min="4102" max="4102" width="12.85546875" style="512" customWidth="1"/>
    <col min="4103" max="4103" width="3.85546875" style="512" customWidth="1"/>
    <col min="4104" max="4104" width="20.85546875" style="512" customWidth="1"/>
    <col min="4105" max="4105" width="4.140625" style="512" customWidth="1"/>
    <col min="4106" max="4119" width="8.85546875" style="512" customWidth="1"/>
    <col min="4120" max="4120" width="10.140625" style="512" customWidth="1"/>
    <col min="4121" max="4356" width="9.140625" style="512"/>
    <col min="4357" max="4357" width="3.85546875" style="512" customWidth="1"/>
    <col min="4358" max="4358" width="12.85546875" style="512" customWidth="1"/>
    <col min="4359" max="4359" width="3.85546875" style="512" customWidth="1"/>
    <col min="4360" max="4360" width="20.85546875" style="512" customWidth="1"/>
    <col min="4361" max="4361" width="4.140625" style="512" customWidth="1"/>
    <col min="4362" max="4375" width="8.85546875" style="512" customWidth="1"/>
    <col min="4376" max="4376" width="10.140625" style="512" customWidth="1"/>
    <col min="4377" max="4612" width="9.140625" style="512"/>
    <col min="4613" max="4613" width="3.85546875" style="512" customWidth="1"/>
    <col min="4614" max="4614" width="12.85546875" style="512" customWidth="1"/>
    <col min="4615" max="4615" width="3.85546875" style="512" customWidth="1"/>
    <col min="4616" max="4616" width="20.85546875" style="512" customWidth="1"/>
    <col min="4617" max="4617" width="4.140625" style="512" customWidth="1"/>
    <col min="4618" max="4631" width="8.85546875" style="512" customWidth="1"/>
    <col min="4632" max="4632" width="10.140625" style="512" customWidth="1"/>
    <col min="4633" max="4868" width="9.140625" style="512"/>
    <col min="4869" max="4869" width="3.85546875" style="512" customWidth="1"/>
    <col min="4870" max="4870" width="12.85546875" style="512" customWidth="1"/>
    <col min="4871" max="4871" width="3.85546875" style="512" customWidth="1"/>
    <col min="4872" max="4872" width="20.85546875" style="512" customWidth="1"/>
    <col min="4873" max="4873" width="4.140625" style="512" customWidth="1"/>
    <col min="4874" max="4887" width="8.85546875" style="512" customWidth="1"/>
    <col min="4888" max="4888" width="10.140625" style="512" customWidth="1"/>
    <col min="4889" max="5124" width="9.140625" style="512"/>
    <col min="5125" max="5125" width="3.85546875" style="512" customWidth="1"/>
    <col min="5126" max="5126" width="12.85546875" style="512" customWidth="1"/>
    <col min="5127" max="5127" width="3.85546875" style="512" customWidth="1"/>
    <col min="5128" max="5128" width="20.85546875" style="512" customWidth="1"/>
    <col min="5129" max="5129" width="4.140625" style="512" customWidth="1"/>
    <col min="5130" max="5143" width="8.85546875" style="512" customWidth="1"/>
    <col min="5144" max="5144" width="10.140625" style="512" customWidth="1"/>
    <col min="5145" max="5380" width="9.140625" style="512"/>
    <col min="5381" max="5381" width="3.85546875" style="512" customWidth="1"/>
    <col min="5382" max="5382" width="12.85546875" style="512" customWidth="1"/>
    <col min="5383" max="5383" width="3.85546875" style="512" customWidth="1"/>
    <col min="5384" max="5384" width="20.85546875" style="512" customWidth="1"/>
    <col min="5385" max="5385" width="4.140625" style="512" customWidth="1"/>
    <col min="5386" max="5399" width="8.85546875" style="512" customWidth="1"/>
    <col min="5400" max="5400" width="10.140625" style="512" customWidth="1"/>
    <col min="5401" max="5636" width="9.140625" style="512"/>
    <col min="5637" max="5637" width="3.85546875" style="512" customWidth="1"/>
    <col min="5638" max="5638" width="12.85546875" style="512" customWidth="1"/>
    <col min="5639" max="5639" width="3.85546875" style="512" customWidth="1"/>
    <col min="5640" max="5640" width="20.85546875" style="512" customWidth="1"/>
    <col min="5641" max="5641" width="4.140625" style="512" customWidth="1"/>
    <col min="5642" max="5655" width="8.85546875" style="512" customWidth="1"/>
    <col min="5656" max="5656" width="10.140625" style="512" customWidth="1"/>
    <col min="5657" max="5892" width="9.140625" style="512"/>
    <col min="5893" max="5893" width="3.85546875" style="512" customWidth="1"/>
    <col min="5894" max="5894" width="12.85546875" style="512" customWidth="1"/>
    <col min="5895" max="5895" width="3.85546875" style="512" customWidth="1"/>
    <col min="5896" max="5896" width="20.85546875" style="512" customWidth="1"/>
    <col min="5897" max="5897" width="4.140625" style="512" customWidth="1"/>
    <col min="5898" max="5911" width="8.85546875" style="512" customWidth="1"/>
    <col min="5912" max="5912" width="10.140625" style="512" customWidth="1"/>
    <col min="5913" max="6148" width="9.140625" style="512"/>
    <col min="6149" max="6149" width="3.85546875" style="512" customWidth="1"/>
    <col min="6150" max="6150" width="12.85546875" style="512" customWidth="1"/>
    <col min="6151" max="6151" width="3.85546875" style="512" customWidth="1"/>
    <col min="6152" max="6152" width="20.85546875" style="512" customWidth="1"/>
    <col min="6153" max="6153" width="4.140625" style="512" customWidth="1"/>
    <col min="6154" max="6167" width="8.85546875" style="512" customWidth="1"/>
    <col min="6168" max="6168" width="10.140625" style="512" customWidth="1"/>
    <col min="6169" max="6404" width="9.140625" style="512"/>
    <col min="6405" max="6405" width="3.85546875" style="512" customWidth="1"/>
    <col min="6406" max="6406" width="12.85546875" style="512" customWidth="1"/>
    <col min="6407" max="6407" width="3.85546875" style="512" customWidth="1"/>
    <col min="6408" max="6408" width="20.85546875" style="512" customWidth="1"/>
    <col min="6409" max="6409" width="4.140625" style="512" customWidth="1"/>
    <col min="6410" max="6423" width="8.85546875" style="512" customWidth="1"/>
    <col min="6424" max="6424" width="10.140625" style="512" customWidth="1"/>
    <col min="6425" max="6660" width="9.140625" style="512"/>
    <col min="6661" max="6661" width="3.85546875" style="512" customWidth="1"/>
    <col min="6662" max="6662" width="12.85546875" style="512" customWidth="1"/>
    <col min="6663" max="6663" width="3.85546875" style="512" customWidth="1"/>
    <col min="6664" max="6664" width="20.85546875" style="512" customWidth="1"/>
    <col min="6665" max="6665" width="4.140625" style="512" customWidth="1"/>
    <col min="6666" max="6679" width="8.85546875" style="512" customWidth="1"/>
    <col min="6680" max="6680" width="10.140625" style="512" customWidth="1"/>
    <col min="6681" max="6916" width="9.140625" style="512"/>
    <col min="6917" max="6917" width="3.85546875" style="512" customWidth="1"/>
    <col min="6918" max="6918" width="12.85546875" style="512" customWidth="1"/>
    <col min="6919" max="6919" width="3.85546875" style="512" customWidth="1"/>
    <col min="6920" max="6920" width="20.85546875" style="512" customWidth="1"/>
    <col min="6921" max="6921" width="4.140625" style="512" customWidth="1"/>
    <col min="6922" max="6935" width="8.85546875" style="512" customWidth="1"/>
    <col min="6936" max="6936" width="10.140625" style="512" customWidth="1"/>
    <col min="6937" max="7172" width="9.140625" style="512"/>
    <col min="7173" max="7173" width="3.85546875" style="512" customWidth="1"/>
    <col min="7174" max="7174" width="12.85546875" style="512" customWidth="1"/>
    <col min="7175" max="7175" width="3.85546875" style="512" customWidth="1"/>
    <col min="7176" max="7176" width="20.85546875" style="512" customWidth="1"/>
    <col min="7177" max="7177" width="4.140625" style="512" customWidth="1"/>
    <col min="7178" max="7191" width="8.85546875" style="512" customWidth="1"/>
    <col min="7192" max="7192" width="10.140625" style="512" customWidth="1"/>
    <col min="7193" max="7428" width="9.140625" style="512"/>
    <col min="7429" max="7429" width="3.85546875" style="512" customWidth="1"/>
    <col min="7430" max="7430" width="12.85546875" style="512" customWidth="1"/>
    <col min="7431" max="7431" width="3.85546875" style="512" customWidth="1"/>
    <col min="7432" max="7432" width="20.85546875" style="512" customWidth="1"/>
    <col min="7433" max="7433" width="4.140625" style="512" customWidth="1"/>
    <col min="7434" max="7447" width="8.85546875" style="512" customWidth="1"/>
    <col min="7448" max="7448" width="10.140625" style="512" customWidth="1"/>
    <col min="7449" max="7684" width="9.140625" style="512"/>
    <col min="7685" max="7685" width="3.85546875" style="512" customWidth="1"/>
    <col min="7686" max="7686" width="12.85546875" style="512" customWidth="1"/>
    <col min="7687" max="7687" width="3.85546875" style="512" customWidth="1"/>
    <col min="7688" max="7688" width="20.85546875" style="512" customWidth="1"/>
    <col min="7689" max="7689" width="4.140625" style="512" customWidth="1"/>
    <col min="7690" max="7703" width="8.85546875" style="512" customWidth="1"/>
    <col min="7704" max="7704" width="10.140625" style="512" customWidth="1"/>
    <col min="7705" max="7940" width="9.140625" style="512"/>
    <col min="7941" max="7941" width="3.85546875" style="512" customWidth="1"/>
    <col min="7942" max="7942" width="12.85546875" style="512" customWidth="1"/>
    <col min="7943" max="7943" width="3.85546875" style="512" customWidth="1"/>
    <col min="7944" max="7944" width="20.85546875" style="512" customWidth="1"/>
    <col min="7945" max="7945" width="4.140625" style="512" customWidth="1"/>
    <col min="7946" max="7959" width="8.85546875" style="512" customWidth="1"/>
    <col min="7960" max="7960" width="10.140625" style="512" customWidth="1"/>
    <col min="7961" max="8196" width="9.140625" style="512"/>
    <col min="8197" max="8197" width="3.85546875" style="512" customWidth="1"/>
    <col min="8198" max="8198" width="12.85546875" style="512" customWidth="1"/>
    <col min="8199" max="8199" width="3.85546875" style="512" customWidth="1"/>
    <col min="8200" max="8200" width="20.85546875" style="512" customWidth="1"/>
    <col min="8201" max="8201" width="4.140625" style="512" customWidth="1"/>
    <col min="8202" max="8215" width="8.85546875" style="512" customWidth="1"/>
    <col min="8216" max="8216" width="10.140625" style="512" customWidth="1"/>
    <col min="8217" max="8452" width="9.140625" style="512"/>
    <col min="8453" max="8453" width="3.85546875" style="512" customWidth="1"/>
    <col min="8454" max="8454" width="12.85546875" style="512" customWidth="1"/>
    <col min="8455" max="8455" width="3.85546875" style="512" customWidth="1"/>
    <col min="8456" max="8456" width="20.85546875" style="512" customWidth="1"/>
    <col min="8457" max="8457" width="4.140625" style="512" customWidth="1"/>
    <col min="8458" max="8471" width="8.85546875" style="512" customWidth="1"/>
    <col min="8472" max="8472" width="10.140625" style="512" customWidth="1"/>
    <col min="8473" max="8708" width="9.140625" style="512"/>
    <col min="8709" max="8709" width="3.85546875" style="512" customWidth="1"/>
    <col min="8710" max="8710" width="12.85546875" style="512" customWidth="1"/>
    <col min="8711" max="8711" width="3.85546875" style="512" customWidth="1"/>
    <col min="8712" max="8712" width="20.85546875" style="512" customWidth="1"/>
    <col min="8713" max="8713" width="4.140625" style="512" customWidth="1"/>
    <col min="8714" max="8727" width="8.85546875" style="512" customWidth="1"/>
    <col min="8728" max="8728" width="10.140625" style="512" customWidth="1"/>
    <col min="8729" max="8964" width="9.140625" style="512"/>
    <col min="8965" max="8965" width="3.85546875" style="512" customWidth="1"/>
    <col min="8966" max="8966" width="12.85546875" style="512" customWidth="1"/>
    <col min="8967" max="8967" width="3.85546875" style="512" customWidth="1"/>
    <col min="8968" max="8968" width="20.85546875" style="512" customWidth="1"/>
    <col min="8969" max="8969" width="4.140625" style="512" customWidth="1"/>
    <col min="8970" max="8983" width="8.85546875" style="512" customWidth="1"/>
    <col min="8984" max="8984" width="10.140625" style="512" customWidth="1"/>
    <col min="8985" max="9220" width="9.140625" style="512"/>
    <col min="9221" max="9221" width="3.85546875" style="512" customWidth="1"/>
    <col min="9222" max="9222" width="12.85546875" style="512" customWidth="1"/>
    <col min="9223" max="9223" width="3.85546875" style="512" customWidth="1"/>
    <col min="9224" max="9224" width="20.85546875" style="512" customWidth="1"/>
    <col min="9225" max="9225" width="4.140625" style="512" customWidth="1"/>
    <col min="9226" max="9239" width="8.85546875" style="512" customWidth="1"/>
    <col min="9240" max="9240" width="10.140625" style="512" customWidth="1"/>
    <col min="9241" max="9476" width="9.140625" style="512"/>
    <col min="9477" max="9477" width="3.85546875" style="512" customWidth="1"/>
    <col min="9478" max="9478" width="12.85546875" style="512" customWidth="1"/>
    <col min="9479" max="9479" width="3.85546875" style="512" customWidth="1"/>
    <col min="9480" max="9480" width="20.85546875" style="512" customWidth="1"/>
    <col min="9481" max="9481" width="4.140625" style="512" customWidth="1"/>
    <col min="9482" max="9495" width="8.85546875" style="512" customWidth="1"/>
    <col min="9496" max="9496" width="10.140625" style="512" customWidth="1"/>
    <col min="9497" max="9732" width="9.140625" style="512"/>
    <col min="9733" max="9733" width="3.85546875" style="512" customWidth="1"/>
    <col min="9734" max="9734" width="12.85546875" style="512" customWidth="1"/>
    <col min="9735" max="9735" width="3.85546875" style="512" customWidth="1"/>
    <col min="9736" max="9736" width="20.85546875" style="512" customWidth="1"/>
    <col min="9737" max="9737" width="4.140625" style="512" customWidth="1"/>
    <col min="9738" max="9751" width="8.85546875" style="512" customWidth="1"/>
    <col min="9752" max="9752" width="10.140625" style="512" customWidth="1"/>
    <col min="9753" max="9988" width="9.140625" style="512"/>
    <col min="9989" max="9989" width="3.85546875" style="512" customWidth="1"/>
    <col min="9990" max="9990" width="12.85546875" style="512" customWidth="1"/>
    <col min="9991" max="9991" width="3.85546875" style="512" customWidth="1"/>
    <col min="9992" max="9992" width="20.85546875" style="512" customWidth="1"/>
    <col min="9993" max="9993" width="4.140625" style="512" customWidth="1"/>
    <col min="9994" max="10007" width="8.85546875" style="512" customWidth="1"/>
    <col min="10008" max="10008" width="10.140625" style="512" customWidth="1"/>
    <col min="10009" max="10244" width="9.140625" style="512"/>
    <col min="10245" max="10245" width="3.85546875" style="512" customWidth="1"/>
    <col min="10246" max="10246" width="12.85546875" style="512" customWidth="1"/>
    <col min="10247" max="10247" width="3.85546875" style="512" customWidth="1"/>
    <col min="10248" max="10248" width="20.85546875" style="512" customWidth="1"/>
    <col min="10249" max="10249" width="4.140625" style="512" customWidth="1"/>
    <col min="10250" max="10263" width="8.85546875" style="512" customWidth="1"/>
    <col min="10264" max="10264" width="10.140625" style="512" customWidth="1"/>
    <col min="10265" max="10500" width="9.140625" style="512"/>
    <col min="10501" max="10501" width="3.85546875" style="512" customWidth="1"/>
    <col min="10502" max="10502" width="12.85546875" style="512" customWidth="1"/>
    <col min="10503" max="10503" width="3.85546875" style="512" customWidth="1"/>
    <col min="10504" max="10504" width="20.85546875" style="512" customWidth="1"/>
    <col min="10505" max="10505" width="4.140625" style="512" customWidth="1"/>
    <col min="10506" max="10519" width="8.85546875" style="512" customWidth="1"/>
    <col min="10520" max="10520" width="10.140625" style="512" customWidth="1"/>
    <col min="10521" max="10756" width="9.140625" style="512"/>
    <col min="10757" max="10757" width="3.85546875" style="512" customWidth="1"/>
    <col min="10758" max="10758" width="12.85546875" style="512" customWidth="1"/>
    <col min="10759" max="10759" width="3.85546875" style="512" customWidth="1"/>
    <col min="10760" max="10760" width="20.85546875" style="512" customWidth="1"/>
    <col min="10761" max="10761" width="4.140625" style="512" customWidth="1"/>
    <col min="10762" max="10775" width="8.85546875" style="512" customWidth="1"/>
    <col min="10776" max="10776" width="10.140625" style="512" customWidth="1"/>
    <col min="10777" max="11012" width="9.140625" style="512"/>
    <col min="11013" max="11013" width="3.85546875" style="512" customWidth="1"/>
    <col min="11014" max="11014" width="12.85546875" style="512" customWidth="1"/>
    <col min="11015" max="11015" width="3.85546875" style="512" customWidth="1"/>
    <col min="11016" max="11016" width="20.85546875" style="512" customWidth="1"/>
    <col min="11017" max="11017" width="4.140625" style="512" customWidth="1"/>
    <col min="11018" max="11031" width="8.85546875" style="512" customWidth="1"/>
    <col min="11032" max="11032" width="10.140625" style="512" customWidth="1"/>
    <col min="11033" max="11268" width="9.140625" style="512"/>
    <col min="11269" max="11269" width="3.85546875" style="512" customWidth="1"/>
    <col min="11270" max="11270" width="12.85546875" style="512" customWidth="1"/>
    <col min="11271" max="11271" width="3.85546875" style="512" customWidth="1"/>
    <col min="11272" max="11272" width="20.85546875" style="512" customWidth="1"/>
    <col min="11273" max="11273" width="4.140625" style="512" customWidth="1"/>
    <col min="11274" max="11287" width="8.85546875" style="512" customWidth="1"/>
    <col min="11288" max="11288" width="10.140625" style="512" customWidth="1"/>
    <col min="11289" max="11524" width="9.140625" style="512"/>
    <col min="11525" max="11525" width="3.85546875" style="512" customWidth="1"/>
    <col min="11526" max="11526" width="12.85546875" style="512" customWidth="1"/>
    <col min="11527" max="11527" width="3.85546875" style="512" customWidth="1"/>
    <col min="11528" max="11528" width="20.85546875" style="512" customWidth="1"/>
    <col min="11529" max="11529" width="4.140625" style="512" customWidth="1"/>
    <col min="11530" max="11543" width="8.85546875" style="512" customWidth="1"/>
    <col min="11544" max="11544" width="10.140625" style="512" customWidth="1"/>
    <col min="11545" max="11780" width="9.140625" style="512"/>
    <col min="11781" max="11781" width="3.85546875" style="512" customWidth="1"/>
    <col min="11782" max="11782" width="12.85546875" style="512" customWidth="1"/>
    <col min="11783" max="11783" width="3.85546875" style="512" customWidth="1"/>
    <col min="11784" max="11784" width="20.85546875" style="512" customWidth="1"/>
    <col min="11785" max="11785" width="4.140625" style="512" customWidth="1"/>
    <col min="11786" max="11799" width="8.85546875" style="512" customWidth="1"/>
    <col min="11800" max="11800" width="10.140625" style="512" customWidth="1"/>
    <col min="11801" max="12036" width="9.140625" style="512"/>
    <col min="12037" max="12037" width="3.85546875" style="512" customWidth="1"/>
    <col min="12038" max="12038" width="12.85546875" style="512" customWidth="1"/>
    <col min="12039" max="12039" width="3.85546875" style="512" customWidth="1"/>
    <col min="12040" max="12040" width="20.85546875" style="512" customWidth="1"/>
    <col min="12041" max="12041" width="4.140625" style="512" customWidth="1"/>
    <col min="12042" max="12055" width="8.85546875" style="512" customWidth="1"/>
    <col min="12056" max="12056" width="10.140625" style="512" customWidth="1"/>
    <col min="12057" max="12292" width="9.140625" style="512"/>
    <col min="12293" max="12293" width="3.85546875" style="512" customWidth="1"/>
    <col min="12294" max="12294" width="12.85546875" style="512" customWidth="1"/>
    <col min="12295" max="12295" width="3.85546875" style="512" customWidth="1"/>
    <col min="12296" max="12296" width="20.85546875" style="512" customWidth="1"/>
    <col min="12297" max="12297" width="4.140625" style="512" customWidth="1"/>
    <col min="12298" max="12311" width="8.85546875" style="512" customWidth="1"/>
    <col min="12312" max="12312" width="10.140625" style="512" customWidth="1"/>
    <col min="12313" max="12548" width="9.140625" style="512"/>
    <col min="12549" max="12549" width="3.85546875" style="512" customWidth="1"/>
    <col min="12550" max="12550" width="12.85546875" style="512" customWidth="1"/>
    <col min="12551" max="12551" width="3.85546875" style="512" customWidth="1"/>
    <col min="12552" max="12552" width="20.85546875" style="512" customWidth="1"/>
    <col min="12553" max="12553" width="4.140625" style="512" customWidth="1"/>
    <col min="12554" max="12567" width="8.85546875" style="512" customWidth="1"/>
    <col min="12568" max="12568" width="10.140625" style="512" customWidth="1"/>
    <col min="12569" max="12804" width="9.140625" style="512"/>
    <col min="12805" max="12805" width="3.85546875" style="512" customWidth="1"/>
    <col min="12806" max="12806" width="12.85546875" style="512" customWidth="1"/>
    <col min="12807" max="12807" width="3.85546875" style="512" customWidth="1"/>
    <col min="12808" max="12808" width="20.85546875" style="512" customWidth="1"/>
    <col min="12809" max="12809" width="4.140625" style="512" customWidth="1"/>
    <col min="12810" max="12823" width="8.85546875" style="512" customWidth="1"/>
    <col min="12824" max="12824" width="10.140625" style="512" customWidth="1"/>
    <col min="12825" max="13060" width="9.140625" style="512"/>
    <col min="13061" max="13061" width="3.85546875" style="512" customWidth="1"/>
    <col min="13062" max="13062" width="12.85546875" style="512" customWidth="1"/>
    <col min="13063" max="13063" width="3.85546875" style="512" customWidth="1"/>
    <col min="13064" max="13064" width="20.85546875" style="512" customWidth="1"/>
    <col min="13065" max="13065" width="4.140625" style="512" customWidth="1"/>
    <col min="13066" max="13079" width="8.85546875" style="512" customWidth="1"/>
    <col min="13080" max="13080" width="10.140625" style="512" customWidth="1"/>
    <col min="13081" max="13316" width="9.140625" style="512"/>
    <col min="13317" max="13317" width="3.85546875" style="512" customWidth="1"/>
    <col min="13318" max="13318" width="12.85546875" style="512" customWidth="1"/>
    <col min="13319" max="13319" width="3.85546875" style="512" customWidth="1"/>
    <col min="13320" max="13320" width="20.85546875" style="512" customWidth="1"/>
    <col min="13321" max="13321" width="4.140625" style="512" customWidth="1"/>
    <col min="13322" max="13335" width="8.85546875" style="512" customWidth="1"/>
    <col min="13336" max="13336" width="10.140625" style="512" customWidth="1"/>
    <col min="13337" max="13572" width="9.140625" style="512"/>
    <col min="13573" max="13573" width="3.85546875" style="512" customWidth="1"/>
    <col min="13574" max="13574" width="12.85546875" style="512" customWidth="1"/>
    <col min="13575" max="13575" width="3.85546875" style="512" customWidth="1"/>
    <col min="13576" max="13576" width="20.85546875" style="512" customWidth="1"/>
    <col min="13577" max="13577" width="4.140625" style="512" customWidth="1"/>
    <col min="13578" max="13591" width="8.85546875" style="512" customWidth="1"/>
    <col min="13592" max="13592" width="10.140625" style="512" customWidth="1"/>
    <col min="13593" max="13828" width="9.140625" style="512"/>
    <col min="13829" max="13829" width="3.85546875" style="512" customWidth="1"/>
    <col min="13830" max="13830" width="12.85546875" style="512" customWidth="1"/>
    <col min="13831" max="13831" width="3.85546875" style="512" customWidth="1"/>
    <col min="13832" max="13832" width="20.85546875" style="512" customWidth="1"/>
    <col min="13833" max="13833" width="4.140625" style="512" customWidth="1"/>
    <col min="13834" max="13847" width="8.85546875" style="512" customWidth="1"/>
    <col min="13848" max="13848" width="10.140625" style="512" customWidth="1"/>
    <col min="13849" max="14084" width="9.140625" style="512"/>
    <col min="14085" max="14085" width="3.85546875" style="512" customWidth="1"/>
    <col min="14086" max="14086" width="12.85546875" style="512" customWidth="1"/>
    <col min="14087" max="14087" width="3.85546875" style="512" customWidth="1"/>
    <col min="14088" max="14088" width="20.85546875" style="512" customWidth="1"/>
    <col min="14089" max="14089" width="4.140625" style="512" customWidth="1"/>
    <col min="14090" max="14103" width="8.85546875" style="512" customWidth="1"/>
    <col min="14104" max="14104" width="10.140625" style="512" customWidth="1"/>
    <col min="14105" max="14340" width="9.140625" style="512"/>
    <col min="14341" max="14341" width="3.85546875" style="512" customWidth="1"/>
    <col min="14342" max="14342" width="12.85546875" style="512" customWidth="1"/>
    <col min="14343" max="14343" width="3.85546875" style="512" customWidth="1"/>
    <col min="14344" max="14344" width="20.85546875" style="512" customWidth="1"/>
    <col min="14345" max="14345" width="4.140625" style="512" customWidth="1"/>
    <col min="14346" max="14359" width="8.85546875" style="512" customWidth="1"/>
    <col min="14360" max="14360" width="10.140625" style="512" customWidth="1"/>
    <col min="14361" max="14596" width="9.140625" style="512"/>
    <col min="14597" max="14597" width="3.85546875" style="512" customWidth="1"/>
    <col min="14598" max="14598" width="12.85546875" style="512" customWidth="1"/>
    <col min="14599" max="14599" width="3.85546875" style="512" customWidth="1"/>
    <col min="14600" max="14600" width="20.85546875" style="512" customWidth="1"/>
    <col min="14601" max="14601" width="4.140625" style="512" customWidth="1"/>
    <col min="14602" max="14615" width="8.85546875" style="512" customWidth="1"/>
    <col min="14616" max="14616" width="10.140625" style="512" customWidth="1"/>
    <col min="14617" max="14852" width="9.140625" style="512"/>
    <col min="14853" max="14853" width="3.85546875" style="512" customWidth="1"/>
    <col min="14854" max="14854" width="12.85546875" style="512" customWidth="1"/>
    <col min="14855" max="14855" width="3.85546875" style="512" customWidth="1"/>
    <col min="14856" max="14856" width="20.85546875" style="512" customWidth="1"/>
    <col min="14857" max="14857" width="4.140625" style="512" customWidth="1"/>
    <col min="14858" max="14871" width="8.85546875" style="512" customWidth="1"/>
    <col min="14872" max="14872" width="10.140625" style="512" customWidth="1"/>
    <col min="14873" max="15108" width="9.140625" style="512"/>
    <col min="15109" max="15109" width="3.85546875" style="512" customWidth="1"/>
    <col min="15110" max="15110" width="12.85546875" style="512" customWidth="1"/>
    <col min="15111" max="15111" width="3.85546875" style="512" customWidth="1"/>
    <col min="15112" max="15112" width="20.85546875" style="512" customWidth="1"/>
    <col min="15113" max="15113" width="4.140625" style="512" customWidth="1"/>
    <col min="15114" max="15127" width="8.85546875" style="512" customWidth="1"/>
    <col min="15128" max="15128" width="10.140625" style="512" customWidth="1"/>
    <col min="15129" max="15364" width="9.140625" style="512"/>
    <col min="15365" max="15365" width="3.85546875" style="512" customWidth="1"/>
    <col min="15366" max="15366" width="12.85546875" style="512" customWidth="1"/>
    <col min="15367" max="15367" width="3.85546875" style="512" customWidth="1"/>
    <col min="15368" max="15368" width="20.85546875" style="512" customWidth="1"/>
    <col min="15369" max="15369" width="4.140625" style="512" customWidth="1"/>
    <col min="15370" max="15383" width="8.85546875" style="512" customWidth="1"/>
    <col min="15384" max="15384" width="10.140625" style="512" customWidth="1"/>
    <col min="15385" max="15620" width="9.140625" style="512"/>
    <col min="15621" max="15621" width="3.85546875" style="512" customWidth="1"/>
    <col min="15622" max="15622" width="12.85546875" style="512" customWidth="1"/>
    <col min="15623" max="15623" width="3.85546875" style="512" customWidth="1"/>
    <col min="15624" max="15624" width="20.85546875" style="512" customWidth="1"/>
    <col min="15625" max="15625" width="4.140625" style="512" customWidth="1"/>
    <col min="15626" max="15639" width="8.85546875" style="512" customWidth="1"/>
    <col min="15640" max="15640" width="10.140625" style="512" customWidth="1"/>
    <col min="15641" max="15876" width="9.140625" style="512"/>
    <col min="15877" max="15877" width="3.85546875" style="512" customWidth="1"/>
    <col min="15878" max="15878" width="12.85546875" style="512" customWidth="1"/>
    <col min="15879" max="15879" width="3.85546875" style="512" customWidth="1"/>
    <col min="15880" max="15880" width="20.85546875" style="512" customWidth="1"/>
    <col min="15881" max="15881" width="4.140625" style="512" customWidth="1"/>
    <col min="15882" max="15895" width="8.85546875" style="512" customWidth="1"/>
    <col min="15896" max="15896" width="10.140625" style="512" customWidth="1"/>
    <col min="15897" max="16132" width="9.140625" style="512"/>
    <col min="16133" max="16133" width="3.85546875" style="512" customWidth="1"/>
    <col min="16134" max="16134" width="12.85546875" style="512" customWidth="1"/>
    <col min="16135" max="16135" width="3.85546875" style="512" customWidth="1"/>
    <col min="16136" max="16136" width="20.85546875" style="512" customWidth="1"/>
    <col min="16137" max="16137" width="4.140625" style="512" customWidth="1"/>
    <col min="16138" max="16151" width="8.85546875" style="512" customWidth="1"/>
    <col min="16152" max="16152" width="10.140625" style="512" customWidth="1"/>
    <col min="16153" max="16384" width="9.140625" style="512"/>
  </cols>
  <sheetData>
    <row r="1" spans="1:35" s="508" customFormat="1" ht="15" x14ac:dyDescent="0.2">
      <c r="A1" s="506"/>
      <c r="B1" s="507"/>
      <c r="C1" s="507"/>
      <c r="E1" s="1214"/>
    </row>
    <row r="2" spans="1:35" s="508" customFormat="1" ht="15" customHeight="1" x14ac:dyDescent="0.2">
      <c r="A2" s="509">
        <v>1</v>
      </c>
      <c r="B2" s="509" t="s">
        <v>0</v>
      </c>
      <c r="C2" s="509">
        <v>1</v>
      </c>
      <c r="D2" s="4603" t="s">
        <v>1</v>
      </c>
      <c r="E2" s="4604"/>
      <c r="F2" s="4604"/>
      <c r="G2" s="4604"/>
      <c r="H2" s="4604"/>
      <c r="I2" s="4604"/>
      <c r="J2" s="4604"/>
      <c r="K2" s="4604"/>
      <c r="L2" s="4604"/>
      <c r="M2" s="4604"/>
      <c r="N2" s="4604"/>
      <c r="O2" s="4604"/>
      <c r="P2" s="4604"/>
      <c r="Q2" s="4604"/>
      <c r="R2" s="4604"/>
      <c r="S2" s="4604"/>
      <c r="T2" s="4604"/>
      <c r="U2" s="4604"/>
      <c r="V2" s="4604"/>
      <c r="W2" s="4604"/>
      <c r="X2" s="4604"/>
      <c r="Y2" s="4604"/>
      <c r="Z2" s="4604"/>
      <c r="AA2" s="4604"/>
      <c r="AB2" s="4605"/>
      <c r="AC2" s="4176"/>
    </row>
    <row r="3" spans="1:35" s="508" customFormat="1" ht="14.25" customHeight="1" x14ac:dyDescent="0.2">
      <c r="A3" s="509">
        <v>2</v>
      </c>
      <c r="B3" s="509" t="s">
        <v>2</v>
      </c>
      <c r="C3" s="509"/>
      <c r="D3" s="4603" t="s">
        <v>3</v>
      </c>
      <c r="E3" s="4604"/>
      <c r="F3" s="4604"/>
      <c r="G3" s="4604"/>
      <c r="H3" s="4604"/>
      <c r="I3" s="4604"/>
      <c r="J3" s="4604"/>
      <c r="K3" s="4604"/>
      <c r="L3" s="4604"/>
      <c r="M3" s="4604"/>
      <c r="N3" s="4604"/>
      <c r="O3" s="4604"/>
      <c r="P3" s="4604"/>
      <c r="Q3" s="4604"/>
      <c r="R3" s="4604"/>
      <c r="S3" s="4604"/>
      <c r="T3" s="4604"/>
      <c r="U3" s="4604"/>
      <c r="V3" s="4604"/>
      <c r="W3" s="4604"/>
      <c r="X3" s="4604"/>
      <c r="Y3" s="4604"/>
      <c r="Z3" s="4604"/>
      <c r="AA3" s="4604"/>
      <c r="AB3" s="4605"/>
      <c r="AC3" s="4176"/>
    </row>
    <row r="4" spans="1:35" s="508" customFormat="1" ht="14.25" customHeight="1" x14ac:dyDescent="0.2">
      <c r="A4" s="509">
        <v>3</v>
      </c>
      <c r="B4" s="509" t="s">
        <v>4</v>
      </c>
      <c r="C4" s="509"/>
      <c r="D4" s="4603" t="s">
        <v>5</v>
      </c>
      <c r="E4" s="4604"/>
      <c r="F4" s="4604"/>
      <c r="G4" s="4604"/>
      <c r="H4" s="4604"/>
      <c r="I4" s="4604"/>
      <c r="J4" s="4604"/>
      <c r="K4" s="4604"/>
      <c r="L4" s="4604"/>
      <c r="M4" s="4604"/>
      <c r="N4" s="4604"/>
      <c r="O4" s="4604"/>
      <c r="P4" s="4604"/>
      <c r="Q4" s="4604"/>
      <c r="R4" s="4604"/>
      <c r="S4" s="4604"/>
      <c r="T4" s="4604"/>
      <c r="U4" s="4604"/>
      <c r="V4" s="4604"/>
      <c r="W4" s="4604"/>
      <c r="X4" s="4604"/>
      <c r="Y4" s="4604"/>
      <c r="Z4" s="4604"/>
      <c r="AA4" s="4604"/>
      <c r="AB4" s="4605"/>
      <c r="AC4" s="4176"/>
    </row>
    <row r="5" spans="1:35" s="508" customFormat="1" ht="14.25" x14ac:dyDescent="0.2">
      <c r="A5" s="509"/>
      <c r="B5" s="509"/>
      <c r="C5" s="509"/>
      <c r="D5" s="4615"/>
      <c r="E5" s="4616"/>
      <c r="F5" s="4616"/>
      <c r="G5" s="4616"/>
      <c r="H5" s="4616"/>
      <c r="I5" s="4616"/>
      <c r="J5" s="4616"/>
      <c r="K5" s="4616"/>
      <c r="L5" s="4616"/>
      <c r="M5" s="4616"/>
      <c r="N5" s="4616"/>
      <c r="O5" s="4616"/>
      <c r="P5" s="4616"/>
      <c r="Q5" s="4616"/>
      <c r="R5" s="4616"/>
      <c r="S5" s="4616"/>
      <c r="T5" s="4616"/>
      <c r="U5" s="4616"/>
      <c r="V5" s="4616"/>
      <c r="W5" s="4616"/>
      <c r="X5" s="4616"/>
      <c r="Y5" s="4616"/>
      <c r="Z5" s="4616"/>
      <c r="AA5" s="4616"/>
      <c r="AB5" s="4617"/>
      <c r="AC5" s="4176"/>
    </row>
    <row r="6" spans="1:35" s="88" customFormat="1" ht="20.25" customHeight="1" x14ac:dyDescent="0.2">
      <c r="A6" s="509">
        <v>4</v>
      </c>
      <c r="B6" s="509" t="s">
        <v>6</v>
      </c>
      <c r="C6" s="836"/>
      <c r="D6" s="72" t="s">
        <v>7</v>
      </c>
      <c r="E6" s="896" t="s">
        <v>8</v>
      </c>
      <c r="F6" s="72"/>
      <c r="G6" s="72"/>
      <c r="H6" s="2116"/>
      <c r="I6" s="2116"/>
      <c r="J6" s="3012"/>
      <c r="K6" s="3013"/>
      <c r="L6" s="3013"/>
      <c r="M6" s="3013"/>
      <c r="N6" s="3013"/>
      <c r="O6" s="3013"/>
      <c r="P6" s="3013"/>
      <c r="Q6" s="3013"/>
      <c r="R6" s="3013"/>
      <c r="S6" s="3013"/>
      <c r="T6" s="4253"/>
      <c r="U6" s="4253"/>
      <c r="V6" s="4253"/>
      <c r="W6" s="460"/>
      <c r="X6" s="462"/>
      <c r="Y6" s="462"/>
      <c r="Z6" s="462"/>
      <c r="AA6" s="462"/>
      <c r="AB6" s="462"/>
      <c r="AC6" s="462"/>
      <c r="AD6" s="462"/>
      <c r="AE6" s="462"/>
      <c r="AF6" s="462"/>
      <c r="AG6" s="462"/>
      <c r="AH6" s="462"/>
    </row>
    <row r="7" spans="1:35" s="88" customFormat="1" ht="20.25" customHeight="1" x14ac:dyDescent="0.2">
      <c r="A7" s="860"/>
      <c r="B7" s="836"/>
      <c r="C7" s="836"/>
      <c r="D7" s="1430"/>
      <c r="E7" s="128"/>
      <c r="F7" s="3014" t="s">
        <v>9</v>
      </c>
      <c r="G7" s="3014" t="s">
        <v>10</v>
      </c>
      <c r="H7" s="3014" t="s">
        <v>11</v>
      </c>
      <c r="I7" s="3014" t="s">
        <v>12</v>
      </c>
      <c r="J7" s="3015" t="s">
        <v>13</v>
      </c>
      <c r="K7" s="3014" t="s">
        <v>14</v>
      </c>
      <c r="L7" s="3014" t="s">
        <v>15</v>
      </c>
      <c r="M7" s="3014" t="s">
        <v>16</v>
      </c>
      <c r="N7" s="3014" t="s">
        <v>17</v>
      </c>
      <c r="O7" s="3014" t="s">
        <v>18</v>
      </c>
      <c r="P7" s="3014" t="s">
        <v>19</v>
      </c>
      <c r="Q7" s="3014" t="s">
        <v>20</v>
      </c>
      <c r="R7" s="3014" t="s">
        <v>21</v>
      </c>
      <c r="S7" s="3014" t="s">
        <v>22</v>
      </c>
      <c r="T7" s="4254" t="s">
        <v>23</v>
      </c>
      <c r="U7" s="4254" t="s">
        <v>24</v>
      </c>
      <c r="V7" s="4254" t="s">
        <v>25</v>
      </c>
      <c r="W7" s="4254" t="s">
        <v>26</v>
      </c>
      <c r="X7" s="4254" t="s">
        <v>27</v>
      </c>
      <c r="Y7" s="4255" t="s">
        <v>28</v>
      </c>
      <c r="Z7" s="3018" t="s">
        <v>29</v>
      </c>
      <c r="AA7" s="3018" t="s">
        <v>30</v>
      </c>
      <c r="AB7" s="3018" t="s">
        <v>31</v>
      </c>
      <c r="AC7" s="3018" t="s">
        <v>32</v>
      </c>
      <c r="AD7" s="3018" t="s">
        <v>33</v>
      </c>
      <c r="AE7" s="4254" t="s">
        <v>34</v>
      </c>
      <c r="AF7" s="3018" t="s">
        <v>35</v>
      </c>
      <c r="AG7" s="462"/>
      <c r="AH7" s="462"/>
    </row>
    <row r="8" spans="1:35" s="88" customFormat="1" ht="20.25" customHeight="1" x14ac:dyDescent="0.2">
      <c r="A8" s="860"/>
      <c r="B8" s="836"/>
      <c r="C8" s="836"/>
      <c r="E8" s="312"/>
      <c r="F8" s="3019"/>
      <c r="G8" s="3019"/>
      <c r="H8" s="3019"/>
      <c r="I8" s="3019"/>
      <c r="J8" s="3019"/>
      <c r="K8" s="3019"/>
      <c r="L8" s="3019"/>
      <c r="M8" s="3019"/>
      <c r="N8" s="2398"/>
      <c r="O8" s="2398"/>
      <c r="P8" s="2398"/>
      <c r="Q8" s="2398"/>
      <c r="R8" s="2398"/>
      <c r="S8" s="2398"/>
      <c r="T8" s="2533"/>
      <c r="U8" s="2533"/>
      <c r="V8" s="2533"/>
      <c r="W8" s="2533"/>
      <c r="X8" s="2533"/>
      <c r="Y8" s="4250"/>
      <c r="Z8" s="3020"/>
      <c r="AA8" s="3020"/>
      <c r="AB8" s="3020"/>
      <c r="AC8" s="3020"/>
      <c r="AD8" s="3020"/>
      <c r="AE8" s="2533"/>
      <c r="AF8" s="3020"/>
      <c r="AG8" s="462"/>
      <c r="AH8" s="462"/>
    </row>
    <row r="9" spans="1:35" s="88" customFormat="1" ht="11.25" x14ac:dyDescent="0.2">
      <c r="A9" s="860"/>
      <c r="B9" s="4235" t="s">
        <v>2180</v>
      </c>
      <c r="C9" s="4235"/>
      <c r="D9" s="471" t="s">
        <v>36</v>
      </c>
      <c r="E9" s="414" t="s">
        <v>44</v>
      </c>
      <c r="F9" s="4236">
        <v>3870</v>
      </c>
      <c r="G9" s="4236">
        <v>1592</v>
      </c>
      <c r="H9" s="4236">
        <v>3700</v>
      </c>
      <c r="I9" s="4236">
        <v>4850</v>
      </c>
      <c r="J9" s="4236">
        <v>9900</v>
      </c>
      <c r="K9" s="4236">
        <v>8308</v>
      </c>
      <c r="L9" s="4236">
        <v>-15165</v>
      </c>
      <c r="M9" s="4236">
        <v>-15057</v>
      </c>
      <c r="N9" s="4236">
        <v>-2300</v>
      </c>
      <c r="O9" s="4236">
        <v>-9380.7000000000007</v>
      </c>
      <c r="P9" s="4236">
        <v>-19127</v>
      </c>
      <c r="Q9" s="4236">
        <v>-12400</v>
      </c>
      <c r="R9" s="4236">
        <v>-10500</v>
      </c>
      <c r="S9" s="4236">
        <v>-4575</v>
      </c>
      <c r="T9" s="4236">
        <v>-449.98999999999978</v>
      </c>
      <c r="U9" s="4236">
        <v>-4115</v>
      </c>
      <c r="V9" s="4236">
        <v>-2307.7999999999993</v>
      </c>
      <c r="W9" s="4236">
        <v>-2411.6319999999996</v>
      </c>
      <c r="X9" s="4236">
        <v>-5575</v>
      </c>
      <c r="Y9" s="4236">
        <v>8275.3150000000005</v>
      </c>
      <c r="Z9" s="4237">
        <v>4989.8599999999997</v>
      </c>
      <c r="AA9" s="4238">
        <v>28024</v>
      </c>
      <c r="AB9" s="4238">
        <v>36000</v>
      </c>
      <c r="AC9" s="4238">
        <v>15000</v>
      </c>
      <c r="AD9" s="4238" t="s">
        <v>37</v>
      </c>
      <c r="AE9" s="4238" t="s">
        <v>37</v>
      </c>
      <c r="AF9" s="4236">
        <v>-5200</v>
      </c>
      <c r="AG9" s="462"/>
      <c r="AH9" s="462"/>
      <c r="AI9" s="462"/>
    </row>
    <row r="10" spans="1:35" s="88" customFormat="1" ht="11.25" customHeight="1" x14ac:dyDescent="0.2">
      <c r="A10" s="860"/>
      <c r="B10" s="4239" t="s">
        <v>2181</v>
      </c>
      <c r="C10" s="4235"/>
      <c r="D10" s="4240" t="s">
        <v>38</v>
      </c>
      <c r="E10" s="4241" t="s">
        <v>39</v>
      </c>
      <c r="F10" s="4236">
        <f t="shared" ref="F10:AB10" si="0">SUM(F11:F13)</f>
        <v>2762688</v>
      </c>
      <c r="G10" s="4236">
        <f t="shared" si="0"/>
        <v>3023930</v>
      </c>
      <c r="H10" s="4236">
        <f t="shared" si="0"/>
        <v>3260567</v>
      </c>
      <c r="I10" s="4236">
        <f t="shared" si="0"/>
        <v>3818385</v>
      </c>
      <c r="J10" s="4236">
        <f t="shared" si="0"/>
        <v>4365769</v>
      </c>
      <c r="K10" s="4236">
        <f t="shared" si="0"/>
        <v>4872793</v>
      </c>
      <c r="L10" s="4236">
        <f t="shared" si="0"/>
        <v>5104129</v>
      </c>
      <c r="M10" s="4236">
        <f t="shared" si="0"/>
        <v>5558216</v>
      </c>
      <c r="N10" s="4236">
        <f t="shared" si="0"/>
        <v>5695290</v>
      </c>
      <c r="O10" s="4236">
        <f t="shared" si="0"/>
        <v>6040048</v>
      </c>
      <c r="P10" s="4236">
        <f t="shared" si="0"/>
        <v>6722518</v>
      </c>
      <c r="Q10" s="4236">
        <f t="shared" si="0"/>
        <v>7423561</v>
      </c>
      <c r="R10" s="4236">
        <f t="shared" si="0"/>
        <v>7766915</v>
      </c>
      <c r="S10" s="4236">
        <f t="shared" si="0"/>
        <v>8131422</v>
      </c>
      <c r="T10" s="4236">
        <f t="shared" si="0"/>
        <v>12751006</v>
      </c>
      <c r="U10" s="4236">
        <f t="shared" si="0"/>
        <v>16039801</v>
      </c>
      <c r="V10" s="4236">
        <f t="shared" si="0"/>
        <v>17926869</v>
      </c>
      <c r="W10" s="4236">
        <f t="shared" si="0"/>
        <v>19787304</v>
      </c>
      <c r="X10" s="4236">
        <f t="shared" si="0"/>
        <v>21452507</v>
      </c>
      <c r="Y10" s="4236">
        <f t="shared" si="0"/>
        <v>22693978</v>
      </c>
      <c r="Z10" s="4236">
        <f t="shared" si="0"/>
        <v>24057574</v>
      </c>
      <c r="AA10" s="4236">
        <f t="shared" si="0"/>
        <v>24657946</v>
      </c>
      <c r="AB10" s="4236">
        <f t="shared" si="0"/>
        <v>24549131</v>
      </c>
      <c r="AC10" s="4236">
        <f>SUM(AC11:AC13)</f>
        <v>25832536</v>
      </c>
      <c r="AD10" s="4236">
        <f>SUM(AD11:AD13)</f>
        <v>27330717</v>
      </c>
      <c r="AE10" s="4236">
        <f>SUM(AE11:AE13)</f>
        <v>28737835</v>
      </c>
      <c r="AF10" s="4236">
        <f>SUM(AF11:AF13)</f>
        <v>30250094</v>
      </c>
      <c r="AG10" s="462"/>
      <c r="AH10" s="462"/>
      <c r="AI10" s="462"/>
    </row>
    <row r="11" spans="1:35" s="88" customFormat="1" ht="11.25" x14ac:dyDescent="0.2">
      <c r="A11" s="860"/>
      <c r="B11" s="4235"/>
      <c r="C11" s="4235"/>
      <c r="D11" s="3305" t="s">
        <v>40</v>
      </c>
      <c r="E11" s="4242"/>
      <c r="F11" s="4243">
        <v>2158080</v>
      </c>
      <c r="G11" s="4243">
        <v>2334751</v>
      </c>
      <c r="H11" s="4244">
        <v>2485703</v>
      </c>
      <c r="I11" s="4244">
        <v>2798126</v>
      </c>
      <c r="J11" s="4244">
        <v>3187072</v>
      </c>
      <c r="K11" s="4244">
        <v>3556023</v>
      </c>
      <c r="L11" s="4244">
        <v>3628263</v>
      </c>
      <c r="M11" s="4244">
        <v>3991236</v>
      </c>
      <c r="N11" s="4244">
        <v>4321354</v>
      </c>
      <c r="O11" s="4244">
        <v>4476261</v>
      </c>
      <c r="P11" s="4244">
        <v>4764105</v>
      </c>
      <c r="Q11" s="4244">
        <v>5204805</v>
      </c>
      <c r="R11" s="3021">
        <v>5540646</v>
      </c>
      <c r="S11" s="3021">
        <v>5920612</v>
      </c>
      <c r="T11" s="3021">
        <v>10346175</v>
      </c>
      <c r="U11" s="3021">
        <v>13703717</v>
      </c>
      <c r="V11" s="3021">
        <v>15418920</v>
      </c>
      <c r="W11" s="3021">
        <v>16779711</v>
      </c>
      <c r="X11" s="3021">
        <v>18185538</v>
      </c>
      <c r="Y11" s="3021">
        <v>19075270</v>
      </c>
      <c r="Z11" s="3021">
        <v>19980110</v>
      </c>
      <c r="AA11" s="3021">
        <v>21104375</v>
      </c>
      <c r="AB11" s="3021">
        <v>22170513</v>
      </c>
      <c r="AC11" s="3021">
        <v>22919701</v>
      </c>
      <c r="AD11" s="3021">
        <v>23850668</v>
      </c>
      <c r="AE11" s="3021">
        <v>24832105</v>
      </c>
      <c r="AF11" s="3021">
        <v>25944562</v>
      </c>
      <c r="AG11" s="462"/>
      <c r="AH11" s="462"/>
      <c r="AI11" s="462"/>
    </row>
    <row r="12" spans="1:35" s="88" customFormat="1" ht="11.25" x14ac:dyDescent="0.2">
      <c r="A12" s="860"/>
      <c r="B12" s="4235"/>
      <c r="C12" s="4235"/>
      <c r="D12" s="3305" t="s">
        <v>41</v>
      </c>
      <c r="E12" s="4242"/>
      <c r="F12" s="4243">
        <v>604608</v>
      </c>
      <c r="G12" s="4243">
        <v>689179</v>
      </c>
      <c r="H12" s="4244">
        <v>774864</v>
      </c>
      <c r="I12" s="4243">
        <v>839591</v>
      </c>
      <c r="J12" s="4243">
        <v>976720</v>
      </c>
      <c r="K12" s="4243">
        <v>1081788</v>
      </c>
      <c r="L12" s="4243">
        <v>1221273</v>
      </c>
      <c r="M12" s="4243">
        <v>1283155</v>
      </c>
      <c r="N12" s="4243">
        <v>1054969</v>
      </c>
      <c r="O12" s="4243">
        <v>1218905</v>
      </c>
      <c r="P12" s="4243">
        <v>1584002</v>
      </c>
      <c r="Q12" s="4243">
        <v>1834009</v>
      </c>
      <c r="R12" s="4245">
        <v>1834009</v>
      </c>
      <c r="S12" s="3021">
        <v>1878856</v>
      </c>
      <c r="T12" s="3021">
        <v>2078182</v>
      </c>
      <c r="U12" s="3021">
        <v>2034719</v>
      </c>
      <c r="V12" s="3021">
        <v>2195883</v>
      </c>
      <c r="W12" s="3021">
        <v>2685405</v>
      </c>
      <c r="X12" s="3021">
        <v>2935385</v>
      </c>
      <c r="Y12" s="3021">
        <v>3278708</v>
      </c>
      <c r="Z12" s="3021">
        <v>3732416</v>
      </c>
      <c r="AA12" s="3021">
        <v>3202007</v>
      </c>
      <c r="AB12" s="3021">
        <v>2020759</v>
      </c>
      <c r="AC12" s="3021">
        <v>2548975</v>
      </c>
      <c r="AD12" s="3021">
        <v>3112509</v>
      </c>
      <c r="AE12" s="3021">
        <v>3532646</v>
      </c>
      <c r="AF12" s="3021">
        <v>3926252</v>
      </c>
      <c r="AG12" s="462"/>
      <c r="AH12" s="462"/>
      <c r="AI12" s="462"/>
    </row>
    <row r="13" spans="1:35" s="88" customFormat="1" ht="11.25" x14ac:dyDescent="0.2">
      <c r="A13" s="860"/>
      <c r="B13" s="4235"/>
      <c r="C13" s="4235"/>
      <c r="D13" s="3305" t="s">
        <v>42</v>
      </c>
      <c r="E13" s="414"/>
      <c r="F13" s="4246"/>
      <c r="G13" s="4246"/>
      <c r="H13" s="4244"/>
      <c r="I13" s="4243">
        <v>180668</v>
      </c>
      <c r="J13" s="4243">
        <v>201977</v>
      </c>
      <c r="K13" s="4243">
        <v>234982</v>
      </c>
      <c r="L13" s="4243">
        <v>254593</v>
      </c>
      <c r="M13" s="4243">
        <v>283825</v>
      </c>
      <c r="N13" s="4243">
        <v>318967</v>
      </c>
      <c r="O13" s="4243">
        <v>344882</v>
      </c>
      <c r="P13" s="4243">
        <v>374411</v>
      </c>
      <c r="Q13" s="4243">
        <v>384747</v>
      </c>
      <c r="R13" s="4245">
        <v>392260</v>
      </c>
      <c r="S13" s="3021">
        <v>331954</v>
      </c>
      <c r="T13" s="3021">
        <v>326649</v>
      </c>
      <c r="U13" s="3021">
        <v>301365</v>
      </c>
      <c r="V13" s="3021">
        <v>312066</v>
      </c>
      <c r="W13" s="3021">
        <v>322188</v>
      </c>
      <c r="X13" s="3021">
        <v>331584</v>
      </c>
      <c r="Y13" s="3021">
        <v>340000</v>
      </c>
      <c r="Z13" s="3021">
        <v>345048</v>
      </c>
      <c r="AA13" s="3021">
        <v>351564</v>
      </c>
      <c r="AB13" s="3021">
        <v>357859</v>
      </c>
      <c r="AC13" s="3021">
        <v>363860</v>
      </c>
      <c r="AD13" s="3021">
        <v>367540</v>
      </c>
      <c r="AE13" s="3021">
        <v>373084</v>
      </c>
      <c r="AF13" s="3021">
        <v>379280</v>
      </c>
      <c r="AG13" s="462"/>
      <c r="AH13" s="462"/>
      <c r="AI13" s="462"/>
    </row>
    <row r="14" spans="1:35" s="88" customFormat="1" ht="11.25" x14ac:dyDescent="0.2">
      <c r="A14" s="860"/>
      <c r="B14" s="4235"/>
      <c r="C14" s="4235"/>
      <c r="D14" s="528" t="s">
        <v>43</v>
      </c>
      <c r="E14" s="4242"/>
      <c r="F14" s="4243">
        <v>426356</v>
      </c>
      <c r="G14" s="4247">
        <v>449257</v>
      </c>
      <c r="H14" s="4244">
        <v>478002</v>
      </c>
      <c r="I14" s="4244">
        <v>424020</v>
      </c>
      <c r="J14" s="4244">
        <v>450295</v>
      </c>
      <c r="K14" s="4244">
        <v>479666</v>
      </c>
      <c r="L14" s="4244">
        <v>506098</v>
      </c>
      <c r="M14" s="4244">
        <v>536281</v>
      </c>
      <c r="N14" s="4244">
        <v>578138</v>
      </c>
      <c r="O14" s="4244">
        <v>633703</v>
      </c>
      <c r="P14" s="4244">
        <v>677153</v>
      </c>
      <c r="Q14" s="4244">
        <v>745487</v>
      </c>
      <c r="R14" s="4244">
        <v>737885</v>
      </c>
      <c r="S14" s="4244">
        <v>685523</v>
      </c>
      <c r="T14" s="4244">
        <v>664267</v>
      </c>
      <c r="U14" s="4244">
        <v>652349</v>
      </c>
      <c r="V14" s="4244">
        <v>650540</v>
      </c>
      <c r="W14" s="4244">
        <v>662194</v>
      </c>
      <c r="X14" s="4244">
        <v>679274</v>
      </c>
      <c r="Y14" s="4244">
        <v>706874</v>
      </c>
      <c r="Z14" s="4244">
        <v>742388</v>
      </c>
      <c r="AA14" s="4244">
        <v>773783</v>
      </c>
      <c r="AB14" s="4244">
        <v>802957</v>
      </c>
      <c r="AC14" s="4244">
        <v>831821</v>
      </c>
      <c r="AD14" s="4244">
        <v>880553</v>
      </c>
      <c r="AE14" s="4244">
        <v>941406</v>
      </c>
      <c r="AF14" s="4244">
        <v>953665</v>
      </c>
      <c r="AG14" s="462"/>
      <c r="AH14" s="462"/>
      <c r="AI14" s="462"/>
    </row>
    <row r="15" spans="1:35" s="88" customFormat="1" ht="11.25" x14ac:dyDescent="0.2">
      <c r="A15" s="860"/>
      <c r="B15" s="4235"/>
      <c r="C15" s="4235"/>
      <c r="D15" s="4240"/>
      <c r="E15" s="4241"/>
      <c r="F15" s="4248"/>
      <c r="G15" s="4248"/>
      <c r="H15" s="4248"/>
      <c r="I15" s="4248"/>
      <c r="J15" s="4248"/>
      <c r="K15" s="4248"/>
      <c r="L15" s="4248"/>
      <c r="M15" s="4248"/>
      <c r="N15" s="4248"/>
      <c r="O15" s="4248"/>
      <c r="P15" s="4248"/>
      <c r="Q15" s="4248"/>
      <c r="R15" s="4248"/>
      <c r="S15" s="4248"/>
      <c r="T15" s="4248"/>
      <c r="U15" s="4248"/>
      <c r="V15" s="4248"/>
      <c r="W15" s="4248"/>
      <c r="X15" s="4248"/>
      <c r="Y15" s="4248"/>
      <c r="Z15" s="4248"/>
      <c r="AA15" s="4248"/>
      <c r="AB15" s="4248"/>
      <c r="AC15" s="4248"/>
      <c r="AD15" s="4248"/>
      <c r="AE15" s="4248"/>
      <c r="AF15" s="4248"/>
      <c r="AG15" s="462"/>
      <c r="AH15" s="462"/>
      <c r="AI15" s="462"/>
    </row>
    <row r="16" spans="1:35" s="88" customFormat="1" ht="11.25" customHeight="1" x14ac:dyDescent="0.2">
      <c r="A16" s="860"/>
      <c r="B16" s="4235"/>
      <c r="C16" s="4235"/>
      <c r="D16" s="4249" t="s">
        <v>1</v>
      </c>
      <c r="E16" s="420" t="s">
        <v>44</v>
      </c>
      <c r="F16" s="4236"/>
      <c r="G16" s="4236"/>
      <c r="H16" s="4236"/>
      <c r="I16" s="4236"/>
      <c r="J16" s="4236"/>
      <c r="K16" s="4236"/>
      <c r="L16" s="4236"/>
      <c r="M16" s="4236"/>
      <c r="N16" s="4236"/>
      <c r="O16" s="4236"/>
      <c r="P16" s="4236"/>
      <c r="Q16" s="4236"/>
      <c r="R16" s="3021"/>
      <c r="S16" s="3021"/>
      <c r="T16" s="3021"/>
      <c r="U16" s="3021"/>
      <c r="V16" s="3021"/>
      <c r="W16" s="3021"/>
      <c r="X16" s="3021"/>
      <c r="Y16" s="4250"/>
      <c r="Z16" s="3021"/>
      <c r="AA16" s="4250"/>
      <c r="AB16" s="3022"/>
      <c r="AC16" s="3022"/>
      <c r="AD16" s="3022"/>
      <c r="AE16" s="3022"/>
      <c r="AF16" s="3022"/>
      <c r="AG16" s="462"/>
      <c r="AH16" s="462"/>
      <c r="AI16" s="462"/>
    </row>
    <row r="17" spans="1:35" s="88" customFormat="1" ht="11.25" customHeight="1" x14ac:dyDescent="0.2">
      <c r="A17" s="860"/>
      <c r="B17" s="4235"/>
      <c r="C17" s="4235"/>
      <c r="D17" s="1613" t="s">
        <v>45</v>
      </c>
      <c r="E17" s="414"/>
      <c r="F17" s="3022">
        <v>59909</v>
      </c>
      <c r="G17" s="3022">
        <v>68718.399999999994</v>
      </c>
      <c r="H17" s="3022">
        <v>78079.5</v>
      </c>
      <c r="I17" s="3022">
        <v>86162.7</v>
      </c>
      <c r="J17" s="3022">
        <v>79756</v>
      </c>
      <c r="K17" s="3022">
        <v>90977</v>
      </c>
      <c r="L17" s="3022">
        <v>95366.9</v>
      </c>
      <c r="M17" s="3022">
        <v>99020.5</v>
      </c>
      <c r="N17" s="3022">
        <v>111696.561</v>
      </c>
      <c r="O17" s="3022">
        <v>126416.4</v>
      </c>
      <c r="P17" s="3022">
        <v>141397.08000000002</v>
      </c>
      <c r="Q17" s="3022">
        <v>169539.25300000003</v>
      </c>
      <c r="R17" s="3022">
        <v>196068.03700000001</v>
      </c>
      <c r="S17" s="3022">
        <v>206483.53338388007</v>
      </c>
      <c r="T17" s="3022">
        <v>228096.11159448003</v>
      </c>
      <c r="U17" s="3022">
        <v>251339.14729868999</v>
      </c>
      <c r="V17" s="3022">
        <v>276678.57430246007</v>
      </c>
      <c r="W17" s="3022">
        <v>310928.99241367</v>
      </c>
      <c r="X17" s="3022">
        <v>353918.10976956994</v>
      </c>
      <c r="Y17" s="3022">
        <v>389279.70173759997</v>
      </c>
      <c r="Z17" s="3022">
        <v>425924.06663148006</v>
      </c>
      <c r="AA17" s="3022">
        <v>462903.13275247999</v>
      </c>
      <c r="AB17" s="3022">
        <v>493828.77995540999</v>
      </c>
      <c r="AC17" s="3022">
        <v>529172.4</v>
      </c>
      <c r="AD17" s="3022">
        <v>488445.8</v>
      </c>
      <c r="AE17" s="3022">
        <v>555507.4</v>
      </c>
      <c r="AF17" s="3022">
        <v>601983.19999999995</v>
      </c>
      <c r="AG17" s="462"/>
      <c r="AH17" s="462"/>
      <c r="AI17" s="462"/>
    </row>
    <row r="18" spans="1:35" s="88" customFormat="1" ht="11.25" customHeight="1" x14ac:dyDescent="0.2">
      <c r="A18" s="860"/>
      <c r="B18" s="4235"/>
      <c r="C18" s="4235"/>
      <c r="D18" s="1613" t="s">
        <v>46</v>
      </c>
      <c r="E18" s="414"/>
      <c r="F18" s="3022">
        <v>19060</v>
      </c>
      <c r="G18" s="3022">
        <v>21608.7</v>
      </c>
      <c r="H18" s="3022">
        <v>22925.3</v>
      </c>
      <c r="I18" s="3022">
        <v>20658.3</v>
      </c>
      <c r="J18" s="3022">
        <v>30049.200000000001</v>
      </c>
      <c r="K18" s="3022">
        <v>42723.7</v>
      </c>
      <c r="L18" s="3022">
        <v>56431.9</v>
      </c>
      <c r="M18" s="3022">
        <v>60560.4</v>
      </c>
      <c r="N18" s="3022">
        <v>71629.360000000015</v>
      </c>
      <c r="O18" s="3022">
        <v>87326.5</v>
      </c>
      <c r="P18" s="3022">
        <v>120111.6</v>
      </c>
      <c r="Q18" s="3022">
        <v>141635.435</v>
      </c>
      <c r="R18" s="3022">
        <v>167202.23999999999</v>
      </c>
      <c r="S18" s="3022">
        <v>136977.93176756997</v>
      </c>
      <c r="T18" s="3022">
        <v>134635.07949267002</v>
      </c>
      <c r="U18" s="3022">
        <v>153272.17884887999</v>
      </c>
      <c r="V18" s="3022">
        <v>160895.79553077999</v>
      </c>
      <c r="W18" s="3022">
        <v>179520.12193793</v>
      </c>
      <c r="X18" s="3022">
        <v>186621.55362948001</v>
      </c>
      <c r="Y18" s="3022">
        <v>193385.29987314003</v>
      </c>
      <c r="Z18" s="3022">
        <v>207027.3</v>
      </c>
      <c r="AA18" s="3022">
        <v>220238.55604764001</v>
      </c>
      <c r="AB18" s="3022">
        <v>214388.37708902001</v>
      </c>
      <c r="AC18" s="3022">
        <v>214986</v>
      </c>
      <c r="AD18" s="3022">
        <v>204398.9</v>
      </c>
      <c r="AE18" s="3022">
        <v>323464.59999999998</v>
      </c>
      <c r="AF18" s="3022">
        <v>347677.4</v>
      </c>
      <c r="AG18" s="462"/>
      <c r="AH18" s="462"/>
      <c r="AI18" s="462"/>
    </row>
    <row r="19" spans="1:35" s="88" customFormat="1" ht="11.25" customHeight="1" x14ac:dyDescent="0.2">
      <c r="A19" s="860"/>
      <c r="B19" s="4235"/>
      <c r="C19" s="4235"/>
      <c r="D19" s="1613" t="s">
        <v>47</v>
      </c>
      <c r="E19" s="414"/>
      <c r="F19" s="3022">
        <v>35903</v>
      </c>
      <c r="G19" s="3022">
        <v>40096</v>
      </c>
      <c r="H19" s="3022">
        <v>43677</v>
      </c>
      <c r="I19" s="3022">
        <v>48376.84</v>
      </c>
      <c r="J19" s="3022">
        <v>54455.192999999999</v>
      </c>
      <c r="K19" s="3022">
        <v>61056.608999999997</v>
      </c>
      <c r="L19" s="3022">
        <v>69784.3</v>
      </c>
      <c r="M19" s="3022">
        <v>80602.899999999994</v>
      </c>
      <c r="N19" s="3022">
        <v>98157.875</v>
      </c>
      <c r="O19" s="3022">
        <v>114351.6</v>
      </c>
      <c r="P19" s="3022">
        <v>134462.59899999999</v>
      </c>
      <c r="Q19" s="3022">
        <v>150442.84899999999</v>
      </c>
      <c r="R19" s="3022">
        <v>154343.12100000001</v>
      </c>
      <c r="S19" s="3022">
        <v>147941.32226163996</v>
      </c>
      <c r="T19" s="3022">
        <v>183571.43947361002</v>
      </c>
      <c r="U19" s="3022">
        <v>191020.19853625001</v>
      </c>
      <c r="V19" s="3022">
        <v>215023.03517332999</v>
      </c>
      <c r="W19" s="3022">
        <v>237666.57887254003</v>
      </c>
      <c r="X19" s="3022">
        <v>261294.78794094999</v>
      </c>
      <c r="Y19" s="3022">
        <v>281111.41002235992</v>
      </c>
      <c r="Z19" s="3022">
        <v>289166.72246190003</v>
      </c>
      <c r="AA19" s="3022">
        <v>297997.59999999998</v>
      </c>
      <c r="AB19" s="3022">
        <v>324765.9613356</v>
      </c>
      <c r="AC19" s="3022">
        <v>346760.8</v>
      </c>
      <c r="AD19" s="3022">
        <v>331196.79999999999</v>
      </c>
      <c r="AE19" s="3022">
        <v>390895.1</v>
      </c>
      <c r="AF19" s="3022">
        <v>422416.4</v>
      </c>
      <c r="AG19" s="462"/>
      <c r="AH19" s="462"/>
      <c r="AI19" s="462"/>
    </row>
    <row r="20" spans="1:35" s="88" customFormat="1" ht="11.25" customHeight="1" x14ac:dyDescent="0.2">
      <c r="A20" s="860"/>
      <c r="B20" s="4235"/>
      <c r="C20" s="4235"/>
      <c r="D20" s="1613" t="s">
        <v>48</v>
      </c>
      <c r="E20" s="414"/>
      <c r="F20" s="3022">
        <v>6518</v>
      </c>
      <c r="G20" s="3022">
        <v>6056</v>
      </c>
      <c r="H20" s="3022">
        <v>5966.3</v>
      </c>
      <c r="I20" s="3022">
        <v>6518.2</v>
      </c>
      <c r="J20" s="3022">
        <v>7853.6</v>
      </c>
      <c r="K20" s="3022">
        <v>8632.7000000000007</v>
      </c>
      <c r="L20" s="3022">
        <v>9361.5</v>
      </c>
      <c r="M20" s="3022">
        <v>8437.4</v>
      </c>
      <c r="N20" s="3022">
        <v>12888.365</v>
      </c>
      <c r="O20" s="3022">
        <v>18303.5</v>
      </c>
      <c r="P20" s="3022">
        <v>23697.003000000001</v>
      </c>
      <c r="Q20" s="3022">
        <v>26469.759999999998</v>
      </c>
      <c r="R20" s="3022">
        <v>22751.023000000001</v>
      </c>
      <c r="S20" s="3022">
        <v>19577.114634760001</v>
      </c>
      <c r="T20" s="3022">
        <v>26637.437791249999</v>
      </c>
      <c r="U20" s="3022">
        <v>34197.900631880002</v>
      </c>
      <c r="V20" s="3022">
        <v>38997.93341148</v>
      </c>
      <c r="W20" s="3022">
        <v>44178.728258979994</v>
      </c>
      <c r="X20" s="3022">
        <v>40678.794854979998</v>
      </c>
      <c r="Y20" s="3022">
        <v>46250.125479700015</v>
      </c>
      <c r="Z20" s="3022">
        <v>45579.082852109997</v>
      </c>
      <c r="AA20" s="3022">
        <v>49151.7</v>
      </c>
      <c r="AB20" s="3022">
        <v>54968.1</v>
      </c>
      <c r="AC20" s="3022">
        <v>55428.4</v>
      </c>
      <c r="AD20" s="3022">
        <v>47290.400000000001</v>
      </c>
      <c r="AE20" s="3022">
        <v>57993.8</v>
      </c>
      <c r="AF20" s="3022">
        <v>73945.399999999994</v>
      </c>
      <c r="AG20" s="462"/>
      <c r="AH20" s="462"/>
      <c r="AI20" s="462"/>
    </row>
    <row r="21" spans="1:35" s="88" customFormat="1" ht="11.25" customHeight="1" x14ac:dyDescent="0.2">
      <c r="A21" s="860"/>
      <c r="B21" s="4235"/>
      <c r="C21" s="4235"/>
      <c r="D21" s="1613" t="s">
        <v>49</v>
      </c>
      <c r="E21" s="414"/>
      <c r="F21" s="3022">
        <v>25910</v>
      </c>
      <c r="G21" s="3022">
        <v>28848.340000000026</v>
      </c>
      <c r="H21" s="3022">
        <v>32851.900000000023</v>
      </c>
      <c r="I21" s="3022">
        <v>38483.959999999992</v>
      </c>
      <c r="J21" s="3022">
        <v>47486.007000000012</v>
      </c>
      <c r="K21" s="3022">
        <v>45809.99099999998</v>
      </c>
      <c r="L21" s="3022">
        <v>47555.400000000023</v>
      </c>
      <c r="M21" s="3022">
        <v>53821.350084689999</v>
      </c>
      <c r="N21" s="3022">
        <v>60627.838999999978</v>
      </c>
      <c r="O21" s="3022">
        <v>70902</v>
      </c>
      <c r="P21" s="3022">
        <v>75631.717999999993</v>
      </c>
      <c r="Q21" s="3022">
        <v>84812.70299999998</v>
      </c>
      <c r="R21" s="3022">
        <v>84735.743978859857</v>
      </c>
      <c r="S21" s="3022">
        <v>87725.541454540042</v>
      </c>
      <c r="T21" s="3022">
        <v>101243.07753865002</v>
      </c>
      <c r="U21" s="3022">
        <v>112820.28786277992</v>
      </c>
      <c r="V21" s="3022">
        <v>122230.47644531983</v>
      </c>
      <c r="W21" s="3022">
        <v>127720.2989750409</v>
      </c>
      <c r="X21" s="3022">
        <v>143786.75380502001</v>
      </c>
      <c r="Y21" s="3022">
        <v>159973.46288720006</v>
      </c>
      <c r="Z21" s="3022">
        <v>176402.82805450982</v>
      </c>
      <c r="AA21" s="3022">
        <v>186169.01119988004</v>
      </c>
      <c r="AB21" s="3022">
        <v>199748.78161996999</v>
      </c>
      <c r="AC21" s="3022">
        <v>209452.40000000014</v>
      </c>
      <c r="AD21" s="3022">
        <v>178368.10000000009</v>
      </c>
      <c r="AE21" s="3022">
        <v>235939.09999999986</v>
      </c>
      <c r="AF21" s="3022">
        <v>237477.60000000009</v>
      </c>
      <c r="AG21" s="462"/>
      <c r="AH21" s="462"/>
      <c r="AI21" s="462"/>
    </row>
    <row r="22" spans="1:35" s="88" customFormat="1" ht="11.25" x14ac:dyDescent="0.2">
      <c r="A22" s="860"/>
      <c r="B22" s="4235"/>
      <c r="C22" s="4235"/>
      <c r="D22" s="4251" t="s">
        <v>50</v>
      </c>
      <c r="E22" s="4252"/>
      <c r="F22" s="3023">
        <v>147.30000000000001</v>
      </c>
      <c r="G22" s="3023">
        <v>165.32744</v>
      </c>
      <c r="H22" s="3023">
        <v>183.5</v>
      </c>
      <c r="I22" s="3023">
        <v>200.2</v>
      </c>
      <c r="J22" s="3023">
        <v>219.6</v>
      </c>
      <c r="K22" s="3023">
        <v>249.2</v>
      </c>
      <c r="L22" s="3023">
        <v>278.5</v>
      </c>
      <c r="M22" s="3023">
        <v>302.44255008468997</v>
      </c>
      <c r="N22" s="3023">
        <v>355</v>
      </c>
      <c r="O22" s="3023">
        <v>417.3</v>
      </c>
      <c r="P22" s="3023">
        <v>495.3</v>
      </c>
      <c r="Q22" s="3023">
        <v>572.9</v>
      </c>
      <c r="R22" s="3023">
        <v>625.10016497885999</v>
      </c>
      <c r="S22" s="3023">
        <v>598.70544350239004</v>
      </c>
      <c r="T22" s="3023">
        <v>674.18314589066006</v>
      </c>
      <c r="U22" s="3023">
        <v>742.64971317847994</v>
      </c>
      <c r="V22" s="3023">
        <v>813.82581486336994</v>
      </c>
      <c r="W22" s="3023">
        <v>900.01472045816081</v>
      </c>
      <c r="X22" s="3023">
        <v>986.3</v>
      </c>
      <c r="Y22" s="3023">
        <v>1070</v>
      </c>
      <c r="Z22" s="3023">
        <v>1144.0999999999999</v>
      </c>
      <c r="AA22" s="3023">
        <v>1216.46</v>
      </c>
      <c r="AB22" s="3023">
        <v>1287.7</v>
      </c>
      <c r="AC22" s="3023">
        <v>1355.8</v>
      </c>
      <c r="AD22" s="3023">
        <v>1249.7</v>
      </c>
      <c r="AE22" s="3023">
        <v>1563.8</v>
      </c>
      <c r="AF22" s="3023">
        <v>1683.5</v>
      </c>
      <c r="AG22" s="462"/>
      <c r="AH22" s="462"/>
      <c r="AI22" s="462"/>
    </row>
    <row r="23" spans="1:35" s="88" customFormat="1" ht="11.25" x14ac:dyDescent="0.2">
      <c r="A23" s="860"/>
      <c r="B23" s="836"/>
      <c r="C23" s="836"/>
      <c r="D23" s="131"/>
      <c r="E23" s="413"/>
      <c r="F23" s="3024"/>
      <c r="G23" s="3024">
        <f t="shared" ref="G23:AD23" si="1">G22/F22-1</f>
        <v>0.12238587915818044</v>
      </c>
      <c r="H23" s="3024">
        <f t="shared" si="1"/>
        <v>0.10991859548541982</v>
      </c>
      <c r="I23" s="3024">
        <f t="shared" si="1"/>
        <v>9.1008174386920881E-2</v>
      </c>
      <c r="J23" s="3024">
        <f t="shared" si="1"/>
        <v>9.6903096903096841E-2</v>
      </c>
      <c r="K23" s="3024">
        <f t="shared" si="1"/>
        <v>0.13479052823315119</v>
      </c>
      <c r="L23" s="3024">
        <f t="shared" si="1"/>
        <v>0.1175762439807384</v>
      </c>
      <c r="M23" s="3024">
        <f t="shared" si="1"/>
        <v>8.5969659190987313E-2</v>
      </c>
      <c r="N23" s="3024">
        <f t="shared" si="1"/>
        <v>0.17377663923476661</v>
      </c>
      <c r="O23" s="3024">
        <f t="shared" si="1"/>
        <v>0.17549295774647899</v>
      </c>
      <c r="P23" s="3024">
        <f t="shared" si="1"/>
        <v>0.18691588785046731</v>
      </c>
      <c r="Q23" s="3024">
        <f t="shared" si="1"/>
        <v>0.15667272360185747</v>
      </c>
      <c r="R23" s="3024">
        <f t="shared" si="1"/>
        <v>9.1115665873381158E-2</v>
      </c>
      <c r="S23" s="3024">
        <f t="shared" si="1"/>
        <v>-4.2224787250476181E-2</v>
      </c>
      <c r="T23" s="3025">
        <f t="shared" si="1"/>
        <v>0.12606817460474407</v>
      </c>
      <c r="U23" s="3025">
        <f t="shared" si="1"/>
        <v>0.10155484856769759</v>
      </c>
      <c r="V23" s="3025">
        <f t="shared" si="1"/>
        <v>9.5840744865115735E-2</v>
      </c>
      <c r="W23" s="3025">
        <f t="shared" si="1"/>
        <v>0.1059058388425056</v>
      </c>
      <c r="X23" s="3025">
        <f t="shared" si="1"/>
        <v>9.5870964752570842E-2</v>
      </c>
      <c r="Y23" s="3025">
        <f t="shared" si="1"/>
        <v>8.4862617864747136E-2</v>
      </c>
      <c r="Z23" s="3025">
        <f t="shared" si="1"/>
        <v>6.9252336448597962E-2</v>
      </c>
      <c r="AA23" s="3025">
        <f t="shared" si="1"/>
        <v>6.3246219736037279E-2</v>
      </c>
      <c r="AB23" s="3025">
        <f t="shared" si="1"/>
        <v>5.8563372408463987E-2</v>
      </c>
      <c r="AC23" s="3025">
        <f t="shared" si="1"/>
        <v>5.2884988739613226E-2</v>
      </c>
      <c r="AD23" s="3025">
        <f t="shared" si="1"/>
        <v>-7.8256379997049597E-2</v>
      </c>
      <c r="AE23" s="3025">
        <f>AE22/AD22-1</f>
        <v>0.25134032167720255</v>
      </c>
      <c r="AF23" s="3025">
        <f>AF22/AE22-1</f>
        <v>7.6544315129811968E-2</v>
      </c>
      <c r="AG23" s="462"/>
      <c r="AH23" s="462"/>
    </row>
    <row r="24" spans="1:35" s="88" customFormat="1" x14ac:dyDescent="0.2">
      <c r="A24" s="860"/>
      <c r="B24" s="836"/>
      <c r="C24" s="836"/>
      <c r="D24" s="131"/>
      <c r="E24" s="413"/>
      <c r="F24" s="1985"/>
      <c r="G24" s="1985"/>
      <c r="H24" s="1985"/>
      <c r="I24" s="1985"/>
      <c r="J24" s="1985"/>
      <c r="K24" s="1985"/>
      <c r="L24" s="1985"/>
      <c r="M24" s="1985"/>
      <c r="N24" s="512"/>
      <c r="O24" s="512"/>
      <c r="P24" s="512"/>
      <c r="Q24" s="512"/>
      <c r="R24" s="512"/>
      <c r="S24" s="512"/>
      <c r="T24" s="513"/>
      <c r="U24" s="513"/>
      <c r="V24" s="513"/>
      <c r="W24" s="513"/>
      <c r="X24" s="513"/>
      <c r="Y24" s="513"/>
      <c r="Z24" s="513"/>
      <c r="AA24" s="513"/>
      <c r="AB24" s="513"/>
      <c r="AC24" s="513"/>
      <c r="AD24" s="513"/>
      <c r="AE24" s="513"/>
      <c r="AF24" s="513"/>
      <c r="AG24" s="462"/>
      <c r="AH24" s="462"/>
    </row>
    <row r="25" spans="1:35" ht="12.75" x14ac:dyDescent="0.2">
      <c r="A25" s="509">
        <v>5</v>
      </c>
      <c r="B25" s="509" t="s">
        <v>51</v>
      </c>
      <c r="C25" s="509"/>
      <c r="T25" s="513"/>
      <c r="U25" s="513"/>
      <c r="V25" s="513"/>
      <c r="W25" s="513"/>
      <c r="X25" s="513"/>
      <c r="Y25" s="513"/>
      <c r="Z25" s="513"/>
      <c r="AA25" s="513"/>
      <c r="AB25" s="513"/>
      <c r="AC25" s="513"/>
      <c r="AD25" s="513"/>
      <c r="AE25" s="513"/>
      <c r="AF25" s="4256"/>
      <c r="AG25" s="513"/>
      <c r="AH25" s="513"/>
    </row>
    <row r="26" spans="1:35" x14ac:dyDescent="0.2">
      <c r="T26" s="513"/>
      <c r="U26" s="513"/>
      <c r="V26" s="4257"/>
      <c r="W26" s="4258"/>
      <c r="X26" s="513"/>
      <c r="Y26" s="513"/>
      <c r="Z26" s="513"/>
      <c r="AA26" s="513"/>
      <c r="AB26" s="513"/>
      <c r="AC26" s="4258"/>
      <c r="AD26" s="4258"/>
      <c r="AE26" s="4258"/>
      <c r="AF26" s="4258"/>
      <c r="AG26" s="513"/>
      <c r="AH26" s="513"/>
    </row>
    <row r="27" spans="1:35" x14ac:dyDescent="0.2">
      <c r="M27" s="532"/>
      <c r="V27" s="3027"/>
      <c r="W27" s="3026"/>
      <c r="AA27" s="3028"/>
      <c r="AB27" s="3028"/>
      <c r="AC27" s="4232"/>
      <c r="AD27" s="4232"/>
      <c r="AE27" s="4232"/>
      <c r="AF27" s="4232"/>
    </row>
    <row r="28" spans="1:35" x14ac:dyDescent="0.2">
      <c r="M28" s="545"/>
      <c r="V28" s="3029"/>
      <c r="W28" s="3030"/>
      <c r="AC28" s="4232"/>
      <c r="AD28" s="4232"/>
      <c r="AE28" s="4232"/>
      <c r="AF28" s="4232"/>
    </row>
    <row r="29" spans="1:35" x14ac:dyDescent="0.2">
      <c r="M29" s="545"/>
      <c r="W29" s="3032"/>
      <c r="AC29" s="4232"/>
      <c r="AD29" s="4232"/>
      <c r="AE29" s="4232"/>
      <c r="AF29" s="4232"/>
    </row>
    <row r="30" spans="1:35" x14ac:dyDescent="0.2">
      <c r="M30" s="545"/>
      <c r="W30" s="3032"/>
      <c r="AE30" s="4233"/>
      <c r="AF30" s="4234"/>
    </row>
    <row r="31" spans="1:35" x14ac:dyDescent="0.2">
      <c r="M31" s="545"/>
    </row>
    <row r="32" spans="1:35" x14ac:dyDescent="0.2">
      <c r="M32" s="545"/>
      <c r="W32" s="3033"/>
      <c r="AA32" s="3034"/>
    </row>
    <row r="33" spans="1:29" x14ac:dyDescent="0.2">
      <c r="M33" s="545"/>
      <c r="W33" s="3033"/>
      <c r="AA33" s="3034"/>
    </row>
    <row r="34" spans="1:29" x14ac:dyDescent="0.2">
      <c r="M34" s="545"/>
      <c r="W34" s="3033"/>
      <c r="AA34" s="3034"/>
    </row>
    <row r="35" spans="1:29" x14ac:dyDescent="0.2">
      <c r="M35" s="545"/>
      <c r="AA35" s="3034"/>
    </row>
    <row r="36" spans="1:29" x14ac:dyDescent="0.2">
      <c r="M36" s="545"/>
    </row>
    <row r="37" spans="1:29" x14ac:dyDescent="0.2">
      <c r="M37" s="545"/>
    </row>
    <row r="38" spans="1:29" ht="12.75" x14ac:dyDescent="0.2">
      <c r="M38" s="545"/>
      <c r="W38" s="3035"/>
    </row>
    <row r="39" spans="1:29" x14ac:dyDescent="0.2">
      <c r="M39" s="545"/>
    </row>
    <row r="40" spans="1:29" x14ac:dyDescent="0.2">
      <c r="M40" s="545"/>
    </row>
    <row r="41" spans="1:29" x14ac:dyDescent="0.2">
      <c r="M41" s="545"/>
    </row>
    <row r="42" spans="1:29" x14ac:dyDescent="0.2">
      <c r="M42" s="545"/>
    </row>
    <row r="43" spans="1:29" x14ac:dyDescent="0.2">
      <c r="M43" s="545"/>
    </row>
    <row r="44" spans="1:29" x14ac:dyDescent="0.2">
      <c r="M44" s="545"/>
    </row>
    <row r="45" spans="1:29" x14ac:dyDescent="0.2">
      <c r="M45" s="545"/>
    </row>
    <row r="46" spans="1:29" s="508" customFormat="1" ht="14.25" customHeight="1" x14ac:dyDescent="0.2">
      <c r="A46" s="509">
        <v>6</v>
      </c>
      <c r="B46" s="509" t="s">
        <v>52</v>
      </c>
      <c r="C46" s="509"/>
      <c r="D46" s="4603" t="s">
        <v>53</v>
      </c>
      <c r="E46" s="4604"/>
      <c r="F46" s="4604"/>
      <c r="G46" s="4604"/>
      <c r="H46" s="4604"/>
      <c r="I46" s="4604"/>
      <c r="J46" s="4604"/>
      <c r="K46" s="4604"/>
      <c r="L46" s="4604"/>
      <c r="M46" s="4604"/>
      <c r="N46" s="4604"/>
      <c r="O46" s="4604"/>
      <c r="P46" s="4604"/>
      <c r="Q46" s="4604"/>
      <c r="R46" s="4604"/>
      <c r="S46" s="4604"/>
      <c r="T46" s="4604"/>
      <c r="U46" s="4604"/>
      <c r="V46" s="4604"/>
      <c r="W46" s="4604"/>
      <c r="X46" s="4604"/>
      <c r="Y46" s="4604"/>
      <c r="Z46" s="4604"/>
      <c r="AA46" s="4604"/>
      <c r="AB46" s="4605"/>
      <c r="AC46" s="4176"/>
    </row>
    <row r="47" spans="1:29" s="508" customFormat="1" ht="27" customHeight="1" x14ac:dyDescent="0.2">
      <c r="A47" s="546">
        <v>7</v>
      </c>
      <c r="B47" s="546" t="s">
        <v>54</v>
      </c>
      <c r="C47" s="546"/>
      <c r="D47" s="4603" t="s">
        <v>55</v>
      </c>
      <c r="E47" s="4604"/>
      <c r="F47" s="4604"/>
      <c r="G47" s="4604"/>
      <c r="H47" s="4604"/>
      <c r="I47" s="4604"/>
      <c r="J47" s="4604"/>
      <c r="K47" s="4604"/>
      <c r="L47" s="4604"/>
      <c r="M47" s="4604"/>
      <c r="N47" s="4604"/>
      <c r="O47" s="4604"/>
      <c r="P47" s="4604"/>
      <c r="Q47" s="4604"/>
      <c r="R47" s="4604"/>
      <c r="S47" s="4604"/>
      <c r="T47" s="4604"/>
      <c r="U47" s="4604"/>
      <c r="V47" s="4604"/>
      <c r="W47" s="4604"/>
      <c r="X47" s="4604"/>
      <c r="Y47" s="4604"/>
      <c r="Z47" s="4604"/>
      <c r="AA47" s="4604"/>
      <c r="AB47" s="4605"/>
      <c r="AC47" s="4176"/>
    </row>
    <row r="48" spans="1:29" s="508" customFormat="1" ht="15.75" customHeight="1" x14ac:dyDescent="0.2">
      <c r="A48" s="509">
        <v>8</v>
      </c>
      <c r="B48" s="509" t="s">
        <v>56</v>
      </c>
      <c r="C48" s="509"/>
      <c r="D48" s="4603" t="s">
        <v>57</v>
      </c>
      <c r="E48" s="4604"/>
      <c r="F48" s="4604"/>
      <c r="G48" s="4604"/>
      <c r="H48" s="4604"/>
      <c r="I48" s="4604"/>
      <c r="J48" s="4604"/>
      <c r="K48" s="4604"/>
      <c r="L48" s="4604"/>
      <c r="M48" s="4604"/>
      <c r="N48" s="4604"/>
      <c r="O48" s="4604"/>
      <c r="P48" s="4604"/>
      <c r="Q48" s="4604"/>
      <c r="R48" s="4604"/>
      <c r="S48" s="4604"/>
      <c r="T48" s="4604"/>
      <c r="U48" s="4604"/>
      <c r="V48" s="4604"/>
      <c r="W48" s="4604"/>
      <c r="X48" s="4604"/>
      <c r="Y48" s="4604"/>
      <c r="Z48" s="4604"/>
      <c r="AA48" s="4604"/>
      <c r="AB48" s="4605"/>
      <c r="AC48" s="4176"/>
    </row>
    <row r="49" spans="1:29" s="508" customFormat="1" ht="38.25" customHeight="1" x14ac:dyDescent="0.2">
      <c r="A49" s="509">
        <v>9</v>
      </c>
      <c r="B49" s="509" t="s">
        <v>58</v>
      </c>
      <c r="C49" s="509"/>
      <c r="D49" s="4603" t="s">
        <v>2182</v>
      </c>
      <c r="E49" s="4604"/>
      <c r="F49" s="4604"/>
      <c r="G49" s="4604"/>
      <c r="H49" s="4604"/>
      <c r="I49" s="4604"/>
      <c r="J49" s="4604"/>
      <c r="K49" s="4604"/>
      <c r="L49" s="4604"/>
      <c r="M49" s="4604"/>
      <c r="N49" s="4604"/>
      <c r="O49" s="4604"/>
      <c r="P49" s="4604"/>
      <c r="Q49" s="4604"/>
      <c r="R49" s="4604"/>
      <c r="S49" s="4604"/>
      <c r="T49" s="4604"/>
      <c r="U49" s="4604"/>
      <c r="V49" s="4604"/>
      <c r="W49" s="4604"/>
      <c r="X49" s="4604"/>
      <c r="Y49" s="4604"/>
      <c r="Z49" s="4604"/>
      <c r="AA49" s="4604"/>
      <c r="AB49" s="4605"/>
      <c r="AC49" s="4176"/>
    </row>
    <row r="51" spans="1:29" ht="12.75" customHeight="1" x14ac:dyDescent="0.2">
      <c r="A51" s="70">
        <v>10</v>
      </c>
      <c r="B51" s="509" t="s">
        <v>2183</v>
      </c>
      <c r="C51" s="509"/>
      <c r="D51" s="4606" t="s">
        <v>2184</v>
      </c>
      <c r="E51" s="4607"/>
      <c r="F51" s="4607"/>
      <c r="G51" s="4607"/>
      <c r="H51" s="4607"/>
      <c r="I51" s="4607"/>
      <c r="J51" s="4607"/>
      <c r="K51" s="4607"/>
      <c r="L51" s="4607"/>
      <c r="M51" s="4607"/>
      <c r="N51" s="4607"/>
      <c r="O51" s="4607"/>
      <c r="P51" s="4607"/>
      <c r="Q51" s="4607"/>
      <c r="R51" s="4607"/>
      <c r="S51" s="4607"/>
      <c r="T51" s="4607"/>
      <c r="U51" s="4607"/>
      <c r="V51" s="4607"/>
      <c r="W51" s="4607"/>
      <c r="X51" s="4607"/>
      <c r="Y51" s="4607"/>
      <c r="Z51" s="4608"/>
      <c r="AA51" s="4174"/>
      <c r="AB51" s="4174"/>
      <c r="AC51" s="3036"/>
    </row>
    <row r="52" spans="1:29" ht="12" customHeight="1" x14ac:dyDescent="0.2">
      <c r="D52" s="4609"/>
      <c r="E52" s="4610"/>
      <c r="F52" s="4610"/>
      <c r="G52" s="4610"/>
      <c r="H52" s="4610"/>
      <c r="I52" s="4610"/>
      <c r="J52" s="4610"/>
      <c r="K52" s="4610"/>
      <c r="L52" s="4610"/>
      <c r="M52" s="4610"/>
      <c r="N52" s="4610"/>
      <c r="O52" s="4610"/>
      <c r="P52" s="4610"/>
      <c r="Q52" s="4610"/>
      <c r="R52" s="4610"/>
      <c r="S52" s="4610"/>
      <c r="T52" s="4610"/>
      <c r="U52" s="4610"/>
      <c r="V52" s="4610"/>
      <c r="W52" s="4610"/>
      <c r="X52" s="4610"/>
      <c r="Y52" s="4610"/>
      <c r="Z52" s="4611"/>
      <c r="AA52" s="344"/>
      <c r="AB52" s="344"/>
    </row>
    <row r="53" spans="1:29" ht="12" customHeight="1" x14ac:dyDescent="0.2">
      <c r="D53" s="4609"/>
      <c r="E53" s="4610"/>
      <c r="F53" s="4610"/>
      <c r="G53" s="4610"/>
      <c r="H53" s="4610"/>
      <c r="I53" s="4610"/>
      <c r="J53" s="4610"/>
      <c r="K53" s="4610"/>
      <c r="L53" s="4610"/>
      <c r="M53" s="4610"/>
      <c r="N53" s="4610"/>
      <c r="O53" s="4610"/>
      <c r="P53" s="4610"/>
      <c r="Q53" s="4610"/>
      <c r="R53" s="4610"/>
      <c r="S53" s="4610"/>
      <c r="T53" s="4610"/>
      <c r="U53" s="4610"/>
      <c r="V53" s="4610"/>
      <c r="W53" s="4610"/>
      <c r="X53" s="4610"/>
      <c r="Y53" s="4610"/>
      <c r="Z53" s="4611"/>
      <c r="AA53" s="344"/>
      <c r="AB53" s="344"/>
    </row>
    <row r="54" spans="1:29" ht="12" customHeight="1" x14ac:dyDescent="0.2">
      <c r="D54" s="4609"/>
      <c r="E54" s="4610"/>
      <c r="F54" s="4610"/>
      <c r="G54" s="4610"/>
      <c r="H54" s="4610"/>
      <c r="I54" s="4610"/>
      <c r="J54" s="4610"/>
      <c r="K54" s="4610"/>
      <c r="L54" s="4610"/>
      <c r="M54" s="4610"/>
      <c r="N54" s="4610"/>
      <c r="O54" s="4610"/>
      <c r="P54" s="4610"/>
      <c r="Q54" s="4610"/>
      <c r="R54" s="4610"/>
      <c r="S54" s="4610"/>
      <c r="T54" s="4610"/>
      <c r="U54" s="4610"/>
      <c r="V54" s="4610"/>
      <c r="W54" s="4610"/>
      <c r="X54" s="4610"/>
      <c r="Y54" s="4610"/>
      <c r="Z54" s="4611"/>
      <c r="AA54" s="344"/>
      <c r="AB54" s="344"/>
    </row>
    <row r="55" spans="1:29" ht="12" customHeight="1" x14ac:dyDescent="0.2">
      <c r="D55" s="4609"/>
      <c r="E55" s="4610"/>
      <c r="F55" s="4610"/>
      <c r="G55" s="4610"/>
      <c r="H55" s="4610"/>
      <c r="I55" s="4610"/>
      <c r="J55" s="4610"/>
      <c r="K55" s="4610"/>
      <c r="L55" s="4610"/>
      <c r="M55" s="4610"/>
      <c r="N55" s="4610"/>
      <c r="O55" s="4610"/>
      <c r="P55" s="4610"/>
      <c r="Q55" s="4610"/>
      <c r="R55" s="4610"/>
      <c r="S55" s="4610"/>
      <c r="T55" s="4610"/>
      <c r="U55" s="4610"/>
      <c r="V55" s="4610"/>
      <c r="W55" s="4610"/>
      <c r="X55" s="4610"/>
      <c r="Y55" s="4610"/>
      <c r="Z55" s="4611"/>
      <c r="AA55" s="344"/>
      <c r="AB55" s="344"/>
    </row>
    <row r="56" spans="1:29" x14ac:dyDescent="0.2">
      <c r="D56" s="4609"/>
      <c r="E56" s="4610"/>
      <c r="F56" s="4610"/>
      <c r="G56" s="4610"/>
      <c r="H56" s="4610"/>
      <c r="I56" s="4610"/>
      <c r="J56" s="4610"/>
      <c r="K56" s="4610"/>
      <c r="L56" s="4610"/>
      <c r="M56" s="4610"/>
      <c r="N56" s="4610"/>
      <c r="O56" s="4610"/>
      <c r="P56" s="4610"/>
      <c r="Q56" s="4610"/>
      <c r="R56" s="4610"/>
      <c r="S56" s="4610"/>
      <c r="T56" s="4610"/>
      <c r="U56" s="4610"/>
      <c r="V56" s="4610"/>
      <c r="W56" s="4610"/>
      <c r="X56" s="4610"/>
      <c r="Y56" s="4610"/>
      <c r="Z56" s="4611"/>
    </row>
    <row r="57" spans="1:29" x14ac:dyDescent="0.2">
      <c r="D57" s="4609"/>
      <c r="E57" s="4610"/>
      <c r="F57" s="4610"/>
      <c r="G57" s="4610"/>
      <c r="H57" s="4610"/>
      <c r="I57" s="4610"/>
      <c r="J57" s="4610"/>
      <c r="K57" s="4610"/>
      <c r="L57" s="4610"/>
      <c r="M57" s="4610"/>
      <c r="N57" s="4610"/>
      <c r="O57" s="4610"/>
      <c r="P57" s="4610"/>
      <c r="Q57" s="4610"/>
      <c r="R57" s="4610"/>
      <c r="S57" s="4610"/>
      <c r="T57" s="4610"/>
      <c r="U57" s="4610"/>
      <c r="V57" s="4610"/>
      <c r="W57" s="4610"/>
      <c r="X57" s="4610"/>
      <c r="Y57" s="4610"/>
      <c r="Z57" s="4611"/>
    </row>
    <row r="58" spans="1:29" x14ac:dyDescent="0.2">
      <c r="D58" s="4609"/>
      <c r="E58" s="4610"/>
      <c r="F58" s="4610"/>
      <c r="G58" s="4610"/>
      <c r="H58" s="4610"/>
      <c r="I58" s="4610"/>
      <c r="J58" s="4610"/>
      <c r="K58" s="4610"/>
      <c r="L58" s="4610"/>
      <c r="M58" s="4610"/>
      <c r="N58" s="4610"/>
      <c r="O58" s="4610"/>
      <c r="P58" s="4610"/>
      <c r="Q58" s="4610"/>
      <c r="R58" s="4610"/>
      <c r="S58" s="4610"/>
      <c r="T58" s="4610"/>
      <c r="U58" s="4610"/>
      <c r="V58" s="4610"/>
      <c r="W58" s="4610"/>
      <c r="X58" s="4610"/>
      <c r="Y58" s="4610"/>
      <c r="Z58" s="4611"/>
    </row>
    <row r="59" spans="1:29" x14ac:dyDescent="0.2">
      <c r="D59" s="4609"/>
      <c r="E59" s="4610"/>
      <c r="F59" s="4610"/>
      <c r="G59" s="4610"/>
      <c r="H59" s="4610"/>
      <c r="I59" s="4610"/>
      <c r="J59" s="4610"/>
      <c r="K59" s="4610"/>
      <c r="L59" s="4610"/>
      <c r="M59" s="4610"/>
      <c r="N59" s="4610"/>
      <c r="O59" s="4610"/>
      <c r="P59" s="4610"/>
      <c r="Q59" s="4610"/>
      <c r="R59" s="4610"/>
      <c r="S59" s="4610"/>
      <c r="T59" s="4610"/>
      <c r="U59" s="4610"/>
      <c r="V59" s="4610"/>
      <c r="W59" s="4610"/>
      <c r="X59" s="4610"/>
      <c r="Y59" s="4610"/>
      <c r="Z59" s="4611"/>
    </row>
    <row r="60" spans="1:29" x14ac:dyDescent="0.2">
      <c r="D60" s="4612"/>
      <c r="E60" s="4613"/>
      <c r="F60" s="4613"/>
      <c r="G60" s="4613"/>
      <c r="H60" s="4613"/>
      <c r="I60" s="4613"/>
      <c r="J60" s="4613"/>
      <c r="K60" s="4613"/>
      <c r="L60" s="4613"/>
      <c r="M60" s="4613"/>
      <c r="N60" s="4613"/>
      <c r="O60" s="4613"/>
      <c r="P60" s="4613"/>
      <c r="Q60" s="4613"/>
      <c r="R60" s="4613"/>
      <c r="S60" s="4613"/>
      <c r="T60" s="4613"/>
      <c r="U60" s="4613"/>
      <c r="V60" s="4613"/>
      <c r="W60" s="4613"/>
      <c r="X60" s="4613"/>
      <c r="Y60" s="4613"/>
      <c r="Z60" s="4614"/>
    </row>
    <row r="67" spans="4:32" x14ac:dyDescent="0.2">
      <c r="D67" s="131" t="s">
        <v>1</v>
      </c>
      <c r="E67" s="419" t="s">
        <v>44</v>
      </c>
      <c r="F67" s="3014" t="s">
        <v>9</v>
      </c>
      <c r="G67" s="3014" t="s">
        <v>10</v>
      </c>
      <c r="H67" s="3014" t="s">
        <v>11</v>
      </c>
      <c r="I67" s="3014" t="s">
        <v>12</v>
      </c>
      <c r="J67" s="3015" t="s">
        <v>13</v>
      </c>
      <c r="K67" s="3014" t="s">
        <v>14</v>
      </c>
      <c r="L67" s="3014" t="s">
        <v>15</v>
      </c>
      <c r="M67" s="3014" t="s">
        <v>16</v>
      </c>
      <c r="N67" s="3014" t="s">
        <v>17</v>
      </c>
      <c r="O67" s="3014" t="s">
        <v>18</v>
      </c>
      <c r="P67" s="3014" t="s">
        <v>19</v>
      </c>
      <c r="Q67" s="3014" t="s">
        <v>20</v>
      </c>
      <c r="R67" s="3014" t="s">
        <v>21</v>
      </c>
      <c r="S67" s="3014" t="s">
        <v>22</v>
      </c>
      <c r="T67" s="3016" t="s">
        <v>23</v>
      </c>
      <c r="U67" s="3016" t="s">
        <v>24</v>
      </c>
      <c r="V67" s="3016" t="s">
        <v>25</v>
      </c>
      <c r="W67" s="3016" t="s">
        <v>26</v>
      </c>
      <c r="X67" s="3016" t="s">
        <v>27</v>
      </c>
      <c r="Y67" s="3017" t="s">
        <v>28</v>
      </c>
      <c r="Z67" s="3018" t="s">
        <v>29</v>
      </c>
      <c r="AA67" s="3018" t="s">
        <v>30</v>
      </c>
      <c r="AB67" s="3018" t="s">
        <v>31</v>
      </c>
      <c r="AC67" s="3018" t="s">
        <v>32</v>
      </c>
      <c r="AD67" s="3018" t="s">
        <v>33</v>
      </c>
      <c r="AE67" s="3018" t="s">
        <v>59</v>
      </c>
      <c r="AF67" s="3018" t="s">
        <v>35</v>
      </c>
    </row>
    <row r="68" spans="4:32" x14ac:dyDescent="0.2">
      <c r="D68" s="109" t="s">
        <v>45</v>
      </c>
      <c r="E68" s="413"/>
      <c r="F68" s="3031">
        <f>F17/1000</f>
        <v>59.908999999999999</v>
      </c>
      <c r="G68" s="3031">
        <f t="shared" ref="G68:AF72" si="2">G17/1000</f>
        <v>68.718399999999988</v>
      </c>
      <c r="H68" s="3031">
        <f t="shared" si="2"/>
        <v>78.079499999999996</v>
      </c>
      <c r="I68" s="3031">
        <f t="shared" si="2"/>
        <v>86.162700000000001</v>
      </c>
      <c r="J68" s="3031">
        <f t="shared" si="2"/>
        <v>79.756</v>
      </c>
      <c r="K68" s="3031">
        <f t="shared" si="2"/>
        <v>90.977000000000004</v>
      </c>
      <c r="L68" s="3031">
        <f t="shared" si="2"/>
        <v>95.366900000000001</v>
      </c>
      <c r="M68" s="3031">
        <f t="shared" si="2"/>
        <v>99.020499999999998</v>
      </c>
      <c r="N68" s="3031">
        <f t="shared" si="2"/>
        <v>111.696561</v>
      </c>
      <c r="O68" s="3031">
        <f t="shared" si="2"/>
        <v>126.4164</v>
      </c>
      <c r="P68" s="3031">
        <f t="shared" si="2"/>
        <v>141.39708000000002</v>
      </c>
      <c r="Q68" s="3031">
        <f t="shared" si="2"/>
        <v>169.53925300000003</v>
      </c>
      <c r="R68" s="3031">
        <f t="shared" si="2"/>
        <v>196.068037</v>
      </c>
      <c r="S68" s="3031">
        <f t="shared" si="2"/>
        <v>206.48353338388009</v>
      </c>
      <c r="T68" s="3031">
        <f t="shared" si="2"/>
        <v>228.09611159448002</v>
      </c>
      <c r="U68" s="3031">
        <f t="shared" si="2"/>
        <v>251.33914729868999</v>
      </c>
      <c r="V68" s="3031">
        <f t="shared" si="2"/>
        <v>276.67857430246005</v>
      </c>
      <c r="W68" s="3031">
        <f t="shared" si="2"/>
        <v>310.92899241367002</v>
      </c>
      <c r="X68" s="3031">
        <f t="shared" si="2"/>
        <v>353.91810976956992</v>
      </c>
      <c r="Y68" s="3031">
        <f t="shared" si="2"/>
        <v>389.27970173759996</v>
      </c>
      <c r="Z68" s="3031">
        <f t="shared" si="2"/>
        <v>425.92406663148006</v>
      </c>
      <c r="AA68" s="3031">
        <f t="shared" si="2"/>
        <v>462.90313275247996</v>
      </c>
      <c r="AB68" s="3031">
        <f t="shared" si="2"/>
        <v>493.82877995540997</v>
      </c>
      <c r="AC68" s="3031">
        <f t="shared" si="2"/>
        <v>529.17240000000004</v>
      </c>
      <c r="AD68" s="3031">
        <f t="shared" si="2"/>
        <v>488.44579999999996</v>
      </c>
      <c r="AE68" s="3031">
        <f t="shared" si="2"/>
        <v>555.50740000000008</v>
      </c>
      <c r="AF68" s="3031">
        <f t="shared" si="2"/>
        <v>601.9831999999999</v>
      </c>
    </row>
    <row r="69" spans="4:32" x14ac:dyDescent="0.2">
      <c r="D69" s="109" t="s">
        <v>46</v>
      </c>
      <c r="E69" s="413"/>
      <c r="F69" s="3031">
        <f>F18/1000</f>
        <v>19.059999999999999</v>
      </c>
      <c r="G69" s="3031">
        <f t="shared" si="2"/>
        <v>21.608700000000002</v>
      </c>
      <c r="H69" s="3031">
        <f t="shared" si="2"/>
        <v>22.9253</v>
      </c>
      <c r="I69" s="3031">
        <f t="shared" si="2"/>
        <v>20.658300000000001</v>
      </c>
      <c r="J69" s="3031">
        <f t="shared" si="2"/>
        <v>30.049199999999999</v>
      </c>
      <c r="K69" s="3031">
        <f t="shared" si="2"/>
        <v>42.723699999999994</v>
      </c>
      <c r="L69" s="3031">
        <f t="shared" si="2"/>
        <v>56.431899999999999</v>
      </c>
      <c r="M69" s="3031">
        <f t="shared" si="2"/>
        <v>60.560400000000001</v>
      </c>
      <c r="N69" s="3031">
        <f t="shared" si="2"/>
        <v>71.62936000000002</v>
      </c>
      <c r="O69" s="3031">
        <f t="shared" si="2"/>
        <v>87.326499999999996</v>
      </c>
      <c r="P69" s="3031">
        <f t="shared" si="2"/>
        <v>120.11160000000001</v>
      </c>
      <c r="Q69" s="3031">
        <f t="shared" si="2"/>
        <v>141.635435</v>
      </c>
      <c r="R69" s="3031">
        <f t="shared" si="2"/>
        <v>167.20223999999999</v>
      </c>
      <c r="S69" s="3031">
        <f t="shared" si="2"/>
        <v>136.97793176756997</v>
      </c>
      <c r="T69" s="3031">
        <f t="shared" si="2"/>
        <v>134.63507949267003</v>
      </c>
      <c r="U69" s="3031">
        <f t="shared" si="2"/>
        <v>153.27217884888</v>
      </c>
      <c r="V69" s="3031">
        <f t="shared" si="2"/>
        <v>160.89579553077999</v>
      </c>
      <c r="W69" s="3031">
        <f t="shared" si="2"/>
        <v>179.52012193793001</v>
      </c>
      <c r="X69" s="3031">
        <f t="shared" si="2"/>
        <v>186.62155362948002</v>
      </c>
      <c r="Y69" s="3031">
        <f t="shared" si="2"/>
        <v>193.38529987314004</v>
      </c>
      <c r="Z69" s="3031">
        <f t="shared" si="2"/>
        <v>207.0273</v>
      </c>
      <c r="AA69" s="3031">
        <f t="shared" si="2"/>
        <v>220.23855604764</v>
      </c>
      <c r="AB69" s="3031">
        <f t="shared" si="2"/>
        <v>214.38837708902</v>
      </c>
      <c r="AC69" s="3031">
        <f t="shared" si="2"/>
        <v>214.98599999999999</v>
      </c>
      <c r="AD69" s="3031">
        <f t="shared" si="2"/>
        <v>204.3989</v>
      </c>
      <c r="AE69" s="3031">
        <f t="shared" si="2"/>
        <v>323.46459999999996</v>
      </c>
      <c r="AF69" s="3031">
        <f t="shared" si="2"/>
        <v>347.67740000000003</v>
      </c>
    </row>
    <row r="70" spans="4:32" x14ac:dyDescent="0.2">
      <c r="D70" s="109" t="s">
        <v>47</v>
      </c>
      <c r="E70" s="413"/>
      <c r="F70" s="3031">
        <f>F19/1000</f>
        <v>35.902999999999999</v>
      </c>
      <c r="G70" s="3031">
        <f t="shared" si="2"/>
        <v>40.095999999999997</v>
      </c>
      <c r="H70" s="3031">
        <f t="shared" si="2"/>
        <v>43.677</v>
      </c>
      <c r="I70" s="3031">
        <f t="shared" si="2"/>
        <v>48.376839999999994</v>
      </c>
      <c r="J70" s="3031">
        <f t="shared" si="2"/>
        <v>54.455193000000001</v>
      </c>
      <c r="K70" s="3031">
        <f t="shared" si="2"/>
        <v>61.056608999999995</v>
      </c>
      <c r="L70" s="3031">
        <f t="shared" si="2"/>
        <v>69.784300000000002</v>
      </c>
      <c r="M70" s="3031">
        <f t="shared" si="2"/>
        <v>80.602899999999991</v>
      </c>
      <c r="N70" s="3031">
        <f t="shared" si="2"/>
        <v>98.157875000000004</v>
      </c>
      <c r="O70" s="3031">
        <f t="shared" si="2"/>
        <v>114.3516</v>
      </c>
      <c r="P70" s="3031">
        <f t="shared" si="2"/>
        <v>134.46259899999998</v>
      </c>
      <c r="Q70" s="3031">
        <f t="shared" si="2"/>
        <v>150.442849</v>
      </c>
      <c r="R70" s="3031">
        <f t="shared" si="2"/>
        <v>154.34312100000002</v>
      </c>
      <c r="S70" s="3031">
        <f t="shared" si="2"/>
        <v>147.94132226163995</v>
      </c>
      <c r="T70" s="3031">
        <f t="shared" si="2"/>
        <v>183.57143947361001</v>
      </c>
      <c r="U70" s="3031">
        <f t="shared" si="2"/>
        <v>191.02019853625001</v>
      </c>
      <c r="V70" s="3031">
        <f t="shared" si="2"/>
        <v>215.02303517332999</v>
      </c>
      <c r="W70" s="3031">
        <f t="shared" si="2"/>
        <v>237.66657887254004</v>
      </c>
      <c r="X70" s="3031">
        <f t="shared" si="2"/>
        <v>261.29478794094996</v>
      </c>
      <c r="Y70" s="3031">
        <f t="shared" si="2"/>
        <v>281.11141002235991</v>
      </c>
      <c r="Z70" s="3031">
        <f t="shared" si="2"/>
        <v>289.16672246190001</v>
      </c>
      <c r="AA70" s="3031">
        <f t="shared" si="2"/>
        <v>297.99759999999998</v>
      </c>
      <c r="AB70" s="3031">
        <f t="shared" si="2"/>
        <v>324.76596133560002</v>
      </c>
      <c r="AC70" s="3031">
        <f t="shared" si="2"/>
        <v>346.76079999999996</v>
      </c>
      <c r="AD70" s="3031">
        <f t="shared" si="2"/>
        <v>331.1968</v>
      </c>
      <c r="AE70" s="3031">
        <f t="shared" si="2"/>
        <v>390.89509999999996</v>
      </c>
      <c r="AF70" s="3031">
        <f t="shared" si="2"/>
        <v>422.41640000000001</v>
      </c>
    </row>
    <row r="71" spans="4:32" x14ac:dyDescent="0.2">
      <c r="D71" s="109" t="s">
        <v>48</v>
      </c>
      <c r="E71" s="413"/>
      <c r="F71" s="3031">
        <f>F20/1000</f>
        <v>6.5179999999999998</v>
      </c>
      <c r="G71" s="3031">
        <f t="shared" si="2"/>
        <v>6.056</v>
      </c>
      <c r="H71" s="3031">
        <f t="shared" si="2"/>
        <v>5.9663000000000004</v>
      </c>
      <c r="I71" s="3031">
        <f t="shared" si="2"/>
        <v>6.5182000000000002</v>
      </c>
      <c r="J71" s="3031">
        <f t="shared" si="2"/>
        <v>7.8536000000000001</v>
      </c>
      <c r="K71" s="3031">
        <f t="shared" si="2"/>
        <v>8.6327000000000016</v>
      </c>
      <c r="L71" s="3031">
        <f t="shared" si="2"/>
        <v>9.3614999999999995</v>
      </c>
      <c r="M71" s="3031">
        <f t="shared" si="2"/>
        <v>8.4374000000000002</v>
      </c>
      <c r="N71" s="3031">
        <f t="shared" si="2"/>
        <v>12.888365</v>
      </c>
      <c r="O71" s="3031">
        <f t="shared" si="2"/>
        <v>18.3035</v>
      </c>
      <c r="P71" s="3031">
        <f t="shared" si="2"/>
        <v>23.697003000000002</v>
      </c>
      <c r="Q71" s="3031">
        <f t="shared" si="2"/>
        <v>26.469759999999997</v>
      </c>
      <c r="R71" s="3031">
        <f t="shared" si="2"/>
        <v>22.751023</v>
      </c>
      <c r="S71" s="3031">
        <f t="shared" si="2"/>
        <v>19.577114634760001</v>
      </c>
      <c r="T71" s="3031">
        <f t="shared" si="2"/>
        <v>26.637437791249997</v>
      </c>
      <c r="U71" s="3031">
        <f t="shared" si="2"/>
        <v>34.197900631880003</v>
      </c>
      <c r="V71" s="3031">
        <f t="shared" si="2"/>
        <v>38.997933411479998</v>
      </c>
      <c r="W71" s="3031">
        <f t="shared" si="2"/>
        <v>44.178728258979994</v>
      </c>
      <c r="X71" s="3031">
        <f t="shared" si="2"/>
        <v>40.678794854979998</v>
      </c>
      <c r="Y71" s="3031">
        <f t="shared" si="2"/>
        <v>46.250125479700017</v>
      </c>
      <c r="Z71" s="3031">
        <f t="shared" si="2"/>
        <v>45.579082852109998</v>
      </c>
      <c r="AA71" s="3031">
        <f t="shared" si="2"/>
        <v>49.151699999999998</v>
      </c>
      <c r="AB71" s="3031">
        <f t="shared" si="2"/>
        <v>54.9681</v>
      </c>
      <c r="AC71" s="3031">
        <f t="shared" si="2"/>
        <v>55.428400000000003</v>
      </c>
      <c r="AD71" s="3031">
        <f t="shared" si="2"/>
        <v>47.290399999999998</v>
      </c>
      <c r="AE71" s="3031">
        <f t="shared" si="2"/>
        <v>57.9938</v>
      </c>
      <c r="AF71" s="3031">
        <f t="shared" si="2"/>
        <v>73.945399999999992</v>
      </c>
    </row>
    <row r="72" spans="4:32" x14ac:dyDescent="0.2">
      <c r="D72" s="109" t="s">
        <v>49</v>
      </c>
      <c r="E72" s="413"/>
      <c r="F72" s="3031">
        <f>F21/1000</f>
        <v>25.91</v>
      </c>
      <c r="G72" s="3031">
        <f t="shared" si="2"/>
        <v>28.848340000000025</v>
      </c>
      <c r="H72" s="3031">
        <f t="shared" si="2"/>
        <v>32.851900000000022</v>
      </c>
      <c r="I72" s="3031">
        <f t="shared" si="2"/>
        <v>38.483959999999989</v>
      </c>
      <c r="J72" s="3031">
        <f t="shared" si="2"/>
        <v>47.486007000000015</v>
      </c>
      <c r="K72" s="3031">
        <f t="shared" si="2"/>
        <v>45.809990999999982</v>
      </c>
      <c r="L72" s="3031">
        <f t="shared" si="2"/>
        <v>47.55540000000002</v>
      </c>
      <c r="M72" s="3031">
        <f t="shared" si="2"/>
        <v>53.821350084689996</v>
      </c>
      <c r="N72" s="3031">
        <f t="shared" si="2"/>
        <v>60.62783899999998</v>
      </c>
      <c r="O72" s="3031">
        <f t="shared" si="2"/>
        <v>70.902000000000001</v>
      </c>
      <c r="P72" s="3031">
        <f t="shared" si="2"/>
        <v>75.631717999999992</v>
      </c>
      <c r="Q72" s="3031">
        <f t="shared" si="2"/>
        <v>84.812702999999985</v>
      </c>
      <c r="R72" s="3031">
        <f t="shared" si="2"/>
        <v>84.735743978859858</v>
      </c>
      <c r="S72" s="3031">
        <f t="shared" si="2"/>
        <v>87.725541454540036</v>
      </c>
      <c r="T72" s="3031">
        <f t="shared" si="2"/>
        <v>101.24307753865001</v>
      </c>
      <c r="U72" s="3031">
        <f t="shared" si="2"/>
        <v>112.82028786277992</v>
      </c>
      <c r="V72" s="3031">
        <f t="shared" si="2"/>
        <v>122.23047644531982</v>
      </c>
      <c r="W72" s="3031">
        <f t="shared" si="2"/>
        <v>127.7202989750409</v>
      </c>
      <c r="X72" s="3031">
        <f t="shared" si="2"/>
        <v>143.78675380502</v>
      </c>
      <c r="Y72" s="3031">
        <f t="shared" si="2"/>
        <v>159.97346288720007</v>
      </c>
      <c r="Z72" s="3031">
        <f t="shared" si="2"/>
        <v>176.40282805450983</v>
      </c>
      <c r="AA72" s="3031">
        <f t="shared" si="2"/>
        <v>186.16901119988003</v>
      </c>
      <c r="AB72" s="3031">
        <f t="shared" si="2"/>
        <v>199.74878161996998</v>
      </c>
      <c r="AC72" s="3031">
        <f t="shared" si="2"/>
        <v>209.45240000000015</v>
      </c>
      <c r="AD72" s="3031">
        <f t="shared" si="2"/>
        <v>178.36810000000008</v>
      </c>
      <c r="AE72" s="3031">
        <f t="shared" si="2"/>
        <v>235.93909999999985</v>
      </c>
      <c r="AF72" s="3031">
        <f t="shared" si="2"/>
        <v>237.47760000000008</v>
      </c>
    </row>
    <row r="76" spans="4:32" x14ac:dyDescent="0.2">
      <c r="D76" s="3351" t="s">
        <v>38</v>
      </c>
      <c r="E76" s="3347" t="s">
        <v>39</v>
      </c>
      <c r="F76" s="1337">
        <f>F10/1000000</f>
        <v>2.7626879999999998</v>
      </c>
      <c r="G76" s="1337">
        <f t="shared" ref="G76:AF76" si="3">G10/1000000</f>
        <v>3.02393</v>
      </c>
      <c r="H76" s="1337">
        <f t="shared" si="3"/>
        <v>3.260567</v>
      </c>
      <c r="I76" s="1337">
        <f t="shared" si="3"/>
        <v>3.8183850000000001</v>
      </c>
      <c r="J76" s="1337">
        <f t="shared" si="3"/>
        <v>4.3657690000000002</v>
      </c>
      <c r="K76" s="1337">
        <f t="shared" si="3"/>
        <v>4.8727929999999997</v>
      </c>
      <c r="L76" s="1337">
        <f t="shared" si="3"/>
        <v>5.1041290000000004</v>
      </c>
      <c r="M76" s="1337">
        <f t="shared" si="3"/>
        <v>5.5582159999999998</v>
      </c>
      <c r="N76" s="1337">
        <f t="shared" si="3"/>
        <v>5.69529</v>
      </c>
      <c r="O76" s="1337">
        <f t="shared" si="3"/>
        <v>6.0400479999999996</v>
      </c>
      <c r="P76" s="1337">
        <f t="shared" si="3"/>
        <v>6.722518</v>
      </c>
      <c r="Q76" s="1337">
        <f t="shared" si="3"/>
        <v>7.4235610000000003</v>
      </c>
      <c r="R76" s="1337">
        <f t="shared" si="3"/>
        <v>7.766915</v>
      </c>
      <c r="S76" s="1337">
        <f t="shared" si="3"/>
        <v>8.1314220000000006</v>
      </c>
      <c r="T76" s="1337">
        <f t="shared" si="3"/>
        <v>12.751006</v>
      </c>
      <c r="U76" s="1337">
        <f t="shared" si="3"/>
        <v>16.039801000000001</v>
      </c>
      <c r="V76" s="1337">
        <f t="shared" si="3"/>
        <v>17.926869</v>
      </c>
      <c r="W76" s="1337">
        <f t="shared" si="3"/>
        <v>19.787303999999999</v>
      </c>
      <c r="X76" s="1337">
        <f t="shared" si="3"/>
        <v>21.452507000000001</v>
      </c>
      <c r="Y76" s="1337">
        <f t="shared" si="3"/>
        <v>22.693978000000001</v>
      </c>
      <c r="Z76" s="1337">
        <f t="shared" si="3"/>
        <v>24.057573999999999</v>
      </c>
      <c r="AA76" s="1337">
        <f t="shared" si="3"/>
        <v>24.657945999999999</v>
      </c>
      <c r="AB76" s="1337">
        <f t="shared" si="3"/>
        <v>24.549130999999999</v>
      </c>
      <c r="AC76" s="1337">
        <f t="shared" si="3"/>
        <v>25.832536000000001</v>
      </c>
      <c r="AD76" s="1337">
        <f t="shared" si="3"/>
        <v>27.330717</v>
      </c>
      <c r="AE76" s="1337">
        <f t="shared" si="3"/>
        <v>28.737835</v>
      </c>
      <c r="AF76" s="1337">
        <f t="shared" si="3"/>
        <v>30.250094000000001</v>
      </c>
    </row>
  </sheetData>
  <mergeCells count="9">
    <mergeCell ref="D48:AB48"/>
    <mergeCell ref="D49:AB49"/>
    <mergeCell ref="D51:Z60"/>
    <mergeCell ref="D2:AB2"/>
    <mergeCell ref="D3:AB3"/>
    <mergeCell ref="D4:AB4"/>
    <mergeCell ref="D5:AB5"/>
    <mergeCell ref="D46:AB46"/>
    <mergeCell ref="D47:AB47"/>
  </mergeCells>
  <pageMargins left="0.74803149606299213" right="0.74803149606299213" top="0.98425196850393704" bottom="0.98425196850393704" header="0.51181102362204722" footer="0.51181102362204722"/>
  <pageSetup paperSize="9" scale="3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9D824-91EB-4732-B156-D773AB4C036E}">
  <sheetPr>
    <tabColor rgb="FFFFC000"/>
    <pageSetUpPr fitToPage="1"/>
  </sheetPr>
  <dimension ref="A1:CZ117"/>
  <sheetViews>
    <sheetView showGridLines="0" view="pageBreakPreview" topLeftCell="K1" zoomScaleNormal="100" zoomScaleSheetLayoutView="100" workbookViewId="0">
      <selection activeCell="AF22" sqref="AF22"/>
    </sheetView>
  </sheetViews>
  <sheetFormatPr defaultColWidth="9.140625" defaultRowHeight="15" x14ac:dyDescent="0.25"/>
  <cols>
    <col min="1" max="1" width="3.85546875" style="69" customWidth="1"/>
    <col min="2" max="2" width="12.85546875" style="66" customWidth="1"/>
    <col min="3" max="3" width="3.85546875" style="67" customWidth="1"/>
    <col min="4" max="4" width="8.140625" style="4" customWidth="1"/>
    <col min="5" max="5" width="5.85546875" style="4" customWidth="1"/>
    <col min="6" max="6" width="6" style="4" customWidth="1"/>
    <col min="7" max="28" width="5.42578125" style="4" bestFit="1" customWidth="1"/>
    <col min="29" max="31" width="6.140625" style="4" customWidth="1"/>
    <col min="32" max="32" width="5.5703125" style="4" customWidth="1"/>
    <col min="33" max="33" width="9.140625" style="4" customWidth="1"/>
    <col min="34" max="35" width="10" style="4" bestFit="1" customWidth="1"/>
    <col min="36" max="37" width="9.85546875" style="4" bestFit="1" customWidth="1"/>
    <col min="38" max="39" width="10" style="4" bestFit="1" customWidth="1"/>
    <col min="40" max="41" width="9.85546875" style="4" bestFit="1" customWidth="1"/>
    <col min="42" max="43" width="10" style="4" bestFit="1" customWidth="1"/>
    <col min="44" max="45" width="9.85546875" style="4" bestFit="1" customWidth="1"/>
    <col min="46" max="47" width="10" style="4" bestFit="1" customWidth="1"/>
    <col min="48" max="49" width="9.85546875" style="4" bestFit="1" customWidth="1"/>
    <col min="50" max="51" width="10" style="4" bestFit="1" customWidth="1"/>
    <col min="52" max="53" width="9.85546875" style="4" bestFit="1" customWidth="1"/>
    <col min="54" max="54" width="10" style="4" bestFit="1" customWidth="1"/>
    <col min="55" max="55" width="10" style="4" customWidth="1"/>
    <col min="56" max="57" width="9.85546875" style="4" customWidth="1"/>
    <col min="58" max="59" width="10" style="4" bestFit="1" customWidth="1"/>
    <col min="60" max="60" width="9.85546875" style="4" bestFit="1" customWidth="1"/>
    <col min="61" max="61" width="9.85546875" style="4" customWidth="1"/>
    <col min="62" max="63" width="10" style="4" bestFit="1" customWidth="1"/>
    <col min="64" max="65" width="9.85546875" style="4" bestFit="1" customWidth="1"/>
    <col min="66" max="67" width="10" style="4" customWidth="1"/>
    <col min="68" max="69" width="9.85546875" style="4" bestFit="1" customWidth="1"/>
    <col min="70" max="71" width="10" style="4" bestFit="1" customWidth="1"/>
    <col min="72" max="16384" width="9.140625" style="4"/>
  </cols>
  <sheetData>
    <row r="1" spans="1:47" x14ac:dyDescent="0.25">
      <c r="A1" s="65"/>
      <c r="D1" s="68"/>
      <c r="E1" s="68"/>
      <c r="F1" s="68"/>
      <c r="G1" s="68"/>
      <c r="H1" s="68"/>
      <c r="I1" s="68"/>
      <c r="J1" s="68"/>
      <c r="K1" s="68"/>
      <c r="L1" s="68"/>
      <c r="M1" s="68"/>
      <c r="N1" s="68"/>
      <c r="O1" s="68"/>
      <c r="P1" s="68"/>
      <c r="Q1" s="68"/>
      <c r="R1" s="68"/>
      <c r="S1" s="68"/>
      <c r="T1" s="68"/>
      <c r="U1" s="68"/>
      <c r="V1" s="68"/>
      <c r="W1" s="68"/>
    </row>
    <row r="2" spans="1:47" ht="15" customHeight="1" x14ac:dyDescent="0.25">
      <c r="A2" s="69">
        <v>1</v>
      </c>
      <c r="B2" s="70" t="s">
        <v>0</v>
      </c>
      <c r="C2" s="69">
        <v>11</v>
      </c>
      <c r="D2" s="4677" t="s">
        <v>383</v>
      </c>
      <c r="E2" s="4678"/>
      <c r="F2" s="4678"/>
      <c r="G2" s="4678"/>
      <c r="H2" s="4678"/>
      <c r="I2" s="4678"/>
      <c r="J2" s="4678"/>
      <c r="K2" s="4678"/>
      <c r="L2" s="4678"/>
      <c r="M2" s="4678"/>
      <c r="N2" s="4678"/>
      <c r="O2" s="4678"/>
      <c r="P2" s="4678"/>
      <c r="Q2" s="4678"/>
      <c r="R2" s="4678"/>
      <c r="S2" s="4678"/>
      <c r="T2" s="4678"/>
      <c r="U2" s="4678"/>
      <c r="V2" s="4678"/>
      <c r="W2" s="4678"/>
      <c r="X2" s="4678"/>
      <c r="Y2" s="4678"/>
      <c r="Z2" s="4678"/>
      <c r="AA2" s="4678"/>
      <c r="AB2" s="4678"/>
      <c r="AC2" s="4679"/>
      <c r="AD2" s="867"/>
      <c r="AE2" s="867"/>
      <c r="AF2" s="123"/>
      <c r="AG2" s="123"/>
      <c r="AH2" s="123"/>
      <c r="AI2" s="123"/>
      <c r="AJ2" s="123"/>
      <c r="AK2" s="123"/>
      <c r="AL2" s="123"/>
      <c r="AM2" s="123"/>
      <c r="AN2" s="123"/>
      <c r="AO2" s="123"/>
      <c r="AP2" s="123"/>
      <c r="AQ2" s="123"/>
      <c r="AR2" s="123"/>
      <c r="AS2" s="123"/>
      <c r="AT2" s="123"/>
      <c r="AU2" s="123"/>
    </row>
    <row r="3" spans="1:47" ht="15" customHeight="1" x14ac:dyDescent="0.25">
      <c r="A3" s="69">
        <v>2</v>
      </c>
      <c r="B3" s="70" t="s">
        <v>2</v>
      </c>
      <c r="C3" s="69"/>
      <c r="D3" s="4677" t="s">
        <v>374</v>
      </c>
      <c r="E3" s="4678"/>
      <c r="F3" s="4678"/>
      <c r="G3" s="4678"/>
      <c r="H3" s="4678"/>
      <c r="I3" s="4678"/>
      <c r="J3" s="4678"/>
      <c r="K3" s="4678"/>
      <c r="L3" s="4678"/>
      <c r="M3" s="4678"/>
      <c r="N3" s="4678"/>
      <c r="O3" s="4678"/>
      <c r="P3" s="4678"/>
      <c r="Q3" s="4678"/>
      <c r="R3" s="4678"/>
      <c r="S3" s="4678"/>
      <c r="T3" s="4678"/>
      <c r="U3" s="4678"/>
      <c r="V3" s="4678"/>
      <c r="W3" s="4678"/>
      <c r="X3" s="4678"/>
      <c r="Y3" s="4678"/>
      <c r="Z3" s="4678"/>
      <c r="AA3" s="4678"/>
      <c r="AB3" s="4678"/>
      <c r="AC3" s="4679"/>
      <c r="AD3" s="867"/>
      <c r="AE3" s="867"/>
      <c r="AF3" s="124"/>
      <c r="AG3" s="124"/>
      <c r="AH3" s="124"/>
      <c r="AI3" s="124"/>
      <c r="AJ3" s="124"/>
      <c r="AK3" s="124"/>
      <c r="AL3" s="124"/>
      <c r="AM3" s="124"/>
      <c r="AN3" s="124"/>
      <c r="AO3" s="124"/>
      <c r="AP3" s="124"/>
      <c r="AQ3" s="124"/>
      <c r="AR3" s="124"/>
      <c r="AS3" s="124"/>
      <c r="AT3" s="124"/>
      <c r="AU3" s="124"/>
    </row>
    <row r="4" spans="1:47" ht="15" customHeight="1" x14ac:dyDescent="0.25">
      <c r="A4" s="69">
        <v>3</v>
      </c>
      <c r="B4" s="70" t="s">
        <v>4</v>
      </c>
      <c r="C4" s="69"/>
      <c r="D4" s="4677" t="s">
        <v>384</v>
      </c>
      <c r="E4" s="4678"/>
      <c r="F4" s="4678"/>
      <c r="G4" s="4678"/>
      <c r="H4" s="4678"/>
      <c r="I4" s="4678"/>
      <c r="J4" s="4678"/>
      <c r="K4" s="4678"/>
      <c r="L4" s="4678"/>
      <c r="M4" s="4678"/>
      <c r="N4" s="4678"/>
      <c r="O4" s="4678"/>
      <c r="P4" s="4678"/>
      <c r="Q4" s="4678"/>
      <c r="R4" s="4678"/>
      <c r="S4" s="4678"/>
      <c r="T4" s="4678"/>
      <c r="U4" s="4678"/>
      <c r="V4" s="4678"/>
      <c r="W4" s="4678"/>
      <c r="X4" s="4678"/>
      <c r="Y4" s="4678"/>
      <c r="Z4" s="4678"/>
      <c r="AA4" s="4678"/>
      <c r="AB4" s="4678"/>
      <c r="AC4" s="4679"/>
      <c r="AD4" s="867"/>
      <c r="AE4" s="867"/>
      <c r="AF4" s="124"/>
      <c r="AG4" s="124"/>
      <c r="AH4" s="124"/>
      <c r="AI4" s="124"/>
      <c r="AJ4" s="124"/>
      <c r="AK4" s="124"/>
      <c r="AL4" s="124"/>
      <c r="AM4" s="124"/>
      <c r="AN4" s="124"/>
      <c r="AO4" s="124"/>
      <c r="AP4" s="124"/>
      <c r="AQ4" s="124"/>
      <c r="AR4" s="124"/>
      <c r="AS4" s="124"/>
      <c r="AT4" s="124"/>
      <c r="AU4" s="125"/>
    </row>
    <row r="5" spans="1:47" ht="15" customHeight="1" x14ac:dyDescent="0.25">
      <c r="B5" s="70"/>
      <c r="C5" s="69"/>
    </row>
    <row r="6" spans="1:47" x14ac:dyDescent="0.25">
      <c r="A6" s="69">
        <v>4</v>
      </c>
      <c r="B6" s="70" t="s">
        <v>6</v>
      </c>
      <c r="C6" s="69"/>
      <c r="D6" s="72" t="s">
        <v>7</v>
      </c>
      <c r="E6" s="72"/>
      <c r="F6" s="72" t="s">
        <v>385</v>
      </c>
      <c r="G6" s="126"/>
      <c r="H6" s="126"/>
      <c r="I6" s="126"/>
      <c r="J6" s="126"/>
      <c r="K6" s="126"/>
      <c r="L6" s="126"/>
      <c r="M6" s="126"/>
      <c r="N6" s="126"/>
      <c r="O6" s="126"/>
      <c r="P6" s="126"/>
      <c r="Q6" s="126"/>
      <c r="R6" s="126"/>
      <c r="S6" s="127"/>
      <c r="T6" s="68"/>
      <c r="U6" s="68"/>
      <c r="V6" s="68"/>
      <c r="W6" s="68"/>
    </row>
    <row r="7" spans="1:47" x14ac:dyDescent="0.25">
      <c r="D7" s="99"/>
      <c r="E7" s="128">
        <v>1994</v>
      </c>
      <c r="F7" s="128">
        <v>1995</v>
      </c>
      <c r="G7" s="128">
        <v>1996</v>
      </c>
      <c r="H7" s="128">
        <v>1997</v>
      </c>
      <c r="I7" s="128">
        <v>1998</v>
      </c>
      <c r="J7" s="128">
        <v>1999</v>
      </c>
      <c r="K7" s="128">
        <v>2000</v>
      </c>
      <c r="L7" s="128">
        <v>2001</v>
      </c>
      <c r="M7" s="128">
        <v>2002</v>
      </c>
      <c r="N7" s="128">
        <v>2003</v>
      </c>
      <c r="O7" s="128">
        <v>2004</v>
      </c>
      <c r="P7" s="128">
        <v>2005</v>
      </c>
      <c r="Q7" s="128">
        <v>2006</v>
      </c>
      <c r="R7" s="128">
        <v>2007</v>
      </c>
      <c r="S7" s="128">
        <v>2008</v>
      </c>
      <c r="T7" s="128">
        <v>2009</v>
      </c>
      <c r="U7" s="128">
        <v>2010</v>
      </c>
      <c r="V7" s="128">
        <v>2011</v>
      </c>
      <c r="W7" s="128">
        <v>2012</v>
      </c>
      <c r="X7" s="128">
        <v>2013</v>
      </c>
      <c r="Y7" s="128">
        <v>2014</v>
      </c>
      <c r="Z7" s="128">
        <v>2015</v>
      </c>
      <c r="AA7" s="128">
        <v>2016</v>
      </c>
      <c r="AB7" s="128">
        <v>2017</v>
      </c>
      <c r="AC7" s="128">
        <v>2018</v>
      </c>
      <c r="AD7" s="128">
        <v>2019</v>
      </c>
      <c r="AE7" s="128">
        <v>2020</v>
      </c>
      <c r="AF7" s="129">
        <v>2021</v>
      </c>
      <c r="AG7" s="129" t="s">
        <v>2173</v>
      </c>
    </row>
    <row r="8" spans="1:47" x14ac:dyDescent="0.25">
      <c r="D8" s="130" t="s">
        <v>386</v>
      </c>
      <c r="E8" s="84">
        <v>15</v>
      </c>
      <c r="F8" s="84">
        <v>15.7</v>
      </c>
      <c r="G8" s="84">
        <v>15.8</v>
      </c>
      <c r="H8" s="84">
        <v>16.2</v>
      </c>
      <c r="I8" s="84">
        <v>16.5</v>
      </c>
      <c r="J8" s="84">
        <v>14.8</v>
      </c>
      <c r="K8" s="84">
        <v>14.4</v>
      </c>
      <c r="L8" s="84">
        <v>14.4</v>
      </c>
      <c r="M8" s="84">
        <v>14</v>
      </c>
      <c r="N8" s="84">
        <v>14.7</v>
      </c>
      <c r="O8" s="84">
        <v>15.2</v>
      </c>
      <c r="P8" s="84">
        <v>15.9</v>
      </c>
      <c r="Q8" s="84">
        <v>17.399999999999999</v>
      </c>
      <c r="R8" s="84">
        <v>19</v>
      </c>
      <c r="S8" s="84">
        <v>21.6</v>
      </c>
      <c r="T8" s="84">
        <v>19.5</v>
      </c>
      <c r="U8" s="84">
        <v>17.600000000000001</v>
      </c>
      <c r="V8" s="84">
        <v>17.8</v>
      </c>
      <c r="W8" s="85">
        <v>17.899999999999999</v>
      </c>
      <c r="X8" s="84">
        <v>18.600000000000001</v>
      </c>
      <c r="Y8" s="84">
        <v>18.3</v>
      </c>
      <c r="Z8" s="84">
        <v>18</v>
      </c>
      <c r="AA8" s="84">
        <v>17.399999999999999</v>
      </c>
      <c r="AB8" s="84">
        <v>16.399999999999999</v>
      </c>
      <c r="AC8" s="84">
        <v>15.9</v>
      </c>
      <c r="AD8" s="84">
        <v>15.4</v>
      </c>
      <c r="AE8" s="84">
        <v>13.8</v>
      </c>
      <c r="AF8" s="86">
        <v>13.1</v>
      </c>
      <c r="AG8" s="86">
        <v>14.1</v>
      </c>
    </row>
    <row r="9" spans="1:47" x14ac:dyDescent="0.25">
      <c r="D9" s="131"/>
      <c r="E9" s="132"/>
      <c r="F9" s="133"/>
      <c r="G9" s="133"/>
      <c r="H9" s="133"/>
      <c r="I9" s="133"/>
      <c r="J9" s="133"/>
      <c r="K9" s="133"/>
      <c r="L9" s="133"/>
      <c r="M9" s="133"/>
      <c r="N9" s="133"/>
      <c r="O9" s="133"/>
      <c r="P9" s="133"/>
      <c r="Q9" s="133"/>
      <c r="R9" s="133"/>
      <c r="S9" s="133"/>
      <c r="T9" s="133"/>
      <c r="U9" s="133"/>
      <c r="V9" s="133"/>
      <c r="W9" s="133"/>
      <c r="X9" s="133"/>
      <c r="Y9" s="133"/>
      <c r="Z9" s="55"/>
      <c r="AA9" s="134"/>
      <c r="AB9" s="134"/>
    </row>
    <row r="10" spans="1:47" x14ac:dyDescent="0.25">
      <c r="D10" s="131"/>
      <c r="E10" s="135"/>
      <c r="F10" s="133"/>
      <c r="G10" s="133"/>
      <c r="H10" s="133"/>
      <c r="I10" s="133"/>
      <c r="J10" s="133"/>
      <c r="K10" s="133"/>
      <c r="L10" s="133"/>
      <c r="M10" s="133"/>
      <c r="N10" s="133"/>
      <c r="O10" s="133"/>
      <c r="P10" s="133"/>
      <c r="Q10" s="133"/>
      <c r="R10" s="133"/>
      <c r="S10" s="133"/>
      <c r="T10" s="133"/>
      <c r="U10" s="133"/>
      <c r="V10" s="133"/>
      <c r="W10" s="133"/>
      <c r="X10" s="133"/>
      <c r="Y10" s="133"/>
      <c r="Z10" s="55"/>
      <c r="AA10" s="134"/>
      <c r="AB10" s="134"/>
    </row>
    <row r="11" spans="1:47" x14ac:dyDescent="0.25">
      <c r="D11" s="87"/>
      <c r="E11" s="87"/>
      <c r="F11" s="88"/>
      <c r="G11" s="88"/>
      <c r="H11" s="88"/>
      <c r="I11" s="88"/>
      <c r="J11" s="88"/>
      <c r="K11" s="88"/>
      <c r="L11" s="88"/>
      <c r="M11" s="88"/>
      <c r="N11" s="136"/>
      <c r="O11" s="88"/>
      <c r="P11" s="88"/>
      <c r="Q11" s="88"/>
      <c r="R11" s="88"/>
      <c r="S11" s="88"/>
      <c r="T11" s="88"/>
      <c r="U11" s="88"/>
      <c r="V11" s="88"/>
      <c r="W11" s="88"/>
      <c r="AA11" s="134"/>
      <c r="AB11" s="134"/>
    </row>
    <row r="12" spans="1:47" ht="25.5" customHeight="1" x14ac:dyDescent="0.25">
      <c r="A12" s="69">
        <v>5</v>
      </c>
      <c r="B12" s="70" t="s">
        <v>51</v>
      </c>
      <c r="D12" s="87"/>
      <c r="E12" s="87"/>
      <c r="F12" s="88"/>
      <c r="G12" s="88"/>
      <c r="H12" s="88"/>
      <c r="I12" s="88"/>
      <c r="J12" s="88"/>
      <c r="K12" s="88"/>
      <c r="L12" s="88"/>
      <c r="M12" s="88"/>
      <c r="N12" s="88"/>
      <c r="O12" s="88"/>
      <c r="P12" s="88"/>
      <c r="Q12" s="88"/>
      <c r="R12" s="88"/>
      <c r="S12" s="88"/>
      <c r="T12" s="68"/>
      <c r="U12" s="68"/>
      <c r="V12" s="68"/>
      <c r="W12" s="68"/>
      <c r="AA12" s="137"/>
      <c r="AB12" s="137"/>
    </row>
    <row r="13" spans="1:47" x14ac:dyDescent="0.25">
      <c r="D13" s="68"/>
      <c r="E13" s="68"/>
      <c r="F13" s="88"/>
      <c r="G13" s="88"/>
      <c r="H13" s="88"/>
      <c r="I13" s="88"/>
      <c r="J13" s="88"/>
      <c r="K13" s="88"/>
      <c r="L13" s="88"/>
      <c r="M13" s="88"/>
      <c r="N13" s="88"/>
      <c r="O13" s="88"/>
      <c r="P13" s="88"/>
      <c r="Q13" s="88"/>
      <c r="R13" s="88"/>
      <c r="S13" s="88"/>
      <c r="T13" s="68"/>
      <c r="U13" s="68"/>
      <c r="V13" s="68"/>
      <c r="W13" s="68"/>
      <c r="AA13" s="137"/>
      <c r="AB13" s="137"/>
    </row>
    <row r="14" spans="1:47" x14ac:dyDescent="0.25">
      <c r="C14" s="69"/>
      <c r="D14" s="68"/>
      <c r="E14" s="68"/>
      <c r="F14" s="88"/>
      <c r="G14" s="88"/>
      <c r="H14" s="88"/>
      <c r="I14" s="88"/>
      <c r="J14" s="88"/>
      <c r="K14" s="88"/>
      <c r="L14" s="88"/>
      <c r="M14" s="88"/>
      <c r="N14" s="88"/>
      <c r="O14" s="88"/>
      <c r="P14" s="88"/>
      <c r="Q14" s="88"/>
      <c r="R14" s="88"/>
      <c r="S14" s="88"/>
      <c r="T14" s="68"/>
      <c r="U14" s="68"/>
      <c r="V14" s="68"/>
      <c r="W14" s="68"/>
      <c r="AA14" s="137"/>
      <c r="AB14" s="137"/>
    </row>
    <row r="15" spans="1:47" x14ac:dyDescent="0.25">
      <c r="D15" s="68"/>
      <c r="E15" s="68"/>
      <c r="F15" s="88"/>
      <c r="G15" s="88"/>
      <c r="H15" s="88"/>
      <c r="I15" s="88"/>
      <c r="J15" s="88"/>
      <c r="K15" s="88"/>
      <c r="L15" s="88"/>
      <c r="M15" s="88"/>
      <c r="N15" s="88"/>
      <c r="O15" s="88"/>
      <c r="P15" s="88"/>
      <c r="Q15" s="88"/>
      <c r="R15" s="88"/>
      <c r="S15" s="88"/>
      <c r="T15" s="68"/>
      <c r="U15" s="68"/>
      <c r="V15" s="68"/>
      <c r="W15" s="68"/>
      <c r="AA15" s="137"/>
      <c r="AB15" s="137"/>
    </row>
    <row r="16" spans="1:47" x14ac:dyDescent="0.25">
      <c r="D16" s="68"/>
      <c r="E16" s="68"/>
      <c r="F16" s="88"/>
      <c r="G16" s="88"/>
      <c r="H16" s="88"/>
      <c r="I16" s="88"/>
      <c r="J16" s="88"/>
      <c r="K16" s="88"/>
      <c r="L16" s="88"/>
      <c r="M16" s="88"/>
      <c r="N16" s="88"/>
      <c r="O16" s="88"/>
      <c r="P16" s="88"/>
      <c r="Q16" s="88"/>
      <c r="R16" s="88"/>
      <c r="S16" s="88"/>
      <c r="T16" s="68"/>
      <c r="U16" s="68"/>
      <c r="V16" s="68"/>
      <c r="W16" s="68"/>
      <c r="AA16" s="137"/>
      <c r="AB16" s="137"/>
    </row>
    <row r="17" spans="1:31" x14ac:dyDescent="0.25">
      <c r="D17" s="68"/>
      <c r="E17" s="68"/>
      <c r="F17" s="88"/>
      <c r="G17" s="88"/>
      <c r="H17" s="88"/>
      <c r="I17" s="88"/>
      <c r="J17" s="88"/>
      <c r="K17" s="88"/>
      <c r="L17" s="88"/>
      <c r="M17" s="88"/>
      <c r="N17" s="88"/>
      <c r="O17" s="68"/>
      <c r="P17" s="88"/>
      <c r="Q17" s="68"/>
      <c r="R17" s="68"/>
      <c r="S17" s="68"/>
      <c r="T17" s="89"/>
      <c r="U17" s="89"/>
      <c r="V17" s="89"/>
      <c r="W17" s="89"/>
      <c r="X17" s="38"/>
      <c r="Y17" s="38"/>
      <c r="AA17" s="137"/>
      <c r="AB17" s="137"/>
    </row>
    <row r="18" spans="1:31" x14ac:dyDescent="0.25">
      <c r="D18" s="68"/>
      <c r="E18" s="68"/>
      <c r="F18" s="88"/>
      <c r="G18" s="88"/>
      <c r="H18" s="88"/>
      <c r="I18" s="88"/>
      <c r="J18" s="88"/>
      <c r="K18" s="88"/>
      <c r="L18" s="88"/>
      <c r="M18" s="88"/>
      <c r="N18" s="88"/>
      <c r="O18" s="68"/>
      <c r="P18" s="88"/>
      <c r="Q18" s="68"/>
      <c r="R18" s="68"/>
      <c r="S18" s="68"/>
      <c r="T18" s="89"/>
      <c r="U18" s="89"/>
      <c r="V18" s="89"/>
      <c r="W18" s="89"/>
      <c r="AA18" s="137"/>
      <c r="AB18" s="137"/>
    </row>
    <row r="19" spans="1:31" x14ac:dyDescent="0.25">
      <c r="D19" s="68"/>
      <c r="E19" s="68"/>
      <c r="F19" s="88"/>
      <c r="G19" s="88"/>
      <c r="H19" s="88"/>
      <c r="I19" s="88"/>
      <c r="J19" s="88"/>
      <c r="K19" s="88"/>
      <c r="L19" s="88"/>
      <c r="M19" s="88"/>
      <c r="N19" s="88"/>
      <c r="O19" s="88"/>
      <c r="P19" s="88"/>
      <c r="Q19" s="88"/>
      <c r="R19" s="88"/>
      <c r="S19" s="88"/>
      <c r="T19" s="68"/>
      <c r="U19" s="68"/>
      <c r="V19" s="68"/>
      <c r="W19" s="68"/>
      <c r="AA19" s="137"/>
      <c r="AB19" s="137"/>
    </row>
    <row r="20" spans="1:31" x14ac:dyDescent="0.25">
      <c r="D20" s="68"/>
      <c r="E20" s="68"/>
      <c r="F20" s="88"/>
      <c r="G20" s="88"/>
      <c r="H20" s="88"/>
      <c r="I20" s="88"/>
      <c r="J20" s="88"/>
      <c r="K20" s="88"/>
      <c r="L20" s="88"/>
      <c r="M20" s="88"/>
      <c r="N20" s="88"/>
      <c r="O20" s="88"/>
      <c r="P20" s="88"/>
      <c r="Q20" s="88"/>
      <c r="R20" s="88"/>
      <c r="S20" s="88"/>
      <c r="T20" s="68"/>
      <c r="U20" s="68"/>
      <c r="V20" s="68"/>
      <c r="W20" s="68"/>
      <c r="AA20" s="137"/>
      <c r="AB20" s="137"/>
    </row>
    <row r="21" spans="1:31" x14ac:dyDescent="0.25">
      <c r="D21" s="68"/>
      <c r="E21" s="68"/>
      <c r="F21" s="88"/>
      <c r="G21" s="88"/>
      <c r="H21" s="88"/>
      <c r="I21" s="88"/>
      <c r="J21" s="88"/>
      <c r="K21" s="88"/>
      <c r="L21" s="88"/>
      <c r="M21" s="88"/>
      <c r="N21" s="88"/>
      <c r="O21" s="88"/>
      <c r="P21" s="88"/>
      <c r="Q21" s="88"/>
      <c r="R21" s="88"/>
      <c r="S21" s="88"/>
      <c r="T21" s="68"/>
      <c r="U21" s="68"/>
      <c r="V21" s="68"/>
      <c r="W21" s="68"/>
      <c r="AA21" s="137"/>
      <c r="AB21" s="137"/>
    </row>
    <row r="22" spans="1:31" x14ac:dyDescent="0.25">
      <c r="D22" s="68"/>
      <c r="E22" s="68"/>
      <c r="F22" s="88"/>
      <c r="G22" s="88"/>
      <c r="H22" s="88"/>
      <c r="I22" s="88"/>
      <c r="J22" s="88"/>
      <c r="K22" s="88"/>
      <c r="L22" s="88"/>
      <c r="M22" s="88"/>
      <c r="N22" s="88"/>
      <c r="O22" s="88"/>
      <c r="P22" s="88"/>
      <c r="Q22" s="88"/>
      <c r="R22" s="88"/>
      <c r="S22" s="88"/>
      <c r="T22" s="68"/>
      <c r="U22" s="68"/>
      <c r="V22" s="68"/>
      <c r="W22" s="68"/>
      <c r="AA22" s="137"/>
      <c r="AB22" s="137"/>
    </row>
    <row r="23" spans="1:31" x14ac:dyDescent="0.25">
      <c r="D23" s="68"/>
      <c r="E23" s="68"/>
      <c r="F23" s="88"/>
      <c r="G23" s="88"/>
      <c r="H23" s="88"/>
      <c r="I23" s="88"/>
      <c r="J23" s="88"/>
      <c r="K23" s="88"/>
      <c r="L23" s="88"/>
      <c r="M23" s="88"/>
      <c r="N23" s="88"/>
      <c r="O23" s="88"/>
      <c r="P23" s="88"/>
      <c r="Q23" s="88"/>
      <c r="R23" s="88"/>
      <c r="S23" s="88"/>
      <c r="T23" s="68"/>
      <c r="U23" s="68"/>
      <c r="V23" s="68"/>
      <c r="W23" s="68"/>
      <c r="AA23" s="137"/>
      <c r="AB23" s="137"/>
    </row>
    <row r="24" spans="1:31" x14ac:dyDescent="0.25">
      <c r="D24" s="68"/>
      <c r="E24" s="68"/>
      <c r="F24" s="68"/>
      <c r="G24" s="68"/>
      <c r="H24" s="68"/>
      <c r="I24" s="68"/>
      <c r="J24" s="68"/>
      <c r="K24" s="68"/>
      <c r="L24" s="68"/>
      <c r="M24" s="68"/>
      <c r="N24" s="68"/>
      <c r="O24" s="68"/>
      <c r="P24" s="68"/>
      <c r="Q24" s="68"/>
      <c r="R24" s="68"/>
      <c r="S24" s="68"/>
      <c r="T24" s="68"/>
      <c r="U24" s="68"/>
      <c r="V24" s="68"/>
      <c r="W24" s="68"/>
      <c r="AA24" s="137"/>
      <c r="AB24" s="137"/>
    </row>
    <row r="25" spans="1:31" x14ac:dyDescent="0.25">
      <c r="D25" s="68"/>
      <c r="E25" s="68"/>
      <c r="F25" s="68"/>
      <c r="G25" s="68"/>
      <c r="H25" s="68"/>
      <c r="I25" s="68"/>
      <c r="J25" s="68"/>
      <c r="K25" s="68"/>
      <c r="L25" s="68"/>
      <c r="M25" s="68"/>
      <c r="N25" s="68"/>
      <c r="O25" s="68"/>
      <c r="P25" s="68"/>
      <c r="Q25" s="68"/>
      <c r="R25" s="68"/>
      <c r="S25" s="68"/>
      <c r="T25" s="68"/>
      <c r="U25" s="68"/>
      <c r="V25" s="68"/>
      <c r="W25" s="68"/>
      <c r="AA25" s="137"/>
      <c r="AB25" s="137"/>
    </row>
    <row r="26" spans="1:31" x14ac:dyDescent="0.25">
      <c r="D26" s="68"/>
      <c r="E26" s="68"/>
      <c r="F26" s="68"/>
      <c r="G26" s="68"/>
      <c r="H26" s="68"/>
      <c r="I26" s="68"/>
      <c r="J26" s="68"/>
      <c r="K26" s="68"/>
      <c r="L26" s="68"/>
      <c r="M26" s="68"/>
      <c r="N26" s="68"/>
      <c r="O26" s="68"/>
      <c r="P26" s="68"/>
      <c r="Q26" s="68"/>
      <c r="R26" s="68"/>
      <c r="S26" s="68"/>
      <c r="T26" s="68"/>
      <c r="U26" s="68"/>
      <c r="V26" s="68"/>
      <c r="W26" s="68"/>
      <c r="AA26" s="137"/>
      <c r="AB26" s="137"/>
    </row>
    <row r="27" spans="1:31" x14ac:dyDescent="0.25">
      <c r="D27" s="68"/>
      <c r="E27" s="68"/>
      <c r="F27" s="68"/>
      <c r="G27" s="68"/>
      <c r="H27" s="68"/>
      <c r="I27" s="68"/>
      <c r="J27" s="68"/>
      <c r="K27" s="68"/>
      <c r="L27" s="68"/>
      <c r="M27" s="68"/>
      <c r="N27" s="68"/>
      <c r="O27" s="68"/>
      <c r="P27" s="68"/>
      <c r="Q27" s="68"/>
      <c r="R27" s="68"/>
      <c r="S27" s="68"/>
      <c r="T27" s="68"/>
      <c r="U27" s="68"/>
      <c r="V27" s="68"/>
      <c r="W27" s="68"/>
      <c r="AA27" s="137"/>
      <c r="AB27" s="137"/>
    </row>
    <row r="28" spans="1:31" x14ac:dyDescent="0.25">
      <c r="D28" s="68"/>
      <c r="E28" s="68"/>
      <c r="F28" s="68"/>
      <c r="G28" s="68"/>
      <c r="H28" s="68"/>
      <c r="I28" s="68"/>
      <c r="J28" s="68"/>
      <c r="K28" s="68"/>
      <c r="L28" s="68"/>
      <c r="M28" s="68"/>
      <c r="N28" s="68"/>
      <c r="O28" s="68"/>
      <c r="P28" s="68"/>
      <c r="Q28" s="68"/>
      <c r="R28" s="68"/>
      <c r="S28" s="68"/>
      <c r="T28" s="68"/>
      <c r="U28" s="68"/>
      <c r="V28" s="68"/>
      <c r="W28" s="68"/>
      <c r="AA28" s="137"/>
      <c r="AB28" s="137"/>
    </row>
    <row r="29" spans="1:31" ht="12.75" customHeight="1" x14ac:dyDescent="0.25">
      <c r="A29" s="69">
        <v>6</v>
      </c>
      <c r="B29" s="70" t="s">
        <v>52</v>
      </c>
      <c r="C29" s="69"/>
      <c r="D29" s="4677" t="s">
        <v>387</v>
      </c>
      <c r="E29" s="4678"/>
      <c r="F29" s="4678"/>
      <c r="G29" s="4678"/>
      <c r="H29" s="4678"/>
      <c r="I29" s="4678"/>
      <c r="J29" s="4678"/>
      <c r="K29" s="4678"/>
      <c r="L29" s="4678"/>
      <c r="M29" s="4678"/>
      <c r="N29" s="4678"/>
      <c r="O29" s="4678"/>
      <c r="P29" s="4678"/>
      <c r="Q29" s="4678"/>
      <c r="R29" s="4678"/>
      <c r="S29" s="4678"/>
      <c r="T29" s="4678"/>
      <c r="U29" s="4678"/>
      <c r="V29" s="4678"/>
      <c r="W29" s="4678"/>
      <c r="X29" s="4678"/>
      <c r="Y29" s="4678"/>
      <c r="Z29" s="4678"/>
      <c r="AA29" s="4678"/>
      <c r="AB29" s="4678"/>
      <c r="AC29" s="4679"/>
      <c r="AD29" s="867"/>
      <c r="AE29" s="867"/>
    </row>
    <row r="30" spans="1:31" ht="12.75" customHeight="1" x14ac:dyDescent="0.25">
      <c r="A30" s="90">
        <v>7</v>
      </c>
      <c r="B30" s="91" t="s">
        <v>54</v>
      </c>
      <c r="C30" s="90"/>
      <c r="D30" s="4677" t="s">
        <v>388</v>
      </c>
      <c r="E30" s="4678"/>
      <c r="F30" s="4678"/>
      <c r="G30" s="4678"/>
      <c r="H30" s="4678"/>
      <c r="I30" s="4678"/>
      <c r="J30" s="4678"/>
      <c r="K30" s="4678"/>
      <c r="L30" s="4678"/>
      <c r="M30" s="4678"/>
      <c r="N30" s="4678"/>
      <c r="O30" s="4678"/>
      <c r="P30" s="4678"/>
      <c r="Q30" s="4678"/>
      <c r="R30" s="4678"/>
      <c r="S30" s="4678"/>
      <c r="T30" s="4678"/>
      <c r="U30" s="4678"/>
      <c r="V30" s="4678"/>
      <c r="W30" s="4678"/>
      <c r="X30" s="4678"/>
      <c r="Y30" s="4678"/>
      <c r="Z30" s="4678"/>
      <c r="AA30" s="4678"/>
      <c r="AB30" s="4678"/>
      <c r="AC30" s="4679"/>
      <c r="AD30" s="867"/>
      <c r="AE30" s="867"/>
    </row>
    <row r="31" spans="1:31" ht="12.75" customHeight="1" x14ac:dyDescent="0.25">
      <c r="A31" s="69">
        <v>8</v>
      </c>
      <c r="B31" s="70" t="s">
        <v>56</v>
      </c>
      <c r="C31" s="69"/>
      <c r="D31" s="4677" t="s">
        <v>370</v>
      </c>
      <c r="E31" s="4678"/>
      <c r="F31" s="4678"/>
      <c r="G31" s="4678"/>
      <c r="H31" s="4678"/>
      <c r="I31" s="4678"/>
      <c r="J31" s="4678"/>
      <c r="K31" s="4678"/>
      <c r="L31" s="4678"/>
      <c r="M31" s="4678"/>
      <c r="N31" s="4678"/>
      <c r="O31" s="4678"/>
      <c r="P31" s="4678"/>
      <c r="Q31" s="4678"/>
      <c r="R31" s="4678"/>
      <c r="S31" s="4678"/>
      <c r="T31" s="4678"/>
      <c r="U31" s="4678"/>
      <c r="V31" s="4678"/>
      <c r="W31" s="4678"/>
      <c r="X31" s="4678"/>
      <c r="Y31" s="4678"/>
      <c r="Z31" s="4678"/>
      <c r="AA31" s="4678"/>
      <c r="AB31" s="4678"/>
      <c r="AC31" s="4679"/>
      <c r="AD31" s="867"/>
      <c r="AE31" s="867"/>
    </row>
    <row r="32" spans="1:31" x14ac:dyDescent="0.25">
      <c r="B32" s="80"/>
      <c r="C32" s="81"/>
    </row>
    <row r="33" spans="1:104" ht="18" customHeight="1" x14ac:dyDescent="0.25">
      <c r="B33" s="138" t="s">
        <v>7</v>
      </c>
      <c r="C33" s="139"/>
      <c r="D33" s="140" t="str">
        <f>D2</f>
        <v>Gross Fixed Capital Formation (GFCF)</v>
      </c>
      <c r="E33" s="140"/>
      <c r="F33" s="140"/>
      <c r="G33" s="140"/>
      <c r="H33" s="140"/>
      <c r="I33" s="140"/>
      <c r="J33" s="140"/>
      <c r="K33" s="140"/>
      <c r="L33" s="140"/>
      <c r="M33" s="141"/>
      <c r="N33" s="141"/>
      <c r="O33" s="141"/>
      <c r="P33" s="141"/>
      <c r="Q33" s="141"/>
      <c r="R33" s="142"/>
      <c r="S33" s="142"/>
      <c r="T33" s="141"/>
      <c r="U33" s="141"/>
      <c r="V33" s="141"/>
      <c r="W33" s="141"/>
      <c r="X33" s="141"/>
      <c r="Y33" s="141"/>
      <c r="Z33" s="141"/>
      <c r="AA33" s="141"/>
      <c r="AB33" s="141"/>
      <c r="AC33" s="141"/>
      <c r="AD33" s="141"/>
      <c r="AE33" s="141"/>
      <c r="AF33" s="141"/>
      <c r="AG33" s="141"/>
      <c r="AH33" s="141"/>
      <c r="AI33" s="141"/>
      <c r="AJ33" s="141"/>
      <c r="AK33" s="141"/>
      <c r="AL33" s="141"/>
      <c r="AM33" s="141"/>
      <c r="AN33" s="141"/>
      <c r="AO33" s="141"/>
      <c r="AP33" s="141"/>
      <c r="AQ33" s="141"/>
      <c r="AR33" s="141"/>
      <c r="AS33" s="141"/>
      <c r="AT33" s="141"/>
      <c r="AU33" s="141"/>
      <c r="AV33" s="141"/>
      <c r="AW33" s="141"/>
      <c r="AX33" s="141"/>
      <c r="AY33" s="141"/>
    </row>
    <row r="34" spans="1:104" ht="18" customHeight="1" x14ac:dyDescent="0.25">
      <c r="B34" s="143"/>
      <c r="C34" s="144"/>
      <c r="D34" s="4683">
        <v>1994</v>
      </c>
      <c r="E34" s="4683"/>
      <c r="F34" s="4683"/>
      <c r="G34" s="4683"/>
      <c r="H34" s="4683">
        <v>1995</v>
      </c>
      <c r="I34" s="4683"/>
      <c r="J34" s="4683"/>
      <c r="K34" s="4683"/>
      <c r="L34" s="4683">
        <v>1996</v>
      </c>
      <c r="M34" s="4683"/>
      <c r="N34" s="4683"/>
      <c r="O34" s="4683"/>
      <c r="P34" s="4683">
        <v>1997</v>
      </c>
      <c r="Q34" s="4683"/>
      <c r="R34" s="4683"/>
      <c r="S34" s="4683"/>
      <c r="T34" s="4683">
        <v>1998</v>
      </c>
      <c r="U34" s="4683"/>
      <c r="V34" s="4683"/>
      <c r="W34" s="4683"/>
      <c r="X34" s="4683">
        <v>1999</v>
      </c>
      <c r="Y34" s="4683"/>
      <c r="Z34" s="4683"/>
      <c r="AA34" s="4683"/>
      <c r="AB34" s="4684">
        <v>2000</v>
      </c>
      <c r="AC34" s="4683"/>
      <c r="AD34" s="4683"/>
      <c r="AE34" s="4683"/>
      <c r="AF34" s="4683"/>
      <c r="AG34" s="4683"/>
      <c r="AH34" s="4683">
        <v>2001</v>
      </c>
      <c r="AI34" s="4683"/>
      <c r="AJ34" s="4683"/>
      <c r="AK34" s="4683"/>
      <c r="AL34" s="4683">
        <v>2002</v>
      </c>
      <c r="AM34" s="4683"/>
      <c r="AN34" s="4683"/>
      <c r="AO34" s="4683"/>
      <c r="AP34" s="4683">
        <v>2003</v>
      </c>
      <c r="AQ34" s="4683"/>
      <c r="AR34" s="4683"/>
      <c r="AS34" s="4683"/>
      <c r="AT34" s="4683">
        <v>2004</v>
      </c>
      <c r="AU34" s="4683"/>
      <c r="AV34" s="4683"/>
      <c r="AW34" s="4683"/>
      <c r="AX34" s="4683">
        <v>2005</v>
      </c>
      <c r="AY34" s="4683"/>
      <c r="AZ34" s="4683"/>
      <c r="BA34" s="4683"/>
      <c r="BB34" s="4683">
        <v>2006</v>
      </c>
      <c r="BC34" s="4683"/>
      <c r="BD34" s="4683"/>
      <c r="BE34" s="4683"/>
      <c r="BF34" s="4683">
        <v>2007</v>
      </c>
      <c r="BG34" s="4683"/>
      <c r="BH34" s="4683"/>
      <c r="BI34" s="4683"/>
      <c r="BJ34" s="4683">
        <v>2008</v>
      </c>
      <c r="BK34" s="4683"/>
      <c r="BL34" s="4683"/>
      <c r="BM34" s="4683"/>
      <c r="BN34" s="4683">
        <v>2009</v>
      </c>
      <c r="BO34" s="4683"/>
      <c r="BP34" s="4683"/>
      <c r="BQ34" s="4683"/>
      <c r="BR34" s="4683">
        <v>2010</v>
      </c>
      <c r="BS34" s="4683"/>
      <c r="BT34" s="4683"/>
      <c r="BU34" s="4683"/>
      <c r="BV34" s="4683">
        <v>2011</v>
      </c>
      <c r="BW34" s="4683"/>
      <c r="BX34" s="4683"/>
      <c r="BY34" s="4683"/>
      <c r="BZ34" s="4683">
        <v>2012</v>
      </c>
      <c r="CA34" s="4683"/>
      <c r="CB34" s="4683"/>
      <c r="CC34" s="4683"/>
      <c r="CD34" s="4683">
        <v>2013</v>
      </c>
      <c r="CE34" s="4683"/>
      <c r="CF34" s="4683"/>
      <c r="CG34" s="4683"/>
      <c r="CH34" s="4683">
        <v>2014</v>
      </c>
      <c r="CI34" s="4683"/>
      <c r="CJ34" s="4683"/>
      <c r="CK34" s="4683"/>
      <c r="CL34" s="4685">
        <v>2015</v>
      </c>
      <c r="CM34" s="4685"/>
      <c r="CN34" s="4685"/>
      <c r="CO34" s="4685"/>
    </row>
    <row r="35" spans="1:104" s="38" customFormat="1" x14ac:dyDescent="0.2">
      <c r="A35" s="145"/>
      <c r="B35" s="66"/>
      <c r="C35" s="81"/>
      <c r="D35" s="146" t="s">
        <v>357</v>
      </c>
      <c r="E35" s="146"/>
      <c r="F35" s="146" t="s">
        <v>359</v>
      </c>
      <c r="G35" s="147" t="s">
        <v>360</v>
      </c>
      <c r="H35" s="146" t="s">
        <v>357</v>
      </c>
      <c r="I35" s="146" t="s">
        <v>358</v>
      </c>
      <c r="J35" s="146" t="s">
        <v>359</v>
      </c>
      <c r="K35" s="147" t="s">
        <v>360</v>
      </c>
      <c r="L35" s="146" t="s">
        <v>357</v>
      </c>
      <c r="M35" s="146" t="s">
        <v>358</v>
      </c>
      <c r="N35" s="146" t="s">
        <v>359</v>
      </c>
      <c r="O35" s="147" t="s">
        <v>360</v>
      </c>
      <c r="P35" s="146" t="s">
        <v>357</v>
      </c>
      <c r="Q35" s="146" t="s">
        <v>358</v>
      </c>
      <c r="R35" s="146" t="s">
        <v>359</v>
      </c>
      <c r="S35" s="147" t="s">
        <v>360</v>
      </c>
      <c r="T35" s="146" t="s">
        <v>357</v>
      </c>
      <c r="U35" s="146" t="s">
        <v>358</v>
      </c>
      <c r="V35" s="146" t="s">
        <v>359</v>
      </c>
      <c r="W35" s="147" t="s">
        <v>360</v>
      </c>
      <c r="X35" s="146" t="s">
        <v>357</v>
      </c>
      <c r="Y35" s="146" t="s">
        <v>358</v>
      </c>
      <c r="Z35" s="146" t="s">
        <v>359</v>
      </c>
      <c r="AA35" s="147" t="s">
        <v>360</v>
      </c>
      <c r="AB35" s="146" t="s">
        <v>357</v>
      </c>
      <c r="AC35" s="146" t="s">
        <v>358</v>
      </c>
      <c r="AD35" s="146"/>
      <c r="AE35" s="146"/>
      <c r="AF35" s="146" t="s">
        <v>359</v>
      </c>
      <c r="AG35" s="147" t="s">
        <v>360</v>
      </c>
      <c r="AH35" s="146" t="s">
        <v>357</v>
      </c>
      <c r="AI35" s="146" t="s">
        <v>358</v>
      </c>
      <c r="AJ35" s="146" t="s">
        <v>359</v>
      </c>
      <c r="AK35" s="147" t="s">
        <v>360</v>
      </c>
      <c r="AL35" s="146" t="s">
        <v>357</v>
      </c>
      <c r="AM35" s="146" t="s">
        <v>358</v>
      </c>
      <c r="AN35" s="146" t="s">
        <v>359</v>
      </c>
      <c r="AO35" s="147" t="s">
        <v>360</v>
      </c>
      <c r="AP35" s="146" t="s">
        <v>357</v>
      </c>
      <c r="AQ35" s="146" t="s">
        <v>358</v>
      </c>
      <c r="AR35" s="146" t="s">
        <v>359</v>
      </c>
      <c r="AS35" s="147" t="s">
        <v>360</v>
      </c>
      <c r="AT35" s="146" t="s">
        <v>357</v>
      </c>
      <c r="AU35" s="146" t="s">
        <v>358</v>
      </c>
      <c r="AV35" s="146" t="s">
        <v>359</v>
      </c>
      <c r="AW35" s="147" t="s">
        <v>360</v>
      </c>
      <c r="AX35" s="146" t="s">
        <v>357</v>
      </c>
      <c r="AY35" s="146" t="s">
        <v>358</v>
      </c>
      <c r="AZ35" s="146" t="s">
        <v>359</v>
      </c>
      <c r="BA35" s="147" t="s">
        <v>360</v>
      </c>
      <c r="BB35" s="146" t="s">
        <v>357</v>
      </c>
      <c r="BC35" s="146" t="s">
        <v>358</v>
      </c>
      <c r="BD35" s="146" t="s">
        <v>359</v>
      </c>
      <c r="BE35" s="147" t="s">
        <v>360</v>
      </c>
      <c r="BF35" s="146" t="s">
        <v>357</v>
      </c>
      <c r="BG35" s="146" t="s">
        <v>358</v>
      </c>
      <c r="BH35" s="146" t="s">
        <v>359</v>
      </c>
      <c r="BI35" s="147" t="s">
        <v>360</v>
      </c>
      <c r="BJ35" s="146" t="s">
        <v>357</v>
      </c>
      <c r="BK35" s="146" t="s">
        <v>358</v>
      </c>
      <c r="BL35" s="146" t="s">
        <v>359</v>
      </c>
      <c r="BM35" s="147" t="s">
        <v>360</v>
      </c>
      <c r="BN35" s="146" t="s">
        <v>357</v>
      </c>
      <c r="BO35" s="146" t="s">
        <v>358</v>
      </c>
      <c r="BP35" s="146" t="s">
        <v>359</v>
      </c>
      <c r="BQ35" s="147" t="s">
        <v>360</v>
      </c>
      <c r="BR35" s="146" t="s">
        <v>357</v>
      </c>
      <c r="BS35" s="146" t="s">
        <v>358</v>
      </c>
      <c r="BT35" s="146" t="s">
        <v>359</v>
      </c>
      <c r="BU35" s="147" t="s">
        <v>360</v>
      </c>
      <c r="BV35" s="146" t="s">
        <v>357</v>
      </c>
      <c r="BW35" s="146" t="s">
        <v>358</v>
      </c>
      <c r="BX35" s="146" t="s">
        <v>359</v>
      </c>
      <c r="BY35" s="147" t="s">
        <v>360</v>
      </c>
      <c r="BZ35" s="146" t="s">
        <v>357</v>
      </c>
      <c r="CA35" s="146" t="s">
        <v>358</v>
      </c>
      <c r="CB35" s="146" t="s">
        <v>359</v>
      </c>
      <c r="CC35" s="147" t="s">
        <v>360</v>
      </c>
      <c r="CD35" s="146" t="s">
        <v>357</v>
      </c>
      <c r="CE35" s="146" t="s">
        <v>358</v>
      </c>
      <c r="CF35" s="146" t="s">
        <v>359</v>
      </c>
      <c r="CG35" s="147" t="s">
        <v>360</v>
      </c>
      <c r="CH35" s="146" t="s">
        <v>357</v>
      </c>
      <c r="CI35" s="146" t="s">
        <v>358</v>
      </c>
      <c r="CJ35" s="146" t="s">
        <v>359</v>
      </c>
      <c r="CK35" s="147" t="s">
        <v>360</v>
      </c>
      <c r="CL35" s="148" t="s">
        <v>357</v>
      </c>
      <c r="CM35" s="148" t="s">
        <v>358</v>
      </c>
      <c r="CN35" s="148" t="s">
        <v>359</v>
      </c>
      <c r="CO35" s="149" t="s">
        <v>360</v>
      </c>
    </row>
    <row r="36" spans="1:104" x14ac:dyDescent="0.25">
      <c r="B36" s="150" t="s">
        <v>389</v>
      </c>
      <c r="D36" s="151">
        <v>15.7</v>
      </c>
      <c r="E36" s="151"/>
      <c r="F36" s="151">
        <v>16.399999999999999</v>
      </c>
      <c r="G36" s="151">
        <v>16.2</v>
      </c>
      <c r="H36" s="151">
        <v>16.8</v>
      </c>
      <c r="I36" s="151">
        <v>17.399999999999999</v>
      </c>
      <c r="J36" s="151">
        <v>17</v>
      </c>
      <c r="K36" s="151">
        <v>16.7</v>
      </c>
      <c r="L36" s="151">
        <v>17.100000000000001</v>
      </c>
      <c r="M36" s="151">
        <v>17.2</v>
      </c>
      <c r="N36" s="151">
        <v>17.3</v>
      </c>
      <c r="O36" s="151">
        <v>17.2</v>
      </c>
      <c r="P36" s="151">
        <v>17.7</v>
      </c>
      <c r="Q36" s="151">
        <v>17.600000000000001</v>
      </c>
      <c r="R36" s="151">
        <v>17.5</v>
      </c>
      <c r="S36" s="151">
        <v>17.399999999999999</v>
      </c>
      <c r="T36" s="151">
        <v>17.8</v>
      </c>
      <c r="U36" s="151">
        <v>17.7</v>
      </c>
      <c r="V36" s="151">
        <v>18.3</v>
      </c>
      <c r="W36" s="151">
        <v>18.5</v>
      </c>
      <c r="X36" s="151">
        <v>16.899999999999999</v>
      </c>
      <c r="Y36" s="151">
        <v>16.3</v>
      </c>
      <c r="Z36" s="151">
        <v>15.8</v>
      </c>
      <c r="AA36" s="151">
        <v>15.6</v>
      </c>
      <c r="AB36" s="151">
        <v>15.8</v>
      </c>
      <c r="AC36" s="151">
        <v>15.7</v>
      </c>
      <c r="AD36" s="151"/>
      <c r="AE36" s="151"/>
      <c r="AF36" s="151">
        <v>15.4</v>
      </c>
      <c r="AG36" s="151">
        <v>15.6</v>
      </c>
      <c r="AH36" s="151">
        <v>15.6</v>
      </c>
      <c r="AI36" s="151">
        <v>15.5</v>
      </c>
      <c r="AJ36" s="151">
        <v>15.6</v>
      </c>
      <c r="AK36" s="151">
        <v>15.3</v>
      </c>
      <c r="AL36" s="151">
        <v>15.1</v>
      </c>
      <c r="AM36" s="151">
        <v>15</v>
      </c>
      <c r="AN36" s="151">
        <v>15.1</v>
      </c>
      <c r="AO36" s="151">
        <v>15.4</v>
      </c>
      <c r="AP36" s="151">
        <v>15.5</v>
      </c>
      <c r="AQ36" s="151">
        <v>15.9</v>
      </c>
      <c r="AR36" s="151">
        <v>16</v>
      </c>
      <c r="AS36" s="151">
        <v>16.399999999999999</v>
      </c>
      <c r="AT36" s="151">
        <v>16.2</v>
      </c>
      <c r="AU36" s="151">
        <v>16.2</v>
      </c>
      <c r="AV36" s="151">
        <v>16.600000000000001</v>
      </c>
      <c r="AW36" s="151">
        <v>16.7</v>
      </c>
      <c r="AX36" s="151">
        <v>16.8</v>
      </c>
      <c r="AY36" s="151">
        <v>16.899999999999999</v>
      </c>
      <c r="AZ36" s="151">
        <v>17.399999999999999</v>
      </c>
      <c r="BA36" s="151">
        <v>17.8</v>
      </c>
      <c r="BB36" s="151">
        <v>18.399999999999999</v>
      </c>
      <c r="BC36" s="151">
        <v>18.600000000000001</v>
      </c>
      <c r="BD36" s="151">
        <v>19</v>
      </c>
      <c r="BE36" s="151">
        <v>19.600000000000001</v>
      </c>
      <c r="BF36" s="151">
        <v>20.3</v>
      </c>
      <c r="BG36" s="151">
        <v>20.8</v>
      </c>
      <c r="BH36" s="151">
        <v>20.9</v>
      </c>
      <c r="BI36" s="151">
        <v>20.6</v>
      </c>
      <c r="BJ36" s="151">
        <v>21.5</v>
      </c>
      <c r="BK36" s="151">
        <v>22.8</v>
      </c>
      <c r="BL36" s="151">
        <v>24.4</v>
      </c>
      <c r="BM36" s="151">
        <v>25.1</v>
      </c>
      <c r="BN36" s="151">
        <v>23.1</v>
      </c>
      <c r="BO36" s="151">
        <v>21.9</v>
      </c>
      <c r="BP36" s="151">
        <v>20.8</v>
      </c>
      <c r="BQ36" s="151">
        <v>20.3</v>
      </c>
      <c r="BR36" s="151">
        <v>20</v>
      </c>
      <c r="BS36" s="151">
        <v>19.399999999999999</v>
      </c>
      <c r="BT36" s="151">
        <v>19.100000000000001</v>
      </c>
      <c r="BU36" s="151">
        <v>18.7</v>
      </c>
      <c r="BV36" s="151">
        <v>18.600000000000001</v>
      </c>
      <c r="BW36" s="151">
        <v>18.7</v>
      </c>
      <c r="BX36" s="151">
        <v>18.7</v>
      </c>
      <c r="BY36" s="151">
        <v>18.899999999999999</v>
      </c>
      <c r="BZ36" s="151">
        <v>18.8</v>
      </c>
      <c r="CA36" s="152">
        <v>18.7</v>
      </c>
      <c r="CB36" s="153">
        <v>18.899999999999999</v>
      </c>
      <c r="CC36" s="152">
        <v>18.8</v>
      </c>
      <c r="CD36" s="152">
        <v>19.2</v>
      </c>
      <c r="CE36" s="152">
        <v>19.8</v>
      </c>
      <c r="CF36" s="152">
        <v>20.399999999999999</v>
      </c>
      <c r="CG36" s="152">
        <v>20.7</v>
      </c>
      <c r="CH36" s="152">
        <v>20.2</v>
      </c>
      <c r="CI36" s="152">
        <v>20.399999999999999</v>
      </c>
      <c r="CJ36" s="152">
        <v>20.3</v>
      </c>
      <c r="CK36" s="4">
        <v>20.100000000000001</v>
      </c>
      <c r="CL36" s="154"/>
      <c r="CM36" s="154"/>
      <c r="CN36" s="154"/>
      <c r="CO36" s="64"/>
    </row>
    <row r="38" spans="1:104" x14ac:dyDescent="0.2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55"/>
      <c r="AW38" s="155"/>
      <c r="AX38" s="155"/>
      <c r="AY38" s="155"/>
      <c r="AZ38" s="155"/>
      <c r="BA38" s="155"/>
      <c r="BB38" s="155"/>
      <c r="BC38" s="155"/>
      <c r="BD38" s="155"/>
      <c r="BE38" s="155"/>
      <c r="BF38" s="155"/>
      <c r="BG38" s="155"/>
      <c r="BH38" s="155"/>
      <c r="BI38" s="155"/>
      <c r="BJ38" s="155"/>
      <c r="BK38" s="155"/>
      <c r="BL38" s="155"/>
      <c r="BM38" s="155"/>
      <c r="BN38" s="155"/>
      <c r="BO38" s="155"/>
      <c r="BP38" s="155"/>
      <c r="BQ38" s="155"/>
      <c r="BR38" s="155"/>
      <c r="BS38" s="155"/>
      <c r="BT38" s="155"/>
      <c r="BU38" s="155"/>
      <c r="BV38" s="155"/>
      <c r="BW38" s="155"/>
      <c r="BX38" s="155"/>
      <c r="BY38" s="155"/>
      <c r="BZ38" s="155"/>
      <c r="CA38" s="155"/>
      <c r="CB38" s="155"/>
      <c r="CC38" s="155"/>
      <c r="CD38" s="155"/>
      <c r="CE38" s="155"/>
      <c r="CF38" s="155"/>
      <c r="CG38" s="155"/>
      <c r="CH38" s="155"/>
      <c r="CI38" s="155"/>
      <c r="CJ38" s="155"/>
    </row>
    <row r="39" spans="1:104" x14ac:dyDescent="0.25">
      <c r="D39" s="155"/>
      <c r="E39" s="155"/>
      <c r="H39" s="10"/>
      <c r="I39" s="10"/>
      <c r="J39" s="10"/>
      <c r="K39" s="10"/>
      <c r="L39" s="10"/>
      <c r="M39" s="10"/>
      <c r="N39" s="10"/>
      <c r="O39" s="10"/>
      <c r="P39" s="10"/>
      <c r="Q39" s="10"/>
      <c r="R39" s="10"/>
      <c r="S39" s="10"/>
      <c r="T39" s="10"/>
      <c r="U39" s="10"/>
      <c r="V39" s="10"/>
      <c r="W39" s="10"/>
      <c r="BX39" s="155"/>
    </row>
    <row r="40" spans="1:104" x14ac:dyDescent="0.25">
      <c r="D40" s="155"/>
      <c r="E40" s="155"/>
      <c r="H40" s="10"/>
      <c r="I40" s="10"/>
      <c r="J40" s="10"/>
      <c r="K40" s="10"/>
      <c r="L40" s="10"/>
      <c r="M40" s="10"/>
      <c r="N40" s="10"/>
      <c r="O40" s="10"/>
      <c r="P40" s="10"/>
      <c r="Q40" s="10"/>
      <c r="R40" s="10"/>
      <c r="S40" s="10"/>
      <c r="T40" s="10"/>
      <c r="U40" s="10"/>
      <c r="V40" s="10"/>
      <c r="W40" s="10"/>
      <c r="BX40" s="155"/>
    </row>
    <row r="41" spans="1:104" x14ac:dyDescent="0.25">
      <c r="D41" s="155"/>
      <c r="E41" s="156"/>
      <c r="F41" s="156"/>
      <c r="G41" s="156"/>
      <c r="H41" s="156"/>
      <c r="I41" s="156"/>
      <c r="J41" s="156"/>
      <c r="K41" s="156"/>
      <c r="L41" s="156"/>
      <c r="M41" s="156"/>
      <c r="N41" s="156"/>
      <c r="O41" s="156"/>
      <c r="P41" s="156"/>
      <c r="Q41" s="156"/>
      <c r="R41" s="156"/>
      <c r="S41" s="156"/>
      <c r="T41" s="137"/>
      <c r="U41" s="156"/>
      <c r="V41" s="156"/>
      <c r="W41" s="156"/>
      <c r="X41" s="156"/>
      <c r="Y41" s="38"/>
      <c r="BX41" s="155"/>
    </row>
    <row r="42" spans="1:104" x14ac:dyDescent="0.25">
      <c r="D42" s="155"/>
      <c r="E42" s="155"/>
      <c r="H42" s="10"/>
      <c r="I42" s="10"/>
      <c r="J42" s="10"/>
      <c r="K42" s="10"/>
      <c r="L42" s="10"/>
      <c r="M42" s="10"/>
      <c r="N42" s="10"/>
      <c r="O42" s="10"/>
      <c r="P42" s="35"/>
      <c r="Q42" s="10"/>
      <c r="R42" s="10"/>
      <c r="S42" s="10"/>
      <c r="T42" s="10"/>
      <c r="U42" s="10"/>
      <c r="V42" s="10"/>
      <c r="W42" s="10"/>
      <c r="BX42" s="155"/>
    </row>
    <row r="43" spans="1:104" x14ac:dyDescent="0.25">
      <c r="D43" s="155"/>
      <c r="E43" s="155"/>
      <c r="H43" s="10"/>
      <c r="I43" s="10"/>
      <c r="J43" s="10"/>
      <c r="K43" s="10"/>
      <c r="L43" s="10"/>
      <c r="M43" s="10"/>
      <c r="N43" s="10"/>
      <c r="O43" s="10"/>
      <c r="P43" s="10"/>
      <c r="Q43" s="10"/>
      <c r="R43" s="10"/>
      <c r="S43" s="10"/>
      <c r="T43" s="10"/>
      <c r="U43" s="10"/>
      <c r="V43" s="10"/>
      <c r="W43" s="10"/>
      <c r="BX43" s="153"/>
    </row>
    <row r="44" spans="1:104" x14ac:dyDescent="0.25">
      <c r="D44" s="151"/>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1"/>
      <c r="AR44" s="151"/>
      <c r="AS44" s="151"/>
      <c r="AT44" s="151"/>
      <c r="AU44" s="151"/>
      <c r="AV44" s="151"/>
      <c r="AW44" s="151"/>
      <c r="AX44" s="151"/>
      <c r="AY44" s="151"/>
      <c r="AZ44" s="151"/>
      <c r="BA44" s="151"/>
      <c r="BB44" s="151"/>
      <c r="BC44" s="151"/>
      <c r="BD44" s="151"/>
      <c r="BE44" s="151"/>
      <c r="BF44" s="151"/>
      <c r="BG44" s="151"/>
      <c r="BH44" s="151"/>
      <c r="BI44" s="151"/>
      <c r="BJ44" s="151"/>
      <c r="BK44" s="151"/>
      <c r="BL44" s="151"/>
      <c r="BM44" s="151"/>
      <c r="BN44" s="151"/>
      <c r="BO44" s="151"/>
      <c r="BP44" s="151"/>
      <c r="BQ44" s="151"/>
      <c r="BR44" s="151"/>
      <c r="BS44" s="151"/>
      <c r="BT44" s="151"/>
      <c r="BU44" s="151"/>
      <c r="BV44" s="151"/>
      <c r="BW44" s="151"/>
      <c r="BX44" s="151"/>
      <c r="BY44" s="151"/>
      <c r="BZ44" s="151"/>
      <c r="CA44" s="151"/>
      <c r="CB44" s="151"/>
      <c r="CC44" s="151"/>
      <c r="CD44" s="151"/>
      <c r="CE44" s="151"/>
      <c r="CF44" s="151"/>
      <c r="CG44" s="151"/>
      <c r="CH44" s="151"/>
      <c r="CI44" s="151"/>
      <c r="CJ44" s="151"/>
      <c r="CK44" s="151"/>
      <c r="CL44" s="151"/>
      <c r="CM44" s="151"/>
      <c r="CN44" s="151"/>
      <c r="CO44" s="151"/>
      <c r="CP44" s="151"/>
      <c r="CQ44" s="152"/>
      <c r="CR44" s="153"/>
      <c r="CS44" s="152"/>
      <c r="CT44" s="152"/>
      <c r="CU44" s="152"/>
      <c r="CV44" s="152"/>
      <c r="CW44" s="152"/>
      <c r="CX44" s="152"/>
      <c r="CY44" s="152"/>
      <c r="CZ44" s="152"/>
    </row>
    <row r="45" spans="1:104" x14ac:dyDescent="0.25">
      <c r="D45" s="155"/>
      <c r="E45" s="155"/>
      <c r="H45" s="10"/>
      <c r="I45" s="10"/>
      <c r="J45" s="10"/>
      <c r="K45" s="10"/>
      <c r="L45" s="10"/>
      <c r="M45" s="10"/>
      <c r="N45" s="10"/>
      <c r="O45" s="10"/>
      <c r="P45" s="10"/>
      <c r="Q45" s="10"/>
      <c r="R45" s="10"/>
      <c r="S45" s="10"/>
      <c r="T45" s="10"/>
      <c r="U45" s="10"/>
      <c r="V45" s="10"/>
      <c r="W45" s="10"/>
      <c r="BX45" s="153"/>
    </row>
    <row r="46" spans="1:104" x14ac:dyDescent="0.25">
      <c r="D46" s="155"/>
      <c r="E46" s="155"/>
      <c r="H46" s="10"/>
      <c r="I46" s="10"/>
      <c r="J46" s="10"/>
      <c r="K46" s="10"/>
      <c r="L46" s="10"/>
      <c r="M46" s="10"/>
      <c r="N46" s="10"/>
      <c r="O46" s="10"/>
      <c r="P46" s="10"/>
      <c r="Q46" s="10"/>
      <c r="R46" s="10"/>
      <c r="S46" s="10"/>
      <c r="T46" s="10"/>
      <c r="U46" s="10"/>
      <c r="V46" s="10"/>
      <c r="W46" s="10"/>
    </row>
    <row r="47" spans="1:104" x14ac:dyDescent="0.25">
      <c r="D47" s="155"/>
      <c r="E47" s="155"/>
      <c r="H47" s="10"/>
      <c r="I47" s="10"/>
      <c r="J47" s="10"/>
      <c r="K47" s="10"/>
      <c r="L47" s="10"/>
      <c r="M47" s="10"/>
      <c r="N47" s="10"/>
      <c r="O47" s="10"/>
      <c r="P47" s="10"/>
      <c r="Q47" s="10"/>
      <c r="R47" s="10"/>
      <c r="S47" s="10"/>
      <c r="T47" s="10"/>
      <c r="U47" s="10"/>
      <c r="V47" s="10"/>
      <c r="W47" s="10"/>
    </row>
    <row r="48" spans="1:104" x14ac:dyDescent="0.25">
      <c r="D48" s="155"/>
      <c r="E48" s="155"/>
    </row>
    <row r="49" spans="4:29" x14ac:dyDescent="0.25">
      <c r="D49" s="155"/>
      <c r="E49" s="155"/>
    </row>
    <row r="50" spans="4:29" x14ac:dyDescent="0.25">
      <c r="D50" s="155"/>
      <c r="E50" s="155"/>
    </row>
    <row r="51" spans="4:29" x14ac:dyDescent="0.25">
      <c r="D51" s="155"/>
      <c r="E51" s="155"/>
    </row>
    <row r="52" spans="4:29" x14ac:dyDescent="0.25">
      <c r="D52" s="155"/>
      <c r="E52" s="155"/>
    </row>
    <row r="53" spans="4:29" x14ac:dyDescent="0.25">
      <c r="D53" s="155"/>
      <c r="E53" s="155"/>
    </row>
    <row r="54" spans="4:29" x14ac:dyDescent="0.25">
      <c r="D54" s="155"/>
      <c r="E54" s="155"/>
    </row>
    <row r="55" spans="4:29" x14ac:dyDescent="0.25">
      <c r="D55" s="155"/>
      <c r="E55" s="155"/>
    </row>
    <row r="56" spans="4:29" x14ac:dyDescent="0.25">
      <c r="D56" s="155"/>
      <c r="E56" s="155"/>
    </row>
    <row r="57" spans="4:29" x14ac:dyDescent="0.25">
      <c r="D57" s="155"/>
      <c r="E57" s="155"/>
    </row>
    <row r="58" spans="4:29" x14ac:dyDescent="0.25">
      <c r="D58" s="155"/>
      <c r="E58" s="155"/>
    </row>
    <row r="59" spans="4:29" x14ac:dyDescent="0.25">
      <c r="D59" s="155"/>
      <c r="E59" s="155"/>
    </row>
    <row r="60" spans="4:29" x14ac:dyDescent="0.25">
      <c r="D60" s="155"/>
      <c r="E60" s="155"/>
      <c r="AC60" s="4" t="s">
        <v>358</v>
      </c>
    </row>
    <row r="61" spans="4:29" x14ac:dyDescent="0.25">
      <c r="D61" s="155"/>
      <c r="E61" s="155"/>
    </row>
    <row r="62" spans="4:29" x14ac:dyDescent="0.25">
      <c r="D62" s="155"/>
      <c r="E62" s="155"/>
    </row>
    <row r="63" spans="4:29" x14ac:dyDescent="0.25">
      <c r="D63" s="155"/>
      <c r="E63" s="155"/>
    </row>
    <row r="64" spans="4:29" x14ac:dyDescent="0.25">
      <c r="D64" s="155"/>
      <c r="E64" s="155"/>
    </row>
    <row r="65" spans="4:5" x14ac:dyDescent="0.25">
      <c r="D65" s="155"/>
      <c r="E65" s="155"/>
    </row>
    <row r="66" spans="4:5" x14ac:dyDescent="0.25">
      <c r="D66" s="155"/>
      <c r="E66" s="155"/>
    </row>
    <row r="67" spans="4:5" x14ac:dyDescent="0.25">
      <c r="D67" s="155"/>
      <c r="E67" s="155"/>
    </row>
    <row r="68" spans="4:5" x14ac:dyDescent="0.25">
      <c r="D68" s="155"/>
      <c r="E68" s="155"/>
    </row>
    <row r="69" spans="4:5" x14ac:dyDescent="0.25">
      <c r="D69" s="155"/>
      <c r="E69" s="155"/>
    </row>
    <row r="70" spans="4:5" x14ac:dyDescent="0.25">
      <c r="D70" s="155"/>
      <c r="E70" s="155"/>
    </row>
    <row r="71" spans="4:5" x14ac:dyDescent="0.25">
      <c r="D71" s="155"/>
      <c r="E71" s="155"/>
    </row>
    <row r="72" spans="4:5" x14ac:dyDescent="0.25">
      <c r="D72" s="155"/>
      <c r="E72" s="155"/>
    </row>
    <row r="73" spans="4:5" x14ac:dyDescent="0.25">
      <c r="D73" s="155"/>
      <c r="E73" s="155"/>
    </row>
    <row r="74" spans="4:5" x14ac:dyDescent="0.25">
      <c r="D74" s="155"/>
      <c r="E74" s="155"/>
    </row>
    <row r="75" spans="4:5" x14ac:dyDescent="0.25">
      <c r="D75" s="155"/>
      <c r="E75" s="155"/>
    </row>
    <row r="76" spans="4:5" x14ac:dyDescent="0.25">
      <c r="D76" s="155"/>
      <c r="E76" s="155"/>
    </row>
    <row r="77" spans="4:5" x14ac:dyDescent="0.25">
      <c r="D77" s="155"/>
      <c r="E77" s="155"/>
    </row>
    <row r="78" spans="4:5" x14ac:dyDescent="0.25">
      <c r="D78" s="155"/>
      <c r="E78" s="155"/>
    </row>
    <row r="79" spans="4:5" x14ac:dyDescent="0.25">
      <c r="D79" s="155"/>
      <c r="E79" s="155"/>
    </row>
    <row r="80" spans="4:5" x14ac:dyDescent="0.25">
      <c r="D80" s="155"/>
      <c r="E80" s="155"/>
    </row>
    <row r="81" spans="4:5" x14ac:dyDescent="0.25">
      <c r="D81" s="155"/>
      <c r="E81" s="155"/>
    </row>
    <row r="82" spans="4:5" x14ac:dyDescent="0.25">
      <c r="D82" s="155"/>
      <c r="E82" s="155"/>
    </row>
    <row r="83" spans="4:5" x14ac:dyDescent="0.25">
      <c r="D83" s="155"/>
      <c r="E83" s="155"/>
    </row>
    <row r="84" spans="4:5" x14ac:dyDescent="0.25">
      <c r="D84" s="155"/>
      <c r="E84" s="155"/>
    </row>
    <row r="85" spans="4:5" x14ac:dyDescent="0.25">
      <c r="D85" s="155"/>
      <c r="E85" s="155"/>
    </row>
    <row r="86" spans="4:5" x14ac:dyDescent="0.25">
      <c r="D86" s="155"/>
      <c r="E86" s="155"/>
    </row>
    <row r="87" spans="4:5" x14ac:dyDescent="0.25">
      <c r="D87" s="155"/>
      <c r="E87" s="155"/>
    </row>
    <row r="88" spans="4:5" x14ac:dyDescent="0.25">
      <c r="D88" s="155"/>
      <c r="E88" s="155"/>
    </row>
    <row r="89" spans="4:5" x14ac:dyDescent="0.25">
      <c r="D89" s="155"/>
      <c r="E89" s="155"/>
    </row>
    <row r="90" spans="4:5" x14ac:dyDescent="0.25">
      <c r="D90" s="155"/>
      <c r="E90" s="155"/>
    </row>
    <row r="91" spans="4:5" x14ac:dyDescent="0.25">
      <c r="D91" s="155"/>
      <c r="E91" s="155"/>
    </row>
    <row r="92" spans="4:5" x14ac:dyDescent="0.25">
      <c r="D92" s="155"/>
      <c r="E92" s="155"/>
    </row>
    <row r="93" spans="4:5" x14ac:dyDescent="0.25">
      <c r="D93" s="155"/>
      <c r="E93" s="155"/>
    </row>
    <row r="94" spans="4:5" x14ac:dyDescent="0.25">
      <c r="D94" s="155"/>
      <c r="E94" s="155"/>
    </row>
    <row r="95" spans="4:5" x14ac:dyDescent="0.25">
      <c r="D95" s="155"/>
      <c r="E95" s="155"/>
    </row>
    <row r="96" spans="4:5" x14ac:dyDescent="0.25">
      <c r="D96" s="155"/>
      <c r="E96" s="155"/>
    </row>
    <row r="97" spans="4:5" x14ac:dyDescent="0.25">
      <c r="D97" s="155"/>
      <c r="E97" s="155"/>
    </row>
    <row r="98" spans="4:5" x14ac:dyDescent="0.25">
      <c r="D98" s="155"/>
      <c r="E98" s="155"/>
    </row>
    <row r="99" spans="4:5" x14ac:dyDescent="0.25">
      <c r="D99" s="155"/>
      <c r="E99" s="155"/>
    </row>
    <row r="100" spans="4:5" x14ac:dyDescent="0.25">
      <c r="D100" s="155"/>
      <c r="E100" s="155"/>
    </row>
    <row r="101" spans="4:5" x14ac:dyDescent="0.25">
      <c r="D101" s="155"/>
      <c r="E101" s="155"/>
    </row>
    <row r="102" spans="4:5" x14ac:dyDescent="0.25">
      <c r="D102" s="155"/>
      <c r="E102" s="155"/>
    </row>
    <row r="103" spans="4:5" x14ac:dyDescent="0.25">
      <c r="D103" s="155"/>
      <c r="E103" s="155"/>
    </row>
    <row r="104" spans="4:5" x14ac:dyDescent="0.25">
      <c r="D104" s="155"/>
      <c r="E104" s="155"/>
    </row>
    <row r="105" spans="4:5" x14ac:dyDescent="0.25">
      <c r="D105" s="155"/>
      <c r="E105" s="155"/>
    </row>
    <row r="106" spans="4:5" x14ac:dyDescent="0.25">
      <c r="D106" s="155"/>
      <c r="E106" s="155"/>
    </row>
    <row r="107" spans="4:5" x14ac:dyDescent="0.25">
      <c r="D107" s="155"/>
      <c r="E107" s="155"/>
    </row>
    <row r="108" spans="4:5" x14ac:dyDescent="0.25">
      <c r="D108" s="155"/>
      <c r="E108" s="155"/>
    </row>
    <row r="109" spans="4:5" x14ac:dyDescent="0.25">
      <c r="D109" s="155"/>
      <c r="E109" s="155"/>
    </row>
    <row r="110" spans="4:5" x14ac:dyDescent="0.25">
      <c r="D110" s="153"/>
      <c r="E110" s="155"/>
    </row>
    <row r="111" spans="4:5" x14ac:dyDescent="0.25">
      <c r="D111" s="153"/>
      <c r="E111" s="153"/>
    </row>
    <row r="112" spans="4:5" x14ac:dyDescent="0.25">
      <c r="D112" s="153"/>
      <c r="E112" s="153"/>
    </row>
    <row r="113" spans="4:5" x14ac:dyDescent="0.25">
      <c r="D113" s="153"/>
      <c r="E113" s="153"/>
    </row>
    <row r="114" spans="4:5" x14ac:dyDescent="0.25">
      <c r="D114" s="153"/>
    </row>
    <row r="115" spans="4:5" x14ac:dyDescent="0.25">
      <c r="D115" s="153"/>
    </row>
    <row r="116" spans="4:5" x14ac:dyDescent="0.25">
      <c r="D116" s="153"/>
    </row>
    <row r="117" spans="4:5" x14ac:dyDescent="0.25">
      <c r="D117" s="153"/>
    </row>
  </sheetData>
  <mergeCells count="28">
    <mergeCell ref="BZ34:CC34"/>
    <mergeCell ref="CD34:CG34"/>
    <mergeCell ref="CH34:CK34"/>
    <mergeCell ref="CL34:CO34"/>
    <mergeCell ref="BB34:BE34"/>
    <mergeCell ref="BF34:BI34"/>
    <mergeCell ref="BJ34:BM34"/>
    <mergeCell ref="BN34:BQ34"/>
    <mergeCell ref="BR34:BU34"/>
    <mergeCell ref="BV34:BY34"/>
    <mergeCell ref="AX34:BA34"/>
    <mergeCell ref="D34:G34"/>
    <mergeCell ref="H34:K34"/>
    <mergeCell ref="L34:O34"/>
    <mergeCell ref="P34:S34"/>
    <mergeCell ref="T34:W34"/>
    <mergeCell ref="X34:AA34"/>
    <mergeCell ref="AB34:AG34"/>
    <mergeCell ref="AH34:AK34"/>
    <mergeCell ref="AL34:AO34"/>
    <mergeCell ref="AP34:AS34"/>
    <mergeCell ref="AT34:AW34"/>
    <mergeCell ref="D31:AC31"/>
    <mergeCell ref="D2:AC2"/>
    <mergeCell ref="D3:AC3"/>
    <mergeCell ref="D4:AC4"/>
    <mergeCell ref="D29:AC29"/>
    <mergeCell ref="D30:AC30"/>
  </mergeCells>
  <pageMargins left="0.74803149606299202" right="0.74803149606299202" top="0.98425196850393704" bottom="0.98425196850393704" header="0.511811023622047" footer="0.511811023622047"/>
  <pageSetup paperSize="9" scale="67"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553D-3B5E-4A65-AAB9-378C0A6EDC0F}">
  <sheetPr>
    <tabColor rgb="FFFFC000"/>
    <pageSetUpPr fitToPage="1"/>
  </sheetPr>
  <dimension ref="A1:AH61"/>
  <sheetViews>
    <sheetView showGridLines="0" view="pageBreakPreview" topLeftCell="C4" zoomScaleNormal="100" zoomScaleSheetLayoutView="100" workbookViewId="0">
      <selection activeCell="AD22" sqref="AD22"/>
    </sheetView>
  </sheetViews>
  <sheetFormatPr defaultColWidth="9.140625" defaultRowHeight="15" x14ac:dyDescent="0.25"/>
  <cols>
    <col min="1" max="1" width="3.85546875" style="69" customWidth="1"/>
    <col min="2" max="2" width="12.85546875" style="66" customWidth="1"/>
    <col min="3" max="3" width="3.85546875" style="67" customWidth="1"/>
    <col min="4" max="4" width="8.85546875" style="4" customWidth="1"/>
    <col min="5" max="5" width="4.140625" style="4" customWidth="1"/>
    <col min="6" max="22" width="8.140625" style="4" customWidth="1"/>
    <col min="23" max="23" width="7.140625" style="4" customWidth="1"/>
    <col min="24" max="24" width="6.85546875" style="4" customWidth="1"/>
    <col min="25" max="25" width="6.5703125" style="4" customWidth="1"/>
    <col min="26" max="26" width="7.140625" style="4" customWidth="1"/>
    <col min="27" max="28" width="7.85546875" style="4" customWidth="1"/>
    <col min="29" max="31" width="6.85546875" style="4" customWidth="1"/>
    <col min="32" max="32" width="7.140625" style="4" customWidth="1"/>
    <col min="33" max="16384" width="9.140625" style="4"/>
  </cols>
  <sheetData>
    <row r="1" spans="1:34" x14ac:dyDescent="0.25">
      <c r="A1" s="65"/>
      <c r="D1" s="68"/>
      <c r="E1" s="68"/>
      <c r="F1" s="68"/>
      <c r="G1" s="68"/>
      <c r="H1" s="68"/>
      <c r="I1" s="68"/>
      <c r="J1" s="68"/>
      <c r="K1" s="68"/>
      <c r="L1" s="68"/>
      <c r="M1" s="68"/>
      <c r="N1" s="68"/>
      <c r="O1" s="68"/>
      <c r="P1" s="68"/>
      <c r="Q1" s="68"/>
      <c r="R1" s="68"/>
      <c r="S1" s="68"/>
      <c r="T1" s="68"/>
      <c r="U1" s="68"/>
      <c r="V1" s="68"/>
      <c r="W1" s="68"/>
    </row>
    <row r="2" spans="1:34" ht="12.75" customHeight="1" x14ac:dyDescent="0.25">
      <c r="A2" s="69">
        <v>1</v>
      </c>
      <c r="B2" s="70" t="s">
        <v>0</v>
      </c>
      <c r="C2" s="69">
        <v>12</v>
      </c>
      <c r="D2" s="4674" t="s">
        <v>390</v>
      </c>
      <c r="E2" s="4675"/>
      <c r="F2" s="4675"/>
      <c r="G2" s="4675"/>
      <c r="H2" s="4675"/>
      <c r="I2" s="4675"/>
      <c r="J2" s="4675"/>
      <c r="K2" s="4675"/>
      <c r="L2" s="4675"/>
      <c r="M2" s="4675"/>
      <c r="N2" s="4675"/>
      <c r="O2" s="4675"/>
      <c r="P2" s="4675"/>
      <c r="Q2" s="4675"/>
      <c r="R2" s="4675"/>
      <c r="S2" s="4675"/>
      <c r="T2" s="4675"/>
      <c r="U2" s="4675"/>
      <c r="V2" s="4675"/>
      <c r="W2" s="4675"/>
      <c r="X2" s="4675"/>
      <c r="Y2" s="4675"/>
      <c r="Z2" s="4675"/>
      <c r="AA2" s="4675"/>
      <c r="AB2" s="4675"/>
      <c r="AC2" s="4676"/>
      <c r="AD2" s="180"/>
      <c r="AE2" s="180"/>
    </row>
    <row r="3" spans="1:34" ht="12.75" customHeight="1" x14ac:dyDescent="0.25">
      <c r="A3" s="69">
        <v>2</v>
      </c>
      <c r="B3" s="70" t="s">
        <v>2</v>
      </c>
      <c r="C3" s="69"/>
      <c r="D3" s="4677" t="s">
        <v>391</v>
      </c>
      <c r="E3" s="4678"/>
      <c r="F3" s="4678"/>
      <c r="G3" s="4678"/>
      <c r="H3" s="4678"/>
      <c r="I3" s="4678"/>
      <c r="J3" s="4678"/>
      <c r="K3" s="4678"/>
      <c r="L3" s="4678"/>
      <c r="M3" s="4678"/>
      <c r="N3" s="4678"/>
      <c r="O3" s="4678"/>
      <c r="P3" s="4678"/>
      <c r="Q3" s="4678"/>
      <c r="R3" s="4678"/>
      <c r="S3" s="4678"/>
      <c r="T3" s="4678"/>
      <c r="U3" s="4678"/>
      <c r="V3" s="4678"/>
      <c r="W3" s="4678"/>
      <c r="X3" s="4678"/>
      <c r="Y3" s="4678"/>
      <c r="Z3" s="4678"/>
      <c r="AA3" s="4678"/>
      <c r="AB3" s="4678"/>
      <c r="AC3" s="4679"/>
      <c r="AD3" s="867"/>
      <c r="AE3" s="867"/>
    </row>
    <row r="4" spans="1:34" ht="12.75" customHeight="1" x14ac:dyDescent="0.25">
      <c r="A4" s="69">
        <v>3</v>
      </c>
      <c r="B4" s="70" t="s">
        <v>4</v>
      </c>
      <c r="C4" s="69"/>
      <c r="D4" s="4677" t="s">
        <v>392</v>
      </c>
      <c r="E4" s="4678"/>
      <c r="F4" s="4678"/>
      <c r="G4" s="4678"/>
      <c r="H4" s="4678"/>
      <c r="I4" s="4678"/>
      <c r="J4" s="4678"/>
      <c r="K4" s="4678"/>
      <c r="L4" s="4678"/>
      <c r="M4" s="4678"/>
      <c r="N4" s="4678"/>
      <c r="O4" s="4678"/>
      <c r="P4" s="4678"/>
      <c r="Q4" s="4678"/>
      <c r="R4" s="4678"/>
      <c r="S4" s="4678"/>
      <c r="T4" s="4678"/>
      <c r="U4" s="4678"/>
      <c r="V4" s="4678"/>
      <c r="W4" s="4678"/>
      <c r="X4" s="4678"/>
      <c r="Y4" s="4678"/>
      <c r="Z4" s="4678"/>
      <c r="AA4" s="4678"/>
      <c r="AB4" s="4678"/>
      <c r="AC4" s="4679"/>
      <c r="AD4" s="867"/>
      <c r="AE4" s="867"/>
    </row>
    <row r="5" spans="1:34" ht="21" customHeight="1" x14ac:dyDescent="0.25">
      <c r="B5" s="70"/>
      <c r="C5" s="69"/>
      <c r="D5" s="110"/>
      <c r="E5" s="110"/>
      <c r="F5" s="110"/>
      <c r="G5" s="110"/>
      <c r="H5" s="110"/>
      <c r="I5" s="110"/>
      <c r="J5" s="110"/>
      <c r="K5" s="110"/>
      <c r="L5" s="110"/>
      <c r="M5" s="110"/>
      <c r="N5" s="110"/>
      <c r="O5" s="110"/>
      <c r="P5" s="110"/>
      <c r="Q5" s="110"/>
      <c r="R5" s="110"/>
      <c r="S5" s="110"/>
      <c r="T5" s="110"/>
      <c r="U5" s="110"/>
      <c r="V5" s="110"/>
      <c r="W5" s="110"/>
      <c r="X5" s="110"/>
      <c r="Y5" s="110"/>
      <c r="Z5" s="110"/>
      <c r="AA5" s="110"/>
      <c r="AB5" s="110"/>
      <c r="AC5" s="110"/>
      <c r="AD5" s="110"/>
      <c r="AE5" s="110"/>
    </row>
    <row r="6" spans="1:34" x14ac:dyDescent="0.25">
      <c r="A6" s="69">
        <v>4</v>
      </c>
      <c r="B6" s="70" t="s">
        <v>6</v>
      </c>
      <c r="D6" s="72" t="s">
        <v>7</v>
      </c>
      <c r="E6" s="72" t="s">
        <v>393</v>
      </c>
      <c r="F6" s="72"/>
      <c r="G6" s="72"/>
      <c r="H6" s="72"/>
      <c r="I6" s="72"/>
      <c r="J6" s="72"/>
      <c r="K6" s="72"/>
      <c r="L6" s="72"/>
      <c r="M6" s="95"/>
      <c r="N6" s="95"/>
      <c r="O6" s="95"/>
      <c r="P6" s="95"/>
      <c r="Q6" s="95"/>
      <c r="R6" s="3039"/>
      <c r="S6" s="3039"/>
      <c r="T6" s="3039"/>
      <c r="U6" s="3039"/>
      <c r="V6" s="3039"/>
      <c r="W6" s="3040"/>
      <c r="X6" s="3040"/>
      <c r="Y6" s="3040"/>
      <c r="Z6" s="617"/>
      <c r="AA6" s="617"/>
      <c r="AB6" s="617"/>
      <c r="AC6" s="617"/>
      <c r="AD6" s="617"/>
      <c r="AE6" s="617"/>
      <c r="AF6" s="617"/>
      <c r="AG6" s="617"/>
    </row>
    <row r="7" spans="1:34" s="162" customFormat="1" ht="12.75" x14ac:dyDescent="0.2">
      <c r="A7" s="69"/>
      <c r="B7" s="157"/>
      <c r="C7" s="158"/>
      <c r="D7" s="159" t="s">
        <v>389</v>
      </c>
      <c r="E7" s="160" t="s">
        <v>394</v>
      </c>
      <c r="F7" s="160" t="s">
        <v>395</v>
      </c>
      <c r="G7" s="160" t="s">
        <v>396</v>
      </c>
      <c r="H7" s="160" t="s">
        <v>9</v>
      </c>
      <c r="I7" s="160" t="s">
        <v>10</v>
      </c>
      <c r="J7" s="160" t="s">
        <v>11</v>
      </c>
      <c r="K7" s="160" t="s">
        <v>12</v>
      </c>
      <c r="L7" s="160" t="s">
        <v>13</v>
      </c>
      <c r="M7" s="160" t="s">
        <v>14</v>
      </c>
      <c r="N7" s="160" t="s">
        <v>15</v>
      </c>
      <c r="O7" s="160" t="s">
        <v>16</v>
      </c>
      <c r="P7" s="161" t="s">
        <v>17</v>
      </c>
      <c r="Q7" s="161" t="s">
        <v>18</v>
      </c>
      <c r="R7" s="161" t="s">
        <v>19</v>
      </c>
      <c r="S7" s="161" t="s">
        <v>20</v>
      </c>
      <c r="T7" s="161" t="s">
        <v>21</v>
      </c>
      <c r="U7" s="3041" t="s">
        <v>22</v>
      </c>
      <c r="V7" s="3041" t="s">
        <v>23</v>
      </c>
      <c r="W7" s="3041" t="s">
        <v>24</v>
      </c>
      <c r="X7" s="3041" t="s">
        <v>25</v>
      </c>
      <c r="Y7" s="3041" t="s">
        <v>26</v>
      </c>
      <c r="Z7" s="3041" t="s">
        <v>27</v>
      </c>
      <c r="AA7" s="3041" t="s">
        <v>28</v>
      </c>
      <c r="AB7" s="3041" t="s">
        <v>29</v>
      </c>
      <c r="AC7" s="3041" t="s">
        <v>30</v>
      </c>
      <c r="AD7" s="3041" t="s">
        <v>31</v>
      </c>
      <c r="AE7" s="3041" t="s">
        <v>32</v>
      </c>
      <c r="AF7" s="3042" t="s">
        <v>33</v>
      </c>
      <c r="AG7" s="3042" t="s">
        <v>59</v>
      </c>
      <c r="AH7" s="3042" t="s">
        <v>35</v>
      </c>
    </row>
    <row r="8" spans="1:34" ht="23.25" x14ac:dyDescent="0.25">
      <c r="D8" s="82" t="s">
        <v>397</v>
      </c>
      <c r="E8" s="163">
        <v>-5.4</v>
      </c>
      <c r="F8" s="163">
        <v>-4.5</v>
      </c>
      <c r="G8" s="163">
        <v>-5</v>
      </c>
      <c r="H8" s="163">
        <v>-4.8</v>
      </c>
      <c r="I8" s="163">
        <v>-3.6</v>
      </c>
      <c r="J8" s="163">
        <v>-2.7</v>
      </c>
      <c r="K8" s="163">
        <v>-2.1</v>
      </c>
      <c r="L8" s="163">
        <v>-1.9</v>
      </c>
      <c r="M8" s="163">
        <v>-1.2</v>
      </c>
      <c r="N8" s="163">
        <v>-1.1000000000000001</v>
      </c>
      <c r="O8" s="163">
        <v>-2.7</v>
      </c>
      <c r="P8" s="163">
        <v>-1.9</v>
      </c>
      <c r="Q8" s="3043">
        <v>-0.2</v>
      </c>
      <c r="R8" s="3043">
        <v>0.6</v>
      </c>
      <c r="S8" s="3044">
        <v>1</v>
      </c>
      <c r="T8" s="3044">
        <v>-1</v>
      </c>
      <c r="U8" s="3043">
        <v>-6.3</v>
      </c>
      <c r="V8" s="3043">
        <v>-4.7</v>
      </c>
      <c r="W8" s="3043">
        <v>-4.7</v>
      </c>
      <c r="X8" s="3044">
        <v>-5</v>
      </c>
      <c r="Y8" s="3045">
        <v>-4.4000000000000004</v>
      </c>
      <c r="Z8" s="3045">
        <v>-4.3</v>
      </c>
      <c r="AA8" s="3045">
        <v>-3.7</v>
      </c>
      <c r="AB8" s="3045">
        <v>-3.5</v>
      </c>
      <c r="AC8" s="3045">
        <v>-4.0999999999999996</v>
      </c>
      <c r="AD8" s="3045">
        <v>-4.3</v>
      </c>
      <c r="AE8" s="3045">
        <v>-6.1</v>
      </c>
      <c r="AF8" s="3046">
        <v>-9.8000000000000007</v>
      </c>
      <c r="AG8" s="3046">
        <v>-5.0999999999999996</v>
      </c>
      <c r="AH8" s="3046">
        <v>-4.2</v>
      </c>
    </row>
    <row r="9" spans="1:34" x14ac:dyDescent="0.25">
      <c r="D9" s="87"/>
      <c r="E9" s="135"/>
      <c r="F9" s="164"/>
      <c r="G9" s="164"/>
      <c r="H9" s="164"/>
      <c r="I9" s="164"/>
      <c r="J9" s="164"/>
      <c r="K9" s="164"/>
      <c r="L9" s="164"/>
      <c r="M9" s="164"/>
      <c r="N9" s="164"/>
      <c r="O9" s="164"/>
      <c r="P9" s="164"/>
      <c r="Q9" s="164"/>
      <c r="R9" s="164"/>
      <c r="S9" s="164"/>
      <c r="T9" s="164"/>
      <c r="U9" s="164"/>
      <c r="V9" s="164"/>
      <c r="W9" s="164"/>
      <c r="X9" s="164"/>
      <c r="Y9" s="164"/>
      <c r="Z9" s="165"/>
      <c r="AA9" s="617"/>
      <c r="AB9" s="617"/>
      <c r="AC9" s="617"/>
      <c r="AD9" s="617"/>
      <c r="AE9" s="617"/>
      <c r="AF9" s="617"/>
      <c r="AG9" s="617"/>
    </row>
    <row r="10" spans="1:34" x14ac:dyDescent="0.25">
      <c r="D10" s="87"/>
      <c r="E10" s="135"/>
      <c r="F10" s="164"/>
      <c r="G10" s="164"/>
      <c r="H10" s="164"/>
      <c r="I10" s="164"/>
      <c r="J10" s="164"/>
      <c r="K10" s="164"/>
      <c r="L10" s="164"/>
      <c r="M10" s="164"/>
      <c r="N10" s="164"/>
      <c r="O10" s="164"/>
      <c r="P10" s="164"/>
      <c r="Q10" s="164"/>
      <c r="R10" s="164"/>
      <c r="S10" s="164"/>
      <c r="T10" s="164"/>
      <c r="U10" s="164"/>
      <c r="V10" s="164"/>
      <c r="W10" s="164"/>
      <c r="X10" s="164"/>
      <c r="Y10" s="164"/>
      <c r="Z10" s="165"/>
    </row>
    <row r="11" spans="1:34" x14ac:dyDescent="0.25">
      <c r="D11" s="68"/>
      <c r="E11" s="68"/>
      <c r="F11" s="88"/>
      <c r="G11" s="88"/>
      <c r="H11" s="88"/>
      <c r="I11" s="88"/>
      <c r="J11" s="88"/>
      <c r="K11" s="88"/>
      <c r="L11" s="88"/>
      <c r="M11" s="88"/>
      <c r="N11" s="88"/>
      <c r="O11" s="88"/>
      <c r="P11" s="88"/>
      <c r="Q11" s="88"/>
      <c r="R11" s="88"/>
      <c r="S11" s="68"/>
      <c r="T11" s="68"/>
      <c r="U11" s="68"/>
      <c r="V11" s="68"/>
      <c r="W11" s="68"/>
    </row>
    <row r="12" spans="1:34" x14ac:dyDescent="0.25">
      <c r="A12" s="69">
        <v>5</v>
      </c>
      <c r="B12" s="70" t="s">
        <v>51</v>
      </c>
      <c r="C12" s="69"/>
      <c r="D12" s="68"/>
      <c r="E12" s="68"/>
      <c r="F12" s="88"/>
      <c r="G12" s="88"/>
      <c r="H12" s="88"/>
      <c r="I12" s="88"/>
      <c r="J12" s="88"/>
      <c r="K12" s="88"/>
      <c r="L12" s="88"/>
      <c r="M12" s="88"/>
      <c r="N12" s="88"/>
      <c r="O12" s="88"/>
      <c r="P12" s="88"/>
      <c r="Q12" s="88"/>
      <c r="R12" s="88"/>
      <c r="S12" s="68"/>
      <c r="T12" s="68"/>
      <c r="U12" s="68"/>
      <c r="V12" s="68"/>
      <c r="W12" s="68"/>
      <c r="AC12" s="110"/>
      <c r="AD12" s="110"/>
      <c r="AE12" s="110"/>
    </row>
    <row r="13" spans="1:34" x14ac:dyDescent="0.25">
      <c r="D13" s="68"/>
      <c r="E13" s="68"/>
      <c r="F13" s="88"/>
      <c r="G13" s="88"/>
      <c r="H13" s="88"/>
      <c r="I13" s="88"/>
      <c r="J13" s="88"/>
      <c r="K13" s="88"/>
      <c r="L13" s="88"/>
      <c r="M13" s="88"/>
      <c r="N13" s="88"/>
      <c r="O13" s="88"/>
      <c r="P13" s="88"/>
      <c r="Q13" s="88"/>
      <c r="R13" s="88"/>
      <c r="S13" s="68"/>
      <c r="T13" s="68"/>
      <c r="U13" s="68"/>
      <c r="V13" s="68"/>
      <c r="W13" s="68"/>
      <c r="AC13" s="110"/>
      <c r="AD13" s="110"/>
      <c r="AE13" s="110"/>
    </row>
    <row r="14" spans="1:34" x14ac:dyDescent="0.25">
      <c r="D14" s="68"/>
      <c r="E14" s="68"/>
      <c r="F14" s="88"/>
      <c r="G14" s="88"/>
      <c r="H14" s="88"/>
      <c r="I14" s="88"/>
      <c r="J14" s="88"/>
      <c r="K14" s="88"/>
      <c r="L14" s="88"/>
      <c r="M14" s="88"/>
      <c r="N14" s="88"/>
      <c r="O14" s="88"/>
      <c r="P14" s="88"/>
      <c r="Q14" s="88"/>
      <c r="R14" s="88"/>
      <c r="S14" s="68"/>
      <c r="T14" s="68"/>
      <c r="U14" s="68"/>
      <c r="V14" s="68"/>
      <c r="W14" s="68"/>
      <c r="AC14" s="110"/>
      <c r="AD14" s="110"/>
      <c r="AE14" s="110"/>
    </row>
    <row r="15" spans="1:34" x14ac:dyDescent="0.25">
      <c r="D15" s="68"/>
      <c r="E15" s="68"/>
      <c r="F15" s="88"/>
      <c r="G15" s="88"/>
      <c r="H15" s="88"/>
      <c r="I15" s="88"/>
      <c r="J15" s="88"/>
      <c r="K15" s="88"/>
      <c r="L15" s="88"/>
      <c r="M15" s="88"/>
      <c r="N15" s="88"/>
      <c r="O15" s="88"/>
      <c r="P15" s="88"/>
      <c r="Q15" s="88"/>
      <c r="R15" s="88"/>
      <c r="S15" s="68"/>
      <c r="T15" s="68"/>
      <c r="U15" s="68"/>
      <c r="V15" s="68"/>
      <c r="W15" s="68"/>
      <c r="AC15" s="110"/>
      <c r="AD15" s="110"/>
      <c r="AE15" s="110"/>
    </row>
    <row r="16" spans="1:34" x14ac:dyDescent="0.25">
      <c r="D16" s="68"/>
      <c r="E16" s="68"/>
      <c r="F16" s="88"/>
      <c r="G16" s="88"/>
      <c r="H16" s="88"/>
      <c r="I16" s="88"/>
      <c r="J16" s="88"/>
      <c r="K16" s="88"/>
      <c r="L16" s="88"/>
      <c r="M16" s="88"/>
      <c r="N16" s="88"/>
      <c r="O16" s="88"/>
      <c r="P16" s="88"/>
      <c r="Q16" s="88"/>
      <c r="R16" s="88"/>
      <c r="S16" s="68"/>
      <c r="T16" s="68"/>
      <c r="U16" s="68"/>
      <c r="V16" s="68"/>
      <c r="W16" s="68"/>
      <c r="AC16" s="110"/>
      <c r="AD16" s="110"/>
      <c r="AE16" s="110"/>
    </row>
    <row r="17" spans="1:31" x14ac:dyDescent="0.25">
      <c r="D17" s="68"/>
      <c r="E17" s="68"/>
      <c r="F17" s="88"/>
      <c r="G17" s="88"/>
      <c r="H17" s="88"/>
      <c r="I17" s="88"/>
      <c r="J17" s="88"/>
      <c r="K17" s="88"/>
      <c r="L17" s="88"/>
      <c r="M17" s="88"/>
      <c r="N17" s="88"/>
      <c r="O17" s="88"/>
      <c r="P17" s="88"/>
      <c r="Q17" s="88"/>
      <c r="R17" s="88"/>
      <c r="S17" s="68"/>
      <c r="T17" s="68"/>
      <c r="U17" s="68"/>
      <c r="V17" s="68"/>
      <c r="W17" s="68"/>
      <c r="AC17" s="110"/>
      <c r="AD17" s="110"/>
      <c r="AE17" s="110"/>
    </row>
    <row r="18" spans="1:31" x14ac:dyDescent="0.25">
      <c r="D18" s="68"/>
      <c r="E18" s="68"/>
      <c r="F18" s="88"/>
      <c r="G18" s="88"/>
      <c r="H18" s="88"/>
      <c r="I18" s="88"/>
      <c r="J18" s="88"/>
      <c r="K18" s="88"/>
      <c r="L18" s="88"/>
      <c r="M18" s="88"/>
      <c r="N18" s="88"/>
      <c r="O18" s="88"/>
      <c r="P18" s="88"/>
      <c r="Q18" s="88"/>
      <c r="R18" s="88"/>
      <c r="S18" s="68"/>
      <c r="T18" s="68"/>
      <c r="U18" s="68"/>
      <c r="V18" s="68"/>
      <c r="W18" s="68"/>
      <c r="AC18" s="110"/>
      <c r="AD18" s="110"/>
      <c r="AE18" s="110"/>
    </row>
    <row r="19" spans="1:31" x14ac:dyDescent="0.25">
      <c r="D19" s="68"/>
      <c r="E19" s="68"/>
      <c r="F19" s="88"/>
      <c r="G19" s="88"/>
      <c r="H19" s="88"/>
      <c r="I19" s="88"/>
      <c r="J19" s="88"/>
      <c r="K19" s="88"/>
      <c r="L19" s="88"/>
      <c r="M19" s="88"/>
      <c r="N19" s="88"/>
      <c r="O19" s="88"/>
      <c r="P19" s="88"/>
      <c r="Q19" s="88"/>
      <c r="R19" s="88"/>
      <c r="S19" s="68"/>
      <c r="T19" s="68"/>
      <c r="U19" s="68"/>
      <c r="V19" s="68"/>
      <c r="W19" s="68"/>
      <c r="AC19" s="110"/>
      <c r="AD19" s="110"/>
      <c r="AE19" s="110"/>
    </row>
    <row r="20" spans="1:31" x14ac:dyDescent="0.25">
      <c r="D20" s="68"/>
      <c r="E20" s="68"/>
      <c r="F20" s="88"/>
      <c r="G20" s="88"/>
      <c r="H20" s="88"/>
      <c r="I20" s="88"/>
      <c r="J20" s="88"/>
      <c r="K20" s="88"/>
      <c r="L20" s="88"/>
      <c r="M20" s="88"/>
      <c r="N20" s="88"/>
      <c r="O20" s="88"/>
      <c r="P20" s="88"/>
      <c r="Q20" s="88"/>
      <c r="R20" s="88"/>
      <c r="S20" s="68"/>
      <c r="T20" s="68"/>
      <c r="U20" s="68"/>
      <c r="V20" s="68"/>
      <c r="W20" s="68"/>
      <c r="AC20" s="110"/>
      <c r="AD20" s="110"/>
      <c r="AE20" s="110"/>
    </row>
    <row r="21" spans="1:31" x14ac:dyDescent="0.25">
      <c r="D21" s="68"/>
      <c r="E21" s="68"/>
      <c r="F21" s="88"/>
      <c r="G21" s="88"/>
      <c r="H21" s="88"/>
      <c r="I21" s="88"/>
      <c r="J21" s="88"/>
      <c r="K21" s="88"/>
      <c r="L21" s="88"/>
      <c r="M21" s="88"/>
      <c r="N21" s="88"/>
      <c r="O21" s="88"/>
      <c r="P21" s="88"/>
      <c r="Q21" s="88"/>
      <c r="R21" s="88"/>
      <c r="S21" s="68"/>
      <c r="T21" s="68"/>
      <c r="U21" s="68"/>
      <c r="V21" s="68"/>
      <c r="W21" s="68"/>
      <c r="AC21" s="110"/>
      <c r="AD21" s="110"/>
      <c r="AE21" s="110"/>
    </row>
    <row r="22" spans="1:31" x14ac:dyDescent="0.25">
      <c r="D22" s="68"/>
      <c r="E22" s="68"/>
      <c r="F22" s="68"/>
      <c r="G22" s="68"/>
      <c r="H22" s="68"/>
      <c r="I22" s="68"/>
      <c r="J22" s="68"/>
      <c r="K22" s="68"/>
      <c r="L22" s="68"/>
      <c r="M22" s="68"/>
      <c r="N22" s="68"/>
      <c r="O22" s="68"/>
      <c r="P22" s="68"/>
      <c r="Q22" s="68"/>
      <c r="R22" s="68"/>
      <c r="S22" s="68"/>
      <c r="T22" s="68"/>
      <c r="U22" s="68"/>
      <c r="V22" s="68"/>
      <c r="W22" s="68"/>
      <c r="AC22" s="110"/>
      <c r="AD22" s="110"/>
      <c r="AE22" s="110"/>
    </row>
    <row r="23" spans="1:31" x14ac:dyDescent="0.25">
      <c r="D23" s="68"/>
      <c r="E23" s="68"/>
      <c r="F23" s="68"/>
      <c r="G23" s="68"/>
      <c r="H23" s="68"/>
      <c r="I23" s="68"/>
      <c r="J23" s="68"/>
      <c r="K23" s="68"/>
      <c r="L23" s="68"/>
      <c r="M23" s="68"/>
      <c r="N23" s="68"/>
      <c r="O23" s="68"/>
      <c r="P23" s="68"/>
      <c r="Q23" s="68"/>
      <c r="R23" s="68"/>
      <c r="S23" s="68"/>
      <c r="T23" s="68"/>
      <c r="U23" s="68"/>
      <c r="V23" s="68"/>
      <c r="W23" s="68"/>
      <c r="AC23" s="110"/>
      <c r="AD23" s="110"/>
      <c r="AE23" s="110"/>
    </row>
    <row r="24" spans="1:31" x14ac:dyDescent="0.25">
      <c r="D24" s="68"/>
      <c r="E24" s="68"/>
      <c r="F24" s="68"/>
      <c r="G24" s="68"/>
      <c r="H24" s="68"/>
      <c r="I24" s="68"/>
      <c r="J24" s="68"/>
      <c r="K24" s="68"/>
      <c r="L24" s="68"/>
      <c r="M24" s="68"/>
      <c r="N24" s="68"/>
      <c r="O24" s="68"/>
      <c r="P24" s="68"/>
      <c r="Q24" s="68"/>
      <c r="R24" s="68"/>
      <c r="S24" s="68"/>
      <c r="T24" s="68"/>
      <c r="U24" s="68"/>
      <c r="V24" s="68"/>
      <c r="W24" s="68"/>
      <c r="AC24" s="110"/>
      <c r="AD24" s="110"/>
      <c r="AE24" s="110"/>
    </row>
    <row r="25" spans="1:31" x14ac:dyDescent="0.25">
      <c r="D25" s="68"/>
      <c r="E25" s="68"/>
      <c r="F25" s="68"/>
      <c r="G25" s="68"/>
      <c r="H25" s="68"/>
      <c r="I25" s="68"/>
      <c r="J25" s="68"/>
      <c r="K25" s="68"/>
      <c r="L25" s="68"/>
      <c r="M25" s="68"/>
      <c r="N25" s="68"/>
      <c r="O25" s="68"/>
      <c r="P25" s="68"/>
      <c r="Q25" s="68"/>
      <c r="R25" s="68"/>
      <c r="S25" s="68"/>
      <c r="T25" s="68"/>
      <c r="U25" s="68"/>
      <c r="V25" s="68"/>
      <c r="W25" s="68"/>
      <c r="AC25" s="110"/>
      <c r="AD25" s="110"/>
      <c r="AE25" s="110"/>
    </row>
    <row r="26" spans="1:31" x14ac:dyDescent="0.25">
      <c r="D26" s="68"/>
      <c r="E26" s="68"/>
      <c r="F26" s="68"/>
      <c r="G26" s="68"/>
      <c r="H26" s="68"/>
      <c r="I26" s="68"/>
      <c r="J26" s="68"/>
      <c r="K26" s="68"/>
      <c r="L26" s="68"/>
      <c r="M26" s="68"/>
      <c r="N26" s="68"/>
      <c r="O26" s="68"/>
      <c r="P26" s="68"/>
      <c r="Q26" s="68"/>
      <c r="R26" s="68"/>
      <c r="S26" s="68"/>
      <c r="T26" s="68"/>
      <c r="U26" s="68"/>
      <c r="V26" s="68"/>
      <c r="W26" s="68"/>
      <c r="AC26" s="110"/>
      <c r="AD26" s="110"/>
      <c r="AE26" s="110"/>
    </row>
    <row r="27" spans="1:31" x14ac:dyDescent="0.25">
      <c r="D27" s="68"/>
      <c r="E27" s="68"/>
      <c r="F27" s="68"/>
      <c r="G27" s="68"/>
      <c r="H27" s="68"/>
      <c r="I27" s="68"/>
      <c r="J27" s="68"/>
      <c r="K27" s="68"/>
      <c r="L27" s="68"/>
      <c r="M27" s="68"/>
      <c r="N27" s="68"/>
      <c r="O27" s="68"/>
      <c r="P27" s="68"/>
      <c r="Q27" s="68"/>
      <c r="R27" s="68"/>
      <c r="S27" s="68"/>
      <c r="T27" s="68"/>
      <c r="U27" s="68"/>
      <c r="V27" s="68"/>
      <c r="W27" s="68"/>
      <c r="AC27" s="110"/>
      <c r="AD27" s="110"/>
      <c r="AE27" s="110"/>
    </row>
    <row r="28" spans="1:31" x14ac:dyDescent="0.25">
      <c r="D28" s="68"/>
      <c r="E28" s="68"/>
      <c r="F28" s="68"/>
      <c r="G28" s="68"/>
      <c r="H28" s="68"/>
      <c r="I28" s="68"/>
      <c r="J28" s="68"/>
      <c r="K28" s="68"/>
      <c r="L28" s="68"/>
      <c r="M28" s="68"/>
      <c r="N28" s="68"/>
      <c r="O28" s="68"/>
      <c r="P28" s="68"/>
      <c r="Q28" s="68"/>
      <c r="R28" s="68"/>
      <c r="S28" s="68"/>
      <c r="T28" s="68"/>
      <c r="U28" s="68"/>
      <c r="V28" s="68"/>
      <c r="W28" s="68"/>
      <c r="AC28" s="110"/>
      <c r="AD28" s="110"/>
      <c r="AE28" s="110"/>
    </row>
    <row r="29" spans="1:31" x14ac:dyDescent="0.25">
      <c r="D29" s="68"/>
      <c r="E29" s="68"/>
      <c r="F29" s="68"/>
      <c r="G29" s="68"/>
      <c r="H29" s="68"/>
      <c r="I29" s="68"/>
      <c r="J29" s="68"/>
      <c r="K29" s="68"/>
      <c r="L29" s="68"/>
      <c r="M29" s="68"/>
      <c r="N29" s="68"/>
      <c r="O29" s="68"/>
      <c r="P29" s="68"/>
      <c r="Q29" s="68"/>
      <c r="R29" s="68"/>
      <c r="S29" s="68"/>
      <c r="T29" s="68"/>
      <c r="U29" s="68"/>
      <c r="V29" s="68"/>
      <c r="W29" s="68"/>
      <c r="AC29" s="110"/>
      <c r="AD29" s="110"/>
      <c r="AE29" s="110"/>
    </row>
    <row r="30" spans="1:31" x14ac:dyDescent="0.25">
      <c r="D30" s="68"/>
      <c r="E30" s="68"/>
      <c r="F30" s="68"/>
      <c r="G30" s="68"/>
      <c r="H30" s="68"/>
      <c r="I30" s="68"/>
      <c r="J30" s="68"/>
      <c r="K30" s="68"/>
      <c r="L30" s="68"/>
      <c r="M30" s="68"/>
      <c r="N30" s="68"/>
      <c r="O30" s="68"/>
      <c r="P30" s="68"/>
      <c r="Q30" s="68"/>
      <c r="R30" s="68"/>
      <c r="S30" s="68"/>
      <c r="T30" s="68"/>
      <c r="U30" s="68"/>
      <c r="V30" s="68"/>
      <c r="W30" s="68"/>
      <c r="AC30" s="110"/>
      <c r="AD30" s="110"/>
      <c r="AE30" s="110"/>
    </row>
    <row r="31" spans="1:31" ht="12.75" customHeight="1" x14ac:dyDescent="0.25">
      <c r="A31" s="69">
        <v>6</v>
      </c>
      <c r="B31" s="70" t="s">
        <v>52</v>
      </c>
      <c r="C31" s="69"/>
      <c r="D31" s="4674" t="s">
        <v>398</v>
      </c>
      <c r="E31" s="4675"/>
      <c r="F31" s="4675"/>
      <c r="G31" s="4675"/>
      <c r="H31" s="4675"/>
      <c r="I31" s="4675"/>
      <c r="J31" s="4675"/>
      <c r="K31" s="4675"/>
      <c r="L31" s="4675"/>
      <c r="M31" s="4675"/>
      <c r="N31" s="4675"/>
      <c r="O31" s="4675"/>
      <c r="P31" s="4675"/>
      <c r="Q31" s="4675"/>
      <c r="R31" s="4675"/>
      <c r="S31" s="4675"/>
      <c r="T31" s="4675"/>
      <c r="U31" s="4675"/>
      <c r="V31" s="4675"/>
      <c r="W31" s="4675"/>
      <c r="X31" s="4675"/>
      <c r="Y31" s="4675"/>
      <c r="Z31" s="4675"/>
      <c r="AA31" s="4675"/>
      <c r="AB31" s="4675"/>
      <c r="AC31" s="4676"/>
      <c r="AD31" s="180"/>
      <c r="AE31" s="180"/>
    </row>
    <row r="32" spans="1:31" ht="14.25" customHeight="1" x14ac:dyDescent="0.25">
      <c r="A32" s="90">
        <v>7</v>
      </c>
      <c r="B32" s="91" t="s">
        <v>54</v>
      </c>
      <c r="C32" s="90"/>
      <c r="D32" s="4674" t="s">
        <v>399</v>
      </c>
      <c r="E32" s="4675"/>
      <c r="F32" s="4675"/>
      <c r="G32" s="4675"/>
      <c r="H32" s="4675"/>
      <c r="I32" s="4675"/>
      <c r="J32" s="4675"/>
      <c r="K32" s="4675"/>
      <c r="L32" s="4675"/>
      <c r="M32" s="4675"/>
      <c r="N32" s="4675"/>
      <c r="O32" s="4675"/>
      <c r="P32" s="4675"/>
      <c r="Q32" s="4675"/>
      <c r="R32" s="4675"/>
      <c r="S32" s="4675"/>
      <c r="T32" s="4675"/>
      <c r="U32" s="4675"/>
      <c r="V32" s="4675"/>
      <c r="W32" s="4675"/>
      <c r="X32" s="4675"/>
      <c r="Y32" s="4675"/>
      <c r="Z32" s="4675"/>
      <c r="AA32" s="4675"/>
      <c r="AB32" s="4675"/>
      <c r="AC32" s="4676"/>
      <c r="AD32" s="180"/>
      <c r="AE32" s="180"/>
    </row>
    <row r="33" spans="1:32" ht="12.75" customHeight="1" x14ac:dyDescent="0.25">
      <c r="A33" s="69">
        <v>8</v>
      </c>
      <c r="B33" s="70" t="s">
        <v>56</v>
      </c>
      <c r="C33" s="69"/>
      <c r="D33" s="4674" t="s">
        <v>400</v>
      </c>
      <c r="E33" s="4675"/>
      <c r="F33" s="4675"/>
      <c r="G33" s="4675"/>
      <c r="H33" s="4675"/>
      <c r="I33" s="4675"/>
      <c r="J33" s="4675"/>
      <c r="K33" s="4675"/>
      <c r="L33" s="4675"/>
      <c r="M33" s="4675"/>
      <c r="N33" s="4675"/>
      <c r="O33" s="4675"/>
      <c r="P33" s="4675"/>
      <c r="Q33" s="4675"/>
      <c r="R33" s="4675"/>
      <c r="S33" s="4675"/>
      <c r="T33" s="4675"/>
      <c r="U33" s="4675"/>
      <c r="V33" s="4675"/>
      <c r="W33" s="4675"/>
      <c r="X33" s="4675"/>
      <c r="Y33" s="4675"/>
      <c r="Z33" s="4675"/>
      <c r="AA33" s="4675"/>
      <c r="AB33" s="4675"/>
      <c r="AC33" s="4676"/>
      <c r="AD33" s="180"/>
      <c r="AE33" s="180"/>
    </row>
    <row r="34" spans="1:32" ht="12.75" customHeight="1" x14ac:dyDescent="0.25">
      <c r="A34" s="69">
        <v>9</v>
      </c>
      <c r="B34" s="70" t="s">
        <v>355</v>
      </c>
      <c r="C34" s="69"/>
      <c r="D34" s="4674" t="s">
        <v>401</v>
      </c>
      <c r="E34" s="4675"/>
      <c r="F34" s="4675"/>
      <c r="G34" s="4675"/>
      <c r="H34" s="4675"/>
      <c r="I34" s="4675"/>
      <c r="J34" s="4675"/>
      <c r="K34" s="4675"/>
      <c r="L34" s="4675"/>
      <c r="M34" s="4675"/>
      <c r="N34" s="4675"/>
      <c r="O34" s="4675"/>
      <c r="P34" s="4675"/>
      <c r="Q34" s="4675"/>
      <c r="R34" s="4675"/>
      <c r="S34" s="4675"/>
      <c r="T34" s="4675"/>
      <c r="U34" s="4675"/>
      <c r="V34" s="4675"/>
      <c r="W34" s="4675"/>
      <c r="X34" s="4675"/>
      <c r="Y34" s="4675"/>
      <c r="Z34" s="4675"/>
      <c r="AA34" s="4675"/>
      <c r="AB34" s="4675"/>
      <c r="AC34" s="4676"/>
      <c r="AD34" s="180"/>
      <c r="AE34" s="180"/>
    </row>
    <row r="35" spans="1:32" x14ac:dyDescent="0.25">
      <c r="AB35" s="34"/>
    </row>
    <row r="36" spans="1:32" x14ac:dyDescent="0.25">
      <c r="F36" s="166"/>
      <c r="G36" s="166"/>
      <c r="H36" s="166"/>
      <c r="I36" s="167"/>
      <c r="J36" s="167"/>
      <c r="K36" s="167"/>
      <c r="L36" s="167"/>
      <c r="M36" s="167"/>
      <c r="N36" s="167"/>
      <c r="O36" s="167"/>
      <c r="P36" s="167"/>
      <c r="Q36" s="167"/>
      <c r="R36" s="167"/>
      <c r="S36" s="167"/>
      <c r="T36" s="168"/>
      <c r="U36" s="168"/>
      <c r="V36" s="168"/>
      <c r="W36" s="168"/>
      <c r="X36" s="168"/>
      <c r="Y36" s="169"/>
      <c r="Z36" s="169"/>
      <c r="AA36" s="169"/>
      <c r="AB36" s="169"/>
      <c r="AC36" s="169"/>
      <c r="AD36" s="169"/>
      <c r="AE36" s="169"/>
    </row>
    <row r="37" spans="1:32" x14ac:dyDescent="0.25">
      <c r="F37" s="170"/>
      <c r="G37" s="170"/>
      <c r="H37" s="170"/>
      <c r="I37" s="170"/>
      <c r="J37" s="170"/>
      <c r="K37" s="170"/>
      <c r="L37" s="170"/>
      <c r="M37" s="170"/>
      <c r="N37" s="170"/>
      <c r="O37" s="170"/>
      <c r="P37" s="110"/>
      <c r="Q37" s="110"/>
      <c r="R37" s="110"/>
      <c r="S37" s="170"/>
      <c r="T37" s="170"/>
      <c r="U37" s="170"/>
      <c r="V37" s="110"/>
      <c r="W37" s="110"/>
      <c r="X37" s="170"/>
      <c r="Y37" s="170"/>
      <c r="Z37" s="170"/>
      <c r="AA37" s="170"/>
      <c r="AB37" s="170"/>
      <c r="AC37" s="170"/>
      <c r="AD37" s="170"/>
      <c r="AE37" s="170"/>
      <c r="AF37" s="170"/>
    </row>
    <row r="38" spans="1:32" x14ac:dyDescent="0.25">
      <c r="D38" s="10"/>
      <c r="E38" s="10"/>
      <c r="F38" s="171"/>
      <c r="G38" s="171"/>
      <c r="H38" s="171">
        <v>-4.5999999999999996</v>
      </c>
      <c r="I38" s="171">
        <v>-4.7</v>
      </c>
      <c r="J38" s="171">
        <v>-4.8</v>
      </c>
      <c r="K38" s="171">
        <v>-4.5</v>
      </c>
      <c r="L38" s="171">
        <v>-3.2</v>
      </c>
      <c r="M38" s="171">
        <v>-2.1</v>
      </c>
      <c r="N38" s="171">
        <v>-1.9</v>
      </c>
      <c r="O38" s="171">
        <v>-0.7</v>
      </c>
      <c r="P38" s="171">
        <v>-0.7</v>
      </c>
      <c r="Q38" s="172">
        <v>-2.4</v>
      </c>
      <c r="R38" s="172">
        <v>-1.9</v>
      </c>
      <c r="S38" s="172">
        <v>-0.5</v>
      </c>
      <c r="T38" s="172">
        <v>0.3</v>
      </c>
      <c r="U38" s="172">
        <v>0.7</v>
      </c>
      <c r="V38" s="172">
        <v>-0.4</v>
      </c>
      <c r="W38" s="172">
        <v>-4.5999999999999996</v>
      </c>
      <c r="X38" s="4">
        <v>-4.5999999999999996</v>
      </c>
      <c r="Y38" s="4">
        <v>-4</v>
      </c>
      <c r="Z38" s="4">
        <v>-5.0999999999999996</v>
      </c>
      <c r="AA38" s="4">
        <v>-4.5999999999999996</v>
      </c>
      <c r="AB38" s="4">
        <v>-4.5999999999999996</v>
      </c>
    </row>
    <row r="39" spans="1:32" x14ac:dyDescent="0.25">
      <c r="D39" s="173"/>
      <c r="E39" s="173"/>
      <c r="F39" s="16"/>
      <c r="G39" s="16"/>
      <c r="H39" s="16"/>
      <c r="I39" s="16"/>
      <c r="J39" s="16"/>
      <c r="K39" s="16"/>
      <c r="L39" s="16"/>
      <c r="M39" s="16"/>
      <c r="N39" s="16"/>
      <c r="O39" s="16"/>
      <c r="P39" s="16"/>
      <c r="Q39" s="16"/>
      <c r="R39" s="16"/>
      <c r="S39" s="174"/>
      <c r="T39" s="174"/>
      <c r="U39" s="174"/>
      <c r="V39" s="174"/>
      <c r="W39" s="174"/>
    </row>
    <row r="40" spans="1:32" x14ac:dyDescent="0.25">
      <c r="F40" s="175"/>
    </row>
    <row r="61" spans="29:29" x14ac:dyDescent="0.25">
      <c r="AC61" s="4" t="s">
        <v>358</v>
      </c>
    </row>
  </sheetData>
  <mergeCells count="7">
    <mergeCell ref="D34:AC34"/>
    <mergeCell ref="D2:AC2"/>
    <mergeCell ref="D3:AC3"/>
    <mergeCell ref="D4:AC4"/>
    <mergeCell ref="D31:AC31"/>
    <mergeCell ref="D32:AC32"/>
    <mergeCell ref="D33:AC33"/>
  </mergeCells>
  <pageMargins left="0.74803149606299202" right="0.74803149606299202" top="0.98425196850393704" bottom="0.98425196850393704" header="0.511811023622047" footer="0.511811023622047"/>
  <pageSetup paperSize="9" scale="46"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05B3B-E874-404A-BFA3-A8DE6763A411}">
  <sheetPr>
    <tabColor rgb="FFFFC000"/>
    <pageSetUpPr fitToPage="1"/>
  </sheetPr>
  <dimension ref="A1:AG61"/>
  <sheetViews>
    <sheetView showGridLines="0" view="pageBreakPreview" topLeftCell="C1" zoomScaleNormal="100" zoomScaleSheetLayoutView="100" workbookViewId="0">
      <selection activeCell="AG9" sqref="AG9"/>
    </sheetView>
  </sheetViews>
  <sheetFormatPr defaultColWidth="9.140625" defaultRowHeight="15" x14ac:dyDescent="0.25"/>
  <cols>
    <col min="1" max="1" width="4" style="69" customWidth="1"/>
    <col min="2" max="2" width="12.85546875" style="66" customWidth="1"/>
    <col min="3" max="3" width="3.85546875" style="67" customWidth="1"/>
    <col min="4" max="4" width="9.85546875" style="4" customWidth="1"/>
    <col min="5" max="5" width="6.5703125" style="4" customWidth="1"/>
    <col min="6" max="25" width="8.140625" style="4" customWidth="1"/>
    <col min="26" max="26" width="7.5703125" style="4" customWidth="1"/>
    <col min="27" max="27" width="7.42578125" style="4" customWidth="1"/>
    <col min="28" max="30" width="7.85546875" style="4" customWidth="1"/>
    <col min="31" max="31" width="7.140625" style="4" customWidth="1"/>
    <col min="32" max="32" width="7.5703125" style="4" customWidth="1"/>
    <col min="33" max="33" width="13.85546875" style="4" customWidth="1"/>
    <col min="34" max="16384" width="9.140625" style="4"/>
  </cols>
  <sheetData>
    <row r="1" spans="1:33" x14ac:dyDescent="0.25">
      <c r="D1" s="68"/>
      <c r="E1" s="68"/>
      <c r="F1" s="68"/>
      <c r="G1" s="68"/>
      <c r="H1" s="68"/>
      <c r="I1" s="68"/>
      <c r="J1" s="68"/>
      <c r="K1" s="68"/>
      <c r="L1" s="68"/>
      <c r="M1" s="68"/>
      <c r="N1" s="68"/>
      <c r="O1" s="68"/>
      <c r="P1" s="68"/>
      <c r="Q1" s="68"/>
      <c r="R1" s="68"/>
      <c r="S1" s="68"/>
      <c r="T1" s="68"/>
      <c r="U1" s="68"/>
      <c r="V1" s="68"/>
    </row>
    <row r="2" spans="1:33" ht="12.75" customHeight="1" x14ac:dyDescent="0.25">
      <c r="A2" s="69">
        <v>1</v>
      </c>
      <c r="B2" s="70" t="s">
        <v>0</v>
      </c>
      <c r="C2" s="69">
        <v>13</v>
      </c>
      <c r="D2" s="4674" t="s">
        <v>402</v>
      </c>
      <c r="E2" s="4675"/>
      <c r="F2" s="4675"/>
      <c r="G2" s="4675"/>
      <c r="H2" s="4675"/>
      <c r="I2" s="4675"/>
      <c r="J2" s="4675"/>
      <c r="K2" s="4675"/>
      <c r="L2" s="4675"/>
      <c r="M2" s="4675"/>
      <c r="N2" s="4675"/>
      <c r="O2" s="4675"/>
      <c r="P2" s="4675"/>
      <c r="Q2" s="4675"/>
      <c r="R2" s="4675"/>
      <c r="S2" s="4675"/>
      <c r="T2" s="4675"/>
      <c r="U2" s="4675"/>
      <c r="V2" s="4675"/>
      <c r="W2" s="4675"/>
      <c r="X2" s="4675"/>
      <c r="Y2" s="4675"/>
      <c r="Z2" s="4675"/>
      <c r="AA2" s="4675"/>
      <c r="AB2" s="4676"/>
      <c r="AC2" s="180"/>
      <c r="AD2" s="180"/>
    </row>
    <row r="3" spans="1:33" ht="12.75" customHeight="1" x14ac:dyDescent="0.25">
      <c r="A3" s="69">
        <v>2</v>
      </c>
      <c r="B3" s="70" t="s">
        <v>2</v>
      </c>
      <c r="C3" s="69"/>
      <c r="D3" s="4674" t="s">
        <v>391</v>
      </c>
      <c r="E3" s="4675"/>
      <c r="F3" s="4675"/>
      <c r="G3" s="4675"/>
      <c r="H3" s="4675"/>
      <c r="I3" s="4675"/>
      <c r="J3" s="4675"/>
      <c r="K3" s="4675"/>
      <c r="L3" s="4675"/>
      <c r="M3" s="4675"/>
      <c r="N3" s="4675"/>
      <c r="O3" s="4675"/>
      <c r="P3" s="4675"/>
      <c r="Q3" s="4675"/>
      <c r="R3" s="4675"/>
      <c r="S3" s="4675"/>
      <c r="T3" s="4675"/>
      <c r="U3" s="4675"/>
      <c r="V3" s="4675"/>
      <c r="W3" s="4675"/>
      <c r="X3" s="4675"/>
      <c r="Y3" s="4675"/>
      <c r="Z3" s="4675"/>
      <c r="AA3" s="4675"/>
      <c r="AB3" s="4676"/>
      <c r="AC3" s="180"/>
      <c r="AD3" s="180"/>
    </row>
    <row r="4" spans="1:33" ht="15" customHeight="1" x14ac:dyDescent="0.25">
      <c r="A4" s="69">
        <v>3</v>
      </c>
      <c r="B4" s="70" t="s">
        <v>4</v>
      </c>
      <c r="C4" s="69"/>
      <c r="D4" s="4674" t="s">
        <v>403</v>
      </c>
      <c r="E4" s="4675"/>
      <c r="F4" s="4675"/>
      <c r="G4" s="4675"/>
      <c r="H4" s="4675"/>
      <c r="I4" s="4675"/>
      <c r="J4" s="4675"/>
      <c r="K4" s="4675"/>
      <c r="L4" s="4675"/>
      <c r="M4" s="4675"/>
      <c r="N4" s="4675"/>
      <c r="O4" s="4675"/>
      <c r="P4" s="4675"/>
      <c r="Q4" s="4675"/>
      <c r="R4" s="4675"/>
      <c r="S4" s="4675"/>
      <c r="T4" s="4675"/>
      <c r="U4" s="4675"/>
      <c r="V4" s="4675"/>
      <c r="W4" s="4675"/>
      <c r="X4" s="4675"/>
      <c r="Y4" s="4675"/>
      <c r="Z4" s="4675"/>
      <c r="AA4" s="4675"/>
      <c r="AB4" s="4676"/>
      <c r="AC4" s="180"/>
      <c r="AD4" s="180"/>
    </row>
    <row r="5" spans="1:33" ht="24" customHeight="1" x14ac:dyDescent="0.25">
      <c r="B5" s="69"/>
      <c r="C5" s="69"/>
      <c r="D5" s="4688"/>
      <c r="E5" s="4688"/>
      <c r="F5" s="4688"/>
      <c r="G5" s="4688"/>
      <c r="H5" s="4688"/>
      <c r="I5" s="4688"/>
      <c r="J5" s="4688"/>
      <c r="K5" s="4688"/>
      <c r="L5" s="4688"/>
      <c r="M5" s="4688"/>
      <c r="N5" s="4688"/>
      <c r="O5" s="4688"/>
      <c r="P5" s="4688"/>
      <c r="Q5" s="4688"/>
      <c r="R5" s="4688"/>
      <c r="S5" s="4688"/>
      <c r="T5" s="4688"/>
      <c r="U5" s="4688"/>
      <c r="V5" s="4688"/>
      <c r="W5" s="4688"/>
      <c r="X5" s="4688"/>
      <c r="Y5" s="4688"/>
      <c r="Z5" s="4688"/>
      <c r="AA5" s="4688"/>
      <c r="AB5" s="617"/>
      <c r="AC5" s="617"/>
      <c r="AD5" s="617"/>
      <c r="AE5" s="617"/>
    </row>
    <row r="6" spans="1:33" ht="10.5" customHeight="1" x14ac:dyDescent="0.25">
      <c r="A6" s="69">
        <v>4</v>
      </c>
      <c r="B6" s="70" t="s">
        <v>6</v>
      </c>
      <c r="C6" s="69"/>
      <c r="D6" s="72" t="s">
        <v>7</v>
      </c>
      <c r="E6" s="72"/>
      <c r="F6" s="72" t="s">
        <v>404</v>
      </c>
      <c r="G6" s="72"/>
      <c r="H6" s="72"/>
      <c r="I6" s="72"/>
      <c r="J6" s="72"/>
      <c r="K6" s="72"/>
      <c r="L6" s="72"/>
      <c r="M6" s="72"/>
      <c r="N6" s="1835"/>
      <c r="O6" s="3092"/>
      <c r="P6" s="1835"/>
      <c r="Q6" s="1835"/>
      <c r="R6" s="1835"/>
      <c r="S6" s="95"/>
      <c r="T6" s="95"/>
      <c r="U6" s="88"/>
      <c r="V6" s="88"/>
      <c r="W6" s="617"/>
      <c r="X6" s="617"/>
      <c r="Y6" s="617"/>
      <c r="Z6" s="617"/>
      <c r="AA6" s="617"/>
      <c r="AB6" s="617"/>
      <c r="AC6" s="617"/>
      <c r="AD6" s="617"/>
      <c r="AE6" s="617"/>
    </row>
    <row r="7" spans="1:33" x14ac:dyDescent="0.25">
      <c r="D7" s="159" t="s">
        <v>389</v>
      </c>
      <c r="E7" s="161" t="s">
        <v>395</v>
      </c>
      <c r="F7" s="161" t="s">
        <v>396</v>
      </c>
      <c r="G7" s="161" t="s">
        <v>9</v>
      </c>
      <c r="H7" s="161" t="s">
        <v>10</v>
      </c>
      <c r="I7" s="161" t="s">
        <v>11</v>
      </c>
      <c r="J7" s="161" t="s">
        <v>12</v>
      </c>
      <c r="K7" s="161" t="s">
        <v>13</v>
      </c>
      <c r="L7" s="161" t="s">
        <v>14</v>
      </c>
      <c r="M7" s="161" t="s">
        <v>15</v>
      </c>
      <c r="N7" s="161" t="s">
        <v>16</v>
      </c>
      <c r="O7" s="161" t="s">
        <v>17</v>
      </c>
      <c r="P7" s="161" t="s">
        <v>18</v>
      </c>
      <c r="Q7" s="161" t="s">
        <v>19</v>
      </c>
      <c r="R7" s="161" t="s">
        <v>20</v>
      </c>
      <c r="S7" s="161" t="s">
        <v>21</v>
      </c>
      <c r="T7" s="161" t="s">
        <v>22</v>
      </c>
      <c r="U7" s="161" t="s">
        <v>23</v>
      </c>
      <c r="V7" s="161" t="s">
        <v>24</v>
      </c>
      <c r="W7" s="161" t="s">
        <v>25</v>
      </c>
      <c r="X7" s="161" t="s">
        <v>26</v>
      </c>
      <c r="Y7" s="161" t="s">
        <v>27</v>
      </c>
      <c r="Z7" s="161" t="s">
        <v>28</v>
      </c>
      <c r="AA7" s="161" t="s">
        <v>29</v>
      </c>
      <c r="AB7" s="161" t="s">
        <v>30</v>
      </c>
      <c r="AC7" s="161" t="s">
        <v>31</v>
      </c>
      <c r="AD7" s="161" t="s">
        <v>32</v>
      </c>
      <c r="AE7" s="161" t="s">
        <v>33</v>
      </c>
      <c r="AF7" s="3093" t="s">
        <v>59</v>
      </c>
      <c r="AG7" s="3093" t="s">
        <v>2186</v>
      </c>
    </row>
    <row r="8" spans="1:33" ht="34.5" x14ac:dyDescent="0.25">
      <c r="D8" s="82" t="s">
        <v>405</v>
      </c>
      <c r="E8" s="176">
        <v>47</v>
      </c>
      <c r="F8" s="176">
        <v>48</v>
      </c>
      <c r="G8" s="176">
        <v>46.8</v>
      </c>
      <c r="H8" s="176">
        <v>41.6</v>
      </c>
      <c r="I8" s="176">
        <v>41.5</v>
      </c>
      <c r="J8" s="176">
        <v>39.299999999999997</v>
      </c>
      <c r="K8" s="176">
        <v>36.5</v>
      </c>
      <c r="L8" s="176">
        <v>35.4</v>
      </c>
      <c r="M8" s="176">
        <v>29.8</v>
      </c>
      <c r="N8" s="176">
        <v>29</v>
      </c>
      <c r="O8" s="176">
        <v>27.8</v>
      </c>
      <c r="P8" s="176">
        <v>24.9</v>
      </c>
      <c r="Q8" s="176">
        <v>22.4</v>
      </c>
      <c r="R8" s="176">
        <v>20.100000000000001</v>
      </c>
      <c r="S8" s="176">
        <v>19.8</v>
      </c>
      <c r="T8" s="176">
        <v>23.7</v>
      </c>
      <c r="U8" s="176">
        <v>26.3</v>
      </c>
      <c r="V8" s="176">
        <v>29.2</v>
      </c>
      <c r="W8" s="176">
        <v>32.5</v>
      </c>
      <c r="X8" s="176">
        <v>35</v>
      </c>
      <c r="Y8" s="176">
        <v>37.700000000000003</v>
      </c>
      <c r="Z8" s="176">
        <v>40.1</v>
      </c>
      <c r="AA8" s="176">
        <v>41.6</v>
      </c>
      <c r="AB8" s="176">
        <v>44</v>
      </c>
      <c r="AC8" s="176">
        <v>47</v>
      </c>
      <c r="AD8" s="176">
        <v>52.7</v>
      </c>
      <c r="AE8" s="176">
        <v>64.7</v>
      </c>
      <c r="AF8" s="3094">
        <v>63.8</v>
      </c>
      <c r="AG8" s="3094">
        <v>67.400000000000006</v>
      </c>
    </row>
    <row r="9" spans="1:33" ht="22.5" customHeight="1" x14ac:dyDescent="0.25">
      <c r="D9" s="616"/>
      <c r="E9" s="616"/>
      <c r="F9" s="88"/>
      <c r="G9" s="88"/>
      <c r="H9" s="88"/>
      <c r="I9" s="88"/>
      <c r="J9" s="88"/>
      <c r="K9" s="88"/>
      <c r="L9" s="88"/>
      <c r="M9" s="88"/>
      <c r="N9" s="88"/>
      <c r="O9" s="88"/>
      <c r="P9" s="88"/>
      <c r="Q9" s="88"/>
      <c r="R9" s="88"/>
      <c r="S9" s="88"/>
      <c r="T9" s="88"/>
      <c r="U9" s="88"/>
      <c r="V9" s="88"/>
      <c r="W9" s="617"/>
      <c r="X9" s="617"/>
      <c r="Y9" s="617"/>
      <c r="Z9" s="617"/>
      <c r="AA9" s="177">
        <v>41.9</v>
      </c>
      <c r="AB9" s="177"/>
      <c r="AC9" s="177"/>
      <c r="AD9" s="177"/>
      <c r="AE9" s="617"/>
    </row>
    <row r="10" spans="1:33" x14ac:dyDescent="0.25">
      <c r="A10" s="69">
        <v>5</v>
      </c>
      <c r="B10" s="70" t="s">
        <v>51</v>
      </c>
      <c r="C10" s="69"/>
      <c r="D10" s="616"/>
      <c r="E10" s="616"/>
      <c r="F10" s="88"/>
      <c r="G10" s="88"/>
      <c r="H10" s="88"/>
      <c r="I10" s="88"/>
      <c r="J10" s="88"/>
      <c r="K10" s="88"/>
      <c r="L10" s="88"/>
      <c r="M10" s="88"/>
      <c r="N10" s="88"/>
      <c r="O10" s="88"/>
      <c r="P10" s="88"/>
      <c r="Q10" s="88"/>
      <c r="R10" s="88"/>
      <c r="S10" s="88"/>
      <c r="T10" s="88"/>
      <c r="U10" s="88"/>
      <c r="V10" s="88"/>
      <c r="W10" s="617"/>
      <c r="X10" s="617"/>
      <c r="Y10" s="617"/>
      <c r="Z10" s="617"/>
      <c r="AA10" s="177">
        <v>47</v>
      </c>
      <c r="AB10" s="177"/>
      <c r="AC10" s="177"/>
      <c r="AD10" s="177"/>
      <c r="AE10" s="617"/>
    </row>
    <row r="11" spans="1:33" x14ac:dyDescent="0.25">
      <c r="D11" s="178"/>
      <c r="E11" s="178"/>
      <c r="F11" s="616"/>
      <c r="G11" s="88"/>
      <c r="H11" s="88"/>
      <c r="I11" s="88"/>
      <c r="J11" s="88"/>
      <c r="K11" s="88"/>
      <c r="L11" s="88"/>
      <c r="M11" s="88"/>
      <c r="N11" s="88"/>
      <c r="O11" s="88"/>
      <c r="P11" s="88"/>
      <c r="Q11" s="88"/>
      <c r="R11" s="88"/>
      <c r="S11" s="88"/>
      <c r="T11" s="88"/>
      <c r="U11" s="88"/>
      <c r="V11" s="88"/>
      <c r="W11" s="617"/>
      <c r="X11" s="617"/>
      <c r="Y11" s="617"/>
      <c r="Z11" s="3095"/>
      <c r="AA11" s="177">
        <v>48</v>
      </c>
      <c r="AB11" s="177"/>
      <c r="AC11" s="177"/>
      <c r="AD11" s="177"/>
      <c r="AE11" s="617"/>
    </row>
    <row r="12" spans="1:33" x14ac:dyDescent="0.25">
      <c r="D12" s="178"/>
      <c r="E12" s="178"/>
      <c r="F12" s="68"/>
      <c r="G12" s="88"/>
      <c r="H12" s="88"/>
      <c r="I12" s="88"/>
      <c r="J12" s="88"/>
      <c r="K12" s="88"/>
      <c r="L12" s="88"/>
      <c r="M12" s="88"/>
      <c r="N12" s="88"/>
      <c r="O12" s="88"/>
      <c r="P12" s="88"/>
      <c r="Q12" s="88"/>
      <c r="R12" s="88"/>
      <c r="S12" s="88"/>
      <c r="T12" s="88"/>
      <c r="U12" s="88"/>
      <c r="V12" s="88"/>
      <c r="Z12" s="55"/>
      <c r="AA12" s="177">
        <v>48.1</v>
      </c>
      <c r="AB12" s="177"/>
      <c r="AC12" s="177"/>
      <c r="AD12" s="177"/>
    </row>
    <row r="13" spans="1:33" x14ac:dyDescent="0.25">
      <c r="D13" s="178"/>
      <c r="E13" s="178"/>
      <c r="F13" s="68"/>
      <c r="G13" s="88"/>
      <c r="H13" s="88"/>
      <c r="I13" s="88"/>
      <c r="J13" s="88"/>
      <c r="K13" s="88"/>
      <c r="L13" s="88"/>
      <c r="M13" s="88"/>
      <c r="N13" s="88"/>
      <c r="O13" s="88"/>
      <c r="P13" s="88"/>
      <c r="Q13" s="88"/>
      <c r="R13" s="89"/>
      <c r="S13" s="89"/>
      <c r="T13" s="89"/>
      <c r="U13" s="89"/>
      <c r="V13" s="89"/>
      <c r="AA13" s="177">
        <v>47.3</v>
      </c>
      <c r="AB13" s="177"/>
      <c r="AC13" s="177"/>
      <c r="AD13" s="177"/>
    </row>
    <row r="14" spans="1:33" x14ac:dyDescent="0.25">
      <c r="D14" s="178"/>
      <c r="E14" s="178"/>
      <c r="F14" s="68"/>
      <c r="G14" s="88"/>
      <c r="H14" s="88"/>
      <c r="I14" s="88"/>
      <c r="J14" s="88"/>
      <c r="K14" s="88"/>
      <c r="L14" s="88"/>
      <c r="M14" s="88"/>
      <c r="N14" s="88"/>
      <c r="O14" s="88"/>
      <c r="P14" s="88"/>
      <c r="Q14" s="88"/>
      <c r="R14" s="89"/>
      <c r="S14" s="89"/>
      <c r="T14" s="89"/>
      <c r="U14" s="89"/>
      <c r="V14" s="89"/>
      <c r="AA14" s="177">
        <v>47.3</v>
      </c>
      <c r="AB14" s="177"/>
      <c r="AC14" s="177"/>
      <c r="AD14" s="177"/>
    </row>
    <row r="15" spans="1:33" x14ac:dyDescent="0.25">
      <c r="D15" s="178"/>
      <c r="E15" s="178"/>
      <c r="F15" s="68"/>
      <c r="G15" s="88"/>
      <c r="H15" s="88"/>
      <c r="I15" s="88"/>
      <c r="J15" s="88"/>
      <c r="K15" s="88"/>
      <c r="L15" s="88"/>
      <c r="M15" s="88"/>
      <c r="N15" s="88"/>
      <c r="O15" s="88"/>
      <c r="P15" s="88"/>
      <c r="Q15" s="88"/>
      <c r="R15" s="88"/>
      <c r="S15" s="88"/>
      <c r="T15" s="88"/>
      <c r="U15" s="88"/>
      <c r="V15" s="88"/>
      <c r="AA15" s="177">
        <v>44.7</v>
      </c>
      <c r="AB15" s="177"/>
      <c r="AC15" s="177"/>
      <c r="AD15" s="177"/>
    </row>
    <row r="16" spans="1:33" x14ac:dyDescent="0.25">
      <c r="D16" s="178"/>
      <c r="E16" s="178"/>
      <c r="F16" s="68"/>
      <c r="G16" s="88"/>
      <c r="H16" s="88"/>
      <c r="I16" s="88"/>
      <c r="J16" s="88"/>
      <c r="K16" s="88"/>
      <c r="L16" s="88"/>
      <c r="M16" s="88"/>
      <c r="N16" s="88"/>
      <c r="O16" s="88"/>
      <c r="P16" s="88"/>
      <c r="Q16" s="88"/>
      <c r="R16" s="88"/>
      <c r="S16" s="88"/>
      <c r="T16" s="88"/>
      <c r="U16" s="88"/>
      <c r="V16" s="88"/>
      <c r="AA16" s="177">
        <v>41.7</v>
      </c>
      <c r="AB16" s="177"/>
      <c r="AC16" s="177"/>
      <c r="AD16" s="177"/>
    </row>
    <row r="17" spans="1:30" x14ac:dyDescent="0.25">
      <c r="D17" s="178"/>
      <c r="E17" s="178"/>
      <c r="F17" s="68"/>
      <c r="G17" s="88"/>
      <c r="H17" s="88"/>
      <c r="I17" s="88"/>
      <c r="J17" s="88"/>
      <c r="K17" s="88"/>
      <c r="L17" s="88"/>
      <c r="M17" s="88"/>
      <c r="N17" s="88"/>
      <c r="O17" s="88"/>
      <c r="P17" s="88"/>
      <c r="Q17" s="88"/>
      <c r="R17" s="88"/>
      <c r="S17" s="88"/>
      <c r="T17" s="88"/>
      <c r="U17" s="88"/>
      <c r="V17" s="88"/>
      <c r="AA17" s="177">
        <v>40.6</v>
      </c>
      <c r="AB17" s="177"/>
      <c r="AC17" s="177"/>
      <c r="AD17" s="177"/>
    </row>
    <row r="18" spans="1:30" x14ac:dyDescent="0.25">
      <c r="D18" s="178"/>
      <c r="E18" s="178"/>
      <c r="F18" s="68"/>
      <c r="G18" s="88"/>
      <c r="H18" s="88"/>
      <c r="I18" s="88"/>
      <c r="J18" s="88"/>
      <c r="K18" s="88"/>
      <c r="L18" s="88"/>
      <c r="M18" s="88"/>
      <c r="N18" s="88"/>
      <c r="O18" s="88"/>
      <c r="P18" s="88"/>
      <c r="Q18" s="88"/>
      <c r="R18" s="88"/>
      <c r="S18" s="88"/>
      <c r="T18" s="88"/>
      <c r="U18" s="88"/>
      <c r="V18" s="88"/>
      <c r="AA18" s="177">
        <v>34.6</v>
      </c>
      <c r="AB18" s="177"/>
      <c r="AC18" s="177"/>
      <c r="AD18" s="177"/>
    </row>
    <row r="19" spans="1:30" x14ac:dyDescent="0.25">
      <c r="D19" s="178"/>
      <c r="E19" s="178"/>
      <c r="F19" s="68"/>
      <c r="G19" s="88"/>
      <c r="H19" s="88"/>
      <c r="I19" s="88"/>
      <c r="J19" s="88"/>
      <c r="K19" s="88"/>
      <c r="L19" s="88"/>
      <c r="M19" s="88"/>
      <c r="N19" s="88"/>
      <c r="O19" s="88"/>
      <c r="P19" s="88"/>
      <c r="Q19" s="88"/>
      <c r="R19" s="88"/>
      <c r="S19" s="88"/>
      <c r="T19" s="88"/>
      <c r="U19" s="88"/>
      <c r="V19" s="88"/>
      <c r="AA19" s="177">
        <v>33.9</v>
      </c>
      <c r="AB19" s="177"/>
      <c r="AC19" s="177"/>
      <c r="AD19" s="177"/>
    </row>
    <row r="20" spans="1:30" x14ac:dyDescent="0.25">
      <c r="D20" s="178"/>
      <c r="E20" s="178"/>
      <c r="F20" s="68"/>
      <c r="G20" s="68"/>
      <c r="H20" s="68"/>
      <c r="I20" s="68"/>
      <c r="J20" s="68"/>
      <c r="K20" s="68"/>
      <c r="L20" s="68"/>
      <c r="M20" s="68"/>
      <c r="N20" s="68"/>
      <c r="O20" s="68"/>
      <c r="P20" s="68"/>
      <c r="Q20" s="68"/>
      <c r="R20" s="68"/>
      <c r="S20" s="68"/>
      <c r="T20" s="68"/>
      <c r="U20" s="68"/>
      <c r="V20" s="68"/>
      <c r="AA20" s="177">
        <v>32.5</v>
      </c>
      <c r="AB20" s="177"/>
      <c r="AC20" s="177"/>
      <c r="AD20" s="177"/>
    </row>
    <row r="21" spans="1:30" x14ac:dyDescent="0.25">
      <c r="D21" s="178"/>
      <c r="E21" s="178"/>
      <c r="F21" s="68"/>
      <c r="G21" s="68"/>
      <c r="H21" s="68"/>
      <c r="I21" s="68"/>
      <c r="J21" s="68"/>
      <c r="K21" s="68"/>
      <c r="L21" s="68"/>
      <c r="M21" s="68"/>
      <c r="N21" s="68"/>
      <c r="O21" s="68"/>
      <c r="P21" s="68"/>
      <c r="Q21" s="68"/>
      <c r="R21" s="68"/>
      <c r="S21" s="68"/>
      <c r="T21" s="68"/>
      <c r="U21" s="68"/>
      <c r="V21" s="68"/>
      <c r="AA21" s="177">
        <v>29.1</v>
      </c>
      <c r="AB21" s="177"/>
      <c r="AC21" s="177"/>
      <c r="AD21" s="177"/>
    </row>
    <row r="22" spans="1:30" x14ac:dyDescent="0.25">
      <c r="D22" s="178"/>
      <c r="E22" s="178"/>
      <c r="F22" s="68"/>
      <c r="G22" s="68"/>
      <c r="H22" s="68"/>
      <c r="I22" s="68"/>
      <c r="J22" s="68"/>
      <c r="K22" s="68"/>
      <c r="L22" s="68"/>
      <c r="M22" s="68"/>
      <c r="N22" s="68"/>
      <c r="O22" s="68"/>
      <c r="P22" s="68"/>
      <c r="Q22" s="68"/>
      <c r="R22" s="68"/>
      <c r="S22" s="68"/>
      <c r="T22" s="68"/>
      <c r="U22" s="68"/>
      <c r="V22" s="68"/>
      <c r="AA22" s="177">
        <v>26</v>
      </c>
      <c r="AB22" s="177"/>
      <c r="AC22" s="177"/>
      <c r="AD22" s="177"/>
    </row>
    <row r="23" spans="1:30" x14ac:dyDescent="0.25">
      <c r="D23" s="178"/>
      <c r="E23" s="178"/>
      <c r="F23" s="68"/>
      <c r="G23" s="68"/>
      <c r="H23" s="68"/>
      <c r="I23" s="68"/>
      <c r="J23" s="68"/>
      <c r="K23" s="68"/>
      <c r="L23" s="68"/>
      <c r="M23" s="68"/>
      <c r="N23" s="68"/>
      <c r="O23" s="68"/>
      <c r="P23" s="68"/>
      <c r="Q23" s="68"/>
      <c r="R23" s="68"/>
      <c r="S23" s="68"/>
      <c r="T23" s="68"/>
      <c r="U23" s="68"/>
      <c r="V23" s="68"/>
      <c r="AA23" s="177">
        <v>23</v>
      </c>
      <c r="AB23" s="177"/>
      <c r="AC23" s="177"/>
      <c r="AD23" s="177"/>
    </row>
    <row r="24" spans="1:30" x14ac:dyDescent="0.25">
      <c r="D24" s="68"/>
      <c r="E24" s="68"/>
      <c r="F24" s="68"/>
      <c r="G24" s="68"/>
      <c r="H24" s="68"/>
      <c r="I24" s="68"/>
      <c r="J24" s="68"/>
      <c r="K24" s="68"/>
      <c r="L24" s="68"/>
      <c r="M24" s="68"/>
      <c r="N24" s="68"/>
      <c r="O24" s="68"/>
      <c r="P24" s="68"/>
      <c r="Q24" s="68"/>
      <c r="R24" s="68"/>
      <c r="S24" s="68"/>
      <c r="T24" s="68"/>
      <c r="U24" s="68"/>
      <c r="V24" s="68"/>
      <c r="AA24" s="177">
        <v>22.9</v>
      </c>
      <c r="AB24" s="177"/>
      <c r="AC24" s="177"/>
      <c r="AD24" s="177"/>
    </row>
    <row r="25" spans="1:30" x14ac:dyDescent="0.25">
      <c r="D25" s="68"/>
      <c r="E25" s="68"/>
      <c r="F25" s="68"/>
      <c r="G25" s="68"/>
      <c r="H25" s="68"/>
      <c r="I25" s="68"/>
      <c r="J25" s="68"/>
      <c r="K25" s="68"/>
      <c r="L25" s="68"/>
      <c r="M25" s="68"/>
      <c r="N25" s="68"/>
      <c r="O25" s="68"/>
      <c r="P25" s="68"/>
      <c r="Q25" s="68"/>
      <c r="R25" s="68"/>
      <c r="S25" s="68"/>
      <c r="T25" s="68"/>
      <c r="U25" s="68"/>
      <c r="V25" s="68"/>
      <c r="AA25" s="177">
        <v>27.4</v>
      </c>
      <c r="AB25" s="177"/>
      <c r="AC25" s="177"/>
      <c r="AD25" s="177"/>
    </row>
    <row r="26" spans="1:30" x14ac:dyDescent="0.25">
      <c r="D26" s="68"/>
      <c r="E26" s="68"/>
      <c r="F26" s="68"/>
      <c r="G26" s="68"/>
      <c r="H26" s="68"/>
      <c r="I26" s="68"/>
      <c r="J26" s="68"/>
      <c r="K26" s="68"/>
      <c r="L26" s="68"/>
      <c r="M26" s="68"/>
      <c r="N26" s="68"/>
      <c r="O26" s="68"/>
      <c r="P26" s="68"/>
      <c r="Q26" s="68"/>
      <c r="R26" s="68"/>
      <c r="S26" s="68"/>
      <c r="T26" s="68"/>
      <c r="U26" s="68"/>
      <c r="V26" s="68"/>
      <c r="AA26" s="177">
        <v>29.7</v>
      </c>
      <c r="AB26" s="177"/>
      <c r="AC26" s="177"/>
      <c r="AD26" s="177"/>
    </row>
    <row r="27" spans="1:30" x14ac:dyDescent="0.25">
      <c r="D27" s="68"/>
      <c r="E27" s="68"/>
      <c r="F27" s="68"/>
      <c r="G27" s="68"/>
      <c r="H27" s="68"/>
      <c r="I27" s="68"/>
      <c r="J27" s="68"/>
      <c r="K27" s="68"/>
      <c r="L27" s="68"/>
      <c r="M27" s="68"/>
      <c r="N27" s="68"/>
      <c r="O27" s="68"/>
      <c r="P27" s="68"/>
      <c r="Q27" s="68"/>
      <c r="R27" s="68"/>
      <c r="S27" s="68"/>
      <c r="T27" s="68"/>
      <c r="U27" s="68"/>
      <c r="V27" s="68"/>
      <c r="AA27" s="177"/>
      <c r="AB27" s="177"/>
      <c r="AC27" s="177"/>
      <c r="AD27" s="177"/>
    </row>
    <row r="28" spans="1:30" ht="12.75" customHeight="1" x14ac:dyDescent="0.25">
      <c r="A28" s="69">
        <v>6</v>
      </c>
      <c r="B28" s="70" t="s">
        <v>52</v>
      </c>
      <c r="C28" s="69"/>
      <c r="D28" s="4674" t="s">
        <v>406</v>
      </c>
      <c r="E28" s="4675"/>
      <c r="F28" s="4675"/>
      <c r="G28" s="4675"/>
      <c r="H28" s="4675"/>
      <c r="I28" s="4675"/>
      <c r="J28" s="4675"/>
      <c r="K28" s="4675"/>
      <c r="L28" s="4675"/>
      <c r="M28" s="4675"/>
      <c r="N28" s="4675"/>
      <c r="O28" s="4675"/>
      <c r="P28" s="4675"/>
      <c r="Q28" s="4675"/>
      <c r="R28" s="4675"/>
      <c r="S28" s="4675"/>
      <c r="T28" s="4675"/>
      <c r="U28" s="4675"/>
      <c r="V28" s="4675"/>
      <c r="W28" s="4675"/>
      <c r="X28" s="4675"/>
      <c r="Y28" s="4675"/>
      <c r="Z28" s="4675"/>
      <c r="AA28" s="4675"/>
      <c r="AB28" s="4676"/>
      <c r="AC28" s="180"/>
      <c r="AD28" s="180"/>
    </row>
    <row r="29" spans="1:30" ht="14.45" customHeight="1" x14ac:dyDescent="0.25">
      <c r="A29" s="90">
        <v>7</v>
      </c>
      <c r="B29" s="91" t="s">
        <v>54</v>
      </c>
      <c r="C29" s="90"/>
      <c r="D29" s="4677" t="s">
        <v>407</v>
      </c>
      <c r="E29" s="4678"/>
      <c r="F29" s="4678"/>
      <c r="G29" s="4678"/>
      <c r="H29" s="4678"/>
      <c r="I29" s="4678"/>
      <c r="J29" s="4678"/>
      <c r="K29" s="4678"/>
      <c r="L29" s="4678"/>
      <c r="M29" s="4678"/>
      <c r="N29" s="4678"/>
      <c r="O29" s="4678"/>
      <c r="P29" s="4678"/>
      <c r="Q29" s="4678"/>
      <c r="R29" s="4678"/>
      <c r="S29" s="4678"/>
      <c r="T29" s="4678"/>
      <c r="U29" s="4678"/>
      <c r="V29" s="4678"/>
      <c r="W29" s="4678"/>
      <c r="X29" s="4678"/>
      <c r="Y29" s="4678"/>
      <c r="Z29" s="4678"/>
      <c r="AA29" s="4678"/>
      <c r="AB29" s="4679"/>
      <c r="AC29" s="867"/>
      <c r="AD29" s="867"/>
    </row>
    <row r="30" spans="1:30" ht="12.75" customHeight="1" x14ac:dyDescent="0.25">
      <c r="A30" s="69">
        <v>8</v>
      </c>
      <c r="B30" s="70" t="s">
        <v>56</v>
      </c>
      <c r="C30" s="69"/>
      <c r="D30" s="4674" t="s">
        <v>408</v>
      </c>
      <c r="E30" s="4675"/>
      <c r="F30" s="4675"/>
      <c r="G30" s="4675"/>
      <c r="H30" s="4675"/>
      <c r="I30" s="4675"/>
      <c r="J30" s="4675"/>
      <c r="K30" s="4675"/>
      <c r="L30" s="4675"/>
      <c r="M30" s="4675"/>
      <c r="N30" s="4675"/>
      <c r="O30" s="4675"/>
      <c r="P30" s="4675"/>
      <c r="Q30" s="4675"/>
      <c r="R30" s="4675"/>
      <c r="S30" s="4675"/>
      <c r="T30" s="4675"/>
      <c r="U30" s="4675"/>
      <c r="V30" s="4675"/>
      <c r="W30" s="4675"/>
      <c r="X30" s="4675"/>
      <c r="Y30" s="4675"/>
      <c r="Z30" s="4675"/>
      <c r="AA30" s="4675"/>
      <c r="AB30" s="4676"/>
      <c r="AC30" s="180"/>
      <c r="AD30" s="180"/>
    </row>
    <row r="31" spans="1:30" ht="42" customHeight="1" x14ac:dyDescent="0.25">
      <c r="A31" s="69">
        <v>9</v>
      </c>
      <c r="B31" s="70" t="s">
        <v>409</v>
      </c>
      <c r="C31" s="69"/>
      <c r="D31" s="4677" t="s">
        <v>410</v>
      </c>
      <c r="E31" s="4678"/>
      <c r="F31" s="4678"/>
      <c r="G31" s="4678"/>
      <c r="H31" s="4678"/>
      <c r="I31" s="4678"/>
      <c r="J31" s="4678"/>
      <c r="K31" s="4678"/>
      <c r="L31" s="4678"/>
      <c r="M31" s="4678"/>
      <c r="N31" s="4678"/>
      <c r="O31" s="4678"/>
      <c r="P31" s="4678"/>
      <c r="Q31" s="4678"/>
      <c r="R31" s="4678"/>
      <c r="S31" s="4678"/>
      <c r="T31" s="4678"/>
      <c r="U31" s="4678"/>
      <c r="V31" s="4678"/>
      <c r="W31" s="4678"/>
      <c r="X31" s="4678"/>
      <c r="Y31" s="4678"/>
      <c r="Z31" s="4678"/>
      <c r="AA31" s="4678"/>
      <c r="AB31" s="4679"/>
      <c r="AC31" s="867"/>
      <c r="AD31" s="867"/>
    </row>
    <row r="34" spans="2:30" hidden="1" x14ac:dyDescent="0.25">
      <c r="F34" s="168" t="s">
        <v>395</v>
      </c>
      <c r="G34" s="168" t="s">
        <v>396</v>
      </c>
      <c r="H34" s="168" t="s">
        <v>9</v>
      </c>
      <c r="I34" s="168" t="s">
        <v>10</v>
      </c>
      <c r="J34" s="168" t="s">
        <v>11</v>
      </c>
      <c r="K34" s="168" t="s">
        <v>12</v>
      </c>
      <c r="L34" s="168" t="s">
        <v>13</v>
      </c>
      <c r="M34" s="168" t="s">
        <v>14</v>
      </c>
      <c r="N34" s="168" t="s">
        <v>15</v>
      </c>
      <c r="O34" s="168" t="s">
        <v>16</v>
      </c>
      <c r="P34" s="168" t="s">
        <v>17</v>
      </c>
      <c r="Q34" s="168" t="s">
        <v>18</v>
      </c>
      <c r="R34" s="168" t="s">
        <v>19</v>
      </c>
      <c r="S34" s="168" t="s">
        <v>20</v>
      </c>
      <c r="T34" s="168" t="s">
        <v>21</v>
      </c>
      <c r="U34" s="2806" t="s">
        <v>22</v>
      </c>
      <c r="V34" s="2806" t="s">
        <v>23</v>
      </c>
      <c r="W34" s="2806" t="s">
        <v>24</v>
      </c>
      <c r="X34" s="2806" t="s">
        <v>25</v>
      </c>
      <c r="Y34" s="2806" t="s">
        <v>26</v>
      </c>
    </row>
    <row r="35" spans="2:30" hidden="1" x14ac:dyDescent="0.25">
      <c r="D35" s="4">
        <v>35.700000000000003</v>
      </c>
      <c r="E35" s="4">
        <v>40.700000000000003</v>
      </c>
      <c r="F35" s="4">
        <v>45.6</v>
      </c>
      <c r="G35" s="4">
        <v>46.7</v>
      </c>
      <c r="H35" s="4">
        <v>46.8</v>
      </c>
      <c r="I35" s="4">
        <v>46.2</v>
      </c>
      <c r="J35" s="4">
        <v>46.1</v>
      </c>
      <c r="K35" s="4">
        <v>43.5</v>
      </c>
      <c r="L35" s="4">
        <v>40.6</v>
      </c>
      <c r="M35" s="4">
        <v>39.4</v>
      </c>
      <c r="N35" s="4">
        <v>33.299999999999997</v>
      </c>
      <c r="O35" s="4">
        <v>32.6</v>
      </c>
      <c r="P35" s="4">
        <v>31.2</v>
      </c>
      <c r="Q35" s="4">
        <v>28</v>
      </c>
      <c r="R35" s="4">
        <v>24.9</v>
      </c>
      <c r="S35" s="4">
        <v>22</v>
      </c>
      <c r="T35" s="4">
        <v>21.8</v>
      </c>
      <c r="U35" s="4">
        <v>26.4</v>
      </c>
      <c r="V35" s="4">
        <v>28.9</v>
      </c>
      <c r="W35" s="4">
        <v>31.9</v>
      </c>
      <c r="X35" s="4">
        <v>34.700000000000003</v>
      </c>
      <c r="Y35" s="4">
        <v>38.200000000000003</v>
      </c>
      <c r="AB35" s="34"/>
      <c r="AC35" s="34"/>
      <c r="AD35" s="34"/>
    </row>
    <row r="36" spans="2:30" hidden="1" x14ac:dyDescent="0.25"/>
    <row r="37" spans="2:30" hidden="1" x14ac:dyDescent="0.25">
      <c r="B37" s="4686"/>
      <c r="C37" s="4686"/>
      <c r="D37" s="4686"/>
      <c r="E37" s="4686"/>
      <c r="F37" s="4686"/>
      <c r="G37" s="4686"/>
      <c r="H37" s="4686"/>
      <c r="I37" s="4686"/>
      <c r="J37" s="4686"/>
      <c r="K37" s="4686"/>
      <c r="L37" s="4686"/>
      <c r="M37" s="4686"/>
      <c r="N37" s="4686"/>
      <c r="O37" s="4686"/>
      <c r="P37" s="4687"/>
      <c r="Q37" s="4687"/>
      <c r="R37" s="4687"/>
      <c r="S37" s="4687"/>
      <c r="T37" s="4687"/>
      <c r="U37" s="2799"/>
      <c r="V37" s="2799"/>
    </row>
    <row r="38" spans="2:30" hidden="1" x14ac:dyDescent="0.25"/>
    <row r="39" spans="2:30" hidden="1" x14ac:dyDescent="0.25"/>
    <row r="40" spans="2:30" hidden="1" x14ac:dyDescent="0.25"/>
    <row r="41" spans="2:30" hidden="1" x14ac:dyDescent="0.25"/>
    <row r="42" spans="2:30" hidden="1" x14ac:dyDescent="0.25"/>
    <row r="43" spans="2:30" hidden="1" x14ac:dyDescent="0.25"/>
    <row r="44" spans="2:30" hidden="1" x14ac:dyDescent="0.25"/>
    <row r="45" spans="2:30" hidden="1" x14ac:dyDescent="0.25"/>
    <row r="46" spans="2:30" hidden="1" x14ac:dyDescent="0.25"/>
    <row r="47" spans="2:30" hidden="1" x14ac:dyDescent="0.25"/>
    <row r="48" spans="2:30" hidden="1" x14ac:dyDescent="0.25"/>
    <row r="49" spans="31:31" hidden="1" x14ac:dyDescent="0.25"/>
    <row r="50" spans="31:31" hidden="1" x14ac:dyDescent="0.25"/>
    <row r="51" spans="31:31" hidden="1" x14ac:dyDescent="0.25"/>
    <row r="52" spans="31:31" hidden="1" x14ac:dyDescent="0.25"/>
    <row r="53" spans="31:31" hidden="1" x14ac:dyDescent="0.25"/>
    <row r="54" spans="31:31" hidden="1" x14ac:dyDescent="0.25"/>
    <row r="61" spans="31:31" x14ac:dyDescent="0.25">
      <c r="AE61" s="4" t="s">
        <v>358</v>
      </c>
    </row>
  </sheetData>
  <mergeCells count="9">
    <mergeCell ref="D30:AB30"/>
    <mergeCell ref="D31:AB31"/>
    <mergeCell ref="B37:T37"/>
    <mergeCell ref="D2:AB2"/>
    <mergeCell ref="D3:AB3"/>
    <mergeCell ref="D4:AB4"/>
    <mergeCell ref="D5:AA5"/>
    <mergeCell ref="D28:AB28"/>
    <mergeCell ref="D29:AB29"/>
  </mergeCells>
  <pageMargins left="0.74803149606299202" right="0.74803149606299202" top="0.98425196850393704" bottom="0.98425196850393704" header="0.511811023622047" footer="0.511811023622047"/>
  <pageSetup paperSize="9" scale="47"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720B9-A530-4BEA-854F-B84C1A835CFB}">
  <sheetPr>
    <tabColor rgb="FFFFC000"/>
    <pageSetUpPr fitToPage="1"/>
  </sheetPr>
  <dimension ref="A1:CL180"/>
  <sheetViews>
    <sheetView showGridLines="0" view="pageBreakPreview" topLeftCell="A4" zoomScaleNormal="100" zoomScaleSheetLayoutView="100" workbookViewId="0">
      <selection activeCell="C2" sqref="C2"/>
    </sheetView>
  </sheetViews>
  <sheetFormatPr defaultColWidth="9.140625" defaultRowHeight="15" x14ac:dyDescent="0.25"/>
  <cols>
    <col min="1" max="1" width="3.85546875" style="69" customWidth="1"/>
    <col min="2" max="2" width="10" style="66" customWidth="1"/>
    <col min="3" max="3" width="3.85546875" style="67" customWidth="1"/>
    <col min="4" max="4" width="12.5703125" style="4" customWidth="1"/>
    <col min="5" max="5" width="6.85546875" style="4" customWidth="1"/>
    <col min="6" max="32" width="5.5703125" style="4" customWidth="1"/>
    <col min="33" max="33" width="5.140625" style="4" customWidth="1"/>
    <col min="34" max="35" width="9.140625" style="4"/>
    <col min="36" max="36" width="10.85546875" style="4" customWidth="1"/>
    <col min="37" max="37" width="9.85546875" style="4" bestFit="1" customWidth="1"/>
    <col min="38" max="39" width="9.140625" style="4"/>
    <col min="40" max="40" width="10.5703125" style="4" customWidth="1"/>
    <col min="41" max="41" width="9.85546875" style="4" bestFit="1" customWidth="1"/>
    <col min="42" max="43" width="9.140625" style="4"/>
    <col min="44" max="44" width="10.5703125" style="4" customWidth="1"/>
    <col min="45" max="45" width="9.85546875" style="4" bestFit="1" customWidth="1"/>
    <col min="46" max="47" width="9.140625" style="4"/>
    <col min="48" max="48" width="10" style="4" customWidth="1"/>
    <col min="49" max="49" width="9.85546875" style="4" bestFit="1" customWidth="1"/>
    <col min="50" max="52" width="9.140625" style="4"/>
    <col min="53" max="53" width="9.85546875" style="4" bestFit="1" customWidth="1"/>
    <col min="54" max="54" width="9.85546875" style="4" customWidth="1"/>
    <col min="55" max="55" width="9.140625" style="4"/>
    <col min="56" max="56" width="9.85546875" style="4" customWidth="1"/>
    <col min="57" max="57" width="9.85546875" style="4" bestFit="1" customWidth="1"/>
    <col min="58" max="58" width="9.140625" style="4" customWidth="1"/>
    <col min="59" max="59" width="9.140625" style="4"/>
    <col min="60" max="60" width="11.5703125" style="4" customWidth="1"/>
    <col min="61" max="16384" width="9.140625" style="4"/>
  </cols>
  <sheetData>
    <row r="1" spans="1:47" x14ac:dyDescent="0.25">
      <c r="D1" s="68"/>
      <c r="E1" s="68"/>
      <c r="F1" s="68"/>
      <c r="G1" s="68"/>
      <c r="H1" s="68"/>
      <c r="I1" s="68"/>
      <c r="J1" s="68"/>
      <c r="K1" s="68"/>
      <c r="L1" s="68"/>
      <c r="M1" s="68"/>
      <c r="N1" s="68"/>
      <c r="O1" s="68"/>
      <c r="P1" s="68"/>
      <c r="Q1" s="68"/>
      <c r="R1" s="68"/>
      <c r="S1" s="68"/>
      <c r="T1" s="68"/>
      <c r="U1" s="68"/>
    </row>
    <row r="2" spans="1:47" ht="15" customHeight="1" x14ac:dyDescent="0.25">
      <c r="A2" s="69">
        <v>1</v>
      </c>
      <c r="B2" s="70" t="s">
        <v>0</v>
      </c>
      <c r="C2" s="69">
        <v>14</v>
      </c>
      <c r="D2" s="4674" t="s">
        <v>411</v>
      </c>
      <c r="E2" s="4675"/>
      <c r="F2" s="4675"/>
      <c r="G2" s="4675"/>
      <c r="H2" s="4675"/>
      <c r="I2" s="4675"/>
      <c r="J2" s="4675"/>
      <c r="K2" s="4675"/>
      <c r="L2" s="4675"/>
      <c r="M2" s="4675"/>
      <c r="N2" s="4675"/>
      <c r="O2" s="4675"/>
      <c r="P2" s="4675"/>
      <c r="Q2" s="4675"/>
      <c r="R2" s="4675"/>
      <c r="S2" s="4675"/>
      <c r="T2" s="4675"/>
      <c r="U2" s="4675"/>
      <c r="V2" s="4675"/>
      <c r="W2" s="4675"/>
      <c r="X2" s="4675"/>
      <c r="Y2" s="4675"/>
      <c r="Z2" s="4675"/>
      <c r="AA2" s="4675"/>
      <c r="AB2" s="4675"/>
      <c r="AC2" s="4675"/>
      <c r="AD2" s="4675"/>
      <c r="AE2" s="4675"/>
      <c r="AF2" s="4676"/>
      <c r="AG2" s="8"/>
      <c r="AH2" s="8"/>
      <c r="AI2" s="8"/>
      <c r="AJ2" s="8"/>
      <c r="AK2" s="8"/>
      <c r="AL2" s="8"/>
      <c r="AM2" s="8"/>
      <c r="AN2" s="8"/>
      <c r="AO2" s="8"/>
      <c r="AP2" s="8"/>
      <c r="AQ2" s="8"/>
      <c r="AR2" s="8"/>
      <c r="AS2" s="8"/>
      <c r="AT2" s="8"/>
      <c r="AU2" s="8"/>
    </row>
    <row r="3" spans="1:47" ht="15" customHeight="1" x14ac:dyDescent="0.25">
      <c r="A3" s="69">
        <v>2</v>
      </c>
      <c r="B3" s="70" t="s">
        <v>2</v>
      </c>
      <c r="C3" s="69"/>
      <c r="D3" s="4674" t="s">
        <v>412</v>
      </c>
      <c r="E3" s="4675"/>
      <c r="F3" s="4675"/>
      <c r="G3" s="4675"/>
      <c r="H3" s="4675"/>
      <c r="I3" s="4675"/>
      <c r="J3" s="4675"/>
      <c r="K3" s="4675"/>
      <c r="L3" s="4675"/>
      <c r="M3" s="4675"/>
      <c r="N3" s="4675"/>
      <c r="O3" s="4675"/>
      <c r="P3" s="4675"/>
      <c r="Q3" s="4675"/>
      <c r="R3" s="4675"/>
      <c r="S3" s="4675"/>
      <c r="T3" s="4675"/>
      <c r="U3" s="4675"/>
      <c r="V3" s="4675"/>
      <c r="W3" s="4675"/>
      <c r="X3" s="4675"/>
      <c r="Y3" s="4675"/>
      <c r="Z3" s="4675"/>
      <c r="AA3" s="4675"/>
      <c r="AB3" s="4675"/>
      <c r="AC3" s="4675"/>
      <c r="AD3" s="4675"/>
      <c r="AE3" s="4675"/>
      <c r="AF3" s="4676"/>
      <c r="AG3" s="8"/>
      <c r="AH3" s="8"/>
      <c r="AI3" s="8"/>
      <c r="AJ3" s="8"/>
      <c r="AK3" s="8"/>
      <c r="AL3" s="8"/>
      <c r="AM3" s="8"/>
      <c r="AN3" s="8"/>
      <c r="AO3" s="8"/>
      <c r="AP3" s="8"/>
      <c r="AQ3" s="8"/>
      <c r="AR3" s="8"/>
      <c r="AS3" s="8"/>
      <c r="AT3" s="8"/>
      <c r="AU3" s="8"/>
    </row>
    <row r="4" spans="1:47" ht="15" customHeight="1" x14ac:dyDescent="0.25">
      <c r="A4" s="69">
        <v>3</v>
      </c>
      <c r="B4" s="70" t="s">
        <v>4</v>
      </c>
      <c r="C4" s="69"/>
      <c r="D4" s="4674" t="s">
        <v>413</v>
      </c>
      <c r="E4" s="4675"/>
      <c r="F4" s="4675"/>
      <c r="G4" s="4675"/>
      <c r="H4" s="4675"/>
      <c r="I4" s="4675"/>
      <c r="J4" s="4675"/>
      <c r="K4" s="4675"/>
      <c r="L4" s="4675"/>
      <c r="M4" s="4675"/>
      <c r="N4" s="4675"/>
      <c r="O4" s="4675"/>
      <c r="P4" s="4675"/>
      <c r="Q4" s="4675"/>
      <c r="R4" s="4675"/>
      <c r="S4" s="4675"/>
      <c r="T4" s="4675"/>
      <c r="U4" s="4675"/>
      <c r="V4" s="4675"/>
      <c r="W4" s="4675"/>
      <c r="X4" s="4675"/>
      <c r="Y4" s="4675"/>
      <c r="Z4" s="4675"/>
      <c r="AA4" s="4675"/>
      <c r="AB4" s="4675"/>
      <c r="AC4" s="4675"/>
      <c r="AD4" s="4675"/>
      <c r="AE4" s="4675"/>
      <c r="AF4" s="4676"/>
      <c r="AG4" s="179"/>
      <c r="AH4" s="179"/>
      <c r="AI4" s="179"/>
      <c r="AJ4" s="179"/>
      <c r="AK4" s="179"/>
      <c r="AL4" s="179"/>
      <c r="AM4" s="179"/>
      <c r="AN4" s="179"/>
      <c r="AO4" s="179"/>
      <c r="AP4" s="179"/>
      <c r="AQ4" s="179"/>
      <c r="AR4" s="179"/>
      <c r="AS4" s="179"/>
      <c r="AT4" s="179"/>
      <c r="AU4" s="179"/>
    </row>
    <row r="5" spans="1:47" ht="15" customHeight="1" x14ac:dyDescent="0.25">
      <c r="B5" s="70"/>
      <c r="C5" s="69"/>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79"/>
      <c r="AH5" s="179"/>
      <c r="AI5" s="179"/>
      <c r="AJ5" s="179"/>
      <c r="AK5" s="179"/>
      <c r="AL5" s="179"/>
      <c r="AM5" s="179"/>
      <c r="AN5" s="179"/>
      <c r="AO5" s="179"/>
      <c r="AP5" s="179"/>
      <c r="AQ5" s="179"/>
      <c r="AR5" s="179"/>
      <c r="AS5" s="179"/>
      <c r="AT5" s="179"/>
      <c r="AU5" s="179"/>
    </row>
    <row r="6" spans="1:47" x14ac:dyDescent="0.25">
      <c r="A6" s="69">
        <v>4</v>
      </c>
      <c r="B6" s="70" t="s">
        <v>6</v>
      </c>
      <c r="C6" s="69"/>
      <c r="D6" s="68"/>
      <c r="E6" s="68"/>
      <c r="F6" s="68"/>
      <c r="G6" s="68"/>
      <c r="H6" s="68"/>
      <c r="I6" s="68"/>
      <c r="J6" s="68"/>
      <c r="K6" s="68"/>
      <c r="L6" s="68"/>
      <c r="M6" s="68"/>
      <c r="N6" s="68"/>
      <c r="O6" s="68"/>
      <c r="P6" s="68"/>
      <c r="Q6" s="88"/>
      <c r="R6" s="68"/>
      <c r="S6" s="68"/>
      <c r="T6" s="68"/>
      <c r="U6" s="68"/>
    </row>
    <row r="7" spans="1:47" x14ac:dyDescent="0.25">
      <c r="C7" s="69"/>
      <c r="D7" s="72" t="s">
        <v>80</v>
      </c>
      <c r="E7" s="72" t="s">
        <v>414</v>
      </c>
      <c r="F7" s="72"/>
      <c r="G7" s="72"/>
      <c r="H7" s="72"/>
      <c r="I7" s="72"/>
      <c r="J7" s="72"/>
      <c r="K7" s="72"/>
      <c r="L7" s="72"/>
      <c r="M7" s="73"/>
      <c r="N7" s="73"/>
      <c r="O7" s="73"/>
      <c r="P7" s="73"/>
      <c r="Q7" s="73"/>
      <c r="R7" s="68"/>
      <c r="S7" s="68"/>
      <c r="T7" s="68"/>
      <c r="U7" s="68"/>
      <c r="V7" s="68"/>
    </row>
    <row r="8" spans="1:47" x14ac:dyDescent="0.25">
      <c r="D8" s="99"/>
      <c r="E8" s="2802" t="s">
        <v>318</v>
      </c>
      <c r="F8" s="2802" t="s">
        <v>319</v>
      </c>
      <c r="G8" s="2802" t="s">
        <v>320</v>
      </c>
      <c r="H8" s="2802" t="s">
        <v>321</v>
      </c>
      <c r="I8" s="2802" t="s">
        <v>322</v>
      </c>
      <c r="J8" s="2802" t="s">
        <v>323</v>
      </c>
      <c r="K8" s="2802" t="s">
        <v>324</v>
      </c>
      <c r="L8" s="2802" t="s">
        <v>325</v>
      </c>
      <c r="M8" s="2802" t="s">
        <v>326</v>
      </c>
      <c r="N8" s="2802" t="s">
        <v>327</v>
      </c>
      <c r="O8" s="2802" t="s">
        <v>328</v>
      </c>
      <c r="P8" s="2802" t="s">
        <v>329</v>
      </c>
      <c r="Q8" s="2802" t="s">
        <v>330</v>
      </c>
      <c r="R8" s="2802" t="s">
        <v>331</v>
      </c>
      <c r="S8" s="2802" t="s">
        <v>332</v>
      </c>
      <c r="T8" s="2802" t="s">
        <v>333</v>
      </c>
      <c r="U8" s="2802" t="s">
        <v>334</v>
      </c>
      <c r="V8" s="2802" t="s">
        <v>335</v>
      </c>
      <c r="W8" s="2802" t="s">
        <v>336</v>
      </c>
      <c r="X8" s="2803">
        <v>2013</v>
      </c>
      <c r="Y8" s="2803">
        <v>2014</v>
      </c>
      <c r="Z8" s="2803">
        <v>2015</v>
      </c>
      <c r="AA8" s="2803">
        <v>2016</v>
      </c>
      <c r="AB8" s="2804">
        <v>2017</v>
      </c>
      <c r="AC8" s="2804">
        <v>2018</v>
      </c>
      <c r="AD8" s="2804">
        <v>2019</v>
      </c>
      <c r="AE8" s="2804">
        <v>2020</v>
      </c>
      <c r="AF8" s="2804">
        <v>2021</v>
      </c>
      <c r="AG8" s="3375">
        <v>2022</v>
      </c>
    </row>
    <row r="9" spans="1:47" x14ac:dyDescent="0.25">
      <c r="D9" s="181" t="s">
        <v>415</v>
      </c>
      <c r="E9" s="182">
        <v>5.7779999999999996</v>
      </c>
      <c r="F9" s="182">
        <v>10.8513</v>
      </c>
      <c r="G9" s="182">
        <v>10.0183</v>
      </c>
      <c r="H9" s="182">
        <v>12.182499999999999</v>
      </c>
      <c r="I9" s="182">
        <v>12.947699999999999</v>
      </c>
      <c r="J9" s="182">
        <v>13.0137</v>
      </c>
      <c r="K9" s="182">
        <v>7.0092999999999996</v>
      </c>
      <c r="L9" s="182">
        <v>8.1340000000000003</v>
      </c>
      <c r="M9" s="182">
        <v>4.0925000000000002</v>
      </c>
      <c r="N9" s="182">
        <v>11.0558</v>
      </c>
      <c r="O9" s="182">
        <v>7.4539999999999997</v>
      </c>
      <c r="P9" s="182">
        <v>6.6601999999999997</v>
      </c>
      <c r="Q9" s="182">
        <v>6.3327</v>
      </c>
      <c r="R9" s="182">
        <v>5.0458999999999996</v>
      </c>
      <c r="S9" s="182">
        <v>5.0228000000000002</v>
      </c>
      <c r="T9" s="182">
        <v>3.9510999999999998</v>
      </c>
      <c r="U9" s="182">
        <v>5.3140000000000001</v>
      </c>
      <c r="V9" s="182">
        <v>2.7332999999999998</v>
      </c>
      <c r="W9" s="182">
        <v>2.649</v>
      </c>
      <c r="X9" s="182">
        <v>2.9411999999999998</v>
      </c>
      <c r="Y9" s="182">
        <v>3.7511999999999999</v>
      </c>
      <c r="Z9" s="182">
        <v>4.3250999999999999</v>
      </c>
      <c r="AA9" s="182">
        <v>3.4643999999999999</v>
      </c>
      <c r="AB9" s="136">
        <v>5.3009000000000004</v>
      </c>
      <c r="AC9" s="136">
        <v>5.5023999999999997</v>
      </c>
      <c r="AD9" s="136">
        <v>5.7691999999999997</v>
      </c>
      <c r="AE9" s="136">
        <v>3.7827000000000002</v>
      </c>
      <c r="AF9" s="3784">
        <v>1.2747875</v>
      </c>
      <c r="AG9" s="183">
        <v>3.1</v>
      </c>
    </row>
    <row r="10" spans="1:47" x14ac:dyDescent="0.25">
      <c r="D10" s="184" t="s">
        <v>416</v>
      </c>
      <c r="E10" s="185">
        <v>16.25</v>
      </c>
      <c r="F10" s="185">
        <v>18.5</v>
      </c>
      <c r="G10" s="185">
        <v>20.25</v>
      </c>
      <c r="H10" s="185">
        <v>19.25</v>
      </c>
      <c r="I10" s="185">
        <v>23</v>
      </c>
      <c r="J10" s="185">
        <v>15.5</v>
      </c>
      <c r="K10" s="185">
        <v>14.5</v>
      </c>
      <c r="L10" s="185">
        <v>13</v>
      </c>
      <c r="M10" s="185">
        <v>17</v>
      </c>
      <c r="N10" s="185">
        <v>11.5</v>
      </c>
      <c r="O10" s="185">
        <v>11</v>
      </c>
      <c r="P10" s="185">
        <v>10.5</v>
      </c>
      <c r="Q10" s="185">
        <v>12.5</v>
      </c>
      <c r="R10" s="185">
        <v>14.5</v>
      </c>
      <c r="S10" s="185">
        <v>15</v>
      </c>
      <c r="T10" s="185">
        <v>10.5</v>
      </c>
      <c r="U10" s="185">
        <v>9</v>
      </c>
      <c r="V10" s="185">
        <v>9</v>
      </c>
      <c r="W10" s="185">
        <v>8.5</v>
      </c>
      <c r="X10" s="186">
        <v>8.5</v>
      </c>
      <c r="Y10" s="185">
        <v>9.25</v>
      </c>
      <c r="Z10" s="187">
        <v>9.75</v>
      </c>
      <c r="AA10" s="187">
        <v>10.5</v>
      </c>
      <c r="AB10" s="188">
        <v>10.25</v>
      </c>
      <c r="AC10" s="188">
        <v>10.25</v>
      </c>
      <c r="AD10" s="188">
        <v>10</v>
      </c>
      <c r="AE10" s="188">
        <v>7</v>
      </c>
      <c r="AF10" s="188">
        <v>7.25</v>
      </c>
      <c r="AG10" s="189">
        <v>10.5</v>
      </c>
    </row>
    <row r="11" spans="1:47" x14ac:dyDescent="0.25">
      <c r="C11" s="69"/>
      <c r="D11" s="72" t="s">
        <v>267</v>
      </c>
      <c r="E11" s="72" t="s">
        <v>417</v>
      </c>
      <c r="F11" s="72"/>
      <c r="G11" s="72"/>
      <c r="H11" s="72"/>
      <c r="I11" s="72"/>
      <c r="J11" s="72"/>
      <c r="K11" s="72"/>
      <c r="L11" s="72"/>
      <c r="M11" s="73"/>
      <c r="N11" s="73"/>
      <c r="O11" s="73"/>
      <c r="P11" s="73"/>
      <c r="Q11" s="73"/>
      <c r="R11" s="616"/>
      <c r="S11" s="616"/>
      <c r="T11" s="616"/>
      <c r="U11" s="616"/>
      <c r="V11" s="616"/>
      <c r="W11" s="617"/>
      <c r="X11" s="617"/>
      <c r="Y11" s="617"/>
      <c r="Z11" s="617"/>
      <c r="AA11" s="617"/>
      <c r="AB11" s="617"/>
      <c r="AC11" s="617"/>
    </row>
    <row r="12" spans="1:47" x14ac:dyDescent="0.25">
      <c r="D12" s="99"/>
      <c r="E12" s="2802" t="s">
        <v>318</v>
      </c>
      <c r="F12" s="2802" t="s">
        <v>319</v>
      </c>
      <c r="G12" s="2802" t="s">
        <v>320</v>
      </c>
      <c r="H12" s="2802" t="s">
        <v>321</v>
      </c>
      <c r="I12" s="2802" t="s">
        <v>322</v>
      </c>
      <c r="J12" s="2802" t="s">
        <v>323</v>
      </c>
      <c r="K12" s="2802" t="s">
        <v>324</v>
      </c>
      <c r="L12" s="2802" t="s">
        <v>325</v>
      </c>
      <c r="M12" s="2802" t="s">
        <v>326</v>
      </c>
      <c r="N12" s="2802" t="s">
        <v>327</v>
      </c>
      <c r="O12" s="2802" t="s">
        <v>328</v>
      </c>
      <c r="P12" s="2802" t="s">
        <v>329</v>
      </c>
      <c r="Q12" s="2802" t="s">
        <v>330</v>
      </c>
      <c r="R12" s="2802" t="s">
        <v>331</v>
      </c>
      <c r="S12" s="2802" t="s">
        <v>332</v>
      </c>
      <c r="T12" s="2802" t="s">
        <v>333</v>
      </c>
      <c r="U12" s="2802" t="s">
        <v>334</v>
      </c>
      <c r="V12" s="2802" t="s">
        <v>335</v>
      </c>
      <c r="W12" s="2802" t="s">
        <v>336</v>
      </c>
      <c r="X12" s="2803">
        <v>2013</v>
      </c>
      <c r="Y12" s="2803">
        <v>2014</v>
      </c>
      <c r="Z12" s="2803">
        <v>2015</v>
      </c>
      <c r="AA12" s="2803">
        <v>2016</v>
      </c>
      <c r="AB12" s="2804">
        <v>2017</v>
      </c>
      <c r="AC12" s="2804">
        <v>2018</v>
      </c>
      <c r="AD12" s="2804">
        <v>2019</v>
      </c>
      <c r="AE12" s="2804">
        <v>2020</v>
      </c>
      <c r="AF12" s="2804">
        <v>2021</v>
      </c>
      <c r="AG12" s="3375">
        <v>2022</v>
      </c>
    </row>
    <row r="13" spans="1:47" x14ac:dyDescent="0.25">
      <c r="D13" s="181" t="s">
        <v>415</v>
      </c>
      <c r="E13" s="182">
        <v>2.8207</v>
      </c>
      <c r="F13" s="182">
        <v>7.5772000000000004</v>
      </c>
      <c r="G13" s="182">
        <v>7.0448000000000004</v>
      </c>
      <c r="H13" s="182">
        <v>9.1250999999999998</v>
      </c>
      <c r="I13" s="182">
        <v>9.5684000000000005</v>
      </c>
      <c r="J13" s="182">
        <v>9.5890000000000004</v>
      </c>
      <c r="K13" s="182">
        <v>4.6729000000000003</v>
      </c>
      <c r="L13" s="182">
        <v>4.7847</v>
      </c>
      <c r="M13" s="182">
        <v>0.97860000000000003</v>
      </c>
      <c r="N13" s="182">
        <v>7.5697000000000001</v>
      </c>
      <c r="O13" s="182">
        <v>4.0658000000000003</v>
      </c>
      <c r="P13" s="182">
        <v>3.2818999999999998</v>
      </c>
      <c r="Q13" s="182">
        <v>3.0246</v>
      </c>
      <c r="R13" s="182">
        <v>1.8349</v>
      </c>
      <c r="S13" s="182">
        <v>1.8265</v>
      </c>
      <c r="T13" s="182">
        <v>0.65849999999999997</v>
      </c>
      <c r="U13" s="182">
        <v>1.93</v>
      </c>
      <c r="V13" s="182">
        <v>-0.5655</v>
      </c>
      <c r="W13" s="182">
        <v>-0.6623</v>
      </c>
      <c r="X13" s="182">
        <v>-0.3795</v>
      </c>
      <c r="Y13" s="182">
        <v>0.4274</v>
      </c>
      <c r="Z13" s="182">
        <v>0.99809999999999999</v>
      </c>
      <c r="AA13" s="182">
        <v>0.18729999999999999</v>
      </c>
      <c r="AB13" s="136">
        <v>1.958</v>
      </c>
      <c r="AC13" s="136">
        <v>2.1530999999999998</v>
      </c>
      <c r="AD13" s="136">
        <v>2.4037999999999999</v>
      </c>
      <c r="AE13" s="136">
        <v>0.38800000000000001</v>
      </c>
      <c r="AF13" s="3784">
        <v>-2.0302172000000001</v>
      </c>
      <c r="AG13" s="183">
        <v>-0.2</v>
      </c>
    </row>
    <row r="14" spans="1:47" x14ac:dyDescent="0.25">
      <c r="D14" s="184" t="s">
        <v>416</v>
      </c>
      <c r="E14" s="185">
        <v>13</v>
      </c>
      <c r="F14" s="185">
        <v>15</v>
      </c>
      <c r="G14" s="185">
        <v>17</v>
      </c>
      <c r="H14" s="185">
        <v>16</v>
      </c>
      <c r="I14" s="185">
        <v>19.32</v>
      </c>
      <c r="J14" s="185">
        <v>12</v>
      </c>
      <c r="K14" s="185">
        <v>12</v>
      </c>
      <c r="L14" s="185">
        <v>9.5</v>
      </c>
      <c r="M14" s="185">
        <v>13.5</v>
      </c>
      <c r="N14" s="185">
        <v>8</v>
      </c>
      <c r="O14" s="185">
        <v>7.5</v>
      </c>
      <c r="P14" s="185">
        <v>7</v>
      </c>
      <c r="Q14" s="185">
        <v>9</v>
      </c>
      <c r="R14" s="185">
        <v>11</v>
      </c>
      <c r="S14" s="185">
        <v>11.5</v>
      </c>
      <c r="T14" s="185">
        <v>7</v>
      </c>
      <c r="U14" s="185">
        <v>5.5</v>
      </c>
      <c r="V14" s="185">
        <v>5.5</v>
      </c>
      <c r="W14" s="185">
        <v>5</v>
      </c>
      <c r="X14" s="185">
        <v>5</v>
      </c>
      <c r="Y14" s="185">
        <v>5.75</v>
      </c>
      <c r="Z14" s="187">
        <v>6.25</v>
      </c>
      <c r="AA14" s="187">
        <v>7</v>
      </c>
      <c r="AB14" s="188">
        <v>6.75</v>
      </c>
      <c r="AC14" s="188">
        <v>6.75</v>
      </c>
      <c r="AD14" s="188">
        <v>6.5</v>
      </c>
      <c r="AE14" s="188">
        <v>3.5</v>
      </c>
      <c r="AF14" s="188">
        <v>3.75</v>
      </c>
      <c r="AG14" s="189">
        <v>7</v>
      </c>
    </row>
    <row r="15" spans="1:47" x14ac:dyDescent="0.25">
      <c r="C15" s="69"/>
      <c r="D15" s="68"/>
      <c r="E15" s="88"/>
      <c r="F15" s="88"/>
      <c r="G15" s="88"/>
      <c r="H15" s="88"/>
      <c r="I15" s="88"/>
      <c r="J15" s="88"/>
      <c r="K15" s="88"/>
      <c r="L15" s="88"/>
      <c r="M15" s="88"/>
      <c r="N15" s="88"/>
      <c r="O15" s="88"/>
      <c r="P15" s="89"/>
      <c r="Q15" s="88"/>
      <c r="R15" s="68"/>
      <c r="S15" s="68"/>
      <c r="T15" s="68"/>
      <c r="U15" s="68"/>
      <c r="W15" s="16"/>
      <c r="X15" s="177"/>
    </row>
    <row r="16" spans="1:47" x14ac:dyDescent="0.25">
      <c r="A16" s="69">
        <v>5</v>
      </c>
      <c r="B16" s="70" t="s">
        <v>51</v>
      </c>
      <c r="C16" s="69"/>
      <c r="D16" s="68"/>
      <c r="E16" s="88"/>
      <c r="F16" s="88"/>
      <c r="G16" s="88"/>
      <c r="H16" s="88"/>
      <c r="I16" s="88"/>
      <c r="J16" s="88"/>
      <c r="K16" s="88"/>
      <c r="L16" s="88"/>
      <c r="M16" s="88"/>
      <c r="N16" s="88"/>
      <c r="O16" s="88"/>
      <c r="P16" s="88"/>
      <c r="Q16" s="88"/>
      <c r="R16" s="190"/>
      <c r="S16" s="190"/>
      <c r="T16" s="190"/>
      <c r="U16" s="190"/>
      <c r="W16" s="16"/>
      <c r="X16" s="177"/>
      <c r="Y16" s="55"/>
    </row>
    <row r="17" spans="4:26" x14ac:dyDescent="0.25">
      <c r="D17" s="68"/>
      <c r="E17" s="88"/>
      <c r="F17" s="88"/>
      <c r="G17" s="88"/>
      <c r="H17" s="88"/>
      <c r="I17" s="88"/>
      <c r="J17" s="88"/>
      <c r="K17" s="88"/>
      <c r="L17" s="88"/>
      <c r="M17" s="88"/>
      <c r="N17" s="88"/>
      <c r="O17" s="88"/>
      <c r="P17" s="88"/>
      <c r="Q17" s="88"/>
      <c r="R17" s="190"/>
      <c r="S17" s="190"/>
      <c r="T17" s="190"/>
      <c r="U17" s="190"/>
      <c r="W17" s="16"/>
      <c r="X17" s="110"/>
    </row>
    <row r="18" spans="4:26" x14ac:dyDescent="0.25">
      <c r="D18" s="68"/>
      <c r="E18" s="88"/>
      <c r="F18" s="88"/>
      <c r="G18" s="88"/>
      <c r="H18" s="88"/>
      <c r="I18" s="88"/>
      <c r="J18" s="88"/>
      <c r="K18" s="88"/>
      <c r="L18" s="88"/>
      <c r="M18" s="88"/>
      <c r="N18" s="88"/>
      <c r="O18" s="88"/>
      <c r="P18" s="68"/>
      <c r="Q18" s="88"/>
      <c r="R18" s="190"/>
      <c r="S18" s="190"/>
      <c r="T18" s="190"/>
      <c r="U18" s="190"/>
      <c r="W18" s="16"/>
    </row>
    <row r="19" spans="4:26" x14ac:dyDescent="0.25">
      <c r="D19" s="68"/>
      <c r="E19" s="88"/>
      <c r="F19" s="88"/>
      <c r="G19" s="88"/>
      <c r="H19" s="88"/>
      <c r="I19" s="88"/>
      <c r="J19" s="88"/>
      <c r="K19" s="88"/>
      <c r="L19" s="88"/>
      <c r="M19" s="68"/>
      <c r="N19" s="88"/>
      <c r="O19" s="88"/>
      <c r="P19" s="88"/>
      <c r="Q19" s="88"/>
      <c r="R19" s="190"/>
      <c r="S19" s="190"/>
      <c r="T19" s="190"/>
      <c r="U19" s="190"/>
      <c r="W19" s="16"/>
      <c r="Z19" s="113" t="s">
        <v>418</v>
      </c>
    </row>
    <row r="20" spans="4:26" x14ac:dyDescent="0.25">
      <c r="D20" s="68"/>
      <c r="E20" s="88"/>
      <c r="F20" s="88"/>
      <c r="G20" s="88"/>
      <c r="H20" s="88"/>
      <c r="I20" s="88"/>
      <c r="J20" s="88"/>
      <c r="K20" s="88"/>
      <c r="L20" s="88"/>
      <c r="M20" s="68"/>
      <c r="N20" s="88"/>
      <c r="O20" s="88"/>
      <c r="P20" s="89"/>
      <c r="Q20" s="88"/>
      <c r="R20" s="190"/>
      <c r="S20" s="190"/>
      <c r="T20" s="190"/>
      <c r="U20" s="190"/>
      <c r="W20" s="16"/>
    </row>
    <row r="21" spans="4:26" x14ac:dyDescent="0.25">
      <c r="D21" s="68"/>
      <c r="E21" s="88"/>
      <c r="F21" s="88"/>
      <c r="G21" s="88"/>
      <c r="H21" s="88"/>
      <c r="I21" s="88"/>
      <c r="J21" s="88"/>
      <c r="K21" s="88"/>
      <c r="L21" s="88"/>
      <c r="M21" s="68"/>
      <c r="N21" s="88"/>
      <c r="O21" s="88"/>
      <c r="P21" s="89"/>
      <c r="Q21" s="88"/>
      <c r="R21" s="190"/>
      <c r="S21" s="190"/>
      <c r="T21" s="190"/>
      <c r="U21" s="190"/>
      <c r="W21" s="16"/>
      <c r="X21" s="4" t="s">
        <v>74</v>
      </c>
    </row>
    <row r="22" spans="4:26" x14ac:dyDescent="0.25">
      <c r="D22" s="68"/>
      <c r="E22" s="88"/>
      <c r="F22" s="88"/>
      <c r="G22" s="88"/>
      <c r="H22" s="88"/>
      <c r="I22" s="88"/>
      <c r="J22" s="88"/>
      <c r="K22" s="88"/>
      <c r="L22" s="88"/>
      <c r="M22" s="68"/>
      <c r="N22" s="88"/>
      <c r="O22" s="88"/>
      <c r="P22" s="88"/>
      <c r="Q22" s="88"/>
      <c r="R22" s="190"/>
      <c r="S22" s="190"/>
      <c r="T22" s="190"/>
      <c r="U22" s="190"/>
      <c r="W22" s="16"/>
    </row>
    <row r="23" spans="4:26" x14ac:dyDescent="0.25">
      <c r="D23" s="68"/>
      <c r="E23" s="88"/>
      <c r="F23" s="88"/>
      <c r="G23" s="88"/>
      <c r="H23" s="88"/>
      <c r="I23" s="88"/>
      <c r="J23" s="88"/>
      <c r="K23" s="88"/>
      <c r="L23" s="88"/>
      <c r="M23" s="88"/>
      <c r="N23" s="88"/>
      <c r="O23" s="88"/>
      <c r="P23" s="88"/>
      <c r="Q23" s="88"/>
      <c r="R23" s="190"/>
      <c r="S23" s="190"/>
      <c r="T23" s="190"/>
      <c r="U23" s="190"/>
      <c r="W23" s="16"/>
    </row>
    <row r="24" spans="4:26" x14ac:dyDescent="0.25">
      <c r="D24" s="68"/>
      <c r="E24" s="88"/>
      <c r="F24" s="88"/>
      <c r="G24" s="88"/>
      <c r="H24" s="88"/>
      <c r="I24" s="88"/>
      <c r="J24" s="88"/>
      <c r="K24" s="88"/>
      <c r="L24" s="88"/>
      <c r="M24" s="88"/>
      <c r="N24" s="88"/>
      <c r="O24" s="88"/>
      <c r="P24" s="88"/>
      <c r="Q24" s="88"/>
      <c r="R24" s="190"/>
      <c r="S24" s="190"/>
      <c r="T24" s="190"/>
      <c r="U24" s="190"/>
      <c r="W24" s="16"/>
    </row>
    <row r="25" spans="4:26" x14ac:dyDescent="0.25">
      <c r="D25" s="68"/>
      <c r="E25" s="88"/>
      <c r="F25" s="88"/>
      <c r="G25" s="88"/>
      <c r="H25" s="88"/>
      <c r="I25" s="88"/>
      <c r="J25" s="88"/>
      <c r="K25" s="88"/>
      <c r="L25" s="88"/>
      <c r="M25" s="88"/>
      <c r="N25" s="88"/>
      <c r="O25" s="88"/>
      <c r="P25" s="88"/>
      <c r="Q25" s="88"/>
      <c r="R25" s="190"/>
      <c r="S25" s="190"/>
      <c r="T25" s="190"/>
      <c r="U25" s="190"/>
      <c r="W25" s="16"/>
    </row>
    <row r="26" spans="4:26" x14ac:dyDescent="0.25">
      <c r="D26" s="68"/>
      <c r="E26" s="68"/>
      <c r="F26" s="68"/>
      <c r="G26" s="68"/>
      <c r="H26" s="68"/>
      <c r="I26" s="68"/>
      <c r="J26" s="68"/>
      <c r="K26" s="68"/>
      <c r="L26" s="68"/>
      <c r="M26" s="68"/>
      <c r="N26" s="68"/>
      <c r="O26" s="68"/>
      <c r="P26" s="68"/>
      <c r="Q26" s="68"/>
      <c r="R26" s="190"/>
      <c r="S26" s="190"/>
      <c r="T26" s="190"/>
      <c r="U26" s="190"/>
      <c r="W26" s="191"/>
    </row>
    <row r="27" spans="4:26" x14ac:dyDescent="0.25">
      <c r="D27" s="68"/>
      <c r="E27" s="68"/>
      <c r="F27" s="68"/>
      <c r="G27" s="68"/>
      <c r="H27" s="68"/>
      <c r="I27" s="68"/>
      <c r="J27" s="68"/>
      <c r="K27" s="68"/>
      <c r="L27" s="68"/>
      <c r="M27" s="68"/>
      <c r="N27" s="68"/>
      <c r="O27" s="68"/>
      <c r="P27" s="68"/>
      <c r="Q27" s="68"/>
      <c r="R27" s="190"/>
      <c r="S27" s="190"/>
      <c r="T27" s="190"/>
      <c r="U27" s="190"/>
    </row>
    <row r="28" spans="4:26" x14ac:dyDescent="0.25">
      <c r="D28" s="68"/>
      <c r="E28" s="68"/>
      <c r="F28" s="68"/>
      <c r="G28" s="68"/>
      <c r="H28" s="68"/>
      <c r="I28" s="68"/>
      <c r="J28" s="68"/>
      <c r="K28" s="68"/>
      <c r="L28" s="68"/>
      <c r="M28" s="68"/>
      <c r="N28" s="68"/>
      <c r="O28" s="68"/>
      <c r="P28" s="68"/>
      <c r="Q28" s="68"/>
      <c r="R28" s="190"/>
      <c r="S28" s="190"/>
      <c r="T28" s="190"/>
      <c r="U28" s="190"/>
    </row>
    <row r="29" spans="4:26" x14ac:dyDescent="0.25">
      <c r="D29" s="68"/>
      <c r="E29" s="68"/>
      <c r="F29" s="68"/>
      <c r="G29" s="68"/>
      <c r="H29" s="68"/>
      <c r="I29" s="68"/>
      <c r="J29" s="68"/>
      <c r="K29" s="68"/>
      <c r="L29" s="68"/>
      <c r="M29" s="68"/>
      <c r="N29" s="68"/>
      <c r="O29" s="68"/>
      <c r="P29" s="68"/>
      <c r="Q29" s="68"/>
      <c r="R29" s="190"/>
      <c r="S29" s="190"/>
      <c r="T29" s="190"/>
      <c r="U29" s="190"/>
    </row>
    <row r="30" spans="4:26" x14ac:dyDescent="0.25">
      <c r="D30" s="68"/>
      <c r="E30" s="68"/>
      <c r="F30" s="68"/>
      <c r="G30" s="68"/>
      <c r="H30" s="68"/>
      <c r="I30" s="68"/>
      <c r="J30" s="68"/>
      <c r="K30" s="68"/>
      <c r="L30" s="68"/>
      <c r="M30" s="68"/>
      <c r="N30" s="68"/>
      <c r="O30" s="68"/>
      <c r="P30" s="68"/>
      <c r="Q30" s="68"/>
      <c r="R30" s="192"/>
      <c r="S30" s="192"/>
      <c r="T30" s="192"/>
      <c r="U30" s="192"/>
    </row>
    <row r="31" spans="4:26" x14ac:dyDescent="0.25">
      <c r="D31" s="68"/>
      <c r="E31" s="68"/>
      <c r="F31" s="68"/>
      <c r="G31" s="68"/>
      <c r="H31" s="68"/>
      <c r="I31" s="68"/>
      <c r="J31" s="68"/>
      <c r="K31" s="68"/>
      <c r="L31" s="68"/>
      <c r="M31" s="68"/>
      <c r="N31" s="68"/>
      <c r="O31" s="68"/>
      <c r="P31" s="68"/>
      <c r="Q31" s="68"/>
      <c r="R31" s="68"/>
      <c r="S31" s="68"/>
      <c r="T31" s="68"/>
      <c r="U31" s="68"/>
    </row>
    <row r="32" spans="4:26" x14ac:dyDescent="0.25">
      <c r="D32" s="68"/>
      <c r="E32" s="68"/>
      <c r="F32" s="68"/>
      <c r="G32" s="68"/>
      <c r="H32" s="68"/>
      <c r="I32" s="68"/>
      <c r="J32" s="68"/>
      <c r="K32" s="68"/>
      <c r="L32" s="68"/>
      <c r="M32" s="68"/>
      <c r="N32" s="68"/>
      <c r="O32" s="68"/>
      <c r="P32" s="68"/>
      <c r="Q32" s="68"/>
      <c r="R32" s="68"/>
      <c r="S32" s="68"/>
      <c r="T32" s="68"/>
      <c r="U32" s="68"/>
    </row>
    <row r="33" spans="1:90" x14ac:dyDescent="0.25">
      <c r="D33" s="68"/>
      <c r="E33" s="68"/>
      <c r="F33" s="68"/>
      <c r="G33" s="68"/>
      <c r="H33" s="68"/>
      <c r="I33" s="68"/>
      <c r="J33" s="68"/>
      <c r="K33" s="68"/>
      <c r="L33" s="68"/>
      <c r="M33" s="68"/>
      <c r="N33" s="68"/>
      <c r="O33" s="68"/>
      <c r="P33" s="68"/>
      <c r="Q33" s="68"/>
      <c r="R33" s="68"/>
      <c r="S33" s="68"/>
      <c r="T33" s="68"/>
      <c r="U33" s="68"/>
    </row>
    <row r="34" spans="1:90" x14ac:dyDescent="0.25">
      <c r="D34" s="68"/>
      <c r="E34" s="68"/>
      <c r="F34" s="68"/>
      <c r="G34" s="68"/>
      <c r="H34" s="68"/>
      <c r="I34" s="68"/>
      <c r="J34" s="68"/>
      <c r="K34" s="68"/>
      <c r="L34" s="68"/>
      <c r="M34" s="68"/>
      <c r="N34" s="68"/>
      <c r="O34" s="68"/>
      <c r="P34" s="68"/>
      <c r="Q34" s="68"/>
      <c r="R34" s="68"/>
      <c r="S34" s="68"/>
      <c r="T34" s="68"/>
      <c r="U34" s="68"/>
    </row>
    <row r="35" spans="1:90" x14ac:dyDescent="0.25">
      <c r="D35" s="68"/>
      <c r="E35" s="68"/>
      <c r="F35" s="68"/>
      <c r="G35" s="68"/>
      <c r="H35" s="68"/>
      <c r="I35" s="68"/>
      <c r="J35" s="68"/>
      <c r="K35" s="68"/>
      <c r="L35" s="68"/>
      <c r="M35" s="68"/>
      <c r="N35" s="68"/>
      <c r="O35" s="68"/>
      <c r="P35" s="68"/>
      <c r="Q35" s="68"/>
      <c r="R35" s="68"/>
      <c r="S35" s="68"/>
      <c r="T35" s="68"/>
      <c r="U35" s="68"/>
    </row>
    <row r="36" spans="1:90" x14ac:dyDescent="0.25">
      <c r="D36" s="68"/>
      <c r="E36" s="68"/>
      <c r="F36" s="68"/>
      <c r="G36" s="68"/>
      <c r="H36" s="68"/>
      <c r="I36" s="68"/>
      <c r="J36" s="68"/>
      <c r="K36" s="68"/>
      <c r="L36" s="68"/>
      <c r="M36" s="68"/>
      <c r="N36" s="68"/>
      <c r="O36" s="68"/>
      <c r="P36" s="68"/>
      <c r="Q36" s="68"/>
      <c r="R36" s="68"/>
      <c r="S36" s="68"/>
      <c r="T36" s="68"/>
      <c r="U36" s="68"/>
    </row>
    <row r="37" spans="1:90" x14ac:dyDescent="0.25">
      <c r="A37" s="69">
        <v>6</v>
      </c>
      <c r="B37" s="70" t="s">
        <v>52</v>
      </c>
      <c r="C37" s="69"/>
      <c r="D37" s="4677" t="s">
        <v>419</v>
      </c>
      <c r="E37" s="4678"/>
      <c r="F37" s="4678"/>
      <c r="G37" s="4678"/>
      <c r="H37" s="4678"/>
      <c r="I37" s="4678"/>
      <c r="J37" s="4678"/>
      <c r="K37" s="4678"/>
      <c r="L37" s="4678"/>
      <c r="M37" s="4678"/>
      <c r="N37" s="4678"/>
      <c r="O37" s="4678"/>
      <c r="P37" s="4678"/>
      <c r="Q37" s="4678"/>
      <c r="R37" s="4678"/>
      <c r="S37" s="4678"/>
      <c r="T37" s="4678"/>
      <c r="U37" s="4678"/>
      <c r="V37" s="4678"/>
      <c r="W37" s="4678"/>
      <c r="X37" s="4678"/>
      <c r="Y37" s="4678"/>
      <c r="Z37" s="4678"/>
      <c r="AA37" s="4678"/>
      <c r="AB37" s="4678"/>
      <c r="AC37" s="4678"/>
      <c r="AD37" s="4678"/>
      <c r="AE37" s="4678"/>
      <c r="AF37" s="4679"/>
    </row>
    <row r="38" spans="1:90" ht="12.75" customHeight="1" x14ac:dyDescent="0.25">
      <c r="A38" s="90">
        <v>7</v>
      </c>
      <c r="B38" s="91" t="s">
        <v>54</v>
      </c>
      <c r="C38" s="90"/>
      <c r="D38" s="4677" t="s">
        <v>420</v>
      </c>
      <c r="E38" s="4678"/>
      <c r="F38" s="4678"/>
      <c r="G38" s="4678"/>
      <c r="H38" s="4678"/>
      <c r="I38" s="4678"/>
      <c r="J38" s="4678"/>
      <c r="K38" s="4678"/>
      <c r="L38" s="4678"/>
      <c r="M38" s="4678"/>
      <c r="N38" s="4678"/>
      <c r="O38" s="4678"/>
      <c r="P38" s="4678"/>
      <c r="Q38" s="4678"/>
      <c r="R38" s="4678"/>
      <c r="S38" s="4678"/>
      <c r="T38" s="4678"/>
      <c r="U38" s="4678"/>
      <c r="V38" s="4678"/>
      <c r="W38" s="4678"/>
      <c r="X38" s="4678"/>
      <c r="Y38" s="4678"/>
      <c r="Z38" s="4678"/>
      <c r="AA38" s="4678"/>
      <c r="AB38" s="4678"/>
      <c r="AC38" s="4678"/>
      <c r="AD38" s="4678"/>
      <c r="AE38" s="4678"/>
      <c r="AF38" s="4679"/>
    </row>
    <row r="39" spans="1:90" ht="12.75" customHeight="1" x14ac:dyDescent="0.25">
      <c r="A39" s="69">
        <v>8</v>
      </c>
      <c r="B39" s="70" t="s">
        <v>56</v>
      </c>
      <c r="C39" s="69"/>
      <c r="D39" s="4677" t="s">
        <v>370</v>
      </c>
      <c r="E39" s="4678"/>
      <c r="F39" s="4678"/>
      <c r="G39" s="4678"/>
      <c r="H39" s="4678"/>
      <c r="I39" s="4678"/>
      <c r="J39" s="4678"/>
      <c r="K39" s="4678"/>
      <c r="L39" s="4678"/>
      <c r="M39" s="4678"/>
      <c r="N39" s="4678"/>
      <c r="O39" s="4678"/>
      <c r="P39" s="4678"/>
      <c r="Q39" s="4678"/>
      <c r="R39" s="4678"/>
      <c r="S39" s="4678"/>
      <c r="T39" s="4678"/>
      <c r="U39" s="4678"/>
      <c r="V39" s="4678"/>
      <c r="W39" s="4678"/>
      <c r="X39" s="4678"/>
      <c r="Y39" s="4678"/>
      <c r="Z39" s="4678"/>
      <c r="AA39" s="4678"/>
      <c r="AB39" s="4678"/>
      <c r="AC39" s="4678"/>
      <c r="AD39" s="4678"/>
      <c r="AE39" s="4678"/>
      <c r="AF39" s="4679"/>
    </row>
    <row r="40" spans="1:90" ht="46.7" customHeight="1" x14ac:dyDescent="0.25">
      <c r="A40" s="69">
        <v>9</v>
      </c>
      <c r="B40" s="70" t="s">
        <v>409</v>
      </c>
      <c r="C40" s="69"/>
      <c r="D40" s="4677" t="s">
        <v>421</v>
      </c>
      <c r="E40" s="4678"/>
      <c r="F40" s="4678"/>
      <c r="G40" s="4678"/>
      <c r="H40" s="4678"/>
      <c r="I40" s="4678"/>
      <c r="J40" s="4678"/>
      <c r="K40" s="4678"/>
      <c r="L40" s="4678"/>
      <c r="M40" s="4678"/>
      <c r="N40" s="4678"/>
      <c r="O40" s="4678"/>
      <c r="P40" s="4678"/>
      <c r="Q40" s="4678"/>
      <c r="R40" s="4678"/>
      <c r="S40" s="4678"/>
      <c r="T40" s="4678"/>
      <c r="U40" s="4678"/>
      <c r="V40" s="4678"/>
      <c r="W40" s="4678"/>
      <c r="X40" s="4678"/>
      <c r="Y40" s="4678"/>
      <c r="Z40" s="4678"/>
      <c r="AA40" s="4678"/>
      <c r="AB40" s="4678"/>
      <c r="AC40" s="4678"/>
      <c r="AD40" s="4678"/>
      <c r="AE40" s="4678"/>
      <c r="AF40" s="4679"/>
    </row>
    <row r="42" spans="1:90" ht="14.25" customHeight="1" x14ac:dyDescent="0.25">
      <c r="BO42" s="4" t="e">
        <f>+AVERAGE(#REF!)</f>
        <v>#REF!</v>
      </c>
    </row>
    <row r="43" spans="1:90" x14ac:dyDescent="0.25">
      <c r="B43" s="80"/>
      <c r="C43" s="81"/>
      <c r="E43" s="10"/>
      <c r="AI43" s="55"/>
    </row>
    <row r="44" spans="1:90" s="196" customFormat="1" ht="13.35" customHeight="1" x14ac:dyDescent="0.2">
      <c r="A44" s="193"/>
      <c r="B44" s="194"/>
      <c r="C44" s="194"/>
      <c r="D44" s="195">
        <v>1994</v>
      </c>
      <c r="E44" s="4689">
        <v>1995</v>
      </c>
      <c r="F44" s="4690"/>
      <c r="G44" s="4690"/>
      <c r="H44" s="4691"/>
      <c r="I44" s="4689">
        <v>1996</v>
      </c>
      <c r="J44" s="4690"/>
      <c r="K44" s="4690"/>
      <c r="L44" s="4691"/>
      <c r="M44" s="4689">
        <v>1997</v>
      </c>
      <c r="N44" s="4690"/>
      <c r="O44" s="4690"/>
      <c r="P44" s="4691"/>
      <c r="Q44" s="4689">
        <v>1998</v>
      </c>
      <c r="R44" s="4690"/>
      <c r="S44" s="4690"/>
      <c r="T44" s="4691"/>
      <c r="U44" s="4689">
        <v>1999</v>
      </c>
      <c r="V44" s="4690"/>
      <c r="W44" s="4690"/>
      <c r="X44" s="4691"/>
      <c r="Y44" s="4689">
        <v>2000</v>
      </c>
      <c r="Z44" s="4690"/>
      <c r="AA44" s="4690"/>
      <c r="AB44" s="4691"/>
      <c r="AC44" s="4689">
        <v>2001</v>
      </c>
      <c r="AD44" s="4690"/>
      <c r="AE44" s="4690"/>
      <c r="AF44" s="4690"/>
      <c r="AG44" s="4690"/>
      <c r="AH44" s="4691"/>
      <c r="AI44" s="4689">
        <v>2002</v>
      </c>
      <c r="AJ44" s="4690"/>
      <c r="AK44" s="4690"/>
      <c r="AL44" s="4691"/>
      <c r="AM44" s="4689">
        <v>2003</v>
      </c>
      <c r="AN44" s="4690"/>
      <c r="AO44" s="4690"/>
      <c r="AP44" s="4691"/>
      <c r="AQ44" s="4689">
        <v>2004</v>
      </c>
      <c r="AR44" s="4690"/>
      <c r="AS44" s="4690"/>
      <c r="AT44" s="4691"/>
      <c r="AU44" s="4689">
        <v>2005</v>
      </c>
      <c r="AV44" s="4690"/>
      <c r="AW44" s="4690"/>
      <c r="AX44" s="4691"/>
      <c r="AY44" s="4689">
        <v>2006</v>
      </c>
      <c r="AZ44" s="4690"/>
      <c r="BA44" s="4690"/>
      <c r="BB44" s="4691"/>
      <c r="BC44" s="4689">
        <v>2007</v>
      </c>
      <c r="BD44" s="4690"/>
      <c r="BE44" s="4690"/>
      <c r="BF44" s="4691"/>
      <c r="BG44" s="4689" t="s">
        <v>332</v>
      </c>
      <c r="BH44" s="4690"/>
      <c r="BI44" s="4690"/>
      <c r="BJ44" s="4691"/>
      <c r="BK44" s="4689" t="s">
        <v>333</v>
      </c>
      <c r="BL44" s="4690"/>
      <c r="BM44" s="4690"/>
      <c r="BN44" s="4691"/>
      <c r="BO44" s="4689">
        <v>2010</v>
      </c>
      <c r="BP44" s="4690"/>
      <c r="BQ44" s="4690"/>
      <c r="BR44" s="4691"/>
      <c r="BS44" s="4689" t="s">
        <v>335</v>
      </c>
      <c r="BT44" s="4690"/>
      <c r="BU44" s="4690"/>
      <c r="BV44" s="4691"/>
      <c r="BW44" s="4689">
        <v>2012</v>
      </c>
      <c r="BX44" s="4690"/>
      <c r="BY44" s="4690"/>
      <c r="BZ44" s="4691"/>
      <c r="CA44" s="4689">
        <v>2013</v>
      </c>
      <c r="CB44" s="4690"/>
      <c r="CC44" s="4690"/>
      <c r="CD44" s="4691"/>
      <c r="CE44" s="4689">
        <v>2014</v>
      </c>
      <c r="CF44" s="4690"/>
      <c r="CG44" s="4690"/>
      <c r="CH44" s="4691"/>
      <c r="CI44" s="4692">
        <v>2014</v>
      </c>
      <c r="CJ44" s="4693"/>
      <c r="CK44" s="4693"/>
      <c r="CL44" s="4694"/>
    </row>
    <row r="45" spans="1:90" s="196" customFormat="1" ht="14.25" customHeight="1" x14ac:dyDescent="0.2">
      <c r="A45" s="193"/>
      <c r="B45" s="194"/>
      <c r="C45" s="194"/>
      <c r="D45" s="197" t="s">
        <v>360</v>
      </c>
      <c r="E45" s="198" t="s">
        <v>357</v>
      </c>
      <c r="F45" s="197" t="s">
        <v>358</v>
      </c>
      <c r="G45" s="197" t="s">
        <v>359</v>
      </c>
      <c r="H45" s="199" t="s">
        <v>360</v>
      </c>
      <c r="I45" s="198" t="s">
        <v>357</v>
      </c>
      <c r="J45" s="197" t="s">
        <v>358</v>
      </c>
      <c r="K45" s="197" t="s">
        <v>359</v>
      </c>
      <c r="L45" s="199" t="s">
        <v>360</v>
      </c>
      <c r="M45" s="198" t="s">
        <v>357</v>
      </c>
      <c r="N45" s="197" t="s">
        <v>358</v>
      </c>
      <c r="O45" s="197" t="s">
        <v>359</v>
      </c>
      <c r="P45" s="199" t="s">
        <v>360</v>
      </c>
      <c r="Q45" s="198" t="s">
        <v>357</v>
      </c>
      <c r="R45" s="197" t="s">
        <v>358</v>
      </c>
      <c r="S45" s="197" t="s">
        <v>359</v>
      </c>
      <c r="T45" s="199" t="s">
        <v>360</v>
      </c>
      <c r="U45" s="198" t="s">
        <v>357</v>
      </c>
      <c r="V45" s="197" t="s">
        <v>358</v>
      </c>
      <c r="W45" s="197" t="s">
        <v>359</v>
      </c>
      <c r="X45" s="199" t="s">
        <v>360</v>
      </c>
      <c r="Y45" s="198" t="s">
        <v>357</v>
      </c>
      <c r="Z45" s="197" t="s">
        <v>358</v>
      </c>
      <c r="AA45" s="197" t="s">
        <v>359</v>
      </c>
      <c r="AB45" s="199" t="s">
        <v>360</v>
      </c>
      <c r="AC45" s="198" t="s">
        <v>357</v>
      </c>
      <c r="AD45" s="197"/>
      <c r="AE45" s="197"/>
      <c r="AF45" s="197" t="s">
        <v>358</v>
      </c>
      <c r="AG45" s="197" t="s">
        <v>359</v>
      </c>
      <c r="AH45" s="199" t="s">
        <v>360</v>
      </c>
      <c r="AI45" s="198" t="s">
        <v>357</v>
      </c>
      <c r="AJ45" s="197" t="s">
        <v>358</v>
      </c>
      <c r="AK45" s="197" t="s">
        <v>359</v>
      </c>
      <c r="AL45" s="199" t="s">
        <v>360</v>
      </c>
      <c r="AM45" s="198" t="s">
        <v>357</v>
      </c>
      <c r="AN45" s="197" t="s">
        <v>358</v>
      </c>
      <c r="AO45" s="197" t="s">
        <v>359</v>
      </c>
      <c r="AP45" s="199" t="s">
        <v>360</v>
      </c>
      <c r="AQ45" s="198" t="s">
        <v>357</v>
      </c>
      <c r="AR45" s="197" t="s">
        <v>358</v>
      </c>
      <c r="AS45" s="197" t="s">
        <v>359</v>
      </c>
      <c r="AT45" s="199" t="s">
        <v>360</v>
      </c>
      <c r="AU45" s="198" t="s">
        <v>357</v>
      </c>
      <c r="AV45" s="197" t="s">
        <v>358</v>
      </c>
      <c r="AW45" s="197" t="s">
        <v>359</v>
      </c>
      <c r="AX45" s="199" t="s">
        <v>360</v>
      </c>
      <c r="AY45" s="198" t="s">
        <v>357</v>
      </c>
      <c r="AZ45" s="197" t="s">
        <v>358</v>
      </c>
      <c r="BA45" s="197" t="s">
        <v>359</v>
      </c>
      <c r="BB45" s="199" t="s">
        <v>360</v>
      </c>
      <c r="BC45" s="198" t="s">
        <v>357</v>
      </c>
      <c r="BD45" s="197" t="s">
        <v>358</v>
      </c>
      <c r="BE45" s="197" t="s">
        <v>359</v>
      </c>
      <c r="BF45" s="199" t="s">
        <v>360</v>
      </c>
      <c r="BG45" s="198" t="s">
        <v>357</v>
      </c>
      <c r="BH45" s="197" t="s">
        <v>358</v>
      </c>
      <c r="BI45" s="197" t="s">
        <v>359</v>
      </c>
      <c r="BJ45" s="199" t="s">
        <v>360</v>
      </c>
      <c r="BK45" s="198" t="s">
        <v>357</v>
      </c>
      <c r="BL45" s="197" t="s">
        <v>358</v>
      </c>
      <c r="BM45" s="197" t="s">
        <v>359</v>
      </c>
      <c r="BN45" s="199" t="s">
        <v>360</v>
      </c>
      <c r="BO45" s="198" t="s">
        <v>357</v>
      </c>
      <c r="BP45" s="197" t="s">
        <v>358</v>
      </c>
      <c r="BQ45" s="197" t="s">
        <v>359</v>
      </c>
      <c r="BR45" s="199" t="s">
        <v>360</v>
      </c>
      <c r="BS45" s="198" t="s">
        <v>357</v>
      </c>
      <c r="BT45" s="197" t="s">
        <v>358</v>
      </c>
      <c r="BU45" s="197" t="s">
        <v>359</v>
      </c>
      <c r="BV45" s="199" t="s">
        <v>360</v>
      </c>
      <c r="BW45" s="198" t="s">
        <v>357</v>
      </c>
      <c r="BX45" s="197" t="s">
        <v>358</v>
      </c>
      <c r="BY45" s="197" t="s">
        <v>359</v>
      </c>
      <c r="BZ45" s="199" t="s">
        <v>360</v>
      </c>
      <c r="CA45" s="198" t="s">
        <v>357</v>
      </c>
      <c r="CB45" s="197" t="s">
        <v>358</v>
      </c>
      <c r="CC45" s="197" t="s">
        <v>359</v>
      </c>
      <c r="CD45" s="199" t="s">
        <v>360</v>
      </c>
      <c r="CE45" s="198" t="s">
        <v>357</v>
      </c>
      <c r="CF45" s="197" t="s">
        <v>358</v>
      </c>
      <c r="CG45" s="197" t="s">
        <v>359</v>
      </c>
      <c r="CH45" s="199" t="s">
        <v>360</v>
      </c>
      <c r="CI45" s="200" t="s">
        <v>357</v>
      </c>
      <c r="CJ45" s="201" t="s">
        <v>358</v>
      </c>
      <c r="CK45" s="201" t="s">
        <v>359</v>
      </c>
      <c r="CL45" s="202" t="s">
        <v>360</v>
      </c>
    </row>
    <row r="46" spans="1:90" s="207" customFormat="1" ht="12" x14ac:dyDescent="0.2">
      <c r="A46" s="203"/>
      <c r="B46" s="204"/>
      <c r="C46" s="204" t="s">
        <v>422</v>
      </c>
      <c r="D46" s="205">
        <f>+D47-'[5]Inflation '!$G$46</f>
        <v>6.4509850009276359</v>
      </c>
      <c r="E46" s="205">
        <f>+E47-'[5]Inflation '!$G$46</f>
        <v>7.2843183342609361</v>
      </c>
      <c r="F46" s="205">
        <f>+F47-'[5]Inflation '!$G$46</f>
        <v>7.7009850009276359</v>
      </c>
      <c r="G46" s="205">
        <f>+G47-'[5]Inflation '!$G$46</f>
        <v>8.7009850009276359</v>
      </c>
      <c r="H46" s="205">
        <f>+H47-'[5]Inflation '!$G$46</f>
        <v>8.7009850009276359</v>
      </c>
      <c r="I46" s="205">
        <f>+I47-'[5]Inflation '!$G$46</f>
        <v>8.7009850009276359</v>
      </c>
      <c r="J46" s="205">
        <f>+J47-'[5]Inflation '!$G$46</f>
        <v>10.367651667594336</v>
      </c>
      <c r="K46" s="205">
        <f>+K47-'[5]Inflation '!$G$46</f>
        <v>9.7009850009276359</v>
      </c>
      <c r="L46" s="205">
        <f>+L47-'[5]Inflation '!$G$46</f>
        <v>10.117651667594336</v>
      </c>
      <c r="M46" s="205">
        <f>+M47-'[5]Inflation '!$G$46</f>
        <v>10.450985000927636</v>
      </c>
      <c r="N46" s="205">
        <f>+N47-'[5]Inflation '!$G$46</f>
        <v>10.450985000927636</v>
      </c>
      <c r="O46" s="205">
        <f>+O47-'[5]Inflation '!$G$46</f>
        <v>10.450985000927636</v>
      </c>
      <c r="P46" s="205">
        <f>+P47-'[5]Inflation '!$G$46</f>
        <v>9.4509850009276359</v>
      </c>
      <c r="Q46" s="205">
        <f>+Q47-'[5]Inflation '!$G$46</f>
        <v>9.1176516675943358</v>
      </c>
      <c r="R46" s="205">
        <f>+R47-'[5]Inflation '!$G$46</f>
        <v>9.7843183342609361</v>
      </c>
      <c r="S46" s="205">
        <f>+S47-'[5]Inflation '!$G$46</f>
        <v>15.200985000927636</v>
      </c>
      <c r="T46" s="205">
        <f>+T47-'[5]Inflation '!$G$46</f>
        <v>13.867651667594336</v>
      </c>
      <c r="U46" s="205">
        <f>+U47-'[5]Inflation '!$G$46</f>
        <v>11.200985000927636</v>
      </c>
      <c r="V46" s="205">
        <f>+V47-'[5]Inflation '!$G$46</f>
        <v>8.8676516675943358</v>
      </c>
      <c r="W46" s="205">
        <f>+W47-'[5]Inflation '!$G$46</f>
        <v>7.0343183342609361</v>
      </c>
      <c r="X46" s="205">
        <f>+X47-'[5]Inflation '!$G$46</f>
        <v>5.7009850009276359</v>
      </c>
      <c r="Y46" s="205">
        <f>+Y47-'[5]Inflation '!$G$46</f>
        <v>4.7009850009276359</v>
      </c>
      <c r="Z46" s="205">
        <f>+Z47-'[5]Inflation '!$G$46</f>
        <v>4.7009850009276359</v>
      </c>
      <c r="AA46" s="205">
        <f>+AA47-'[5]Inflation '!$G$46</f>
        <v>4.7009850009276359</v>
      </c>
      <c r="AB46" s="205">
        <f>+AB47-'[5]Inflation '!$G$46</f>
        <v>4.7009850009276359</v>
      </c>
      <c r="AC46" s="205">
        <f>+AC47-'[5]Inflation '!$G$46</f>
        <v>4.7009850009276359</v>
      </c>
      <c r="AD46" s="205"/>
      <c r="AE46" s="205"/>
      <c r="AF46" s="205">
        <f>+AF47-'[5]Inflation '!$G$46</f>
        <v>4.4509850009276359</v>
      </c>
      <c r="AG46" s="205">
        <f>+AG47-'[5]Inflation '!$G$46</f>
        <v>3.5343183342609361</v>
      </c>
      <c r="AH46" s="205">
        <f>+AH47-'[5]Inflation '!$G$46</f>
        <v>3.2009850009276359</v>
      </c>
      <c r="AI46" s="205">
        <f>+AI47-'[5]Inflation '!$G$46</f>
        <v>4.5343183342609361</v>
      </c>
      <c r="AJ46" s="205">
        <f>+AJ47-'[5]Inflation '!$G$46</f>
        <v>5.5343183342609361</v>
      </c>
      <c r="AK46" s="205">
        <f>+AK47-'[5]Inflation '!$G$46</f>
        <v>6.5343183342609361</v>
      </c>
      <c r="AL46" s="205">
        <f>+AL47-'[5]Inflation '!$G$46</f>
        <v>7.2009850009276359</v>
      </c>
      <c r="AM46" s="205">
        <f>+AM47-'[5]Inflation '!$G$46</f>
        <v>7.2009850009276359</v>
      </c>
      <c r="AN46" s="205">
        <f>+AN47-'[5]Inflation '!$G$46</f>
        <v>6.7009850009276359</v>
      </c>
      <c r="AO46" s="205">
        <f>+AO47-'[5]Inflation '!$G$46</f>
        <v>4.7009850009276359</v>
      </c>
      <c r="AP46" s="205">
        <f>+AP47-'[5]Inflation '!$G$46</f>
        <v>2.0343183342609361</v>
      </c>
      <c r="AQ46" s="205">
        <f>+AQ47-'[5]Inflation '!$G$46</f>
        <v>1.7009850009276359</v>
      </c>
      <c r="AR46" s="205">
        <f>+AR47-'[5]Inflation '!$G$46</f>
        <v>1.7009850009276359</v>
      </c>
      <c r="AS46" s="205">
        <f>+AS47-'[5]Inflation '!$G$46</f>
        <v>1.3676516675943358</v>
      </c>
      <c r="AT46" s="205">
        <f>+AT47-'[5]Inflation '!$G$46</f>
        <v>1.2009850009276359</v>
      </c>
      <c r="AU46" s="205">
        <f>+AU47-'[5]Inflation '!$G$46</f>
        <v>1.2009850009276359</v>
      </c>
      <c r="AV46" s="205">
        <f>+AV47-'[5]Inflation '!$G$46</f>
        <v>0.70098500092763594</v>
      </c>
      <c r="AW46" s="205">
        <f>+AW47-'[5]Inflation '!$G$46</f>
        <v>0.70098500092763594</v>
      </c>
      <c r="AX46" s="205">
        <f>+AX47-'[5]Inflation '!$G$46</f>
        <v>0.70098500092763594</v>
      </c>
      <c r="AY46" s="205">
        <f>+AY47-'[5]Inflation '!$G$46</f>
        <v>0.70098500092763594</v>
      </c>
      <c r="AZ46" s="205">
        <f>+AZ47-'[5]Inflation '!$G$46</f>
        <v>0.86765166759433576</v>
      </c>
      <c r="BA46" s="205">
        <f>+BA47-'[5]Inflation '!$G$46</f>
        <v>1.5343183342609361</v>
      </c>
      <c r="BB46" s="205">
        <f>+BB47-'[5]Inflation '!$G$46</f>
        <v>2.3676516675943358</v>
      </c>
      <c r="BC46" s="205">
        <f>+BC47-'[5]Inflation '!$G$46</f>
        <v>2.7009850009276359</v>
      </c>
      <c r="BD46" s="205">
        <f>+BD47-'[5]Inflation '!$G$46</f>
        <v>2.8676516675943358</v>
      </c>
      <c r="BE46" s="205">
        <f>+BE47-'[5]Inflation '!$G$46</f>
        <v>3.5343183342609361</v>
      </c>
      <c r="BF46" s="205">
        <f>+BF47-'[5]Inflation '!$G$46</f>
        <v>4.3676516675943358</v>
      </c>
      <c r="BG46" s="205">
        <f>+BG47-'[5]Inflation '!$G$46</f>
        <v>4.7009850009276359</v>
      </c>
      <c r="BH46" s="205">
        <f>+BH47-'[5]Inflation '!$G$46</f>
        <v>5.3676516675943358</v>
      </c>
      <c r="BI46" s="205">
        <f>+BI47-'[5]Inflation '!$G$46</f>
        <v>5.7009850009276359</v>
      </c>
      <c r="BJ46" s="205">
        <f>+BJ47-'[5]Inflation '!$G$46</f>
        <v>5.5343183342609361</v>
      </c>
      <c r="BK46" s="205">
        <f>+BK47-'[5]Inflation '!$G$46</f>
        <v>4.2009850009276359</v>
      </c>
      <c r="BL46" s="205">
        <f>+BL47-'[5]Inflation '!$G$46</f>
        <v>1.8676516675943358</v>
      </c>
      <c r="BM46" s="205">
        <f>+BM47-'[5]Inflation '!$G$46</f>
        <v>0.86765166759433576</v>
      </c>
      <c r="BN46" s="205">
        <f>+BN47-'[5]Inflation '!$G$46</f>
        <v>0.70098500092763594</v>
      </c>
      <c r="BO46" s="205">
        <f>+BO47-'[5]Inflation '!$G$46</f>
        <v>0.53431833426093611</v>
      </c>
      <c r="BP46" s="205">
        <f>+BP47-'[5]Inflation '!$G$46</f>
        <v>0.20098500092763594</v>
      </c>
      <c r="BQ46" s="205">
        <f>+BQ47-'[5]Inflation '!$G$46</f>
        <v>3.431833426096631E-2</v>
      </c>
      <c r="BR46" s="205">
        <f>+BR47-'[5]Inflation '!$G$46</f>
        <v>-0.63234833240569444</v>
      </c>
      <c r="BS46" s="205">
        <f>+BS47-'[5]Inflation '!$G$46</f>
        <v>-0.79901499907236406</v>
      </c>
      <c r="BT46" s="205">
        <f>+BT47-'[5]Inflation '!$G$46</f>
        <v>-0.79901499907236406</v>
      </c>
      <c r="BU46" s="205">
        <f>+BU47-'[5]Inflation '!$G$46</f>
        <v>-0.79901499907236406</v>
      </c>
      <c r="BV46" s="205">
        <f>+BV47-'[5]Inflation '!$G$46</f>
        <v>-0.79901499907236406</v>
      </c>
      <c r="BW46" s="205">
        <f>+BW47-'[5]Inflation '!$G$46</f>
        <v>-0.79901499907236406</v>
      </c>
      <c r="BX46" s="205">
        <f>+BX47-'[5]Inflation '!$G$46</f>
        <v>-0.79901499907236406</v>
      </c>
      <c r="BY46" s="205">
        <f>+BY47-'[5]Inflation '!$G$46</f>
        <v>-1.2990149990723641</v>
      </c>
      <c r="BZ46" s="205">
        <f>+BZ47-'[5]Inflation '!$G$46</f>
        <v>-1.2990149990723641</v>
      </c>
      <c r="CA46" s="205">
        <f>+CA47-'[5]Inflation '!$G$46</f>
        <v>-1.2990149990723641</v>
      </c>
      <c r="CB46" s="205">
        <f>+CB47-'[5]Inflation '!$G$46</f>
        <v>-1.2990149990723641</v>
      </c>
      <c r="CC46" s="205">
        <f>+CC47-'[5]Inflation '!$G$46</f>
        <v>-1.2990149990723641</v>
      </c>
      <c r="CD46" s="205">
        <f>+CD47-'[5]Inflation '!$G$46</f>
        <v>-1.2990149990723641</v>
      </c>
      <c r="CE46" s="205">
        <f>+CE47-'[5]Inflation '!$G$46</f>
        <v>-0.79901499907236406</v>
      </c>
      <c r="CF46" s="205">
        <f>+CF47-'[5]Inflation '!$G$46</f>
        <v>-0.79901499907236406</v>
      </c>
      <c r="CG46" s="205">
        <f>+CG47-'[5]Inflation '!$G$46</f>
        <v>-0.54901499907236406</v>
      </c>
      <c r="CH46" s="205">
        <f>+CH47-'[5]Inflation '!$G$46</f>
        <v>-0.54901499907236406</v>
      </c>
      <c r="CI46" s="206"/>
      <c r="CJ46" s="206"/>
      <c r="CK46" s="206"/>
      <c r="CL46" s="206"/>
    </row>
    <row r="47" spans="1:90" s="207" customFormat="1" x14ac:dyDescent="0.25">
      <c r="A47" s="203"/>
      <c r="B47" s="204"/>
      <c r="C47" s="204" t="s">
        <v>423</v>
      </c>
      <c r="D47" s="208">
        <v>16.25</v>
      </c>
      <c r="E47" s="208">
        <v>17.0833333333333</v>
      </c>
      <c r="F47" s="208">
        <v>17.5</v>
      </c>
      <c r="G47" s="208">
        <v>18.5</v>
      </c>
      <c r="H47" s="208">
        <v>18.5</v>
      </c>
      <c r="I47" s="208">
        <v>18.5</v>
      </c>
      <c r="J47" s="208">
        <v>20.1666666666667</v>
      </c>
      <c r="K47" s="208">
        <v>19.5</v>
      </c>
      <c r="L47" s="208">
        <v>19.9166666666667</v>
      </c>
      <c r="M47" s="208">
        <v>20.25</v>
      </c>
      <c r="N47" s="208">
        <v>20.25</v>
      </c>
      <c r="O47" s="208">
        <v>20.25</v>
      </c>
      <c r="P47" s="208">
        <v>19.25</v>
      </c>
      <c r="Q47" s="208">
        <v>18.9166666666667</v>
      </c>
      <c r="R47" s="208">
        <v>19.5833333333333</v>
      </c>
      <c r="S47" s="208">
        <v>25</v>
      </c>
      <c r="T47" s="208">
        <v>23.6666666666667</v>
      </c>
      <c r="U47" s="208">
        <v>21</v>
      </c>
      <c r="V47" s="208">
        <v>18.6666666666667</v>
      </c>
      <c r="W47" s="208">
        <v>16.8333333333333</v>
      </c>
      <c r="X47" s="208">
        <v>15.5</v>
      </c>
      <c r="Y47" s="208">
        <v>14.5</v>
      </c>
      <c r="Z47" s="208">
        <v>14.5</v>
      </c>
      <c r="AA47" s="208">
        <v>14.5</v>
      </c>
      <c r="AB47" s="208">
        <v>14.5</v>
      </c>
      <c r="AC47" s="208">
        <v>14.5</v>
      </c>
      <c r="AD47" s="208"/>
      <c r="AE47" s="208"/>
      <c r="AF47" s="208">
        <v>14.25</v>
      </c>
      <c r="AG47" s="208">
        <v>13.3333333333333</v>
      </c>
      <c r="AH47" s="208">
        <v>13</v>
      </c>
      <c r="AI47" s="208">
        <v>14.3333333333333</v>
      </c>
      <c r="AJ47" s="208">
        <v>15.3333333333333</v>
      </c>
      <c r="AK47" s="208">
        <v>16.3333333333333</v>
      </c>
      <c r="AL47" s="208">
        <v>17</v>
      </c>
      <c r="AM47" s="208">
        <v>17</v>
      </c>
      <c r="AN47" s="208">
        <v>16.5</v>
      </c>
      <c r="AO47" s="208">
        <v>14.5</v>
      </c>
      <c r="AP47" s="208">
        <v>11.8333333333333</v>
      </c>
      <c r="AQ47" s="208">
        <v>11.5</v>
      </c>
      <c r="AR47" s="208">
        <v>11.5</v>
      </c>
      <c r="AS47" s="208">
        <v>11.1666666666667</v>
      </c>
      <c r="AT47" s="208">
        <v>11</v>
      </c>
      <c r="AU47" s="208">
        <v>11</v>
      </c>
      <c r="AV47" s="208">
        <v>10.5</v>
      </c>
      <c r="AW47" s="208">
        <v>10.5</v>
      </c>
      <c r="AX47" s="208">
        <v>10.5</v>
      </c>
      <c r="AY47" s="208">
        <v>10.5</v>
      </c>
      <c r="AZ47" s="208">
        <v>10.6666666666667</v>
      </c>
      <c r="BA47" s="208">
        <v>11.3333333333333</v>
      </c>
      <c r="BB47" s="208">
        <v>12.1666666666667</v>
      </c>
      <c r="BC47" s="208">
        <v>12.5</v>
      </c>
      <c r="BD47" s="208">
        <v>12.6666666666667</v>
      </c>
      <c r="BE47" s="208">
        <v>13.3333333333333</v>
      </c>
      <c r="BF47" s="208">
        <v>14.1666666666667</v>
      </c>
      <c r="BG47" s="208">
        <v>14.5</v>
      </c>
      <c r="BH47" s="208">
        <v>15.1666666666667</v>
      </c>
      <c r="BI47" s="208">
        <v>15.5</v>
      </c>
      <c r="BJ47" s="208">
        <v>15.3333333333333</v>
      </c>
      <c r="BK47" s="208">
        <v>14</v>
      </c>
      <c r="BL47" s="208">
        <v>11.6666666666667</v>
      </c>
      <c r="BM47" s="208">
        <v>10.6666666666667</v>
      </c>
      <c r="BN47" s="208">
        <v>10.5</v>
      </c>
      <c r="BO47" s="208">
        <v>10.3333333333333</v>
      </c>
      <c r="BP47" s="208">
        <v>10</v>
      </c>
      <c r="BQ47" s="208">
        <v>9.8333333333333304</v>
      </c>
      <c r="BR47" s="208">
        <v>9.1666666666666696</v>
      </c>
      <c r="BS47" s="208">
        <v>9</v>
      </c>
      <c r="BT47" s="208">
        <v>9</v>
      </c>
      <c r="BU47" s="208">
        <v>9</v>
      </c>
      <c r="BV47" s="208">
        <v>9</v>
      </c>
      <c r="BW47" s="208">
        <v>9</v>
      </c>
      <c r="BX47" s="208">
        <v>9</v>
      </c>
      <c r="BY47" s="208">
        <v>8.5</v>
      </c>
      <c r="BZ47" s="208">
        <v>8.5</v>
      </c>
      <c r="CA47" s="208">
        <v>8.5</v>
      </c>
      <c r="CB47" s="208">
        <v>8.5</v>
      </c>
      <c r="CC47" s="208">
        <v>8.5</v>
      </c>
      <c r="CD47" s="208">
        <v>8.5</v>
      </c>
      <c r="CE47" s="208">
        <v>9</v>
      </c>
      <c r="CF47" s="208">
        <v>9</v>
      </c>
      <c r="CG47" s="208">
        <v>9.25</v>
      </c>
      <c r="CH47" s="208">
        <v>9.25</v>
      </c>
      <c r="CI47" s="209"/>
      <c r="CJ47" s="209"/>
      <c r="CK47" s="209"/>
      <c r="CL47" s="209"/>
    </row>
    <row r="48" spans="1:90" s="207" customFormat="1" ht="12" x14ac:dyDescent="0.2">
      <c r="A48" s="203"/>
      <c r="B48" s="204" t="s">
        <v>424</v>
      </c>
      <c r="C48" s="204"/>
      <c r="D48" s="205"/>
      <c r="E48" s="210">
        <f>+AVERAGE(E46:H46)</f>
        <v>8.096818334260961</v>
      </c>
      <c r="F48" s="211"/>
      <c r="G48" s="211"/>
      <c r="H48" s="212"/>
      <c r="I48" s="210">
        <f>+AVERAGE(I46:L46)</f>
        <v>9.7218183342609858</v>
      </c>
      <c r="J48" s="211"/>
      <c r="K48" s="211"/>
      <c r="L48" s="212"/>
      <c r="M48" s="210">
        <f>+AVERAGE(M46:P46)</f>
        <v>10.200985000927636</v>
      </c>
      <c r="N48" s="211"/>
      <c r="O48" s="211"/>
      <c r="P48" s="212"/>
      <c r="Q48" s="210">
        <f>+AVERAGE(Q46:T46)</f>
        <v>11.992651667594311</v>
      </c>
      <c r="R48" s="211"/>
      <c r="S48" s="211"/>
      <c r="T48" s="212"/>
      <c r="U48" s="210">
        <f>+AVERAGE(U46:X46)</f>
        <v>8.2009850009276359</v>
      </c>
      <c r="V48" s="211"/>
      <c r="W48" s="211"/>
      <c r="X48" s="212"/>
      <c r="Y48" s="210">
        <f>+AVERAGE(Y46:AB46)</f>
        <v>4.7009850009276359</v>
      </c>
      <c r="Z48" s="211"/>
      <c r="AA48" s="211"/>
      <c r="AB48" s="212"/>
      <c r="AC48" s="210">
        <f>+AVERAGE(AC46:AH46)</f>
        <v>3.971818334260961</v>
      </c>
      <c r="AD48" s="205"/>
      <c r="AE48" s="205"/>
      <c r="AF48" s="211"/>
      <c r="AG48" s="211"/>
      <c r="AH48" s="212"/>
      <c r="AI48" s="210">
        <f>+AVERAGE(AI46:AL46)</f>
        <v>5.9509850009276111</v>
      </c>
      <c r="AJ48" s="211"/>
      <c r="AK48" s="211"/>
      <c r="AL48" s="212"/>
      <c r="AM48" s="210">
        <f>+AVERAGE(AM46:AP46)</f>
        <v>5.159318334260961</v>
      </c>
      <c r="AN48" s="211"/>
      <c r="AO48" s="211"/>
      <c r="AP48" s="212"/>
      <c r="AQ48" s="210">
        <f>+AVERAGE(AQ46:AT46)</f>
        <v>1.4926516675943109</v>
      </c>
      <c r="AR48" s="211"/>
      <c r="AS48" s="211"/>
      <c r="AT48" s="212"/>
      <c r="AU48" s="210">
        <f>+AVERAGE(AU46:AX46)</f>
        <v>0.82598500092763594</v>
      </c>
      <c r="AV48" s="211"/>
      <c r="AW48" s="211"/>
      <c r="AX48" s="212"/>
      <c r="AY48" s="210">
        <f>+AVERAGE(AY46:BB46)</f>
        <v>1.3676516675943109</v>
      </c>
      <c r="AZ48" s="211"/>
      <c r="BA48" s="211"/>
      <c r="BB48" s="212"/>
      <c r="BC48" s="210">
        <f>+AVERAGE(BC46:BF46)</f>
        <v>3.3676516675943109</v>
      </c>
      <c r="BD48" s="211"/>
      <c r="BE48" s="211"/>
      <c r="BF48" s="212"/>
      <c r="BG48" s="210">
        <f>+AVERAGE(BG46:BJ46)</f>
        <v>5.3259850009276359</v>
      </c>
      <c r="BH48" s="211"/>
      <c r="BI48" s="211"/>
      <c r="BJ48" s="212"/>
      <c r="BK48" s="210">
        <f>+AVERAGE(BK46:BN46)</f>
        <v>1.9093183342609858</v>
      </c>
      <c r="BL48" s="211"/>
      <c r="BM48" s="211"/>
      <c r="BN48" s="212"/>
      <c r="BO48" s="210">
        <f>+AVERAGE(BO46:BR46)</f>
        <v>3.4318334260960981E-2</v>
      </c>
      <c r="BP48" s="211"/>
      <c r="BQ48" s="211"/>
      <c r="BR48" s="212"/>
      <c r="BS48" s="210">
        <f>+AVERAGE(BS46:BV46)</f>
        <v>-0.79901499907236406</v>
      </c>
      <c r="BT48" s="211"/>
      <c r="BU48" s="211"/>
      <c r="BV48" s="212"/>
      <c r="BW48" s="210">
        <f>+AVERAGE(BW46:BZ46)</f>
        <v>-1.0490149990723641</v>
      </c>
      <c r="BX48" s="211"/>
      <c r="BY48" s="211"/>
      <c r="BZ48" s="212"/>
      <c r="CA48" s="210">
        <f>+AVERAGE(CA46:CI46)</f>
        <v>-0.98651499907236406</v>
      </c>
      <c r="CB48" s="211"/>
      <c r="CC48" s="211"/>
      <c r="CD48" s="212"/>
      <c r="CE48" s="210"/>
      <c r="CF48" s="211"/>
      <c r="CG48" s="211"/>
      <c r="CH48" s="213"/>
      <c r="CI48" s="214"/>
      <c r="CJ48" s="215"/>
      <c r="CK48" s="215"/>
      <c r="CL48" s="216"/>
    </row>
    <row r="49" spans="1:90" s="207" customFormat="1" ht="12" x14ac:dyDescent="0.2">
      <c r="A49" s="203"/>
      <c r="B49" s="204" t="s">
        <v>425</v>
      </c>
      <c r="C49" s="204"/>
      <c r="D49" s="217"/>
      <c r="E49" s="218">
        <f>AVERAGE(E47:H47)</f>
        <v>17.895833333333325</v>
      </c>
      <c r="F49" s="219"/>
      <c r="G49" s="219"/>
      <c r="H49" s="220"/>
      <c r="I49" s="218">
        <f>AVERAGE(I47:L47)</f>
        <v>19.52083333333335</v>
      </c>
      <c r="J49" s="219"/>
      <c r="K49" s="219"/>
      <c r="L49" s="220"/>
      <c r="M49" s="218">
        <f>AVERAGE(M47:P47)</f>
        <v>20</v>
      </c>
      <c r="N49" s="219"/>
      <c r="O49" s="219"/>
      <c r="P49" s="220"/>
      <c r="Q49" s="218">
        <f>AVERAGE(Q47:T47)</f>
        <v>21.791666666666675</v>
      </c>
      <c r="R49" s="219"/>
      <c r="S49" s="219"/>
      <c r="T49" s="220"/>
      <c r="U49" s="218">
        <f>AVERAGE(U47:X47)</f>
        <v>18</v>
      </c>
      <c r="V49" s="219"/>
      <c r="W49" s="219"/>
      <c r="X49" s="220"/>
      <c r="Y49" s="218">
        <f>AVERAGE(Y47:AB47)</f>
        <v>14.5</v>
      </c>
      <c r="Z49" s="219"/>
      <c r="AA49" s="219"/>
      <c r="AB49" s="220"/>
      <c r="AC49" s="218">
        <f>AVERAGE(AC47:AH47)</f>
        <v>13.770833333333325</v>
      </c>
      <c r="AD49" s="883"/>
      <c r="AE49" s="883"/>
      <c r="AF49" s="219"/>
      <c r="AG49" s="219"/>
      <c r="AH49" s="220"/>
      <c r="AI49" s="218">
        <f>AVERAGE(AI47:AL47)</f>
        <v>15.749999999999975</v>
      </c>
      <c r="AJ49" s="219"/>
      <c r="AK49" s="219"/>
      <c r="AL49" s="220"/>
      <c r="AM49" s="218">
        <f>AVERAGE(AM47:AP47)</f>
        <v>14.958333333333325</v>
      </c>
      <c r="AN49" s="219"/>
      <c r="AO49" s="219"/>
      <c r="AP49" s="220"/>
      <c r="AQ49" s="218">
        <f>AVERAGE(AQ47:AT47)</f>
        <v>11.291666666666675</v>
      </c>
      <c r="AR49" s="219"/>
      <c r="AS49" s="219"/>
      <c r="AT49" s="220"/>
      <c r="AU49" s="218">
        <f>AVERAGE(AU47:AX47)</f>
        <v>10.625</v>
      </c>
      <c r="AV49" s="219"/>
      <c r="AW49" s="219"/>
      <c r="AX49" s="220"/>
      <c r="AY49" s="218">
        <f>AVERAGE(AY47:BB47)</f>
        <v>11.166666666666675</v>
      </c>
      <c r="AZ49" s="219"/>
      <c r="BA49" s="219"/>
      <c r="BB49" s="220"/>
      <c r="BC49" s="218">
        <f>AVERAGE(BC47:BF47)</f>
        <v>13.166666666666675</v>
      </c>
      <c r="BD49" s="219"/>
      <c r="BE49" s="219"/>
      <c r="BF49" s="220"/>
      <c r="BG49" s="218">
        <f>AVERAGE(BG47:BJ47)</f>
        <v>15.125</v>
      </c>
      <c r="BH49" s="219"/>
      <c r="BI49" s="219"/>
      <c r="BJ49" s="220"/>
      <c r="BK49" s="218">
        <f>AVERAGE(BK47:BN47)</f>
        <v>11.70833333333335</v>
      </c>
      <c r="BL49" s="219"/>
      <c r="BM49" s="219"/>
      <c r="BN49" s="220"/>
      <c r="BO49" s="218">
        <f>AVERAGE(BO47:BR47)</f>
        <v>9.833333333333325</v>
      </c>
      <c r="BP49" s="219"/>
      <c r="BQ49" s="219"/>
      <c r="BR49" s="220"/>
      <c r="BS49" s="218">
        <f>AVERAGE(BS47:BV47)</f>
        <v>9</v>
      </c>
      <c r="BT49" s="219"/>
      <c r="BU49" s="219"/>
      <c r="BV49" s="220"/>
      <c r="BW49" s="218">
        <f>AVERAGE(BW47:BZ47)</f>
        <v>8.75</v>
      </c>
      <c r="BX49" s="219"/>
      <c r="BY49" s="219"/>
      <c r="BZ49" s="220"/>
      <c r="CA49" s="218">
        <f>AVERAGE(CA47:CI47)</f>
        <v>8.8125</v>
      </c>
      <c r="CB49" s="219"/>
      <c r="CC49" s="219"/>
      <c r="CD49" s="220"/>
      <c r="CE49" s="218"/>
      <c r="CF49" s="219"/>
      <c r="CG49" s="219"/>
      <c r="CH49" s="221"/>
      <c r="CI49" s="222"/>
      <c r="CJ49" s="223"/>
      <c r="CK49" s="223"/>
      <c r="CL49" s="224"/>
    </row>
    <row r="50" spans="1:90" hidden="1" x14ac:dyDescent="0.25">
      <c r="E50" s="55"/>
      <c r="AL50" s="55"/>
    </row>
    <row r="51" spans="1:90" hidden="1" x14ac:dyDescent="0.25">
      <c r="C51" s="67" t="s">
        <v>426</v>
      </c>
      <c r="D51" s="55">
        <f>+D52-D53</f>
        <v>6.4509850009276359</v>
      </c>
      <c r="E51" s="16">
        <f>+E52-E53</f>
        <v>7.1239891080250146</v>
      </c>
      <c r="F51" s="16">
        <f t="shared" ref="F51:BS51" si="0">+F52-F53</f>
        <v>6.8478391161142795</v>
      </c>
      <c r="G51" s="16">
        <f t="shared" si="0"/>
        <v>10.773450474306951</v>
      </c>
      <c r="H51" s="16">
        <f t="shared" si="0"/>
        <v>11.938263767023022</v>
      </c>
      <c r="I51" s="16">
        <f t="shared" si="0"/>
        <v>11.991432032616251</v>
      </c>
      <c r="J51" s="16">
        <f t="shared" si="0"/>
        <v>14.086189240980008</v>
      </c>
      <c r="K51" s="16">
        <f t="shared" si="0"/>
        <v>11.870877161233466</v>
      </c>
      <c r="L51" s="16">
        <f t="shared" si="0"/>
        <v>10.771544737102118</v>
      </c>
      <c r="M51" s="16">
        <f t="shared" si="0"/>
        <v>10.63922593732801</v>
      </c>
      <c r="N51" s="16">
        <f t="shared" si="0"/>
        <v>10.871091374793394</v>
      </c>
      <c r="O51" s="16">
        <f t="shared" si="0"/>
        <v>11.633676573669126</v>
      </c>
      <c r="P51" s="16">
        <f t="shared" si="0"/>
        <v>12.368337988683052</v>
      </c>
      <c r="Q51" s="16">
        <f t="shared" si="0"/>
        <v>13.422184531978372</v>
      </c>
      <c r="R51" s="16">
        <f t="shared" si="0"/>
        <v>14.462249574469169</v>
      </c>
      <c r="S51" s="16">
        <f t="shared" si="0"/>
        <v>17.262676476109128</v>
      </c>
      <c r="T51" s="16">
        <f t="shared" si="0"/>
        <v>14.586242071162033</v>
      </c>
      <c r="U51" s="16">
        <f t="shared" si="0"/>
        <v>12.537047448994201</v>
      </c>
      <c r="V51" s="16">
        <f t="shared" si="0"/>
        <v>11.377854220174811</v>
      </c>
      <c r="W51" s="16">
        <f t="shared" si="0"/>
        <v>13.496167572359585</v>
      </c>
      <c r="X51" s="16">
        <f t="shared" si="0"/>
        <v>13.542160928992828</v>
      </c>
      <c r="Y51" s="16">
        <f t="shared" si="0"/>
        <v>11.709663540347568</v>
      </c>
      <c r="Z51" s="16">
        <f t="shared" si="0"/>
        <v>9.5723202503422016</v>
      </c>
      <c r="AA51" s="16">
        <f t="shared" si="0"/>
        <v>7.9014035758369943</v>
      </c>
      <c r="AB51" s="16">
        <f t="shared" si="0"/>
        <v>7.4868263967846831</v>
      </c>
      <c r="AC51" s="16">
        <f t="shared" si="0"/>
        <v>7.07940079878344</v>
      </c>
      <c r="AD51" s="16"/>
      <c r="AE51" s="16"/>
      <c r="AF51" s="16">
        <f t="shared" si="0"/>
        <v>7.8427974211818725</v>
      </c>
      <c r="AG51" s="16">
        <f t="shared" si="0"/>
        <v>8.5587604814998084</v>
      </c>
      <c r="AH51" s="16">
        <f t="shared" si="0"/>
        <v>8.6947899265363269</v>
      </c>
      <c r="AI51" s="16">
        <f t="shared" si="0"/>
        <v>8.6393523511654102</v>
      </c>
      <c r="AJ51" s="16">
        <f t="shared" si="0"/>
        <v>7.6095325214104017</v>
      </c>
      <c r="AK51" s="16">
        <f t="shared" si="0"/>
        <v>5.9311525360954302</v>
      </c>
      <c r="AL51" s="16">
        <f t="shared" si="0"/>
        <v>4.2473872512382833</v>
      </c>
      <c r="AM51" s="16">
        <f t="shared" si="0"/>
        <v>5.7018447345683025</v>
      </c>
      <c r="AN51" s="16">
        <f t="shared" si="0"/>
        <v>8.2118421589336652</v>
      </c>
      <c r="AO51" s="16">
        <f t="shared" si="0"/>
        <v>10.134487299026372</v>
      </c>
      <c r="AP51" s="16">
        <f t="shared" si="0"/>
        <v>12.781046047660965</v>
      </c>
      <c r="AQ51" s="16">
        <f t="shared" si="0"/>
        <v>13.555378051604428</v>
      </c>
      <c r="AR51" s="16">
        <f t="shared" si="0"/>
        <v>13.524888820132409</v>
      </c>
      <c r="AS51" s="16">
        <f t="shared" si="0"/>
        <v>12.174726293294299</v>
      </c>
      <c r="AT51" s="16">
        <f t="shared" si="0"/>
        <v>9.3740097745964945</v>
      </c>
      <c r="AU51" s="16">
        <f t="shared" si="0"/>
        <v>9.024961214313965</v>
      </c>
      <c r="AV51" s="16">
        <f t="shared" si="0"/>
        <v>8.5398884018697458</v>
      </c>
      <c r="AW51" s="16">
        <f t="shared" si="0"/>
        <v>8.0859342450643865</v>
      </c>
      <c r="AX51" s="16">
        <f t="shared" si="0"/>
        <v>8.396148095025449</v>
      </c>
      <c r="AY51" s="16">
        <f t="shared" si="0"/>
        <v>8.4624867597630455</v>
      </c>
      <c r="AZ51" s="16">
        <f t="shared" si="0"/>
        <v>8.192506472381087</v>
      </c>
      <c r="BA51" s="16">
        <f t="shared" si="0"/>
        <v>7.6218254933868295</v>
      </c>
      <c r="BB51" s="16">
        <f t="shared" si="0"/>
        <v>7.6545758129783668</v>
      </c>
      <c r="BC51" s="16">
        <f t="shared" si="0"/>
        <v>7.4116115587464337</v>
      </c>
      <c r="BD51" s="16">
        <f t="shared" si="0"/>
        <v>6.7279602613528349</v>
      </c>
      <c r="BE51" s="16">
        <f t="shared" si="0"/>
        <v>7.1582525732056066</v>
      </c>
      <c r="BF51" s="16">
        <f t="shared" si="0"/>
        <v>7.0501091978256882</v>
      </c>
      <c r="BG51" s="16">
        <f t="shared" si="0"/>
        <v>6.1087140639024078</v>
      </c>
      <c r="BH51" s="16">
        <f t="shared" si="0"/>
        <v>5.2145769480943684</v>
      </c>
      <c r="BI51" s="16">
        <f t="shared" si="0"/>
        <v>4.0391896082696981</v>
      </c>
      <c r="BJ51" s="16">
        <f t="shared" si="0"/>
        <v>5.4777893035133367</v>
      </c>
      <c r="BK51" s="16">
        <f t="shared" si="0"/>
        <v>5.622807017543817</v>
      </c>
      <c r="BL51" s="16">
        <f t="shared" si="0"/>
        <v>3.8955308852833683</v>
      </c>
      <c r="BM51" s="16">
        <f t="shared" si="0"/>
        <v>4.2484472049689392</v>
      </c>
      <c r="BN51" s="16">
        <f t="shared" si="0"/>
        <v>4.4194741166802682</v>
      </c>
      <c r="BO51" s="16">
        <f t="shared" si="0"/>
        <v>4.6676109537298673</v>
      </c>
      <c r="BP51" s="16">
        <f t="shared" si="0"/>
        <v>5.4833597464342265</v>
      </c>
      <c r="BQ51" s="16">
        <f t="shared" si="0"/>
        <v>6.3702983138781564</v>
      </c>
      <c r="BR51" s="16">
        <f t="shared" si="0"/>
        <v>5.7197263103537033</v>
      </c>
      <c r="BS51" s="16">
        <f t="shared" si="0"/>
        <v>5.1700497893527739</v>
      </c>
      <c r="BT51" s="16">
        <f t="shared" ref="BT51:CE51" si="1">+BT52-BT53</f>
        <v>4.375284306292607</v>
      </c>
      <c r="BU51" s="16">
        <f t="shared" si="1"/>
        <v>3.5468221135765674</v>
      </c>
      <c r="BV51" s="16">
        <f t="shared" si="1"/>
        <v>2.9348558592288718</v>
      </c>
      <c r="BW51" s="16">
        <f t="shared" si="1"/>
        <v>2.8767982294356651</v>
      </c>
      <c r="BX51" s="16">
        <f t="shared" si="1"/>
        <v>3.2391304347826031</v>
      </c>
      <c r="BY51" s="16">
        <f t="shared" si="1"/>
        <v>3.4001426533523151</v>
      </c>
      <c r="BZ51" s="16">
        <f t="shared" si="1"/>
        <v>2.8522767384397332</v>
      </c>
      <c r="CA51" s="16">
        <f>+CA52-CA53</f>
        <v>2.7996176572815425</v>
      </c>
      <c r="CB51" s="16">
        <f>+CB52-CB53</f>
        <v>2.8473792394655675</v>
      </c>
      <c r="CC51" s="16">
        <f>+CC52-CC53</f>
        <v>2.2563624024427833</v>
      </c>
      <c r="CD51" s="16">
        <f>+CD52-CD53</f>
        <v>3.0873705312392454</v>
      </c>
      <c r="CE51" s="16">
        <f t="shared" si="1"/>
        <v>3.0808944426175797</v>
      </c>
    </row>
    <row r="52" spans="1:90" s="207" customFormat="1" ht="12" hidden="1" x14ac:dyDescent="0.2">
      <c r="A52" s="203"/>
      <c r="B52" s="225"/>
      <c r="C52" s="225" t="s">
        <v>427</v>
      </c>
      <c r="D52" s="226">
        <v>16.25</v>
      </c>
      <c r="E52" s="227">
        <v>17.0833333333333</v>
      </c>
      <c r="F52" s="226">
        <v>17.5</v>
      </c>
      <c r="G52" s="226">
        <v>18.5</v>
      </c>
      <c r="H52" s="228">
        <v>18.5</v>
      </c>
      <c r="I52" s="227">
        <v>18.5</v>
      </c>
      <c r="J52" s="226">
        <v>20.1666666666667</v>
      </c>
      <c r="K52" s="226">
        <v>19.5</v>
      </c>
      <c r="L52" s="228">
        <v>19.9166666666667</v>
      </c>
      <c r="M52" s="227">
        <v>20.25</v>
      </c>
      <c r="N52" s="226">
        <v>20.25</v>
      </c>
      <c r="O52" s="226">
        <v>20.25</v>
      </c>
      <c r="P52" s="228">
        <v>19.25</v>
      </c>
      <c r="Q52" s="227">
        <v>18.9166666666667</v>
      </c>
      <c r="R52" s="226">
        <v>19.5833333333333</v>
      </c>
      <c r="S52" s="226">
        <v>25</v>
      </c>
      <c r="T52" s="228">
        <v>23.6666666666667</v>
      </c>
      <c r="U52" s="227">
        <v>21</v>
      </c>
      <c r="V52" s="226">
        <v>18.6666666666667</v>
      </c>
      <c r="W52" s="226">
        <v>16.8333333333333</v>
      </c>
      <c r="X52" s="228">
        <v>15.5</v>
      </c>
      <c r="Y52" s="227">
        <v>14.5</v>
      </c>
      <c r="Z52" s="226">
        <v>14.5</v>
      </c>
      <c r="AA52" s="226">
        <v>14.5</v>
      </c>
      <c r="AB52" s="228">
        <v>14.5</v>
      </c>
      <c r="AC52" s="227">
        <v>14.5</v>
      </c>
      <c r="AD52" s="226"/>
      <c r="AE52" s="226"/>
      <c r="AF52" s="226">
        <v>14.25</v>
      </c>
      <c r="AG52" s="226">
        <v>13.3333333333333</v>
      </c>
      <c r="AH52" s="228">
        <v>13</v>
      </c>
      <c r="AI52" s="227">
        <v>14.3333333333333</v>
      </c>
      <c r="AJ52" s="226">
        <v>15.3333333333333</v>
      </c>
      <c r="AK52" s="226">
        <v>16.3333333333333</v>
      </c>
      <c r="AL52" s="228">
        <v>17</v>
      </c>
      <c r="AM52" s="227">
        <v>17</v>
      </c>
      <c r="AN52" s="226">
        <v>16.5</v>
      </c>
      <c r="AO52" s="226">
        <v>14.5</v>
      </c>
      <c r="AP52" s="228">
        <v>11.8333333333333</v>
      </c>
      <c r="AQ52" s="227">
        <v>11.5</v>
      </c>
      <c r="AR52" s="226">
        <v>11.5</v>
      </c>
      <c r="AS52" s="226">
        <v>11.1666666666667</v>
      </c>
      <c r="AT52" s="228">
        <v>11</v>
      </c>
      <c r="AU52" s="227">
        <v>11</v>
      </c>
      <c r="AV52" s="226">
        <v>10.5</v>
      </c>
      <c r="AW52" s="226">
        <v>10.5</v>
      </c>
      <c r="AX52" s="228">
        <v>10.5</v>
      </c>
      <c r="AY52" s="227">
        <v>10.5</v>
      </c>
      <c r="AZ52" s="226">
        <v>10.6666666666667</v>
      </c>
      <c r="BA52" s="226">
        <v>11.3333333333333</v>
      </c>
      <c r="BB52" s="228">
        <v>12.1666666666667</v>
      </c>
      <c r="BC52" s="227">
        <v>12.5</v>
      </c>
      <c r="BD52" s="226">
        <v>12.6666666666667</v>
      </c>
      <c r="BE52" s="226">
        <v>13.3333333333333</v>
      </c>
      <c r="BF52" s="228">
        <v>14.1666666666667</v>
      </c>
      <c r="BG52" s="227">
        <v>14.5</v>
      </c>
      <c r="BH52" s="226">
        <v>15.1666666666667</v>
      </c>
      <c r="BI52" s="226">
        <v>15.5</v>
      </c>
      <c r="BJ52" s="228">
        <v>15.3333333333333</v>
      </c>
      <c r="BK52" s="227">
        <v>14</v>
      </c>
      <c r="BL52" s="226">
        <v>11.6666666666667</v>
      </c>
      <c r="BM52" s="226">
        <v>10.6666666666667</v>
      </c>
      <c r="BN52" s="228">
        <v>10.5</v>
      </c>
      <c r="BO52" s="227">
        <v>10.3333333333333</v>
      </c>
      <c r="BP52" s="226">
        <v>10</v>
      </c>
      <c r="BQ52" s="226">
        <v>9.8333333333333304</v>
      </c>
      <c r="BR52" s="228">
        <v>9.1666666666666696</v>
      </c>
      <c r="BS52" s="227">
        <v>9</v>
      </c>
      <c r="BT52" s="226">
        <v>9</v>
      </c>
      <c r="BU52" s="226">
        <v>9</v>
      </c>
      <c r="BV52" s="228">
        <v>9</v>
      </c>
      <c r="BW52" s="227">
        <v>9</v>
      </c>
      <c r="BX52" s="226">
        <v>9</v>
      </c>
      <c r="BY52" s="226">
        <v>8.5</v>
      </c>
      <c r="BZ52" s="228">
        <v>8.5</v>
      </c>
      <c r="CA52" s="207">
        <v>8.5</v>
      </c>
      <c r="CB52" s="207">
        <v>8.5</v>
      </c>
      <c r="CC52" s="207">
        <v>8.5</v>
      </c>
      <c r="CD52" s="207">
        <v>8.5</v>
      </c>
      <c r="CE52" s="207">
        <v>9</v>
      </c>
    </row>
    <row r="53" spans="1:90" hidden="1" x14ac:dyDescent="0.25">
      <c r="C53" s="67" t="s">
        <v>428</v>
      </c>
      <c r="D53" s="229">
        <v>9.7990149990723641</v>
      </c>
      <c r="E53" s="230">
        <v>9.9593442253082856</v>
      </c>
      <c r="F53" s="16">
        <v>10.65216088388572</v>
      </c>
      <c r="G53" s="16">
        <v>7.7265495256930494</v>
      </c>
      <c r="H53" s="229">
        <v>6.5617362329769779</v>
      </c>
      <c r="I53" s="230">
        <v>6.5085679673837493</v>
      </c>
      <c r="J53" s="16">
        <v>6.0804774256866922</v>
      </c>
      <c r="K53" s="16">
        <v>7.6291228387665333</v>
      </c>
      <c r="L53" s="229">
        <v>9.1451219295645814</v>
      </c>
      <c r="M53" s="230">
        <v>9.6107740626719895</v>
      </c>
      <c r="N53" s="16">
        <v>9.3789086252066056</v>
      </c>
      <c r="O53" s="16">
        <v>8.6163234263308741</v>
      </c>
      <c r="P53" s="229">
        <v>6.8816620113169469</v>
      </c>
      <c r="Q53" s="230">
        <v>5.4944821346883277</v>
      </c>
      <c r="R53" s="16">
        <v>5.1210837588641311</v>
      </c>
      <c r="S53" s="16">
        <v>7.7373235238908711</v>
      </c>
      <c r="T53" s="229">
        <v>9.0804245955046667</v>
      </c>
      <c r="U53" s="230">
        <v>8.4629525510057988</v>
      </c>
      <c r="V53" s="16">
        <v>7.288812446491888</v>
      </c>
      <c r="W53" s="16">
        <v>3.3371657609737149</v>
      </c>
      <c r="X53" s="229">
        <v>1.9578390710071725</v>
      </c>
      <c r="Y53" s="230">
        <v>2.7903364596524316</v>
      </c>
      <c r="Z53" s="16">
        <v>4.9276797496577984</v>
      </c>
      <c r="AA53" s="16">
        <v>6.5985964241630057</v>
      </c>
      <c r="AB53" s="229">
        <v>7.0131736032153169</v>
      </c>
      <c r="AC53" s="230">
        <v>7.42059920121656</v>
      </c>
      <c r="AD53" s="16"/>
      <c r="AE53" s="16"/>
      <c r="AF53" s="16">
        <v>6.4072025788181275</v>
      </c>
      <c r="AG53" s="16">
        <v>4.7745728518334918</v>
      </c>
      <c r="AH53" s="229">
        <v>4.3052100734636722</v>
      </c>
      <c r="AI53" s="230">
        <v>5.6939809821678899</v>
      </c>
      <c r="AJ53" s="16">
        <v>7.7238008119228985</v>
      </c>
      <c r="AK53" s="16">
        <v>10.40218079723787</v>
      </c>
      <c r="AL53" s="229">
        <v>12.752612748761717</v>
      </c>
      <c r="AM53" s="230">
        <v>11.298155265431697</v>
      </c>
      <c r="AN53" s="16">
        <v>8.2881578410663348</v>
      </c>
      <c r="AO53" s="16">
        <v>4.3655127009736283</v>
      </c>
      <c r="AP53" s="229">
        <v>-0.94771271432766424</v>
      </c>
      <c r="AQ53" s="230">
        <v>-2.0553780516044284</v>
      </c>
      <c r="AR53" s="16">
        <v>-2.0248888201324089</v>
      </c>
      <c r="AS53" s="16">
        <v>-1.0080596266275998</v>
      </c>
      <c r="AT53" s="229">
        <v>1.6259902254035064</v>
      </c>
      <c r="AU53" s="230">
        <v>1.9750387856860341</v>
      </c>
      <c r="AV53" s="16">
        <v>1.9601115981302542</v>
      </c>
      <c r="AW53" s="16">
        <v>2.4140657549356126</v>
      </c>
      <c r="AX53" s="229">
        <v>2.1038519049745519</v>
      </c>
      <c r="AY53" s="230">
        <v>2.0375132402369545</v>
      </c>
      <c r="AZ53" s="16">
        <v>2.4741601942856128</v>
      </c>
      <c r="BA53" s="16">
        <v>3.7115078399464707</v>
      </c>
      <c r="BB53" s="229">
        <v>4.5120908536883331</v>
      </c>
      <c r="BC53" s="230">
        <v>5.0883884412535663</v>
      </c>
      <c r="BD53" s="16">
        <v>5.938706405313865</v>
      </c>
      <c r="BE53" s="16">
        <v>6.1750807601276936</v>
      </c>
      <c r="BF53" s="229">
        <v>7.1165574688410116</v>
      </c>
      <c r="BG53" s="230">
        <v>8.3912859360975922</v>
      </c>
      <c r="BH53" s="16">
        <v>9.9520897185723314</v>
      </c>
      <c r="BI53" s="16">
        <v>11.460810391730302</v>
      </c>
      <c r="BJ53" s="229">
        <v>9.8555440298199635</v>
      </c>
      <c r="BK53" s="230">
        <v>8.377192982456183</v>
      </c>
      <c r="BL53" s="16">
        <v>7.7711357813833315</v>
      </c>
      <c r="BM53" s="16">
        <v>6.4182194616977606</v>
      </c>
      <c r="BN53" s="229">
        <v>6.0805258833197318</v>
      </c>
      <c r="BO53" s="230">
        <v>5.6657223796034328</v>
      </c>
      <c r="BP53" s="16">
        <v>4.5166402535657735</v>
      </c>
      <c r="BQ53" s="16">
        <v>3.463035019455174</v>
      </c>
      <c r="BR53" s="229">
        <v>3.4469403563129664</v>
      </c>
      <c r="BS53" s="231">
        <v>3.8299502106472261</v>
      </c>
      <c r="BT53" s="232">
        <v>4.624715693707393</v>
      </c>
      <c r="BU53" s="55">
        <v>5.4531778864234326</v>
      </c>
      <c r="BV53" s="233">
        <v>6.0651441407711282</v>
      </c>
      <c r="BW53" s="232">
        <v>6.1232017705643349</v>
      </c>
      <c r="BX53" s="232">
        <v>5.7608695652173969</v>
      </c>
      <c r="BY53" s="55">
        <v>5.0998573466476849</v>
      </c>
      <c r="BZ53" s="233">
        <v>5.6477232615602668</v>
      </c>
      <c r="CA53" s="55">
        <v>5.7003823427184575</v>
      </c>
      <c r="CB53" s="55">
        <v>5.6526207605344325</v>
      </c>
      <c r="CC53" s="55">
        <v>6.2436375975572167</v>
      </c>
      <c r="CD53" s="55">
        <v>5.4126294687607546</v>
      </c>
      <c r="CE53" s="55">
        <v>5.9191055573824203</v>
      </c>
    </row>
    <row r="54" spans="1:90" hidden="1" x14ac:dyDescent="0.25">
      <c r="E54" s="16"/>
      <c r="AK54" s="177"/>
    </row>
    <row r="55" spans="1:90" hidden="1" x14ac:dyDescent="0.25">
      <c r="E55" s="10"/>
      <c r="AK55" s="177"/>
    </row>
    <row r="56" spans="1:90" hidden="1" x14ac:dyDescent="0.25">
      <c r="E56" s="10"/>
      <c r="AK56" s="177"/>
    </row>
    <row r="57" spans="1:90" hidden="1" x14ac:dyDescent="0.25">
      <c r="E57" s="10"/>
      <c r="AK57" s="177"/>
    </row>
    <row r="58" spans="1:90" hidden="1" x14ac:dyDescent="0.25">
      <c r="E58" s="10"/>
      <c r="AK58" s="177"/>
    </row>
    <row r="59" spans="1:90" hidden="1" x14ac:dyDescent="0.25">
      <c r="E59" s="10"/>
      <c r="AK59" s="177"/>
    </row>
    <row r="60" spans="1:90" hidden="1" x14ac:dyDescent="0.25">
      <c r="E60" s="10"/>
      <c r="AK60" s="177"/>
    </row>
    <row r="61" spans="1:90" hidden="1" x14ac:dyDescent="0.25">
      <c r="E61" s="10"/>
      <c r="AK61" s="177"/>
    </row>
    <row r="62" spans="1:90" hidden="1" x14ac:dyDescent="0.25">
      <c r="E62" s="10"/>
      <c r="AK62" s="110"/>
    </row>
    <row r="63" spans="1:90" hidden="1" x14ac:dyDescent="0.25">
      <c r="E63" s="10"/>
    </row>
    <row r="64" spans="1:90" hidden="1" x14ac:dyDescent="0.25">
      <c r="E64" s="10"/>
    </row>
    <row r="65" spans="2:84" hidden="1" x14ac:dyDescent="0.25">
      <c r="E65" s="10"/>
      <c r="AC65" s="4" t="s">
        <v>358</v>
      </c>
    </row>
    <row r="66" spans="2:84" hidden="1" x14ac:dyDescent="0.25">
      <c r="E66" s="10"/>
    </row>
    <row r="67" spans="2:84" hidden="1" x14ac:dyDescent="0.25">
      <c r="E67" s="10"/>
    </row>
    <row r="68" spans="2:84" hidden="1" x14ac:dyDescent="0.25">
      <c r="E68" s="10"/>
    </row>
    <row r="69" spans="2:84" hidden="1" x14ac:dyDescent="0.25">
      <c r="B69" s="4695">
        <v>1994</v>
      </c>
      <c r="C69" s="4696"/>
      <c r="D69" s="4696"/>
      <c r="E69" s="4697"/>
      <c r="F69" s="4695">
        <v>1995</v>
      </c>
      <c r="G69" s="4696"/>
      <c r="H69" s="4696"/>
      <c r="I69" s="4697"/>
      <c r="J69" s="4695">
        <v>1996</v>
      </c>
      <c r="K69" s="4696"/>
      <c r="L69" s="4696"/>
      <c r="M69" s="4697"/>
      <c r="N69" s="4695">
        <v>1997</v>
      </c>
      <c r="O69" s="4696"/>
      <c r="P69" s="4696"/>
      <c r="Q69" s="4697"/>
      <c r="R69" s="4695">
        <v>1998</v>
      </c>
      <c r="S69" s="4696"/>
      <c r="T69" s="4696"/>
      <c r="U69" s="4697"/>
      <c r="V69" s="4695">
        <v>1999</v>
      </c>
      <c r="W69" s="4696"/>
      <c r="X69" s="4696"/>
      <c r="Y69" s="4697"/>
      <c r="Z69" s="4695">
        <v>2000</v>
      </c>
      <c r="AA69" s="4696"/>
      <c r="AB69" s="4696"/>
      <c r="AC69" s="4697"/>
      <c r="AD69" s="2807"/>
      <c r="AE69" s="2807"/>
      <c r="AF69" s="4695">
        <v>2001</v>
      </c>
      <c r="AG69" s="4696"/>
      <c r="AH69" s="4696"/>
      <c r="AI69" s="4697"/>
      <c r="AJ69" s="4695">
        <v>2002</v>
      </c>
      <c r="AK69" s="4696"/>
      <c r="AL69" s="4696"/>
      <c r="AM69" s="4697"/>
      <c r="AN69" s="4695">
        <v>2003</v>
      </c>
      <c r="AO69" s="4696"/>
      <c r="AP69" s="4696"/>
      <c r="AQ69" s="4697"/>
      <c r="AR69" s="4695">
        <v>2004</v>
      </c>
      <c r="AS69" s="4696"/>
      <c r="AT69" s="4696"/>
      <c r="AU69" s="4697"/>
      <c r="AV69" s="4695">
        <v>2005</v>
      </c>
      <c r="AW69" s="4696"/>
      <c r="AX69" s="4696"/>
      <c r="AY69" s="4697"/>
      <c r="AZ69" s="4695">
        <v>2006</v>
      </c>
      <c r="BA69" s="4696"/>
      <c r="BB69" s="4696"/>
      <c r="BC69" s="4697"/>
      <c r="BD69" s="4695">
        <v>2007</v>
      </c>
      <c r="BE69" s="4696"/>
      <c r="BF69" s="4696"/>
      <c r="BG69" s="4697"/>
      <c r="BH69" s="4695">
        <v>2008</v>
      </c>
      <c r="BI69" s="4696"/>
      <c r="BJ69" s="4696"/>
      <c r="BK69" s="4697"/>
      <c r="BL69" s="4695">
        <v>2009</v>
      </c>
      <c r="BM69" s="4696"/>
      <c r="BN69" s="4696"/>
      <c r="BO69" s="4697"/>
      <c r="BP69" s="4695">
        <v>2010</v>
      </c>
      <c r="BQ69" s="4696"/>
      <c r="BR69" s="4696"/>
      <c r="BS69" s="4697"/>
      <c r="BT69" s="4695">
        <v>2011</v>
      </c>
      <c r="BU69" s="4696"/>
      <c r="BV69" s="4696"/>
      <c r="BW69" s="4696"/>
      <c r="BX69" s="4696"/>
      <c r="BY69" s="4696"/>
      <c r="BZ69" s="4696"/>
      <c r="CA69" s="4696"/>
      <c r="CB69" s="4696"/>
      <c r="CC69" s="4696"/>
      <c r="CD69" s="4696"/>
      <c r="CE69" s="4696"/>
      <c r="CF69" s="3376"/>
    </row>
    <row r="70" spans="2:84" hidden="1" x14ac:dyDescent="0.25">
      <c r="B70" s="234" t="s">
        <v>360</v>
      </c>
      <c r="C70" s="235" t="s">
        <v>357</v>
      </c>
      <c r="D70" s="67" t="s">
        <v>358</v>
      </c>
      <c r="E70" s="4" t="s">
        <v>359</v>
      </c>
      <c r="F70" s="234" t="s">
        <v>360</v>
      </c>
      <c r="G70" s="235" t="s">
        <v>357</v>
      </c>
      <c r="H70" s="67" t="s">
        <v>358</v>
      </c>
      <c r="I70" s="4" t="s">
        <v>359</v>
      </c>
      <c r="J70" s="234" t="s">
        <v>360</v>
      </c>
      <c r="K70" s="235" t="s">
        <v>357</v>
      </c>
      <c r="L70" s="67" t="s">
        <v>358</v>
      </c>
      <c r="M70" s="4" t="s">
        <v>359</v>
      </c>
      <c r="N70" s="234" t="s">
        <v>360</v>
      </c>
      <c r="O70" s="235" t="s">
        <v>357</v>
      </c>
      <c r="P70" s="67" t="s">
        <v>358</v>
      </c>
      <c r="Q70" s="4" t="s">
        <v>359</v>
      </c>
      <c r="R70" s="234" t="s">
        <v>360</v>
      </c>
      <c r="S70" s="235" t="s">
        <v>357</v>
      </c>
      <c r="T70" s="67" t="s">
        <v>358</v>
      </c>
      <c r="U70" s="4" t="s">
        <v>359</v>
      </c>
      <c r="V70" s="234" t="s">
        <v>360</v>
      </c>
      <c r="W70" s="235" t="s">
        <v>357</v>
      </c>
      <c r="X70" s="67" t="s">
        <v>358</v>
      </c>
      <c r="Y70" s="4" t="s">
        <v>359</v>
      </c>
      <c r="Z70" s="234" t="s">
        <v>360</v>
      </c>
      <c r="AA70" s="235" t="s">
        <v>357</v>
      </c>
      <c r="AB70" s="67" t="s">
        <v>358</v>
      </c>
      <c r="AC70" s="4" t="s">
        <v>359</v>
      </c>
      <c r="AF70" s="234" t="s">
        <v>360</v>
      </c>
      <c r="AG70" s="235" t="s">
        <v>357</v>
      </c>
      <c r="AH70" s="67" t="s">
        <v>358</v>
      </c>
      <c r="AI70" s="4" t="s">
        <v>359</v>
      </c>
      <c r="AJ70" s="234" t="s">
        <v>360</v>
      </c>
      <c r="AK70" s="235" t="s">
        <v>357</v>
      </c>
      <c r="AL70" s="67" t="s">
        <v>358</v>
      </c>
      <c r="AM70" s="4" t="s">
        <v>359</v>
      </c>
      <c r="AN70" s="234" t="s">
        <v>360</v>
      </c>
      <c r="AO70" s="235" t="s">
        <v>357</v>
      </c>
      <c r="AP70" s="67" t="s">
        <v>358</v>
      </c>
      <c r="AQ70" s="4" t="s">
        <v>359</v>
      </c>
      <c r="AR70" s="234" t="s">
        <v>360</v>
      </c>
      <c r="AS70" s="235" t="s">
        <v>357</v>
      </c>
      <c r="AT70" s="67" t="s">
        <v>358</v>
      </c>
      <c r="AU70" s="4" t="s">
        <v>359</v>
      </c>
      <c r="AV70" s="234" t="s">
        <v>360</v>
      </c>
      <c r="AW70" s="235" t="s">
        <v>357</v>
      </c>
      <c r="AX70" s="67" t="s">
        <v>358</v>
      </c>
      <c r="AY70" s="4" t="s">
        <v>359</v>
      </c>
      <c r="AZ70" s="234" t="s">
        <v>360</v>
      </c>
      <c r="BA70" s="235" t="s">
        <v>357</v>
      </c>
      <c r="BB70" s="67" t="s">
        <v>358</v>
      </c>
      <c r="BC70" s="4" t="s">
        <v>359</v>
      </c>
      <c r="BD70" s="234" t="s">
        <v>360</v>
      </c>
      <c r="BE70" s="235" t="s">
        <v>357</v>
      </c>
      <c r="BF70" s="67" t="s">
        <v>358</v>
      </c>
      <c r="BG70" s="4" t="s">
        <v>359</v>
      </c>
      <c r="BH70" s="234" t="s">
        <v>360</v>
      </c>
      <c r="BI70" s="235" t="s">
        <v>357</v>
      </c>
      <c r="BJ70" s="67" t="s">
        <v>358</v>
      </c>
      <c r="BK70" s="4" t="s">
        <v>359</v>
      </c>
      <c r="BL70" s="234" t="s">
        <v>360</v>
      </c>
      <c r="BM70" s="235" t="s">
        <v>357</v>
      </c>
      <c r="BN70" s="67" t="s">
        <v>358</v>
      </c>
      <c r="BO70" s="4" t="s">
        <v>359</v>
      </c>
      <c r="BP70" s="234" t="s">
        <v>360</v>
      </c>
      <c r="BQ70" s="235" t="s">
        <v>357</v>
      </c>
      <c r="BR70" s="67" t="s">
        <v>358</v>
      </c>
      <c r="BS70" s="4" t="s">
        <v>359</v>
      </c>
      <c r="BT70" s="234" t="s">
        <v>360</v>
      </c>
      <c r="BU70" s="66" t="s">
        <v>357</v>
      </c>
      <c r="BV70" s="67" t="s">
        <v>358</v>
      </c>
      <c r="BW70" s="4" t="s">
        <v>359</v>
      </c>
      <c r="BX70" s="234" t="s">
        <v>360</v>
      </c>
      <c r="CA70" s="4" t="s">
        <v>359</v>
      </c>
      <c r="CB70" s="234" t="s">
        <v>360</v>
      </c>
      <c r="CE70" s="4" t="s">
        <v>359</v>
      </c>
    </row>
    <row r="71" spans="2:84" hidden="1" x14ac:dyDescent="0.25">
      <c r="B71" s="236">
        <v>16.25</v>
      </c>
      <c r="C71" s="237">
        <v>17.0833333333333</v>
      </c>
      <c r="D71" s="238">
        <v>17.5</v>
      </c>
      <c r="E71" s="238">
        <v>18.5</v>
      </c>
      <c r="F71" s="236">
        <v>18.5</v>
      </c>
      <c r="G71" s="237">
        <v>18.5</v>
      </c>
      <c r="H71" s="238">
        <v>20.1666666666667</v>
      </c>
      <c r="I71" s="238">
        <v>19.5</v>
      </c>
      <c r="J71" s="236">
        <v>19.9166666666667</v>
      </c>
      <c r="K71" s="237">
        <v>20.25</v>
      </c>
      <c r="L71" s="238">
        <v>20.25</v>
      </c>
      <c r="M71" s="238">
        <v>20.25</v>
      </c>
      <c r="N71" s="236">
        <v>19.25</v>
      </c>
      <c r="O71" s="237">
        <v>18.9166666666667</v>
      </c>
      <c r="P71" s="238">
        <v>19.5833333333333</v>
      </c>
      <c r="Q71" s="238">
        <v>25</v>
      </c>
      <c r="R71" s="236">
        <v>23.6666666666667</v>
      </c>
      <c r="S71" s="237">
        <v>21</v>
      </c>
      <c r="T71" s="238">
        <v>18.6666666666667</v>
      </c>
      <c r="U71" s="238">
        <v>16.8333333333333</v>
      </c>
      <c r="V71" s="236">
        <v>15.5</v>
      </c>
      <c r="W71" s="237">
        <v>14.5</v>
      </c>
      <c r="X71" s="238">
        <v>14.5</v>
      </c>
      <c r="Y71" s="238">
        <v>14.5</v>
      </c>
      <c r="Z71" s="236">
        <v>14.5</v>
      </c>
      <c r="AA71" s="237">
        <v>14.5</v>
      </c>
      <c r="AB71" s="238">
        <v>14.25</v>
      </c>
      <c r="AC71" s="238">
        <v>13.3333333333333</v>
      </c>
      <c r="AD71" s="238"/>
      <c r="AE71" s="238"/>
      <c r="AF71" s="236">
        <v>13</v>
      </c>
      <c r="AG71" s="237">
        <v>14.3333333333333</v>
      </c>
      <c r="AH71" s="238">
        <v>15.3333333333333</v>
      </c>
      <c r="AI71" s="238">
        <v>16.3333333333333</v>
      </c>
      <c r="AJ71" s="236">
        <v>17</v>
      </c>
      <c r="AK71" s="237">
        <v>17</v>
      </c>
      <c r="AL71" s="238">
        <v>16.5</v>
      </c>
      <c r="AM71" s="238">
        <v>14.5</v>
      </c>
      <c r="AN71" s="236">
        <v>11.8333333333333</v>
      </c>
      <c r="AO71" s="237">
        <v>11.5</v>
      </c>
      <c r="AP71" s="238">
        <v>11.5</v>
      </c>
      <c r="AQ71" s="238">
        <v>11.1666666666667</v>
      </c>
      <c r="AR71" s="236">
        <v>11</v>
      </c>
      <c r="AS71" s="237">
        <v>11</v>
      </c>
      <c r="AT71" s="238">
        <v>10.5</v>
      </c>
      <c r="AU71" s="238">
        <v>10.5</v>
      </c>
      <c r="AV71" s="236">
        <v>10.5</v>
      </c>
      <c r="AW71" s="237">
        <v>10.5</v>
      </c>
      <c r="AX71" s="238">
        <v>10.6666666666667</v>
      </c>
      <c r="AY71" s="238">
        <v>11.3333333333333</v>
      </c>
      <c r="AZ71" s="236">
        <v>12.1666666666667</v>
      </c>
      <c r="BA71" s="237">
        <v>12.5</v>
      </c>
      <c r="BB71" s="238">
        <v>12.6666666666667</v>
      </c>
      <c r="BC71" s="238">
        <v>13.3333333333333</v>
      </c>
      <c r="BD71" s="236">
        <v>14.1666666666667</v>
      </c>
      <c r="BE71" s="237">
        <v>14.5</v>
      </c>
      <c r="BF71" s="238">
        <v>15.1666666666667</v>
      </c>
      <c r="BG71" s="238">
        <v>15.5</v>
      </c>
      <c r="BH71" s="236">
        <v>15.3333333333333</v>
      </c>
      <c r="BI71" s="237">
        <v>14</v>
      </c>
      <c r="BJ71" s="238">
        <v>11.6666666666667</v>
      </c>
      <c r="BK71" s="238">
        <v>10.6666666666667</v>
      </c>
      <c r="BL71" s="236">
        <v>10.5</v>
      </c>
      <c r="BM71" s="237">
        <v>10.3333333333333</v>
      </c>
      <c r="BN71" s="238">
        <v>10</v>
      </c>
      <c r="BO71" s="238">
        <v>9.8333333333333304</v>
      </c>
      <c r="BP71" s="236">
        <v>9.1666666666666696</v>
      </c>
      <c r="BQ71" s="237">
        <v>9</v>
      </c>
      <c r="BR71" s="238">
        <v>9</v>
      </c>
      <c r="BS71" s="238">
        <v>9</v>
      </c>
      <c r="BT71" s="239">
        <v>9</v>
      </c>
      <c r="BU71" s="240">
        <v>9</v>
      </c>
      <c r="BV71" s="240">
        <v>9</v>
      </c>
      <c r="BW71" s="240">
        <v>8.5</v>
      </c>
      <c r="BX71" s="239">
        <v>8.5</v>
      </c>
      <c r="CA71" s="240">
        <v>8.5</v>
      </c>
      <c r="CB71" s="239">
        <v>8.5</v>
      </c>
      <c r="CE71" s="240">
        <v>8.5</v>
      </c>
    </row>
    <row r="72" spans="2:84" hidden="1" x14ac:dyDescent="0.25">
      <c r="E72" s="10"/>
    </row>
    <row r="73" spans="2:84" hidden="1" x14ac:dyDescent="0.25">
      <c r="E73" s="10"/>
    </row>
    <row r="74" spans="2:84" hidden="1" x14ac:dyDescent="0.25">
      <c r="E74" s="10"/>
    </row>
    <row r="75" spans="2:84" hidden="1" x14ac:dyDescent="0.25">
      <c r="E75" s="10"/>
    </row>
    <row r="76" spans="2:84" hidden="1" x14ac:dyDescent="0.25">
      <c r="E76" s="10"/>
    </row>
    <row r="77" spans="2:84" hidden="1" x14ac:dyDescent="0.25">
      <c r="E77" s="10"/>
    </row>
    <row r="78" spans="2:84" hidden="1" x14ac:dyDescent="0.25">
      <c r="E78" s="10"/>
    </row>
    <row r="79" spans="2:84" hidden="1" x14ac:dyDescent="0.25">
      <c r="E79" s="10"/>
    </row>
    <row r="80" spans="2:84" hidden="1" x14ac:dyDescent="0.25">
      <c r="E80" s="10"/>
    </row>
    <row r="81" spans="5:5" hidden="1" x14ac:dyDescent="0.25">
      <c r="E81" s="10"/>
    </row>
    <row r="82" spans="5:5" hidden="1" x14ac:dyDescent="0.25">
      <c r="E82" s="10"/>
    </row>
    <row r="83" spans="5:5" x14ac:dyDescent="0.25">
      <c r="E83" s="10"/>
    </row>
    <row r="84" spans="5:5" x14ac:dyDescent="0.25">
      <c r="E84" s="10"/>
    </row>
    <row r="85" spans="5:5" x14ac:dyDescent="0.25">
      <c r="E85" s="10"/>
    </row>
    <row r="86" spans="5:5" x14ac:dyDescent="0.25">
      <c r="E86" s="10"/>
    </row>
    <row r="87" spans="5:5" x14ac:dyDescent="0.25">
      <c r="E87" s="10"/>
    </row>
    <row r="88" spans="5:5" x14ac:dyDescent="0.25">
      <c r="E88" s="10"/>
    </row>
    <row r="89" spans="5:5" x14ac:dyDescent="0.25">
      <c r="E89" s="10"/>
    </row>
    <row r="90" spans="5:5" x14ac:dyDescent="0.25">
      <c r="E90" s="10"/>
    </row>
    <row r="91" spans="5:5" x14ac:dyDescent="0.25">
      <c r="E91" s="10"/>
    </row>
    <row r="92" spans="5:5" x14ac:dyDescent="0.25">
      <c r="E92" s="10"/>
    </row>
    <row r="93" spans="5:5" x14ac:dyDescent="0.25">
      <c r="E93" s="10"/>
    </row>
    <row r="94" spans="5:5" x14ac:dyDescent="0.25">
      <c r="E94" s="10"/>
    </row>
    <row r="95" spans="5:5" x14ac:dyDescent="0.25">
      <c r="E95" s="10"/>
    </row>
    <row r="96" spans="5:5" x14ac:dyDescent="0.25">
      <c r="E96" s="10"/>
    </row>
    <row r="97" spans="5:5" x14ac:dyDescent="0.25">
      <c r="E97" s="10"/>
    </row>
    <row r="98" spans="5:5" x14ac:dyDescent="0.25">
      <c r="E98" s="10"/>
    </row>
    <row r="99" spans="5:5" x14ac:dyDescent="0.25">
      <c r="E99" s="10"/>
    </row>
    <row r="100" spans="5:5" x14ac:dyDescent="0.25">
      <c r="E100" s="10"/>
    </row>
    <row r="101" spans="5:5" x14ac:dyDescent="0.25">
      <c r="E101" s="10"/>
    </row>
    <row r="102" spans="5:5" x14ac:dyDescent="0.25">
      <c r="E102" s="10"/>
    </row>
    <row r="103" spans="5:5" x14ac:dyDescent="0.25">
      <c r="E103" s="10"/>
    </row>
    <row r="104" spans="5:5" x14ac:dyDescent="0.25">
      <c r="E104" s="10"/>
    </row>
    <row r="105" spans="5:5" x14ac:dyDescent="0.25">
      <c r="E105" s="10"/>
    </row>
    <row r="106" spans="5:5" x14ac:dyDescent="0.25">
      <c r="E106" s="10"/>
    </row>
    <row r="107" spans="5:5" x14ac:dyDescent="0.25">
      <c r="E107" s="10"/>
    </row>
    <row r="108" spans="5:5" x14ac:dyDescent="0.25">
      <c r="E108" s="10"/>
    </row>
    <row r="109" spans="5:5" x14ac:dyDescent="0.25">
      <c r="E109" s="10"/>
    </row>
    <row r="110" spans="5:5" x14ac:dyDescent="0.25">
      <c r="E110" s="10"/>
    </row>
    <row r="111" spans="5:5" x14ac:dyDescent="0.25">
      <c r="E111" s="10"/>
    </row>
    <row r="112" spans="5:5" x14ac:dyDescent="0.25">
      <c r="E112" s="10"/>
    </row>
    <row r="113" spans="5:5" x14ac:dyDescent="0.25">
      <c r="E113" s="10"/>
    </row>
    <row r="114" spans="5:5" x14ac:dyDescent="0.25">
      <c r="E114" s="10"/>
    </row>
    <row r="115" spans="5:5" x14ac:dyDescent="0.25">
      <c r="E115" s="10"/>
    </row>
    <row r="116" spans="5:5" x14ac:dyDescent="0.25">
      <c r="E116" s="10"/>
    </row>
    <row r="117" spans="5:5" x14ac:dyDescent="0.25">
      <c r="E117" s="10"/>
    </row>
    <row r="118" spans="5:5" x14ac:dyDescent="0.25">
      <c r="E118" s="10"/>
    </row>
    <row r="119" spans="5:5" x14ac:dyDescent="0.25">
      <c r="E119" s="10"/>
    </row>
    <row r="120" spans="5:5" x14ac:dyDescent="0.25">
      <c r="E120" s="10"/>
    </row>
    <row r="121" spans="5:5" x14ac:dyDescent="0.25">
      <c r="E121" s="10"/>
    </row>
    <row r="122" spans="5:5" x14ac:dyDescent="0.25">
      <c r="E122" s="10"/>
    </row>
    <row r="123" spans="5:5" x14ac:dyDescent="0.25">
      <c r="E123" s="10"/>
    </row>
    <row r="124" spans="5:5" x14ac:dyDescent="0.25">
      <c r="E124" s="10"/>
    </row>
    <row r="125" spans="5:5" x14ac:dyDescent="0.25">
      <c r="E125" s="10"/>
    </row>
    <row r="126" spans="5:5" x14ac:dyDescent="0.25">
      <c r="E126" s="10"/>
    </row>
    <row r="127" spans="5:5" x14ac:dyDescent="0.25">
      <c r="E127" s="10"/>
    </row>
    <row r="128" spans="5:5" x14ac:dyDescent="0.25">
      <c r="E128" s="10"/>
    </row>
    <row r="129" spans="5:5" x14ac:dyDescent="0.25">
      <c r="E129" s="10"/>
    </row>
    <row r="130" spans="5:5" x14ac:dyDescent="0.25">
      <c r="E130" s="10"/>
    </row>
    <row r="131" spans="5:5" x14ac:dyDescent="0.25">
      <c r="E131" s="10"/>
    </row>
    <row r="132" spans="5:5" x14ac:dyDescent="0.25">
      <c r="E132" s="10"/>
    </row>
    <row r="133" spans="5:5" x14ac:dyDescent="0.25">
      <c r="E133" s="10"/>
    </row>
    <row r="134" spans="5:5" x14ac:dyDescent="0.25">
      <c r="E134" s="10"/>
    </row>
    <row r="135" spans="5:5" x14ac:dyDescent="0.25">
      <c r="E135" s="10"/>
    </row>
    <row r="136" spans="5:5" x14ac:dyDescent="0.25">
      <c r="E136" s="10"/>
    </row>
    <row r="137" spans="5:5" x14ac:dyDescent="0.25">
      <c r="E137" s="10"/>
    </row>
    <row r="138" spans="5:5" x14ac:dyDescent="0.25">
      <c r="E138" s="10"/>
    </row>
    <row r="139" spans="5:5" x14ac:dyDescent="0.25">
      <c r="E139" s="10"/>
    </row>
    <row r="140" spans="5:5" x14ac:dyDescent="0.25">
      <c r="E140" s="10"/>
    </row>
    <row r="141" spans="5:5" x14ac:dyDescent="0.25">
      <c r="E141" s="10"/>
    </row>
    <row r="142" spans="5:5" x14ac:dyDescent="0.25">
      <c r="E142" s="10"/>
    </row>
    <row r="143" spans="5:5" x14ac:dyDescent="0.25">
      <c r="E143" s="10"/>
    </row>
    <row r="144" spans="5:5" x14ac:dyDescent="0.25">
      <c r="E144" s="10"/>
    </row>
    <row r="145" spans="5:5" x14ac:dyDescent="0.25">
      <c r="E145" s="10"/>
    </row>
    <row r="146" spans="5:5" x14ac:dyDescent="0.25">
      <c r="E146" s="10"/>
    </row>
    <row r="147" spans="5:5" x14ac:dyDescent="0.25">
      <c r="E147" s="10"/>
    </row>
    <row r="148" spans="5:5" x14ac:dyDescent="0.25">
      <c r="E148" s="10"/>
    </row>
    <row r="149" spans="5:5" x14ac:dyDescent="0.25">
      <c r="E149" s="10"/>
    </row>
    <row r="150" spans="5:5" x14ac:dyDescent="0.25">
      <c r="E150" s="10"/>
    </row>
    <row r="151" spans="5:5" x14ac:dyDescent="0.25">
      <c r="E151" s="10"/>
    </row>
    <row r="152" spans="5:5" x14ac:dyDescent="0.25">
      <c r="E152" s="10"/>
    </row>
    <row r="153" spans="5:5" x14ac:dyDescent="0.25">
      <c r="E153" s="10"/>
    </row>
    <row r="154" spans="5:5" x14ac:dyDescent="0.25">
      <c r="E154" s="10"/>
    </row>
    <row r="155" spans="5:5" x14ac:dyDescent="0.25">
      <c r="E155" s="10"/>
    </row>
    <row r="156" spans="5:5" x14ac:dyDescent="0.25">
      <c r="E156" s="10"/>
    </row>
    <row r="157" spans="5:5" x14ac:dyDescent="0.25">
      <c r="E157" s="10"/>
    </row>
    <row r="158" spans="5:5" x14ac:dyDescent="0.25">
      <c r="E158" s="10"/>
    </row>
    <row r="159" spans="5:5" x14ac:dyDescent="0.25">
      <c r="E159" s="10"/>
    </row>
    <row r="160" spans="5:5" x14ac:dyDescent="0.25">
      <c r="E160" s="10"/>
    </row>
    <row r="161" spans="2:5" x14ac:dyDescent="0.25">
      <c r="E161" s="10"/>
    </row>
    <row r="162" spans="2:5" x14ac:dyDescent="0.25">
      <c r="E162" s="10"/>
    </row>
    <row r="163" spans="2:5" x14ac:dyDescent="0.25">
      <c r="E163" s="10"/>
    </row>
    <row r="164" spans="2:5" x14ac:dyDescent="0.25">
      <c r="E164" s="10"/>
    </row>
    <row r="165" spans="2:5" x14ac:dyDescent="0.25">
      <c r="E165" s="10"/>
    </row>
    <row r="166" spans="2:5" x14ac:dyDescent="0.25">
      <c r="E166" s="10"/>
    </row>
    <row r="167" spans="2:5" x14ac:dyDescent="0.25">
      <c r="E167" s="10"/>
    </row>
    <row r="168" spans="2:5" x14ac:dyDescent="0.25">
      <c r="E168" s="10"/>
    </row>
    <row r="169" spans="2:5" x14ac:dyDescent="0.25">
      <c r="E169" s="10"/>
    </row>
    <row r="170" spans="2:5" x14ac:dyDescent="0.25">
      <c r="E170" s="10"/>
    </row>
    <row r="171" spans="2:5" x14ac:dyDescent="0.25">
      <c r="E171" s="10"/>
    </row>
    <row r="172" spans="2:5" x14ac:dyDescent="0.25">
      <c r="E172" s="10"/>
    </row>
    <row r="173" spans="2:5" x14ac:dyDescent="0.25">
      <c r="E173" s="10"/>
    </row>
    <row r="174" spans="2:5" x14ac:dyDescent="0.25">
      <c r="B174" s="80"/>
      <c r="C174" s="81"/>
      <c r="D174" s="10"/>
      <c r="E174" s="10"/>
    </row>
    <row r="175" spans="2:5" x14ac:dyDescent="0.25">
      <c r="B175" s="241"/>
      <c r="C175" s="242"/>
      <c r="D175" s="38"/>
      <c r="E175" s="38"/>
    </row>
    <row r="176" spans="2:5" x14ac:dyDescent="0.25">
      <c r="B176" s="80"/>
      <c r="C176" s="81"/>
      <c r="D176" s="10"/>
    </row>
    <row r="177" spans="2:4" x14ac:dyDescent="0.25">
      <c r="B177" s="80"/>
      <c r="C177" s="81"/>
      <c r="D177" s="10"/>
    </row>
    <row r="178" spans="2:4" x14ac:dyDescent="0.25">
      <c r="B178" s="80"/>
      <c r="C178" s="81"/>
      <c r="D178" s="10"/>
    </row>
    <row r="179" spans="2:4" x14ac:dyDescent="0.25">
      <c r="B179" s="80"/>
      <c r="C179" s="81"/>
      <c r="D179" s="10"/>
    </row>
    <row r="180" spans="2:4" x14ac:dyDescent="0.25">
      <c r="B180" s="80"/>
      <c r="C180" s="81"/>
      <c r="D180" s="10"/>
    </row>
  </sheetData>
  <mergeCells count="46">
    <mergeCell ref="BH69:BK69"/>
    <mergeCell ref="BL69:BO69"/>
    <mergeCell ref="BP69:BS69"/>
    <mergeCell ref="BT69:CE69"/>
    <mergeCell ref="AJ69:AM69"/>
    <mergeCell ref="AN69:AQ69"/>
    <mergeCell ref="AR69:AU69"/>
    <mergeCell ref="AV69:AY69"/>
    <mergeCell ref="AZ69:BC69"/>
    <mergeCell ref="BD69:BG69"/>
    <mergeCell ref="CE44:CH44"/>
    <mergeCell ref="CI44:CL44"/>
    <mergeCell ref="B69:E69"/>
    <mergeCell ref="F69:I69"/>
    <mergeCell ref="J69:M69"/>
    <mergeCell ref="N69:Q69"/>
    <mergeCell ref="R69:U69"/>
    <mergeCell ref="V69:Y69"/>
    <mergeCell ref="Z69:AC69"/>
    <mergeCell ref="AF69:AI69"/>
    <mergeCell ref="BG44:BJ44"/>
    <mergeCell ref="BK44:BN44"/>
    <mergeCell ref="BO44:BR44"/>
    <mergeCell ref="BS44:BV44"/>
    <mergeCell ref="BW44:BZ44"/>
    <mergeCell ref="CA44:CD44"/>
    <mergeCell ref="BC44:BF44"/>
    <mergeCell ref="D40:AF40"/>
    <mergeCell ref="E44:H44"/>
    <mergeCell ref="I44:L44"/>
    <mergeCell ref="M44:P44"/>
    <mergeCell ref="Q44:T44"/>
    <mergeCell ref="U44:X44"/>
    <mergeCell ref="Y44:AB44"/>
    <mergeCell ref="AC44:AH44"/>
    <mergeCell ref="AI44:AL44"/>
    <mergeCell ref="AM44:AP44"/>
    <mergeCell ref="AQ44:AT44"/>
    <mergeCell ref="AU44:AX44"/>
    <mergeCell ref="AY44:BB44"/>
    <mergeCell ref="D39:AF39"/>
    <mergeCell ref="D2:AF2"/>
    <mergeCell ref="D3:AF3"/>
    <mergeCell ref="D4:AF4"/>
    <mergeCell ref="D37:AF37"/>
    <mergeCell ref="D38:AF38"/>
  </mergeCells>
  <pageMargins left="0.74803149606299202" right="0.74803149606299202" top="0.98425196850393704" bottom="0.98425196850393704" header="0.511811023622047" footer="0.511811023622047"/>
  <pageSetup paperSize="9" scale="64"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B43CD-2BF4-4C41-88FD-54028B27FA86}">
  <sheetPr>
    <tabColor rgb="FFFFC000"/>
    <pageSetUpPr fitToPage="1"/>
  </sheetPr>
  <dimension ref="A1:CS71"/>
  <sheetViews>
    <sheetView showGridLines="0" view="pageBreakPreview" zoomScaleNormal="100" zoomScaleSheetLayoutView="100" workbookViewId="0">
      <selection activeCell="AM37" sqref="AM37"/>
    </sheetView>
  </sheetViews>
  <sheetFormatPr defaultColWidth="9.140625" defaultRowHeight="15" x14ac:dyDescent="0.25"/>
  <cols>
    <col min="1" max="1" width="3.85546875" style="69" customWidth="1"/>
    <col min="2" max="2" width="14.42578125" style="66" customWidth="1"/>
    <col min="3" max="3" width="3.85546875" style="67" customWidth="1"/>
    <col min="4" max="4" width="18.140625" style="4" customWidth="1"/>
    <col min="5" max="5" width="5.140625" style="4" customWidth="1"/>
    <col min="6" max="25" width="5.42578125" style="4" customWidth="1"/>
    <col min="26" max="26" width="5.85546875" style="4" customWidth="1"/>
    <col min="27" max="32" width="4.85546875" style="4" customWidth="1"/>
    <col min="33" max="33" width="7.140625" style="4" customWidth="1"/>
    <col min="34" max="98" width="4.85546875" style="4" customWidth="1"/>
    <col min="99" max="16384" width="9.140625" style="4"/>
  </cols>
  <sheetData>
    <row r="1" spans="1:47" x14ac:dyDescent="0.25">
      <c r="D1" s="68"/>
      <c r="E1" s="68"/>
      <c r="F1" s="68"/>
      <c r="G1" s="68"/>
      <c r="H1" s="68"/>
      <c r="I1" s="68"/>
      <c r="J1" s="68"/>
      <c r="K1" s="68"/>
      <c r="L1" s="68"/>
      <c r="M1" s="68"/>
      <c r="N1" s="68"/>
      <c r="O1" s="68"/>
      <c r="P1" s="68"/>
      <c r="Q1" s="68"/>
      <c r="R1" s="68"/>
      <c r="S1" s="68"/>
      <c r="T1" s="68"/>
      <c r="U1" s="68"/>
    </row>
    <row r="2" spans="1:47" ht="15" customHeight="1" x14ac:dyDescent="0.25">
      <c r="A2" s="69">
        <v>1</v>
      </c>
      <c r="B2" s="70" t="s">
        <v>0</v>
      </c>
      <c r="C2" s="69">
        <v>15</v>
      </c>
      <c r="D2" s="4674" t="s">
        <v>429</v>
      </c>
      <c r="E2" s="4675"/>
      <c r="F2" s="4675"/>
      <c r="G2" s="4675"/>
      <c r="H2" s="4675"/>
      <c r="I2" s="4675"/>
      <c r="J2" s="4675"/>
      <c r="K2" s="4675"/>
      <c r="L2" s="4675"/>
      <c r="M2" s="4675"/>
      <c r="N2" s="4675"/>
      <c r="O2" s="4675"/>
      <c r="P2" s="4675"/>
      <c r="Q2" s="4675"/>
      <c r="R2" s="4675"/>
      <c r="S2" s="4675"/>
      <c r="T2" s="4675"/>
      <c r="U2" s="4675"/>
      <c r="V2" s="4675"/>
      <c r="W2" s="4675"/>
      <c r="X2" s="4675"/>
      <c r="Y2" s="4675"/>
      <c r="Z2" s="4675"/>
      <c r="AA2" s="4675"/>
      <c r="AB2" s="4675"/>
      <c r="AC2" s="4676"/>
      <c r="AD2" s="180"/>
      <c r="AE2" s="180"/>
    </row>
    <row r="3" spans="1:47" ht="15" customHeight="1" x14ac:dyDescent="0.25">
      <c r="A3" s="69">
        <v>2</v>
      </c>
      <c r="B3" s="70" t="s">
        <v>2</v>
      </c>
      <c r="C3" s="69"/>
      <c r="D3" s="4674" t="s">
        <v>412</v>
      </c>
      <c r="E3" s="4675"/>
      <c r="F3" s="4675"/>
      <c r="G3" s="4675"/>
      <c r="H3" s="4675"/>
      <c r="I3" s="4675"/>
      <c r="J3" s="4675"/>
      <c r="K3" s="4675"/>
      <c r="L3" s="4675"/>
      <c r="M3" s="4675"/>
      <c r="N3" s="4675"/>
      <c r="O3" s="4675"/>
      <c r="P3" s="4675"/>
      <c r="Q3" s="4675"/>
      <c r="R3" s="4675"/>
      <c r="S3" s="4675"/>
      <c r="T3" s="4675"/>
      <c r="U3" s="4675"/>
      <c r="V3" s="4675"/>
      <c r="W3" s="4675"/>
      <c r="X3" s="4675"/>
      <c r="Y3" s="4675"/>
      <c r="Z3" s="4675"/>
      <c r="AA3" s="4675"/>
      <c r="AB3" s="4675"/>
      <c r="AC3" s="4676"/>
      <c r="AD3" s="180"/>
      <c r="AE3" s="180"/>
    </row>
    <row r="4" spans="1:47" ht="15" customHeight="1" x14ac:dyDescent="0.25">
      <c r="A4" s="69">
        <v>3</v>
      </c>
      <c r="B4" s="70" t="s">
        <v>4</v>
      </c>
      <c r="C4" s="69"/>
      <c r="D4" s="4674" t="s">
        <v>430</v>
      </c>
      <c r="E4" s="4675"/>
      <c r="F4" s="4675"/>
      <c r="G4" s="4675"/>
      <c r="H4" s="4675"/>
      <c r="I4" s="4675"/>
      <c r="J4" s="4675"/>
      <c r="K4" s="4675"/>
      <c r="L4" s="4675"/>
      <c r="M4" s="4675"/>
      <c r="N4" s="4675"/>
      <c r="O4" s="4675"/>
      <c r="P4" s="4675"/>
      <c r="Q4" s="4675"/>
      <c r="R4" s="4675"/>
      <c r="S4" s="4675"/>
      <c r="T4" s="4675"/>
      <c r="U4" s="4675"/>
      <c r="V4" s="4675"/>
      <c r="W4" s="4675"/>
      <c r="X4" s="4675"/>
      <c r="Y4" s="4675"/>
      <c r="Z4" s="4675"/>
      <c r="AA4" s="4675"/>
      <c r="AB4" s="4675"/>
      <c r="AC4" s="4676"/>
      <c r="AD4" s="180"/>
      <c r="AE4" s="180"/>
    </row>
    <row r="5" spans="1:47" ht="14.25" customHeight="1" x14ac:dyDescent="0.25">
      <c r="B5" s="70"/>
      <c r="C5" s="69"/>
      <c r="D5" s="4698"/>
      <c r="E5" s="4698"/>
      <c r="F5" s="4698"/>
      <c r="G5" s="4698"/>
      <c r="H5" s="4698"/>
      <c r="I5" s="4698"/>
      <c r="J5" s="4698"/>
      <c r="K5" s="4698"/>
      <c r="L5" s="4698"/>
      <c r="M5" s="4698"/>
      <c r="N5" s="4698"/>
      <c r="O5" s="4698"/>
      <c r="P5" s="4698"/>
      <c r="Q5" s="4698"/>
      <c r="R5" s="4698"/>
      <c r="S5" s="4698"/>
      <c r="T5" s="4698"/>
      <c r="U5" s="4698"/>
      <c r="V5" s="4698"/>
      <c r="W5" s="4698"/>
      <c r="X5" s="4698"/>
      <c r="Y5" s="4698"/>
      <c r="Z5" s="4698"/>
      <c r="AA5" s="4698"/>
      <c r="AB5" s="4698"/>
      <c r="AC5" s="8"/>
      <c r="AD5" s="8"/>
      <c r="AE5" s="8"/>
      <c r="AF5" s="8"/>
      <c r="AG5" s="8"/>
      <c r="AH5" s="8"/>
      <c r="AI5" s="8"/>
      <c r="AJ5" s="8"/>
      <c r="AK5" s="8"/>
      <c r="AL5" s="8"/>
      <c r="AM5" s="8"/>
      <c r="AN5" s="8"/>
      <c r="AO5" s="8"/>
      <c r="AP5" s="8"/>
      <c r="AQ5" s="8"/>
      <c r="AR5" s="8"/>
      <c r="AS5" s="8"/>
      <c r="AT5" s="8"/>
      <c r="AU5" s="8"/>
    </row>
    <row r="6" spans="1:47" x14ac:dyDescent="0.25">
      <c r="A6" s="69">
        <v>4</v>
      </c>
      <c r="B6" s="70" t="s">
        <v>6</v>
      </c>
      <c r="D6" s="72" t="s">
        <v>7</v>
      </c>
      <c r="E6" s="71"/>
      <c r="F6" s="71" t="s">
        <v>431</v>
      </c>
      <c r="G6" s="71"/>
      <c r="H6" s="71"/>
      <c r="I6" s="71"/>
      <c r="J6" s="71"/>
      <c r="K6" s="71"/>
      <c r="L6" s="71"/>
      <c r="M6" s="71"/>
      <c r="N6" s="68"/>
      <c r="O6" s="68"/>
      <c r="P6" s="68"/>
      <c r="Q6" s="68"/>
      <c r="R6" s="68"/>
      <c r="S6" s="68"/>
      <c r="T6" s="68"/>
      <c r="U6" s="68"/>
    </row>
    <row r="7" spans="1:47" x14ac:dyDescent="0.25">
      <c r="D7" s="243" t="s">
        <v>432</v>
      </c>
      <c r="E7" s="161" t="s">
        <v>318</v>
      </c>
      <c r="F7" s="161" t="s">
        <v>319</v>
      </c>
      <c r="G7" s="161" t="s">
        <v>320</v>
      </c>
      <c r="H7" s="161" t="s">
        <v>321</v>
      </c>
      <c r="I7" s="161" t="s">
        <v>322</v>
      </c>
      <c r="J7" s="161" t="s">
        <v>323</v>
      </c>
      <c r="K7" s="161" t="s">
        <v>324</v>
      </c>
      <c r="L7" s="161" t="s">
        <v>325</v>
      </c>
      <c r="M7" s="161" t="s">
        <v>326</v>
      </c>
      <c r="N7" s="161" t="s">
        <v>327</v>
      </c>
      <c r="O7" s="161" t="s">
        <v>328</v>
      </c>
      <c r="P7" s="161" t="s">
        <v>329</v>
      </c>
      <c r="Q7" s="161" t="s">
        <v>330</v>
      </c>
      <c r="R7" s="161" t="s">
        <v>331</v>
      </c>
      <c r="S7" s="161" t="s">
        <v>332</v>
      </c>
      <c r="T7" s="161" t="s">
        <v>333</v>
      </c>
      <c r="U7" s="161" t="s">
        <v>334</v>
      </c>
      <c r="V7" s="161" t="s">
        <v>335</v>
      </c>
      <c r="W7" s="161" t="s">
        <v>336</v>
      </c>
      <c r="X7" s="161" t="s">
        <v>337</v>
      </c>
      <c r="Y7" s="161" t="s">
        <v>338</v>
      </c>
      <c r="Z7" s="161" t="s">
        <v>339</v>
      </c>
      <c r="AA7" s="161" t="s">
        <v>340</v>
      </c>
      <c r="AB7" s="244" t="s">
        <v>341</v>
      </c>
      <c r="AC7" s="244" t="s">
        <v>342</v>
      </c>
      <c r="AD7" s="244" t="s">
        <v>343</v>
      </c>
      <c r="AE7" s="244" t="s">
        <v>344</v>
      </c>
      <c r="AF7" s="245" t="s">
        <v>345</v>
      </c>
      <c r="AG7" s="245" t="s">
        <v>2151</v>
      </c>
    </row>
    <row r="8" spans="1:47" s="10" customFormat="1" ht="12.75" customHeight="1" x14ac:dyDescent="0.2">
      <c r="A8" s="81"/>
      <c r="B8" s="80"/>
      <c r="C8" s="81"/>
      <c r="D8" s="246" t="s">
        <v>433</v>
      </c>
      <c r="E8" s="188">
        <v>9</v>
      </c>
      <c r="F8" s="188">
        <v>8.6999999999999993</v>
      </c>
      <c r="G8" s="247">
        <v>7.4</v>
      </c>
      <c r="H8" s="247">
        <v>8.6</v>
      </c>
      <c r="I8" s="247">
        <v>6.9</v>
      </c>
      <c r="J8" s="247">
        <v>5.0999999999999996</v>
      </c>
      <c r="K8" s="247">
        <v>5.3</v>
      </c>
      <c r="L8" s="247">
        <v>5.7</v>
      </c>
      <c r="M8" s="247">
        <v>9.1999999999999993</v>
      </c>
      <c r="N8" s="247">
        <v>5.8</v>
      </c>
      <c r="O8" s="247">
        <v>1.4</v>
      </c>
      <c r="P8" s="247">
        <v>3.4</v>
      </c>
      <c r="Q8" s="247">
        <v>4.7</v>
      </c>
      <c r="R8" s="247">
        <v>7.1</v>
      </c>
      <c r="S8" s="247">
        <v>11.5</v>
      </c>
      <c r="T8" s="247">
        <v>7.1</v>
      </c>
      <c r="U8" s="247">
        <v>4.3</v>
      </c>
      <c r="V8" s="247">
        <v>5</v>
      </c>
      <c r="W8" s="247">
        <v>5.6</v>
      </c>
      <c r="X8" s="247">
        <v>5.7</v>
      </c>
      <c r="Y8" s="247">
        <v>6.1</v>
      </c>
      <c r="Z8" s="247">
        <v>4.5999999999999996</v>
      </c>
      <c r="AA8" s="247">
        <v>6.4</v>
      </c>
      <c r="AB8" s="247">
        <v>5.3</v>
      </c>
      <c r="AC8" s="247">
        <v>4.7</v>
      </c>
      <c r="AD8" s="247">
        <v>4.0999999999999996</v>
      </c>
      <c r="AE8" s="247">
        <v>3.3</v>
      </c>
      <c r="AF8" s="248">
        <v>4.5</v>
      </c>
      <c r="AG8" s="248">
        <v>6.9</v>
      </c>
    </row>
    <row r="9" spans="1:47" s="10" customFormat="1" ht="12.75" customHeight="1" x14ac:dyDescent="0.25">
      <c r="A9" s="81"/>
      <c r="B9" s="80"/>
      <c r="C9" s="81"/>
      <c r="D9" s="88"/>
      <c r="E9" s="88"/>
      <c r="F9" s="136"/>
      <c r="G9" s="136"/>
      <c r="H9" s="136"/>
      <c r="I9" s="136"/>
      <c r="J9" s="136"/>
      <c r="K9" s="136"/>
      <c r="L9" s="136"/>
      <c r="M9" s="136"/>
      <c r="N9" s="136"/>
      <c r="O9" s="136"/>
      <c r="P9" s="136"/>
      <c r="Q9" s="136"/>
      <c r="R9" s="136"/>
      <c r="S9" s="88"/>
      <c r="T9" s="177"/>
      <c r="U9" s="177"/>
      <c r="V9" s="177"/>
      <c r="W9" s="177"/>
      <c r="X9" s="110"/>
      <c r="Y9" s="177"/>
      <c r="Z9" s="249"/>
    </row>
    <row r="10" spans="1:47" s="10" customFormat="1" ht="12.75" customHeight="1" x14ac:dyDescent="0.25">
      <c r="A10" s="81"/>
      <c r="B10" s="80"/>
      <c r="C10" s="81"/>
      <c r="D10" s="88"/>
      <c r="E10" s="88"/>
      <c r="F10" s="136"/>
      <c r="G10" s="136"/>
      <c r="H10" s="136"/>
      <c r="I10" s="136"/>
      <c r="J10" s="136"/>
      <c r="K10" s="136"/>
      <c r="L10" s="136"/>
      <c r="M10" s="136"/>
      <c r="N10" s="136"/>
      <c r="O10" s="136"/>
      <c r="P10" s="136"/>
      <c r="Q10" s="136"/>
      <c r="R10" s="136"/>
      <c r="S10" s="88"/>
      <c r="T10" s="88"/>
      <c r="U10" s="136"/>
      <c r="V10" s="182"/>
      <c r="W10" s="182"/>
      <c r="X10" s="182"/>
      <c r="Z10" s="249"/>
    </row>
    <row r="11" spans="1:47" s="10" customFormat="1" ht="12.75" customHeight="1" x14ac:dyDescent="0.25">
      <c r="A11" s="81"/>
      <c r="B11" s="80"/>
      <c r="C11" s="81"/>
      <c r="D11" s="88"/>
      <c r="E11" s="88"/>
      <c r="F11" s="136"/>
      <c r="G11" s="136"/>
      <c r="H11" s="136"/>
      <c r="I11" s="136"/>
      <c r="J11" s="136"/>
      <c r="K11" s="136"/>
      <c r="L11" s="136"/>
      <c r="M11" s="136"/>
      <c r="N11" s="136"/>
      <c r="O11" s="136"/>
      <c r="P11" s="136"/>
      <c r="Q11" s="136"/>
      <c r="R11" s="136"/>
      <c r="S11" s="88"/>
      <c r="T11" s="88"/>
      <c r="U11" s="136"/>
      <c r="V11" s="182"/>
      <c r="W11" s="182"/>
      <c r="X11" s="182"/>
      <c r="Z11" s="249"/>
    </row>
    <row r="12" spans="1:47" x14ac:dyDescent="0.25">
      <c r="D12" s="68"/>
      <c r="E12" s="68"/>
      <c r="F12" s="88"/>
      <c r="G12" s="88"/>
      <c r="H12" s="88"/>
      <c r="I12" s="88"/>
      <c r="J12" s="88"/>
      <c r="K12" s="88"/>
      <c r="L12" s="88"/>
      <c r="M12" s="88"/>
      <c r="N12" s="88"/>
      <c r="O12" s="88"/>
      <c r="P12" s="88"/>
      <c r="Q12" s="88"/>
      <c r="R12" s="68"/>
      <c r="S12" s="68"/>
      <c r="T12" s="68"/>
      <c r="U12" s="68"/>
      <c r="Z12" s="250"/>
    </row>
    <row r="13" spans="1:47" x14ac:dyDescent="0.25">
      <c r="A13" s="69">
        <v>5</v>
      </c>
      <c r="B13" s="70" t="s">
        <v>51</v>
      </c>
      <c r="C13" s="69"/>
      <c r="D13" s="68"/>
      <c r="E13" s="68"/>
      <c r="F13" s="88"/>
      <c r="G13" s="88"/>
      <c r="H13" s="88"/>
      <c r="I13" s="88"/>
      <c r="J13" s="88"/>
      <c r="K13" s="88"/>
      <c r="L13" s="88"/>
      <c r="M13" s="88"/>
      <c r="N13" s="88"/>
      <c r="O13" s="88"/>
      <c r="P13" s="88"/>
      <c r="Q13" s="88"/>
      <c r="R13" s="68"/>
      <c r="S13" s="68"/>
      <c r="T13" s="68"/>
      <c r="U13" s="68"/>
      <c r="Z13" s="250"/>
      <c r="AF13" s="10"/>
    </row>
    <row r="14" spans="1:47" x14ac:dyDescent="0.25">
      <c r="D14" s="68"/>
      <c r="E14" s="68"/>
      <c r="F14" s="88"/>
      <c r="G14" s="88"/>
      <c r="H14" s="88"/>
      <c r="I14" s="88"/>
      <c r="J14" s="88"/>
      <c r="K14" s="88"/>
      <c r="L14" s="88"/>
      <c r="M14" s="88"/>
      <c r="N14" s="88"/>
      <c r="O14" s="88"/>
      <c r="P14" s="88"/>
      <c r="Q14" s="88"/>
      <c r="R14" s="68"/>
      <c r="S14" s="68"/>
      <c r="T14" s="68"/>
      <c r="U14" s="68"/>
    </row>
    <row r="15" spans="1:47" x14ac:dyDescent="0.25">
      <c r="D15" s="68"/>
      <c r="E15" s="68"/>
      <c r="F15" s="88"/>
      <c r="G15" s="88"/>
      <c r="H15" s="88"/>
      <c r="I15" s="88"/>
      <c r="J15" s="88"/>
      <c r="K15" s="88"/>
      <c r="L15" s="88"/>
      <c r="M15" s="88"/>
      <c r="N15" s="88"/>
      <c r="O15" s="88"/>
      <c r="P15" s="88"/>
      <c r="Q15" s="88"/>
      <c r="R15" s="68"/>
      <c r="S15" s="68"/>
      <c r="T15" s="68"/>
      <c r="U15" s="68"/>
      <c r="AF15" s="10"/>
    </row>
    <row r="16" spans="1:47" x14ac:dyDescent="0.25">
      <c r="D16" s="68"/>
      <c r="E16" s="68"/>
      <c r="F16" s="88"/>
      <c r="G16" s="88"/>
      <c r="H16" s="88"/>
      <c r="I16" s="88"/>
      <c r="J16" s="88"/>
      <c r="K16" s="88"/>
      <c r="L16" s="88"/>
      <c r="M16" s="88"/>
      <c r="N16" s="88"/>
      <c r="O16" s="88"/>
      <c r="P16" s="88"/>
      <c r="Q16" s="88"/>
      <c r="R16" s="68"/>
      <c r="S16" s="68"/>
      <c r="T16" s="68"/>
      <c r="U16" s="68"/>
    </row>
    <row r="17" spans="4:26" x14ac:dyDescent="0.25">
      <c r="D17" s="68"/>
      <c r="E17" s="68"/>
      <c r="F17" s="88"/>
      <c r="G17" s="88"/>
      <c r="H17" s="88"/>
      <c r="I17" s="88"/>
      <c r="J17" s="88"/>
      <c r="K17" s="88"/>
      <c r="L17" s="88"/>
      <c r="M17" s="88"/>
      <c r="N17" s="88"/>
      <c r="O17" s="88"/>
      <c r="P17" s="68"/>
      <c r="Q17" s="68"/>
      <c r="R17" s="68"/>
      <c r="S17" s="68"/>
      <c r="T17" s="68"/>
      <c r="U17" s="68"/>
    </row>
    <row r="18" spans="4:26" x14ac:dyDescent="0.25">
      <c r="D18" s="68"/>
      <c r="E18" s="68"/>
      <c r="F18" s="88"/>
      <c r="G18" s="88"/>
      <c r="H18" s="88"/>
      <c r="I18" s="88"/>
      <c r="J18" s="88"/>
      <c r="K18" s="88"/>
      <c r="L18" s="88"/>
      <c r="M18" s="88"/>
      <c r="N18" s="88"/>
      <c r="O18" s="88"/>
      <c r="P18" s="68"/>
      <c r="Q18" s="68"/>
      <c r="R18" s="68"/>
      <c r="S18" s="68"/>
      <c r="T18" s="68"/>
      <c r="U18" s="68"/>
      <c r="Z18" s="55"/>
    </row>
    <row r="19" spans="4:26" x14ac:dyDescent="0.25">
      <c r="D19" s="68"/>
      <c r="E19" s="68"/>
      <c r="F19" s="88"/>
      <c r="G19" s="88"/>
      <c r="H19" s="88"/>
      <c r="I19" s="88"/>
      <c r="J19" s="88"/>
      <c r="K19" s="88"/>
      <c r="L19" s="88"/>
      <c r="M19" s="88"/>
      <c r="N19" s="88"/>
      <c r="O19" s="88"/>
      <c r="P19" s="68"/>
      <c r="Q19" s="68"/>
      <c r="R19" s="68"/>
      <c r="S19" s="68"/>
      <c r="T19" s="68"/>
      <c r="U19" s="68"/>
      <c r="Z19" s="55"/>
    </row>
    <row r="20" spans="4:26" x14ac:dyDescent="0.25">
      <c r="D20" s="68"/>
      <c r="E20" s="68"/>
      <c r="F20" s="88"/>
      <c r="G20" s="88"/>
      <c r="H20" s="88"/>
      <c r="I20" s="88"/>
      <c r="J20" s="88"/>
      <c r="K20" s="88"/>
      <c r="L20" s="88"/>
      <c r="M20" s="88"/>
      <c r="N20" s="88"/>
      <c r="O20" s="88"/>
      <c r="P20" s="68"/>
      <c r="Q20" s="68"/>
      <c r="R20" s="68"/>
      <c r="S20" s="68"/>
      <c r="T20" s="68"/>
      <c r="U20" s="68"/>
      <c r="Z20" s="55"/>
    </row>
    <row r="21" spans="4:26" x14ac:dyDescent="0.25">
      <c r="D21" s="68"/>
      <c r="E21" s="68"/>
      <c r="F21" s="88"/>
      <c r="G21" s="88"/>
      <c r="H21" s="88"/>
      <c r="I21" s="88"/>
      <c r="J21" s="88"/>
      <c r="K21" s="88"/>
      <c r="L21" s="88"/>
      <c r="M21" s="88"/>
      <c r="N21" s="88"/>
      <c r="O21" s="88"/>
      <c r="P21" s="68"/>
      <c r="Q21" s="68"/>
      <c r="R21" s="68"/>
      <c r="S21" s="68"/>
      <c r="T21" s="68"/>
      <c r="U21" s="68"/>
      <c r="Z21" s="55"/>
    </row>
    <row r="22" spans="4:26" x14ac:dyDescent="0.25">
      <c r="D22" s="68"/>
      <c r="E22" s="68"/>
      <c r="F22" s="88"/>
      <c r="G22" s="88"/>
      <c r="H22" s="88"/>
      <c r="I22" s="88"/>
      <c r="J22" s="88"/>
      <c r="K22" s="88"/>
      <c r="L22" s="88"/>
      <c r="M22" s="88"/>
      <c r="N22" s="88"/>
      <c r="O22" s="88"/>
      <c r="P22" s="68"/>
      <c r="Q22" s="68"/>
      <c r="R22" s="68"/>
      <c r="S22" s="68"/>
      <c r="T22" s="68"/>
      <c r="U22" s="68"/>
      <c r="Z22" s="55"/>
    </row>
    <row r="23" spans="4:26" x14ac:dyDescent="0.25">
      <c r="D23" s="68"/>
      <c r="E23" s="68"/>
      <c r="F23" s="88"/>
      <c r="G23" s="88"/>
      <c r="H23" s="88"/>
      <c r="I23" s="88"/>
      <c r="J23" s="88"/>
      <c r="K23" s="88"/>
      <c r="L23" s="88"/>
      <c r="M23" s="88"/>
      <c r="N23" s="88"/>
      <c r="O23" s="88"/>
      <c r="P23" s="88"/>
      <c r="Q23" s="68"/>
      <c r="R23" s="68"/>
      <c r="S23" s="68"/>
      <c r="T23" s="68"/>
      <c r="U23" s="68"/>
      <c r="Z23" s="55"/>
    </row>
    <row r="24" spans="4:26" x14ac:dyDescent="0.25">
      <c r="D24" s="68"/>
      <c r="E24" s="68"/>
      <c r="F24" s="88"/>
      <c r="G24" s="88"/>
      <c r="H24" s="88"/>
      <c r="I24" s="88"/>
      <c r="J24" s="88"/>
      <c r="K24" s="88"/>
      <c r="L24" s="88"/>
      <c r="M24" s="88"/>
      <c r="N24" s="88"/>
      <c r="O24" s="88"/>
      <c r="P24" s="88"/>
      <c r="Q24" s="68"/>
      <c r="R24" s="68"/>
      <c r="S24" s="68"/>
      <c r="T24" s="68"/>
      <c r="U24" s="68"/>
      <c r="Z24" s="55"/>
    </row>
    <row r="25" spans="4:26" x14ac:dyDescent="0.25">
      <c r="D25" s="68"/>
      <c r="E25" s="68"/>
      <c r="F25" s="88"/>
      <c r="G25" s="88"/>
      <c r="H25" s="88"/>
      <c r="I25" s="88"/>
      <c r="J25" s="88"/>
      <c r="K25" s="88"/>
      <c r="L25" s="88"/>
      <c r="M25" s="88"/>
      <c r="N25" s="88"/>
      <c r="O25" s="88"/>
      <c r="P25" s="89"/>
      <c r="Q25" s="68"/>
      <c r="R25" s="68"/>
      <c r="S25" s="68"/>
      <c r="T25" s="68"/>
      <c r="U25" s="68"/>
      <c r="Z25" s="55"/>
    </row>
    <row r="26" spans="4:26" x14ac:dyDescent="0.25">
      <c r="D26" s="68"/>
      <c r="E26" s="68"/>
      <c r="F26" s="88"/>
      <c r="G26" s="88"/>
      <c r="H26" s="88"/>
      <c r="I26" s="88"/>
      <c r="J26" s="88"/>
      <c r="K26" s="88"/>
      <c r="L26" s="88"/>
      <c r="M26" s="88"/>
      <c r="N26" s="88"/>
      <c r="O26" s="88"/>
      <c r="P26" s="88"/>
      <c r="Q26" s="88"/>
      <c r="R26" s="68"/>
      <c r="S26" s="68"/>
      <c r="T26" s="68"/>
      <c r="U26" s="68"/>
      <c r="Z26" s="55"/>
    </row>
    <row r="27" spans="4:26" x14ac:dyDescent="0.25">
      <c r="D27" s="68"/>
      <c r="E27" s="68"/>
      <c r="F27" s="88"/>
      <c r="G27" s="88"/>
      <c r="H27" s="88"/>
      <c r="I27" s="88"/>
      <c r="J27" s="88"/>
      <c r="K27" s="88"/>
      <c r="L27" s="88"/>
      <c r="M27" s="88"/>
      <c r="N27" s="88"/>
      <c r="O27" s="88"/>
      <c r="P27" s="88"/>
      <c r="Q27" s="88"/>
      <c r="R27" s="68"/>
      <c r="S27" s="68"/>
      <c r="T27" s="68"/>
      <c r="U27" s="68"/>
      <c r="Z27" s="55"/>
    </row>
    <row r="28" spans="4:26" x14ac:dyDescent="0.25">
      <c r="D28" s="68"/>
      <c r="E28" s="68"/>
      <c r="F28" s="68"/>
      <c r="G28" s="68"/>
      <c r="H28" s="68"/>
      <c r="I28" s="68"/>
      <c r="J28" s="68"/>
      <c r="K28" s="68"/>
      <c r="L28" s="68"/>
      <c r="M28" s="68"/>
      <c r="N28" s="68"/>
      <c r="O28" s="68"/>
      <c r="P28" s="68"/>
      <c r="Q28" s="68"/>
      <c r="R28" s="68"/>
      <c r="S28" s="68"/>
      <c r="T28" s="68"/>
      <c r="U28" s="68"/>
      <c r="Z28" s="55"/>
    </row>
    <row r="29" spans="4:26" x14ac:dyDescent="0.25">
      <c r="D29" s="68"/>
      <c r="E29" s="68"/>
      <c r="F29" s="68"/>
      <c r="G29" s="68"/>
      <c r="H29" s="68"/>
      <c r="I29" s="68"/>
      <c r="J29" s="68"/>
      <c r="K29" s="68"/>
      <c r="L29" s="68"/>
      <c r="M29" s="68"/>
      <c r="N29" s="68"/>
      <c r="O29" s="68"/>
      <c r="P29" s="68"/>
      <c r="Q29" s="68"/>
      <c r="R29" s="68"/>
      <c r="S29" s="68"/>
      <c r="T29" s="68"/>
      <c r="U29" s="68"/>
      <c r="Z29" s="55"/>
    </row>
    <row r="30" spans="4:26" x14ac:dyDescent="0.25">
      <c r="D30" s="68"/>
      <c r="E30" s="68"/>
      <c r="F30" s="68"/>
      <c r="G30" s="68"/>
      <c r="H30" s="68"/>
      <c r="I30" s="68"/>
      <c r="J30" s="68"/>
      <c r="K30" s="68"/>
      <c r="L30" s="68"/>
      <c r="M30" s="68"/>
      <c r="N30" s="68"/>
      <c r="O30" s="68"/>
      <c r="P30" s="68"/>
      <c r="Q30" s="68"/>
      <c r="R30" s="68"/>
      <c r="S30" s="68"/>
      <c r="T30" s="68"/>
      <c r="U30" s="68"/>
      <c r="Z30" s="55"/>
    </row>
    <row r="31" spans="4:26" x14ac:dyDescent="0.25">
      <c r="D31" s="68"/>
      <c r="E31" s="68"/>
      <c r="F31" s="68"/>
      <c r="G31" s="68"/>
      <c r="H31" s="68"/>
      <c r="I31" s="68"/>
      <c r="J31" s="68"/>
      <c r="K31" s="68"/>
      <c r="L31" s="68"/>
      <c r="M31" s="68"/>
      <c r="N31" s="68"/>
      <c r="O31" s="68"/>
      <c r="P31" s="68"/>
      <c r="Q31" s="68"/>
      <c r="R31" s="68"/>
      <c r="S31" s="68"/>
      <c r="T31" s="68"/>
      <c r="U31" s="68"/>
      <c r="Z31" s="55"/>
    </row>
    <row r="32" spans="4:26" x14ac:dyDescent="0.25">
      <c r="D32" s="68"/>
      <c r="E32" s="68"/>
      <c r="F32" s="68"/>
      <c r="G32" s="68"/>
      <c r="H32" s="68"/>
      <c r="I32" s="68"/>
      <c r="J32" s="68"/>
      <c r="K32" s="68"/>
      <c r="L32" s="68"/>
      <c r="M32" s="68"/>
      <c r="N32" s="68"/>
      <c r="O32" s="68"/>
      <c r="P32" s="68"/>
      <c r="Q32" s="68"/>
      <c r="R32" s="68"/>
      <c r="S32" s="68"/>
      <c r="T32" s="68"/>
      <c r="U32" s="68"/>
    </row>
    <row r="33" spans="1:97" x14ac:dyDescent="0.25">
      <c r="D33" s="68"/>
      <c r="E33" s="68"/>
      <c r="F33" s="68"/>
      <c r="G33" s="68"/>
      <c r="H33" s="68"/>
      <c r="I33" s="68"/>
      <c r="J33" s="68"/>
      <c r="K33" s="68"/>
      <c r="L33" s="68"/>
      <c r="M33" s="68"/>
      <c r="N33" s="68"/>
      <c r="O33" s="68"/>
      <c r="P33" s="68"/>
      <c r="Q33" s="68"/>
      <c r="R33" s="68"/>
      <c r="S33" s="68"/>
      <c r="T33" s="68"/>
      <c r="U33" s="68"/>
    </row>
    <row r="34" spans="1:97" x14ac:dyDescent="0.25">
      <c r="D34" s="68"/>
      <c r="E34" s="68"/>
      <c r="F34" s="68"/>
      <c r="G34" s="68"/>
      <c r="H34" s="68"/>
      <c r="I34" s="68"/>
      <c r="J34" s="68"/>
      <c r="K34" s="68"/>
      <c r="L34" s="68"/>
      <c r="M34" s="68"/>
      <c r="N34" s="68"/>
      <c r="O34" s="68"/>
      <c r="P34" s="68"/>
      <c r="Q34" s="68"/>
      <c r="R34" s="68"/>
      <c r="S34" s="68"/>
      <c r="T34" s="68"/>
      <c r="U34" s="68"/>
    </row>
    <row r="35" spans="1:97" x14ac:dyDescent="0.25">
      <c r="D35" s="68"/>
      <c r="E35" s="68"/>
      <c r="F35" s="68"/>
      <c r="G35" s="68"/>
      <c r="H35" s="68"/>
      <c r="I35" s="68"/>
      <c r="J35" s="68"/>
      <c r="K35" s="68"/>
      <c r="L35" s="68"/>
      <c r="M35" s="68"/>
      <c r="N35" s="68"/>
      <c r="O35" s="68"/>
      <c r="P35" s="68"/>
      <c r="Q35" s="68"/>
      <c r="R35" s="68"/>
      <c r="S35" s="68"/>
      <c r="T35" s="68"/>
      <c r="U35" s="68"/>
      <c r="AC35" s="34"/>
      <c r="AD35" s="34"/>
      <c r="AE35" s="34"/>
    </row>
    <row r="36" spans="1:97" x14ac:dyDescent="0.25">
      <c r="D36" s="68"/>
      <c r="E36" s="68"/>
      <c r="F36" s="68"/>
      <c r="G36" s="68"/>
      <c r="H36" s="68"/>
      <c r="I36" s="68"/>
      <c r="J36" s="68"/>
      <c r="K36" s="68"/>
      <c r="L36" s="68"/>
      <c r="M36" s="68"/>
      <c r="N36" s="68"/>
      <c r="O36" s="68"/>
      <c r="P36" s="68"/>
      <c r="Q36" s="68"/>
      <c r="R36" s="68"/>
      <c r="S36" s="68"/>
      <c r="T36" s="68"/>
      <c r="U36" s="68"/>
    </row>
    <row r="37" spans="1:97" x14ac:dyDescent="0.25">
      <c r="A37" s="69">
        <v>6</v>
      </c>
      <c r="B37" s="70" t="s">
        <v>52</v>
      </c>
      <c r="C37" s="69"/>
      <c r="D37" s="4674" t="s">
        <v>419</v>
      </c>
      <c r="E37" s="4675"/>
      <c r="F37" s="4675"/>
      <c r="G37" s="4675"/>
      <c r="H37" s="4675"/>
      <c r="I37" s="4675"/>
      <c r="J37" s="4675"/>
      <c r="K37" s="4675"/>
      <c r="L37" s="4675"/>
      <c r="M37" s="4675"/>
      <c r="N37" s="4675"/>
      <c r="O37" s="4675"/>
      <c r="P37" s="4675"/>
      <c r="Q37" s="4675"/>
      <c r="R37" s="4675"/>
      <c r="S37" s="4675"/>
      <c r="T37" s="4675"/>
      <c r="U37" s="4675"/>
      <c r="V37" s="4675"/>
      <c r="W37" s="4675"/>
      <c r="X37" s="4675"/>
      <c r="Y37" s="4675"/>
      <c r="Z37" s="4675"/>
      <c r="AA37" s="4675"/>
      <c r="AB37" s="4675"/>
      <c r="AC37" s="4676"/>
      <c r="AD37" s="180"/>
      <c r="AE37" s="180"/>
    </row>
    <row r="38" spans="1:97" ht="24.95" customHeight="1" x14ac:dyDescent="0.25">
      <c r="A38" s="90">
        <v>7</v>
      </c>
      <c r="B38" s="91" t="s">
        <v>54</v>
      </c>
      <c r="C38" s="90"/>
      <c r="D38" s="4677" t="s">
        <v>434</v>
      </c>
      <c r="E38" s="4678"/>
      <c r="F38" s="4678"/>
      <c r="G38" s="4678"/>
      <c r="H38" s="4678"/>
      <c r="I38" s="4678"/>
      <c r="J38" s="4678"/>
      <c r="K38" s="4678"/>
      <c r="L38" s="4678"/>
      <c r="M38" s="4678"/>
      <c r="N38" s="4678"/>
      <c r="O38" s="4678"/>
      <c r="P38" s="4678"/>
      <c r="Q38" s="4678"/>
      <c r="R38" s="4678"/>
      <c r="S38" s="4678"/>
      <c r="T38" s="4678"/>
      <c r="U38" s="4678"/>
      <c r="V38" s="4678"/>
      <c r="W38" s="4678"/>
      <c r="X38" s="4678"/>
      <c r="Y38" s="4678"/>
      <c r="Z38" s="4678"/>
      <c r="AA38" s="4678"/>
      <c r="AB38" s="4678"/>
      <c r="AC38" s="4679"/>
      <c r="AD38" s="867"/>
      <c r="AE38" s="867"/>
    </row>
    <row r="39" spans="1:97" ht="17.45" customHeight="1" x14ac:dyDescent="0.25">
      <c r="A39" s="69">
        <v>8</v>
      </c>
      <c r="B39" s="70" t="s">
        <v>56</v>
      </c>
      <c r="C39" s="69"/>
      <c r="D39" s="4674" t="s">
        <v>435</v>
      </c>
      <c r="E39" s="4675"/>
      <c r="F39" s="4675"/>
      <c r="G39" s="4675"/>
      <c r="H39" s="4675"/>
      <c r="I39" s="4675"/>
      <c r="J39" s="4675"/>
      <c r="K39" s="4675"/>
      <c r="L39" s="4675"/>
      <c r="M39" s="4675"/>
      <c r="N39" s="4675"/>
      <c r="O39" s="4675"/>
      <c r="P39" s="4675"/>
      <c r="Q39" s="4675"/>
      <c r="R39" s="4675"/>
      <c r="S39" s="4675"/>
      <c r="T39" s="4675"/>
      <c r="U39" s="4675"/>
      <c r="V39" s="4675"/>
      <c r="W39" s="4675"/>
      <c r="X39" s="4675"/>
      <c r="Y39" s="4675"/>
      <c r="Z39" s="4675"/>
      <c r="AA39" s="4675"/>
      <c r="AB39" s="4675"/>
      <c r="AC39" s="4676"/>
      <c r="AD39" s="180"/>
      <c r="AE39" s="180"/>
    </row>
    <row r="40" spans="1:97" ht="42" customHeight="1" x14ac:dyDescent="0.25">
      <c r="A40" s="69">
        <v>9</v>
      </c>
      <c r="B40" s="70" t="s">
        <v>355</v>
      </c>
      <c r="C40" s="69"/>
      <c r="D40" s="4677" t="s">
        <v>436</v>
      </c>
      <c r="E40" s="4678"/>
      <c r="F40" s="4678"/>
      <c r="G40" s="4678"/>
      <c r="H40" s="4678"/>
      <c r="I40" s="4678"/>
      <c r="J40" s="4678"/>
      <c r="K40" s="4678"/>
      <c r="L40" s="4678"/>
      <c r="M40" s="4678"/>
      <c r="N40" s="4678"/>
      <c r="O40" s="4678"/>
      <c r="P40" s="4678"/>
      <c r="Q40" s="4678"/>
      <c r="R40" s="4678"/>
      <c r="S40" s="4678"/>
      <c r="T40" s="4678"/>
      <c r="U40" s="4678"/>
      <c r="V40" s="4678"/>
      <c r="W40" s="4678"/>
      <c r="X40" s="4678"/>
      <c r="Y40" s="4678"/>
      <c r="Z40" s="4678"/>
      <c r="AA40" s="4678"/>
      <c r="AB40" s="4678"/>
      <c r="AC40" s="4679"/>
      <c r="AD40" s="867"/>
      <c r="AE40" s="867"/>
    </row>
    <row r="41" spans="1:97" x14ac:dyDescent="0.25">
      <c r="B41" s="80"/>
      <c r="C41" s="81"/>
      <c r="D41" s="251"/>
      <c r="E41" s="251"/>
      <c r="F41" s="251"/>
      <c r="G41" s="251"/>
      <c r="H41" s="251"/>
      <c r="I41" s="251"/>
      <c r="J41" s="251"/>
      <c r="K41" s="251"/>
      <c r="L41" s="251"/>
      <c r="M41" s="251"/>
      <c r="N41" s="251"/>
      <c r="O41" s="251"/>
      <c r="P41" s="251"/>
      <c r="Q41" s="251"/>
      <c r="R41" s="251"/>
      <c r="S41" s="251"/>
      <c r="T41" s="251"/>
      <c r="U41" s="251"/>
      <c r="V41" s="252"/>
      <c r="W41" s="252"/>
      <c r="X41" s="251"/>
      <c r="Y41" s="251"/>
      <c r="Z41" s="251"/>
      <c r="AA41" s="251"/>
      <c r="AB41" s="251"/>
      <c r="AC41" s="251"/>
      <c r="AD41" s="251"/>
      <c r="AE41" s="251"/>
      <c r="AF41" s="251"/>
      <c r="AG41" s="251"/>
      <c r="AH41" s="251"/>
      <c r="AI41" s="251"/>
    </row>
    <row r="42" spans="1:97" x14ac:dyDescent="0.25">
      <c r="A42" s="79"/>
      <c r="B42" s="80"/>
      <c r="C42" s="81"/>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3"/>
      <c r="BA42" s="10"/>
      <c r="BB42" s="10"/>
      <c r="BC42" s="10"/>
      <c r="BD42" s="10"/>
      <c r="BE42" s="10"/>
      <c r="BF42" s="10"/>
      <c r="BG42" s="10"/>
    </row>
    <row r="43" spans="1:97" s="38" customFormat="1" ht="12.75" x14ac:dyDescent="0.2">
      <c r="A43" s="144"/>
      <c r="B43" s="253"/>
      <c r="C43" s="254"/>
      <c r="D43" s="4699">
        <v>1994</v>
      </c>
      <c r="E43" s="4699"/>
      <c r="F43" s="4699"/>
      <c r="G43" s="4699"/>
      <c r="H43" s="4699"/>
      <c r="I43" s="4699">
        <v>1995</v>
      </c>
      <c r="J43" s="4699"/>
      <c r="K43" s="4699"/>
      <c r="L43" s="4699"/>
      <c r="M43" s="4699">
        <v>1996</v>
      </c>
      <c r="N43" s="4699"/>
      <c r="O43" s="4699"/>
      <c r="P43" s="4699"/>
      <c r="Q43" s="4699">
        <v>1997</v>
      </c>
      <c r="R43" s="4699"/>
      <c r="S43" s="4699"/>
      <c r="T43" s="4699"/>
      <c r="U43" s="4699">
        <v>1998</v>
      </c>
      <c r="V43" s="4699"/>
      <c r="W43" s="4699"/>
      <c r="X43" s="4699"/>
      <c r="Y43" s="4699">
        <v>1999</v>
      </c>
      <c r="Z43" s="4699"/>
      <c r="AA43" s="4699"/>
      <c r="AB43" s="4699"/>
      <c r="AC43" s="4699">
        <v>2000</v>
      </c>
      <c r="AD43" s="4699"/>
      <c r="AE43" s="4699"/>
      <c r="AF43" s="4699"/>
      <c r="AG43" s="4699"/>
      <c r="AH43" s="4699"/>
      <c r="AI43" s="4699">
        <v>2001</v>
      </c>
      <c r="AJ43" s="4699"/>
      <c r="AK43" s="4699"/>
      <c r="AL43" s="4699"/>
      <c r="AM43" s="4699">
        <v>2002</v>
      </c>
      <c r="AN43" s="4699"/>
      <c r="AO43" s="4699"/>
      <c r="AP43" s="4699"/>
      <c r="AQ43" s="4699">
        <v>2003</v>
      </c>
      <c r="AR43" s="4699"/>
      <c r="AS43" s="4699"/>
      <c r="AT43" s="4699"/>
      <c r="AU43" s="4699">
        <v>2004</v>
      </c>
      <c r="AV43" s="4699"/>
      <c r="AW43" s="4699"/>
      <c r="AX43" s="4699"/>
      <c r="AY43" s="4699">
        <v>2005</v>
      </c>
      <c r="AZ43" s="4699"/>
      <c r="BA43" s="4699"/>
      <c r="BB43" s="4699"/>
      <c r="BC43" s="4699">
        <v>2006</v>
      </c>
      <c r="BD43" s="4699"/>
      <c r="BE43" s="4699"/>
      <c r="BF43" s="4699"/>
      <c r="BG43" s="4699">
        <v>2007</v>
      </c>
      <c r="BH43" s="4699"/>
      <c r="BI43" s="4699"/>
      <c r="BJ43" s="4699"/>
      <c r="BK43" s="4699">
        <v>2008</v>
      </c>
      <c r="BL43" s="4699"/>
      <c r="BM43" s="4699"/>
      <c r="BN43" s="4699"/>
      <c r="BO43" s="4699">
        <v>2009</v>
      </c>
      <c r="BP43" s="4699"/>
      <c r="BQ43" s="4699"/>
      <c r="BR43" s="4699"/>
      <c r="BS43" s="4699">
        <v>2010</v>
      </c>
      <c r="BT43" s="4699"/>
      <c r="BU43" s="4699"/>
      <c r="BV43" s="4699"/>
      <c r="BW43" s="4699">
        <v>2011</v>
      </c>
      <c r="BX43" s="4699"/>
      <c r="BY43" s="4699"/>
      <c r="BZ43" s="4699"/>
      <c r="CA43" s="4699">
        <v>2012</v>
      </c>
      <c r="CB43" s="4699"/>
      <c r="CC43" s="4699"/>
      <c r="CD43" s="4699"/>
      <c r="CE43" s="4699">
        <v>2013</v>
      </c>
      <c r="CF43" s="4699"/>
      <c r="CG43" s="4699"/>
      <c r="CH43" s="4699"/>
      <c r="CI43" s="4699">
        <v>2014</v>
      </c>
      <c r="CJ43" s="4699"/>
      <c r="CK43" s="4699"/>
      <c r="CL43" s="4699"/>
      <c r="CM43" s="4700">
        <v>2014</v>
      </c>
      <c r="CN43" s="4700"/>
      <c r="CO43" s="4700"/>
      <c r="CP43" s="4700"/>
      <c r="CQ43" s="255"/>
      <c r="CR43" s="255"/>
      <c r="CS43" s="255"/>
    </row>
    <row r="44" spans="1:97" s="38" customFormat="1" ht="12.75" x14ac:dyDescent="0.2">
      <c r="A44" s="158"/>
      <c r="B44" s="256"/>
      <c r="C44" s="257"/>
      <c r="D44" s="258" t="s">
        <v>357</v>
      </c>
      <c r="E44" s="259"/>
      <c r="F44" s="259" t="s">
        <v>358</v>
      </c>
      <c r="G44" s="259" t="s">
        <v>359</v>
      </c>
      <c r="H44" s="260" t="s">
        <v>360</v>
      </c>
      <c r="I44" s="258" t="s">
        <v>357</v>
      </c>
      <c r="J44" s="259" t="s">
        <v>358</v>
      </c>
      <c r="K44" s="259" t="s">
        <v>359</v>
      </c>
      <c r="L44" s="260" t="s">
        <v>360</v>
      </c>
      <c r="M44" s="258" t="s">
        <v>357</v>
      </c>
      <c r="N44" s="259" t="s">
        <v>358</v>
      </c>
      <c r="O44" s="259" t="s">
        <v>359</v>
      </c>
      <c r="P44" s="260" t="s">
        <v>360</v>
      </c>
      <c r="Q44" s="258" t="s">
        <v>357</v>
      </c>
      <c r="R44" s="259" t="s">
        <v>358</v>
      </c>
      <c r="S44" s="259" t="s">
        <v>359</v>
      </c>
      <c r="T44" s="260" t="s">
        <v>360</v>
      </c>
      <c r="U44" s="258" t="s">
        <v>357</v>
      </c>
      <c r="V44" s="259" t="s">
        <v>358</v>
      </c>
      <c r="W44" s="259" t="s">
        <v>359</v>
      </c>
      <c r="X44" s="260" t="s">
        <v>360</v>
      </c>
      <c r="Y44" s="258" t="s">
        <v>357</v>
      </c>
      <c r="Z44" s="259" t="s">
        <v>358</v>
      </c>
      <c r="AA44" s="259" t="s">
        <v>359</v>
      </c>
      <c r="AB44" s="260" t="s">
        <v>360</v>
      </c>
      <c r="AC44" s="258" t="s">
        <v>357</v>
      </c>
      <c r="AD44" s="259"/>
      <c r="AE44" s="259"/>
      <c r="AF44" s="259" t="s">
        <v>358</v>
      </c>
      <c r="AG44" s="259" t="s">
        <v>359</v>
      </c>
      <c r="AH44" s="260" t="s">
        <v>360</v>
      </c>
      <c r="AI44" s="258" t="s">
        <v>357</v>
      </c>
      <c r="AJ44" s="259" t="s">
        <v>358</v>
      </c>
      <c r="AK44" s="259" t="s">
        <v>359</v>
      </c>
      <c r="AL44" s="260" t="s">
        <v>360</v>
      </c>
      <c r="AM44" s="258" t="s">
        <v>357</v>
      </c>
      <c r="AN44" s="259" t="s">
        <v>358</v>
      </c>
      <c r="AO44" s="259" t="s">
        <v>359</v>
      </c>
      <c r="AP44" s="260" t="s">
        <v>360</v>
      </c>
      <c r="AQ44" s="258" t="s">
        <v>357</v>
      </c>
      <c r="AR44" s="259" t="s">
        <v>358</v>
      </c>
      <c r="AS44" s="259" t="s">
        <v>359</v>
      </c>
      <c r="AT44" s="260" t="s">
        <v>360</v>
      </c>
      <c r="AU44" s="258" t="s">
        <v>357</v>
      </c>
      <c r="AV44" s="259" t="s">
        <v>358</v>
      </c>
      <c r="AW44" s="259" t="s">
        <v>359</v>
      </c>
      <c r="AX44" s="260" t="s">
        <v>360</v>
      </c>
      <c r="AY44" s="258" t="s">
        <v>357</v>
      </c>
      <c r="AZ44" s="259" t="s">
        <v>358</v>
      </c>
      <c r="BA44" s="259" t="s">
        <v>359</v>
      </c>
      <c r="BB44" s="260" t="s">
        <v>360</v>
      </c>
      <c r="BC44" s="258" t="s">
        <v>357</v>
      </c>
      <c r="BD44" s="259" t="s">
        <v>358</v>
      </c>
      <c r="BE44" s="259" t="s">
        <v>359</v>
      </c>
      <c r="BF44" s="260" t="s">
        <v>360</v>
      </c>
      <c r="BG44" s="258" t="s">
        <v>357</v>
      </c>
      <c r="BH44" s="259" t="s">
        <v>358</v>
      </c>
      <c r="BI44" s="259" t="s">
        <v>359</v>
      </c>
      <c r="BJ44" s="260" t="s">
        <v>360</v>
      </c>
      <c r="BK44" s="258" t="s">
        <v>357</v>
      </c>
      <c r="BL44" s="259" t="s">
        <v>358</v>
      </c>
      <c r="BM44" s="259" t="s">
        <v>359</v>
      </c>
      <c r="BN44" s="260" t="s">
        <v>360</v>
      </c>
      <c r="BO44" s="258" t="s">
        <v>357</v>
      </c>
      <c r="BP44" s="259" t="s">
        <v>358</v>
      </c>
      <c r="BQ44" s="259" t="s">
        <v>359</v>
      </c>
      <c r="BR44" s="260" t="s">
        <v>360</v>
      </c>
      <c r="BS44" s="258" t="s">
        <v>357</v>
      </c>
      <c r="BT44" s="259" t="s">
        <v>358</v>
      </c>
      <c r="BU44" s="259" t="s">
        <v>359</v>
      </c>
      <c r="BV44" s="260" t="s">
        <v>360</v>
      </c>
      <c r="BW44" s="258" t="s">
        <v>357</v>
      </c>
      <c r="BX44" s="259" t="s">
        <v>358</v>
      </c>
      <c r="BY44" s="259" t="s">
        <v>359</v>
      </c>
      <c r="BZ44" s="260" t="s">
        <v>360</v>
      </c>
      <c r="CA44" s="258" t="s">
        <v>357</v>
      </c>
      <c r="CB44" s="259" t="s">
        <v>358</v>
      </c>
      <c r="CC44" s="259" t="s">
        <v>359</v>
      </c>
      <c r="CD44" s="260" t="s">
        <v>360</v>
      </c>
      <c r="CE44" s="258" t="s">
        <v>357</v>
      </c>
      <c r="CF44" s="259" t="s">
        <v>358</v>
      </c>
      <c r="CG44" s="259" t="s">
        <v>359</v>
      </c>
      <c r="CH44" s="260" t="s">
        <v>360</v>
      </c>
      <c r="CI44" s="258" t="s">
        <v>357</v>
      </c>
      <c r="CJ44" s="259" t="s">
        <v>358</v>
      </c>
      <c r="CK44" s="259" t="s">
        <v>359</v>
      </c>
      <c r="CL44" s="260" t="s">
        <v>360</v>
      </c>
      <c r="CM44" s="261" t="s">
        <v>357</v>
      </c>
      <c r="CN44" s="262" t="s">
        <v>358</v>
      </c>
      <c r="CO44" s="262" t="s">
        <v>359</v>
      </c>
      <c r="CP44" s="263" t="s">
        <v>360</v>
      </c>
      <c r="CQ44" s="255"/>
      <c r="CR44" s="255"/>
      <c r="CS44" s="255"/>
    </row>
    <row r="45" spans="1:97" s="38" customFormat="1" ht="12.75" x14ac:dyDescent="0.2">
      <c r="A45" s="158"/>
      <c r="B45" s="255"/>
      <c r="C45" s="264" t="s">
        <v>437</v>
      </c>
      <c r="D45" s="265">
        <v>9.6690745326061922</v>
      </c>
      <c r="E45" s="266"/>
      <c r="F45" s="266">
        <v>7.1544990447711898</v>
      </c>
      <c r="G45" s="266">
        <v>9.1298236892189308</v>
      </c>
      <c r="H45" s="267">
        <v>9.7990149990723641</v>
      </c>
      <c r="I45" s="265">
        <v>9.9593442253082856</v>
      </c>
      <c r="J45" s="266">
        <v>10.65216088388572</v>
      </c>
      <c r="K45" s="266">
        <v>7.7265495256930494</v>
      </c>
      <c r="L45" s="267">
        <v>6.5617362329769779</v>
      </c>
      <c r="M45" s="265">
        <v>6.5085679673837493</v>
      </c>
      <c r="N45" s="266">
        <v>6.0804774256866922</v>
      </c>
      <c r="O45" s="266">
        <v>7.6291228387665333</v>
      </c>
      <c r="P45" s="267">
        <v>9.1451219295645814</v>
      </c>
      <c r="Q45" s="265">
        <v>9.6107740626719895</v>
      </c>
      <c r="R45" s="266">
        <v>9.3789086252066056</v>
      </c>
      <c r="S45" s="266">
        <v>8.6163234263308741</v>
      </c>
      <c r="T45" s="267">
        <v>6.8816620113169469</v>
      </c>
      <c r="U45" s="265">
        <v>6.5767284991568031</v>
      </c>
      <c r="V45" s="266">
        <v>6.9565217391304168</v>
      </c>
      <c r="W45" s="266">
        <v>7.2505091649695208</v>
      </c>
      <c r="X45" s="267">
        <v>7.4074074074073737</v>
      </c>
      <c r="Y45" s="265">
        <v>7.2784810126582</v>
      </c>
      <c r="Z45" s="266">
        <v>7.00735578784355</v>
      </c>
      <c r="AA45" s="266">
        <v>6.7603494113178675</v>
      </c>
      <c r="AB45" s="267">
        <v>6.7091454272864004</v>
      </c>
      <c r="AC45" s="265">
        <v>7.1902654867256555</v>
      </c>
      <c r="AD45" s="266"/>
      <c r="AE45" s="266"/>
      <c r="AF45" s="266">
        <v>7.8509406657019554</v>
      </c>
      <c r="AG45" s="266">
        <v>8.0398434720736276</v>
      </c>
      <c r="AH45" s="267">
        <v>7.7976817702845036</v>
      </c>
      <c r="AI45" s="265">
        <v>7.602339181286899</v>
      </c>
      <c r="AJ45" s="266">
        <v>6.5414290506544459</v>
      </c>
      <c r="AK45" s="266">
        <v>6.0915377016796501</v>
      </c>
      <c r="AL45" s="267">
        <v>6.2235255783646082</v>
      </c>
      <c r="AM45" s="265">
        <v>7.4168797953960697</v>
      </c>
      <c r="AN45" s="266">
        <v>8.7216624685135145</v>
      </c>
      <c r="AO45" s="266">
        <v>9.9317194289264332</v>
      </c>
      <c r="AP45" s="267">
        <v>11.134969325153342</v>
      </c>
      <c r="AQ45" s="265">
        <v>9.5238095238098239</v>
      </c>
      <c r="AR45" s="266">
        <v>7.5296843324648144</v>
      </c>
      <c r="AS45" s="266">
        <v>6.0700169395815573</v>
      </c>
      <c r="AT45" s="267">
        <v>4.1954181617438469</v>
      </c>
      <c r="AU45" s="265">
        <v>4.4565217391298928</v>
      </c>
      <c r="AV45" s="266">
        <v>4.6054403447347125</v>
      </c>
      <c r="AW45" s="266">
        <v>3.8860793186055398</v>
      </c>
      <c r="AX45" s="267">
        <v>4.3708609271523313</v>
      </c>
      <c r="AY45" s="265">
        <v>3.4339229968782359</v>
      </c>
      <c r="AZ45" s="266">
        <v>3.7332646755918963</v>
      </c>
      <c r="BA45" s="266">
        <v>4.5605944145526545</v>
      </c>
      <c r="BB45" s="267">
        <v>4.0609137055842792</v>
      </c>
      <c r="BC45" s="265">
        <v>4.2002012072437367</v>
      </c>
      <c r="BD45" s="266">
        <v>4.2194092827006591</v>
      </c>
      <c r="BE45" s="266">
        <v>4.9742710120071365</v>
      </c>
      <c r="BF45" s="267">
        <v>4.9756097560975654</v>
      </c>
      <c r="BG45" s="265">
        <v>5.2377504223990012</v>
      </c>
      <c r="BH45" s="266">
        <v>6.3586568230530771</v>
      </c>
      <c r="BI45" s="266">
        <v>6.489262371615534</v>
      </c>
      <c r="BJ45" s="267">
        <v>7.9228624535311098</v>
      </c>
      <c r="BK45" s="265">
        <v>9.4036697247708911</v>
      </c>
      <c r="BL45" s="266">
        <v>10.971786833855557</v>
      </c>
      <c r="BM45" s="266">
        <v>13.217886891714127</v>
      </c>
      <c r="BN45" s="267">
        <v>11.603875134553521</v>
      </c>
      <c r="BO45" s="265">
        <v>8.377192982456183</v>
      </c>
      <c r="BP45" s="266">
        <v>7.7711357813833315</v>
      </c>
      <c r="BQ45" s="266">
        <v>6.4182194616977606</v>
      </c>
      <c r="BR45" s="267">
        <v>6.0805258833197318</v>
      </c>
      <c r="BS45" s="265">
        <v>5.6657223796034328</v>
      </c>
      <c r="BT45" s="266">
        <v>4.5166402535657735</v>
      </c>
      <c r="BU45" s="266">
        <v>3.463035019455174</v>
      </c>
      <c r="BV45" s="267">
        <v>3.4469403563129664</v>
      </c>
      <c r="BW45" s="265">
        <v>3.8299502106472261</v>
      </c>
      <c r="BX45" s="266">
        <v>4.624715693707393</v>
      </c>
      <c r="BY45" s="266">
        <v>5.4531778864234326</v>
      </c>
      <c r="BZ45" s="267">
        <v>6.0651441407711282</v>
      </c>
      <c r="CA45" s="265">
        <v>6.1232017705643349</v>
      </c>
      <c r="CB45" s="266">
        <v>5.7608695652173969</v>
      </c>
      <c r="CC45" s="266">
        <v>5.0998573466476849</v>
      </c>
      <c r="CD45" s="267">
        <v>5.6477232615602668</v>
      </c>
      <c r="CE45" s="265">
        <v>5.7003823427184575</v>
      </c>
      <c r="CF45" s="266">
        <v>5.6526207605344325</v>
      </c>
      <c r="CG45" s="266">
        <v>6.2436375975572167</v>
      </c>
      <c r="CH45" s="267">
        <v>5.4126294687607546</v>
      </c>
      <c r="CI45" s="265">
        <v>5.9191055573824203</v>
      </c>
      <c r="CJ45" s="266">
        <v>6.4526588845651656</v>
      </c>
      <c r="CK45" s="266">
        <v>6.228042159054592</v>
      </c>
      <c r="CL45" s="267">
        <v>5.7369255150551357</v>
      </c>
      <c r="CM45" s="268"/>
      <c r="CN45" s="269"/>
      <c r="CO45" s="269"/>
      <c r="CP45" s="270"/>
      <c r="CQ45" s="255"/>
      <c r="CR45" s="255"/>
      <c r="CS45" s="255"/>
    </row>
    <row r="46" spans="1:97" x14ac:dyDescent="0.25">
      <c r="B46" s="271"/>
      <c r="C46" s="92"/>
      <c r="D46" s="47"/>
      <c r="E46" s="47"/>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c r="BI46" s="47"/>
      <c r="BJ46" s="47"/>
      <c r="BK46" s="47"/>
      <c r="BL46" s="47"/>
      <c r="BM46" s="47"/>
      <c r="BN46" s="47"/>
      <c r="BO46" s="47"/>
      <c r="BP46" s="47"/>
      <c r="BQ46" s="47"/>
      <c r="BR46" s="47"/>
      <c r="BS46" s="47"/>
      <c r="BT46" s="47"/>
      <c r="BU46" s="47"/>
      <c r="BV46" s="47"/>
      <c r="BW46" s="47"/>
      <c r="BX46" s="47"/>
      <c r="BY46" s="47"/>
      <c r="BZ46" s="47"/>
      <c r="CA46" s="47"/>
      <c r="CB46" s="47"/>
      <c r="CC46" s="47"/>
      <c r="CD46" s="47"/>
      <c r="CE46" s="47"/>
      <c r="CF46" s="47"/>
      <c r="CG46" s="47"/>
      <c r="CH46" s="47"/>
      <c r="CI46" s="47"/>
      <c r="CJ46" s="47"/>
      <c r="CK46" s="47"/>
      <c r="CL46" s="47"/>
      <c r="CM46" s="47"/>
      <c r="CN46" s="47"/>
      <c r="CO46" s="47"/>
      <c r="CP46" s="47"/>
      <c r="CQ46" s="47"/>
      <c r="CR46" s="47"/>
      <c r="CS46" s="47"/>
    </row>
    <row r="47" spans="1:97" hidden="1" x14ac:dyDescent="0.25">
      <c r="B47" s="271"/>
      <c r="C47" s="92"/>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272"/>
      <c r="BE47" s="47"/>
      <c r="BF47" s="47"/>
      <c r="BG47" s="47"/>
      <c r="BH47" s="47"/>
      <c r="BI47" s="47"/>
      <c r="BJ47" s="47"/>
      <c r="BK47" s="47"/>
      <c r="BL47" s="47"/>
      <c r="BM47" s="47"/>
      <c r="BN47" s="47"/>
      <c r="BO47" s="273"/>
      <c r="BP47" s="47"/>
      <c r="BQ47" s="47"/>
      <c r="BR47" s="47"/>
      <c r="BS47" s="47"/>
      <c r="BT47" s="47"/>
      <c r="BU47" s="47"/>
      <c r="BV47" s="47"/>
      <c r="BW47" s="47"/>
      <c r="BX47" s="47"/>
      <c r="BY47" s="47"/>
      <c r="BZ47" s="47"/>
      <c r="CA47" s="47"/>
      <c r="CB47" s="47"/>
      <c r="CC47" s="47"/>
      <c r="CD47" s="47"/>
      <c r="CE47" s="47"/>
      <c r="CF47" s="47"/>
      <c r="CG47" s="273"/>
      <c r="CH47" s="47"/>
      <c r="CI47" s="47"/>
      <c r="CJ47" s="47"/>
      <c r="CK47" s="47"/>
      <c r="CL47" s="47"/>
      <c r="CM47" s="47"/>
      <c r="CN47" s="47"/>
      <c r="CO47" s="47"/>
      <c r="CP47" s="47"/>
      <c r="CQ47" s="47"/>
      <c r="CR47" s="47"/>
      <c r="CS47" s="47"/>
    </row>
    <row r="48" spans="1:97" hidden="1" x14ac:dyDescent="0.25">
      <c r="B48" s="271"/>
      <c r="C48" s="92"/>
      <c r="D48" s="47"/>
      <c r="E48" s="47"/>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272"/>
      <c r="BE48" s="47"/>
      <c r="BF48" s="47"/>
      <c r="BG48" s="47"/>
      <c r="BH48" s="47"/>
      <c r="BI48" s="47"/>
      <c r="BJ48" s="47"/>
      <c r="BK48" s="47"/>
      <c r="BL48" s="47"/>
      <c r="BM48" s="47"/>
      <c r="BN48" s="47"/>
      <c r="BO48" s="273"/>
      <c r="BP48" s="47"/>
      <c r="BQ48" s="47"/>
      <c r="BR48" s="47"/>
      <c r="BS48" s="47"/>
      <c r="BT48" s="47"/>
      <c r="BU48" s="47"/>
      <c r="BV48" s="47"/>
      <c r="BW48" s="47"/>
      <c r="BX48" s="47"/>
      <c r="BY48" s="47"/>
      <c r="BZ48" s="47"/>
      <c r="CA48" s="47"/>
      <c r="CB48" s="47"/>
      <c r="CC48" s="47"/>
      <c r="CD48" s="47"/>
      <c r="CE48" s="47"/>
      <c r="CF48" s="47"/>
      <c r="CG48" s="273"/>
      <c r="CH48" s="47"/>
      <c r="CI48" s="47"/>
      <c r="CJ48" s="47"/>
      <c r="CK48" s="47"/>
      <c r="CL48" s="47"/>
      <c r="CM48" s="47"/>
      <c r="CN48" s="47"/>
      <c r="CO48" s="47"/>
      <c r="CP48" s="47"/>
      <c r="CQ48" s="47"/>
      <c r="CR48" s="47"/>
      <c r="CS48" s="47"/>
    </row>
    <row r="49" spans="2:97" hidden="1" x14ac:dyDescent="0.25">
      <c r="B49" s="271"/>
      <c r="C49" s="92"/>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255"/>
      <c r="BE49" s="47"/>
      <c r="BF49" s="47"/>
      <c r="BG49" s="47"/>
      <c r="BH49" s="47"/>
      <c r="BI49" s="47"/>
      <c r="BJ49" s="47"/>
      <c r="BK49" s="47"/>
      <c r="BL49" s="47"/>
      <c r="BM49" s="47"/>
      <c r="BN49" s="47"/>
      <c r="BO49" s="273"/>
      <c r="BP49" s="47"/>
      <c r="BQ49" s="47"/>
      <c r="BR49" s="47"/>
      <c r="BS49" s="47"/>
      <c r="BT49" s="47"/>
      <c r="BU49" s="47"/>
      <c r="BV49" s="47"/>
      <c r="BW49" s="47"/>
      <c r="BX49" s="47"/>
      <c r="BY49" s="47"/>
      <c r="BZ49" s="47"/>
      <c r="CA49" s="47"/>
      <c r="CB49" s="47"/>
      <c r="CC49" s="47"/>
      <c r="CD49" s="47"/>
      <c r="CE49" s="47"/>
      <c r="CF49" s="47"/>
      <c r="CG49" s="273"/>
      <c r="CH49" s="47"/>
      <c r="CI49" s="47"/>
      <c r="CJ49" s="47"/>
      <c r="CK49" s="47"/>
      <c r="CL49" s="47"/>
      <c r="CM49" s="47"/>
      <c r="CN49" s="47"/>
      <c r="CO49" s="47"/>
      <c r="CP49" s="47"/>
      <c r="CQ49" s="47"/>
      <c r="CR49" s="47"/>
      <c r="CS49" s="47"/>
    </row>
    <row r="50" spans="2:97" hidden="1" x14ac:dyDescent="0.25">
      <c r="B50" s="271"/>
      <c r="C50" s="92"/>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255"/>
      <c r="BE50" s="47"/>
      <c r="BF50" s="47"/>
      <c r="BG50" s="47"/>
      <c r="BH50" s="47"/>
      <c r="BI50" s="47"/>
      <c r="BJ50" s="47"/>
      <c r="BK50" s="47"/>
      <c r="BL50" s="47"/>
      <c r="BM50" s="47"/>
      <c r="BN50" s="47"/>
      <c r="BO50" s="273"/>
      <c r="BP50" s="47"/>
      <c r="BQ50" s="47"/>
      <c r="BR50" s="47"/>
      <c r="BS50" s="47"/>
      <c r="BT50" s="47"/>
      <c r="BU50" s="47"/>
      <c r="BV50" s="47"/>
      <c r="BW50" s="47"/>
      <c r="BX50" s="47"/>
      <c r="BY50" s="47"/>
      <c r="BZ50" s="47"/>
      <c r="CA50" s="47"/>
      <c r="CB50" s="47"/>
      <c r="CC50" s="47"/>
      <c r="CD50" s="47"/>
      <c r="CE50" s="47"/>
      <c r="CF50" s="47"/>
      <c r="CG50" s="273"/>
      <c r="CH50" s="47"/>
      <c r="CI50" s="47"/>
      <c r="CJ50" s="47"/>
      <c r="CK50" s="47"/>
      <c r="CL50" s="47"/>
      <c r="CM50" s="47"/>
      <c r="CN50" s="47"/>
      <c r="CO50" s="47"/>
      <c r="CP50" s="47"/>
      <c r="CQ50" s="47"/>
      <c r="CR50" s="47"/>
      <c r="CS50" s="47"/>
    </row>
    <row r="51" spans="2:97" hidden="1" x14ac:dyDescent="0.25">
      <c r="B51" s="271"/>
      <c r="C51" s="92"/>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273"/>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row>
    <row r="52" spans="2:97" hidden="1" x14ac:dyDescent="0.25">
      <c r="B52" s="271"/>
      <c r="C52" s="92"/>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273"/>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row>
    <row r="53" spans="2:97" hidden="1" x14ac:dyDescent="0.25">
      <c r="B53" s="271"/>
      <c r="C53" s="92"/>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273"/>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row>
    <row r="54" spans="2:97" hidden="1" x14ac:dyDescent="0.25">
      <c r="B54" s="271"/>
      <c r="C54" s="92"/>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273"/>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row>
    <row r="55" spans="2:97" hidden="1" x14ac:dyDescent="0.25">
      <c r="B55" s="271"/>
      <c r="C55" s="92"/>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273"/>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row>
    <row r="56" spans="2:97" hidden="1" x14ac:dyDescent="0.25">
      <c r="B56" s="271"/>
      <c r="C56" s="92"/>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273"/>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row>
    <row r="57" spans="2:97" hidden="1" x14ac:dyDescent="0.25">
      <c r="B57" s="271"/>
      <c r="C57" s="92"/>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273"/>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row>
    <row r="58" spans="2:97" hidden="1" x14ac:dyDescent="0.25">
      <c r="B58" s="271"/>
      <c r="C58" s="92"/>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273"/>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row>
    <row r="59" spans="2:97" hidden="1" x14ac:dyDescent="0.25">
      <c r="B59" s="271"/>
      <c r="C59" s="92"/>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273"/>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row>
    <row r="60" spans="2:97" hidden="1" x14ac:dyDescent="0.25">
      <c r="B60" s="271"/>
      <c r="C60" s="92"/>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273"/>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row>
    <row r="61" spans="2:97" hidden="1" x14ac:dyDescent="0.25">
      <c r="B61" s="271"/>
      <c r="C61" s="92"/>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t="s">
        <v>358</v>
      </c>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273"/>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row>
    <row r="62" spans="2:97" hidden="1" x14ac:dyDescent="0.25">
      <c r="B62" s="271"/>
      <c r="C62" s="92"/>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273"/>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row>
    <row r="63" spans="2:97" hidden="1" x14ac:dyDescent="0.25">
      <c r="B63" s="271"/>
      <c r="C63" s="92"/>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row>
    <row r="64" spans="2:97" hidden="1" x14ac:dyDescent="0.25">
      <c r="B64" s="271"/>
      <c r="C64" s="92"/>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row>
    <row r="65" spans="2:97" hidden="1" x14ac:dyDescent="0.25">
      <c r="B65" s="271"/>
      <c r="C65" s="92"/>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row>
    <row r="66" spans="2:97" hidden="1" x14ac:dyDescent="0.25">
      <c r="B66" s="271"/>
      <c r="C66" s="92"/>
      <c r="D66" s="47"/>
      <c r="E66" s="47"/>
      <c r="F66" s="47">
        <v>1998</v>
      </c>
      <c r="G66" s="47">
        <v>1999</v>
      </c>
      <c r="H66" s="47">
        <v>2000</v>
      </c>
      <c r="I66" s="47">
        <v>2001</v>
      </c>
      <c r="J66" s="47">
        <v>2002</v>
      </c>
      <c r="K66" s="47">
        <v>2003</v>
      </c>
      <c r="L66" s="47">
        <v>2004</v>
      </c>
      <c r="M66" s="47">
        <v>2005</v>
      </c>
      <c r="N66" s="47">
        <v>2006</v>
      </c>
      <c r="O66" s="47">
        <v>2007</v>
      </c>
      <c r="P66" s="47">
        <v>2008</v>
      </c>
      <c r="Q66" s="47">
        <v>2009</v>
      </c>
      <c r="R66" s="47">
        <v>2010</v>
      </c>
      <c r="S66" s="47">
        <v>2011</v>
      </c>
      <c r="T66" s="47">
        <v>2012</v>
      </c>
      <c r="U66" s="47">
        <v>2013</v>
      </c>
      <c r="V66" s="47">
        <v>2014</v>
      </c>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row>
    <row r="67" spans="2:97" hidden="1" x14ac:dyDescent="0.25">
      <c r="B67" s="271"/>
      <c r="C67" s="92"/>
      <c r="D67" s="47"/>
      <c r="E67" s="47"/>
      <c r="F67" s="47">
        <v>7.0532593049558168</v>
      </c>
      <c r="G67" s="47">
        <v>6.9343065693431072</v>
      </c>
      <c r="H67" s="47">
        <v>7.7240883779413627</v>
      </c>
      <c r="I67" s="47">
        <v>6.6033016508254105</v>
      </c>
      <c r="J67" s="47">
        <v>9.3226966995147755</v>
      </c>
      <c r="K67" s="47">
        <v>6.7749320360569687</v>
      </c>
      <c r="L67" s="47">
        <v>4.328308207704934</v>
      </c>
      <c r="M67" s="47">
        <v>3.9496499903667104</v>
      </c>
      <c r="N67" s="47">
        <v>4.5965649326578539</v>
      </c>
      <c r="O67" s="47">
        <v>6.5150620200829401</v>
      </c>
      <c r="P67" s="47">
        <v>11.32368435645783</v>
      </c>
      <c r="Q67" s="47">
        <v>7.1375778692852609</v>
      </c>
      <c r="R67" s="47">
        <v>4.2574159850202076</v>
      </c>
      <c r="S67" s="47">
        <v>5.000472634464459</v>
      </c>
      <c r="T67" s="47">
        <v>5.6535830032408585</v>
      </c>
      <c r="U67" s="47">
        <v>5.7515337423312829</v>
      </c>
      <c r="V67" s="47">
        <v>5.952930318412375</v>
      </c>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row>
    <row r="68" spans="2:97" hidden="1" x14ac:dyDescent="0.25">
      <c r="B68" s="271"/>
      <c r="C68" s="92"/>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row>
    <row r="69" spans="2:97" hidden="1" x14ac:dyDescent="0.25">
      <c r="B69" s="271"/>
      <c r="C69" s="92"/>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row>
    <row r="70" spans="2:97" hidden="1" x14ac:dyDescent="0.25">
      <c r="B70" s="271"/>
      <c r="C70" s="92"/>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row>
    <row r="71" spans="2:97" x14ac:dyDescent="0.25">
      <c r="B71" s="271"/>
      <c r="C71" s="92"/>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row>
  </sheetData>
  <mergeCells count="30">
    <mergeCell ref="CE43:CH43"/>
    <mergeCell ref="CI43:CL43"/>
    <mergeCell ref="CM43:CP43"/>
    <mergeCell ref="BG43:BJ43"/>
    <mergeCell ref="BK43:BN43"/>
    <mergeCell ref="BO43:BR43"/>
    <mergeCell ref="BS43:BV43"/>
    <mergeCell ref="BW43:BZ43"/>
    <mergeCell ref="CA43:CD43"/>
    <mergeCell ref="BC43:BF43"/>
    <mergeCell ref="D39:AC39"/>
    <mergeCell ref="D40:AC40"/>
    <mergeCell ref="D43:H43"/>
    <mergeCell ref="I43:L43"/>
    <mergeCell ref="M43:P43"/>
    <mergeCell ref="Q43:T43"/>
    <mergeCell ref="U43:X43"/>
    <mergeCell ref="Y43:AB43"/>
    <mergeCell ref="AC43:AH43"/>
    <mergeCell ref="AI43:AL43"/>
    <mergeCell ref="AM43:AP43"/>
    <mergeCell ref="AQ43:AT43"/>
    <mergeCell ref="AU43:AX43"/>
    <mergeCell ref="AY43:BB43"/>
    <mergeCell ref="D38:AC38"/>
    <mergeCell ref="D2:AC2"/>
    <mergeCell ref="D3:AC3"/>
    <mergeCell ref="D4:AC4"/>
    <mergeCell ref="D5:AB5"/>
    <mergeCell ref="D37:AC37"/>
  </mergeCells>
  <pageMargins left="0.74803149606299202" right="0.74803149606299202" top="0.98425196850393704" bottom="0.98425196850393704" header="0.511811023622047" footer="0.511811023622047"/>
  <pageSetup paperSize="9" scale="64"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C7297-C93E-4F37-B26E-1611483FC9E6}">
  <sheetPr>
    <tabColor rgb="FFFFC000"/>
    <pageSetUpPr fitToPage="1"/>
  </sheetPr>
  <dimension ref="A1:BZ105"/>
  <sheetViews>
    <sheetView showGridLines="0" view="pageBreakPreview" zoomScaleNormal="100" zoomScaleSheetLayoutView="100" workbookViewId="0">
      <selection activeCell="AM24" sqref="AM24"/>
    </sheetView>
  </sheetViews>
  <sheetFormatPr defaultColWidth="9.140625" defaultRowHeight="15" x14ac:dyDescent="0.25"/>
  <cols>
    <col min="1" max="1" width="3.85546875" style="69" customWidth="1"/>
    <col min="2" max="2" width="12.85546875" style="66" customWidth="1"/>
    <col min="3" max="3" width="3.85546875" style="67" customWidth="1"/>
    <col min="4" max="4" width="14.42578125" style="4" customWidth="1"/>
    <col min="5" max="5" width="14.85546875" style="4" bestFit="1" customWidth="1"/>
    <col min="6" max="23" width="4.140625" style="4" bestFit="1" customWidth="1"/>
    <col min="24" max="24" width="4.85546875" style="4" customWidth="1"/>
    <col min="25" max="27" width="4.140625" style="34" customWidth="1"/>
    <col min="28" max="28" width="5.140625" style="34" customWidth="1"/>
    <col min="29" max="31" width="3.85546875" style="4" customWidth="1"/>
    <col min="32" max="34" width="4.140625" style="4" customWidth="1"/>
    <col min="35" max="73" width="4.85546875" style="4" customWidth="1"/>
    <col min="74" max="16384" width="9.140625" style="4"/>
  </cols>
  <sheetData>
    <row r="1" spans="1:46" x14ac:dyDescent="0.25">
      <c r="D1" s="68"/>
      <c r="E1" s="68"/>
      <c r="F1" s="68"/>
      <c r="G1" s="68"/>
      <c r="H1" s="68"/>
      <c r="I1" s="68"/>
      <c r="J1" s="68"/>
      <c r="K1" s="68"/>
      <c r="L1" s="68"/>
      <c r="M1" s="68"/>
      <c r="N1" s="68"/>
      <c r="O1" s="68"/>
      <c r="P1" s="68"/>
      <c r="Q1" s="68"/>
      <c r="R1" s="68"/>
      <c r="S1" s="68"/>
      <c r="T1" s="68"/>
    </row>
    <row r="2" spans="1:46" ht="15" customHeight="1" x14ac:dyDescent="0.25">
      <c r="A2" s="69">
        <v>1</v>
      </c>
      <c r="B2" s="70" t="s">
        <v>0</v>
      </c>
      <c r="C2" s="69">
        <v>16</v>
      </c>
      <c r="D2" s="4674" t="s">
        <v>438</v>
      </c>
      <c r="E2" s="4675"/>
      <c r="F2" s="4675"/>
      <c r="G2" s="4675"/>
      <c r="H2" s="4675"/>
      <c r="I2" s="4675"/>
      <c r="J2" s="4675"/>
      <c r="K2" s="4675"/>
      <c r="L2" s="4675"/>
      <c r="M2" s="4675"/>
      <c r="N2" s="4675"/>
      <c r="O2" s="4675"/>
      <c r="P2" s="4675"/>
      <c r="Q2" s="4675"/>
      <c r="R2" s="4675"/>
      <c r="S2" s="4675"/>
      <c r="T2" s="4675"/>
      <c r="U2" s="4675"/>
      <c r="V2" s="4675"/>
      <c r="W2" s="4675"/>
      <c r="X2" s="4675"/>
      <c r="Y2" s="4675"/>
      <c r="Z2" s="4675"/>
      <c r="AA2" s="4675"/>
      <c r="AB2" s="4676"/>
      <c r="AC2" s="8"/>
      <c r="AD2" s="8"/>
      <c r="AE2" s="8"/>
      <c r="AF2" s="8"/>
      <c r="AG2" s="8"/>
      <c r="AH2" s="8"/>
    </row>
    <row r="3" spans="1:46" ht="15" customHeight="1" x14ac:dyDescent="0.25">
      <c r="A3" s="69">
        <v>2</v>
      </c>
      <c r="B3" s="70" t="s">
        <v>2</v>
      </c>
      <c r="C3" s="69"/>
      <c r="D3" s="4674" t="s">
        <v>391</v>
      </c>
      <c r="E3" s="4675"/>
      <c r="F3" s="4675"/>
      <c r="G3" s="4675"/>
      <c r="H3" s="4675"/>
      <c r="I3" s="4675"/>
      <c r="J3" s="4675"/>
      <c r="K3" s="4675"/>
      <c r="L3" s="4675"/>
      <c r="M3" s="4675"/>
      <c r="N3" s="4675"/>
      <c r="O3" s="4675"/>
      <c r="P3" s="4675"/>
      <c r="Q3" s="4675"/>
      <c r="R3" s="4675"/>
      <c r="S3" s="4675"/>
      <c r="T3" s="4675"/>
      <c r="U3" s="4675"/>
      <c r="V3" s="4675"/>
      <c r="W3" s="4675"/>
      <c r="X3" s="4675"/>
      <c r="Y3" s="4675"/>
      <c r="Z3" s="4675"/>
      <c r="AA3" s="4675"/>
      <c r="AB3" s="4676"/>
      <c r="AC3" s="8"/>
      <c r="AD3" s="8"/>
      <c r="AE3" s="8"/>
      <c r="AF3" s="8"/>
      <c r="AG3" s="8"/>
      <c r="AH3" s="8"/>
    </row>
    <row r="4" spans="1:46" ht="15" customHeight="1" x14ac:dyDescent="0.25">
      <c r="A4" s="69">
        <v>3</v>
      </c>
      <c r="B4" s="70" t="s">
        <v>4</v>
      </c>
      <c r="C4" s="69"/>
      <c r="D4" s="4674" t="s">
        <v>439</v>
      </c>
      <c r="E4" s="4675"/>
      <c r="F4" s="4675"/>
      <c r="G4" s="4675"/>
      <c r="H4" s="4675"/>
      <c r="I4" s="4675"/>
      <c r="J4" s="4675"/>
      <c r="K4" s="4675"/>
      <c r="L4" s="4675"/>
      <c r="M4" s="4675"/>
      <c r="N4" s="4675"/>
      <c r="O4" s="4675"/>
      <c r="P4" s="4675"/>
      <c r="Q4" s="4675"/>
      <c r="R4" s="4675"/>
      <c r="S4" s="4675"/>
      <c r="T4" s="4675"/>
      <c r="U4" s="4675"/>
      <c r="V4" s="4675"/>
      <c r="W4" s="4675"/>
      <c r="X4" s="4675"/>
      <c r="Y4" s="4675"/>
      <c r="Z4" s="4675"/>
      <c r="AA4" s="4675"/>
      <c r="AB4" s="4676"/>
      <c r="AC4" s="274"/>
      <c r="AD4" s="8"/>
      <c r="AE4" s="8"/>
      <c r="AF4" s="8"/>
      <c r="AG4" s="8"/>
      <c r="AH4" s="8"/>
      <c r="AI4" s="8"/>
    </row>
    <row r="5" spans="1:46" ht="15" customHeight="1" x14ac:dyDescent="0.25">
      <c r="B5" s="70"/>
      <c r="C5" s="69"/>
      <c r="D5" s="4701"/>
      <c r="E5" s="4701"/>
      <c r="F5" s="4701"/>
      <c r="G5" s="4701"/>
      <c r="H5" s="4701"/>
      <c r="I5" s="4701"/>
      <c r="J5" s="4701"/>
      <c r="K5" s="4701"/>
      <c r="L5" s="4701"/>
      <c r="M5" s="4701"/>
      <c r="N5" s="4701"/>
      <c r="O5" s="4701"/>
      <c r="P5" s="4701"/>
      <c r="Q5" s="4701"/>
      <c r="R5" s="4701"/>
      <c r="S5" s="4701"/>
      <c r="T5" s="4701"/>
      <c r="U5" s="4701"/>
      <c r="V5" s="4701"/>
      <c r="W5" s="4701"/>
      <c r="X5" s="4701"/>
      <c r="Y5" s="4701"/>
      <c r="Z5" s="180"/>
      <c r="AA5" s="895"/>
      <c r="AB5" s="895"/>
      <c r="AC5" s="895"/>
    </row>
    <row r="6" spans="1:46" ht="12.75" customHeight="1" x14ac:dyDescent="0.25">
      <c r="B6" s="70"/>
      <c r="C6" s="69"/>
      <c r="D6" s="4681"/>
      <c r="E6" s="4681"/>
      <c r="F6" s="4681"/>
      <c r="G6" s="4681"/>
      <c r="H6" s="4681"/>
      <c r="I6" s="4681"/>
      <c r="J6" s="4681"/>
      <c r="K6" s="4681"/>
      <c r="L6" s="4681"/>
      <c r="M6" s="4681"/>
      <c r="N6" s="4681"/>
      <c r="O6" s="4681"/>
      <c r="P6" s="4681"/>
      <c r="Q6" s="4681"/>
      <c r="R6" s="4681"/>
      <c r="S6" s="4681"/>
      <c r="T6" s="4681"/>
      <c r="U6" s="4681"/>
      <c r="V6" s="4681"/>
      <c r="W6" s="4681"/>
      <c r="X6" s="4702"/>
      <c r="Y6" s="4702"/>
      <c r="Z6" s="4702"/>
      <c r="AA6" s="4702"/>
      <c r="AB6" s="4702"/>
      <c r="AC6" s="4702"/>
      <c r="AD6" s="8"/>
      <c r="AE6" s="8"/>
      <c r="AF6" s="8"/>
      <c r="AG6" s="8"/>
      <c r="AH6" s="8"/>
      <c r="AI6" s="8"/>
      <c r="AJ6" s="8"/>
      <c r="AK6" s="8"/>
      <c r="AL6" s="8"/>
      <c r="AM6" s="8"/>
      <c r="AN6" s="8"/>
      <c r="AO6" s="8"/>
      <c r="AP6" s="8"/>
      <c r="AQ6" s="8"/>
      <c r="AR6" s="8"/>
      <c r="AS6" s="8"/>
      <c r="AT6" s="8"/>
    </row>
    <row r="7" spans="1:46" x14ac:dyDescent="0.25">
      <c r="A7" s="69">
        <v>4</v>
      </c>
      <c r="B7" s="70" t="s">
        <v>6</v>
      </c>
      <c r="D7" s="71" t="s">
        <v>7</v>
      </c>
      <c r="E7" s="71" t="s">
        <v>440</v>
      </c>
      <c r="F7" s="71"/>
      <c r="G7" s="71"/>
      <c r="H7" s="71"/>
      <c r="I7" s="71"/>
      <c r="J7" s="71"/>
      <c r="K7" s="71"/>
      <c r="L7" s="71"/>
      <c r="M7" s="71"/>
      <c r="N7" s="68"/>
      <c r="O7" s="68"/>
      <c r="P7" s="68"/>
      <c r="Q7" s="68"/>
      <c r="R7" s="68"/>
      <c r="S7" s="88"/>
      <c r="T7" s="88"/>
      <c r="V7" s="275"/>
      <c r="X7" s="34"/>
      <c r="AC7" s="34"/>
    </row>
    <row r="8" spans="1:46" x14ac:dyDescent="0.25">
      <c r="D8" s="99" t="s">
        <v>432</v>
      </c>
      <c r="E8" s="276">
        <v>36160</v>
      </c>
      <c r="F8" s="276">
        <v>36525</v>
      </c>
      <c r="G8" s="276">
        <v>36891</v>
      </c>
      <c r="H8" s="276">
        <v>37256</v>
      </c>
      <c r="I8" s="276">
        <v>37621</v>
      </c>
      <c r="J8" s="276">
        <v>37986</v>
      </c>
      <c r="K8" s="276">
        <v>38352</v>
      </c>
      <c r="L8" s="276">
        <v>38717</v>
      </c>
      <c r="M8" s="276">
        <v>39082</v>
      </c>
      <c r="N8" s="276">
        <v>39447</v>
      </c>
      <c r="O8" s="276">
        <v>39813</v>
      </c>
      <c r="P8" s="276">
        <v>40178</v>
      </c>
      <c r="Q8" s="276">
        <v>40543</v>
      </c>
      <c r="R8" s="276">
        <v>40908</v>
      </c>
      <c r="S8" s="276">
        <v>41274</v>
      </c>
      <c r="T8" s="276">
        <v>41275</v>
      </c>
      <c r="U8" s="276">
        <v>41641</v>
      </c>
      <c r="V8" s="276">
        <v>42007</v>
      </c>
      <c r="W8" s="276">
        <v>42371</v>
      </c>
      <c r="X8" s="277">
        <v>42738</v>
      </c>
      <c r="Y8" s="278" t="s">
        <v>342</v>
      </c>
      <c r="Z8" s="278" t="s">
        <v>343</v>
      </c>
      <c r="AA8" s="279" t="s">
        <v>344</v>
      </c>
      <c r="AB8" s="279" t="s">
        <v>345</v>
      </c>
      <c r="AC8" s="279" t="s">
        <v>2151</v>
      </c>
    </row>
    <row r="9" spans="1:46" ht="23.25" x14ac:dyDescent="0.25">
      <c r="D9" s="280" t="s">
        <v>441</v>
      </c>
      <c r="E9" s="281">
        <v>397</v>
      </c>
      <c r="F9" s="281">
        <v>422</v>
      </c>
      <c r="G9" s="281">
        <v>332</v>
      </c>
      <c r="H9" s="281">
        <v>311</v>
      </c>
      <c r="I9" s="281">
        <v>270</v>
      </c>
      <c r="J9" s="281">
        <v>175</v>
      </c>
      <c r="K9" s="281">
        <v>141</v>
      </c>
      <c r="L9" s="281">
        <v>95</v>
      </c>
      <c r="M9" s="281">
        <v>90</v>
      </c>
      <c r="N9" s="281">
        <v>100</v>
      </c>
      <c r="O9" s="281">
        <v>328</v>
      </c>
      <c r="P9" s="281">
        <v>299</v>
      </c>
      <c r="Q9" s="281">
        <v>167</v>
      </c>
      <c r="R9" s="281">
        <v>195</v>
      </c>
      <c r="S9" s="281">
        <v>206</v>
      </c>
      <c r="T9" s="281">
        <v>234</v>
      </c>
      <c r="U9" s="281">
        <v>231</v>
      </c>
      <c r="V9" s="281">
        <v>296</v>
      </c>
      <c r="W9" s="281">
        <v>343</v>
      </c>
      <c r="X9" s="282">
        <v>267</v>
      </c>
      <c r="Y9" s="282">
        <v>288</v>
      </c>
      <c r="Z9" s="282">
        <v>313</v>
      </c>
      <c r="AA9" s="283">
        <v>491.8</v>
      </c>
      <c r="AB9" s="283">
        <v>353</v>
      </c>
      <c r="AC9" s="283">
        <v>403</v>
      </c>
    </row>
    <row r="10" spans="1:46" x14ac:dyDescent="0.25">
      <c r="A10" s="4"/>
      <c r="D10" s="87"/>
      <c r="E10" s="88"/>
      <c r="F10" s="88"/>
      <c r="G10" s="88"/>
      <c r="H10" s="88"/>
      <c r="I10" s="88"/>
      <c r="J10" s="88"/>
      <c r="K10" s="88"/>
      <c r="L10" s="284"/>
      <c r="M10" s="285"/>
      <c r="N10" s="68"/>
      <c r="O10" s="68"/>
      <c r="P10" s="68"/>
      <c r="Q10" s="68"/>
      <c r="R10" s="88"/>
      <c r="S10" s="284"/>
      <c r="T10" s="284"/>
      <c r="V10" s="275"/>
    </row>
    <row r="11" spans="1:46" x14ac:dyDescent="0.25">
      <c r="A11" s="69">
        <v>5</v>
      </c>
      <c r="B11" s="70" t="s">
        <v>51</v>
      </c>
      <c r="D11" s="68"/>
      <c r="E11" s="88"/>
      <c r="F11" s="88"/>
      <c r="G11" s="88"/>
      <c r="H11" s="88"/>
      <c r="I11" s="88"/>
      <c r="J11" s="88"/>
      <c r="K11" s="88"/>
      <c r="L11" s="88"/>
      <c r="M11" s="88"/>
      <c r="N11" s="88"/>
      <c r="O11" s="88"/>
      <c r="P11" s="88"/>
      <c r="Q11" s="88"/>
      <c r="R11" s="88"/>
      <c r="S11" s="284"/>
      <c r="T11" s="284"/>
      <c r="V11" s="275"/>
    </row>
    <row r="12" spans="1:46" x14ac:dyDescent="0.25">
      <c r="C12" s="69"/>
      <c r="D12" s="68"/>
      <c r="E12" s="88"/>
      <c r="F12" s="88"/>
      <c r="G12" s="88"/>
      <c r="H12" s="88"/>
      <c r="I12" s="88"/>
      <c r="J12" s="88"/>
      <c r="K12" s="88"/>
      <c r="L12" s="88"/>
      <c r="M12" s="88"/>
      <c r="N12" s="88"/>
      <c r="O12" s="88"/>
      <c r="P12" s="88"/>
      <c r="Q12" s="88"/>
      <c r="R12" s="88"/>
      <c r="S12" s="284"/>
      <c r="T12" s="284"/>
      <c r="V12" s="275"/>
    </row>
    <row r="13" spans="1:46" x14ac:dyDescent="0.25">
      <c r="D13" s="68"/>
      <c r="E13" s="88"/>
      <c r="F13" s="88"/>
      <c r="G13" s="88"/>
      <c r="H13" s="88"/>
      <c r="I13" s="88"/>
      <c r="J13" s="88"/>
      <c r="K13" s="88"/>
      <c r="L13" s="88"/>
      <c r="M13" s="88"/>
      <c r="N13" s="88"/>
      <c r="O13" s="88"/>
      <c r="P13" s="88"/>
      <c r="Q13" s="88"/>
      <c r="R13" s="88"/>
      <c r="S13" s="284"/>
      <c r="T13" s="284"/>
      <c r="V13" s="275"/>
    </row>
    <row r="14" spans="1:46" x14ac:dyDescent="0.25">
      <c r="D14" s="68"/>
      <c r="E14" s="88"/>
      <c r="F14" s="88"/>
      <c r="G14" s="88"/>
      <c r="H14" s="88"/>
      <c r="I14" s="88"/>
      <c r="J14" s="88"/>
      <c r="K14" s="88"/>
      <c r="L14" s="88"/>
      <c r="M14" s="88"/>
      <c r="N14" s="88"/>
      <c r="O14" s="88"/>
      <c r="P14" s="88"/>
      <c r="Q14" s="88"/>
      <c r="R14" s="88"/>
      <c r="S14" s="284"/>
      <c r="T14" s="284"/>
      <c r="V14" s="275"/>
    </row>
    <row r="15" spans="1:46" x14ac:dyDescent="0.25">
      <c r="D15" s="68"/>
      <c r="E15" s="88"/>
      <c r="F15" s="88"/>
      <c r="G15" s="88"/>
      <c r="H15" s="88"/>
      <c r="I15" s="88"/>
      <c r="J15" s="88"/>
      <c r="K15" s="88"/>
      <c r="L15" s="88"/>
      <c r="M15" s="88"/>
      <c r="N15" s="88"/>
      <c r="O15" s="88"/>
      <c r="P15" s="88"/>
      <c r="Q15" s="88"/>
      <c r="R15" s="88"/>
      <c r="S15" s="284"/>
      <c r="T15" s="284"/>
      <c r="V15" s="275"/>
    </row>
    <row r="16" spans="1:46" x14ac:dyDescent="0.25">
      <c r="D16" s="68"/>
      <c r="E16" s="88"/>
      <c r="F16" s="88"/>
      <c r="G16" s="88"/>
      <c r="H16" s="88"/>
      <c r="I16" s="88"/>
      <c r="J16" s="88"/>
      <c r="K16" s="88"/>
      <c r="L16" s="88"/>
      <c r="M16" s="88"/>
      <c r="N16" s="88"/>
      <c r="O16" s="88"/>
      <c r="P16" s="88"/>
      <c r="Q16" s="88"/>
      <c r="R16" s="88"/>
      <c r="S16" s="88"/>
      <c r="T16" s="88"/>
      <c r="V16" s="275"/>
    </row>
    <row r="17" spans="1:42" x14ac:dyDescent="0.25">
      <c r="D17" s="68"/>
      <c r="E17" s="88"/>
      <c r="F17" s="88"/>
      <c r="G17" s="88"/>
      <c r="H17" s="88"/>
      <c r="I17" s="88"/>
      <c r="J17" s="88"/>
      <c r="K17" s="88"/>
      <c r="L17" s="88"/>
      <c r="M17" s="88"/>
      <c r="N17" s="88"/>
      <c r="O17" s="88"/>
      <c r="P17" s="88"/>
      <c r="Q17" s="88"/>
      <c r="R17" s="88"/>
      <c r="S17" s="88"/>
      <c r="T17" s="88"/>
      <c r="V17" s="275"/>
    </row>
    <row r="18" spans="1:42" x14ac:dyDescent="0.25">
      <c r="D18" s="68"/>
      <c r="E18" s="88"/>
      <c r="F18" s="88"/>
      <c r="G18" s="88"/>
      <c r="H18" s="88"/>
      <c r="I18" s="88"/>
      <c r="J18" s="88"/>
      <c r="K18" s="88"/>
      <c r="L18" s="88"/>
      <c r="M18" s="88"/>
      <c r="N18" s="88"/>
      <c r="O18" s="88"/>
      <c r="P18" s="88"/>
      <c r="Q18" s="88"/>
      <c r="R18" s="88"/>
      <c r="S18" s="88"/>
      <c r="T18" s="88"/>
      <c r="V18" s="275"/>
    </row>
    <row r="19" spans="1:42" x14ac:dyDescent="0.25">
      <c r="D19" s="68"/>
      <c r="E19" s="88"/>
      <c r="F19" s="88"/>
      <c r="G19" s="88"/>
      <c r="H19" s="88"/>
      <c r="I19" s="88"/>
      <c r="J19" s="88"/>
      <c r="K19" s="88"/>
      <c r="L19" s="88"/>
      <c r="M19" s="88"/>
      <c r="N19" s="88"/>
      <c r="O19" s="88"/>
      <c r="P19" s="88"/>
      <c r="Q19" s="88"/>
      <c r="R19" s="88"/>
      <c r="S19" s="88"/>
      <c r="T19" s="88"/>
      <c r="V19" s="275"/>
    </row>
    <row r="20" spans="1:42" x14ac:dyDescent="0.25">
      <c r="D20" s="68"/>
      <c r="E20" s="88"/>
      <c r="F20" s="88"/>
      <c r="G20" s="88"/>
      <c r="H20" s="88"/>
      <c r="I20" s="88"/>
      <c r="J20" s="88"/>
      <c r="K20" s="88"/>
      <c r="L20" s="88"/>
      <c r="M20" s="88"/>
      <c r="N20" s="88"/>
      <c r="O20" s="88"/>
      <c r="P20" s="88"/>
      <c r="Q20" s="88"/>
      <c r="R20" s="88"/>
      <c r="S20" s="88"/>
      <c r="T20" s="88"/>
      <c r="V20" s="275"/>
    </row>
    <row r="21" spans="1:42" x14ac:dyDescent="0.25">
      <c r="D21" s="68"/>
      <c r="E21" s="88"/>
      <c r="F21" s="88"/>
      <c r="G21" s="88"/>
      <c r="H21" s="88"/>
      <c r="I21" s="88"/>
      <c r="J21" s="88"/>
      <c r="K21" s="88"/>
      <c r="L21" s="88"/>
      <c r="M21" s="88"/>
      <c r="N21" s="88"/>
      <c r="O21" s="88"/>
      <c r="P21" s="88"/>
      <c r="Q21" s="88"/>
      <c r="R21" s="88"/>
      <c r="S21" s="88"/>
      <c r="T21" s="88"/>
      <c r="V21" s="275"/>
    </row>
    <row r="22" spans="1:42" x14ac:dyDescent="0.25">
      <c r="D22" s="68"/>
      <c r="E22" s="68"/>
      <c r="F22" s="68"/>
      <c r="G22" s="68"/>
      <c r="H22" s="68"/>
      <c r="I22" s="68"/>
      <c r="J22" s="68"/>
      <c r="K22" s="68"/>
      <c r="L22" s="68"/>
      <c r="M22" s="68"/>
      <c r="N22" s="68"/>
      <c r="O22" s="68"/>
      <c r="P22" s="68"/>
      <c r="Q22" s="68"/>
      <c r="R22" s="68"/>
      <c r="S22" s="68"/>
      <c r="T22" s="68"/>
      <c r="V22" s="275"/>
    </row>
    <row r="23" spans="1:42" x14ac:dyDescent="0.25">
      <c r="D23" s="68"/>
      <c r="E23" s="68"/>
      <c r="F23" s="68"/>
      <c r="G23" s="68"/>
      <c r="H23" s="68"/>
      <c r="I23" s="68"/>
      <c r="J23" s="68"/>
      <c r="K23" s="68"/>
      <c r="L23" s="68"/>
      <c r="M23" s="68"/>
      <c r="N23" s="68"/>
      <c r="O23" s="68"/>
      <c r="P23" s="68"/>
      <c r="Q23" s="68"/>
      <c r="R23" s="68"/>
      <c r="S23" s="68"/>
      <c r="T23" s="68"/>
      <c r="V23" s="275"/>
    </row>
    <row r="24" spans="1:42" x14ac:dyDescent="0.25">
      <c r="D24" s="68"/>
      <c r="E24" s="68"/>
      <c r="F24" s="68"/>
      <c r="G24" s="68"/>
      <c r="H24" s="68"/>
      <c r="I24" s="68"/>
      <c r="J24" s="68"/>
      <c r="K24" s="68"/>
      <c r="L24" s="68"/>
      <c r="M24" s="68"/>
      <c r="N24" s="68"/>
      <c r="O24" s="68"/>
      <c r="P24" s="68"/>
      <c r="Q24" s="68"/>
      <c r="R24" s="68"/>
      <c r="S24" s="68"/>
      <c r="T24" s="68"/>
      <c r="V24" s="275"/>
    </row>
    <row r="25" spans="1:42" x14ac:dyDescent="0.25">
      <c r="D25" s="68"/>
      <c r="E25" s="68"/>
      <c r="F25" s="68"/>
      <c r="G25" s="68"/>
      <c r="H25" s="68"/>
      <c r="I25" s="68"/>
      <c r="J25" s="68"/>
      <c r="K25" s="68"/>
      <c r="L25" s="68"/>
      <c r="M25" s="68"/>
      <c r="N25" s="68"/>
      <c r="O25" s="68"/>
      <c r="P25" s="68"/>
      <c r="Q25" s="68"/>
      <c r="R25" s="68"/>
      <c r="S25" s="68"/>
      <c r="T25" s="68"/>
      <c r="V25" s="275"/>
    </row>
    <row r="26" spans="1:42" x14ac:dyDescent="0.25">
      <c r="D26" s="68"/>
      <c r="E26" s="68"/>
      <c r="F26" s="68"/>
      <c r="G26" s="68"/>
      <c r="H26" s="68"/>
      <c r="I26" s="68"/>
      <c r="J26" s="68"/>
      <c r="K26" s="68"/>
      <c r="L26" s="68"/>
      <c r="M26" s="68"/>
      <c r="N26" s="68"/>
      <c r="O26" s="68"/>
      <c r="P26" s="68"/>
      <c r="Q26" s="68"/>
      <c r="R26" s="68"/>
      <c r="S26" s="68"/>
      <c r="T26" s="68"/>
    </row>
    <row r="27" spans="1:42" x14ac:dyDescent="0.25">
      <c r="D27" s="68"/>
      <c r="E27" s="68"/>
      <c r="F27" s="68"/>
      <c r="G27" s="68"/>
      <c r="H27" s="68"/>
      <c r="I27" s="68"/>
      <c r="J27" s="68"/>
      <c r="K27" s="68"/>
      <c r="L27" s="68"/>
      <c r="M27" s="68"/>
      <c r="N27" s="68"/>
      <c r="O27" s="68"/>
      <c r="P27" s="68"/>
      <c r="Q27" s="68"/>
      <c r="R27" s="68"/>
      <c r="S27" s="68"/>
      <c r="T27" s="68"/>
    </row>
    <row r="28" spans="1:42" x14ac:dyDescent="0.25">
      <c r="A28" s="69">
        <v>6</v>
      </c>
      <c r="B28" s="70" t="s">
        <v>52</v>
      </c>
      <c r="C28" s="69"/>
      <c r="D28" s="4674" t="s">
        <v>442</v>
      </c>
      <c r="E28" s="4675"/>
      <c r="F28" s="4675"/>
      <c r="G28" s="4675"/>
      <c r="H28" s="4675"/>
      <c r="I28" s="4675"/>
      <c r="J28" s="4675"/>
      <c r="K28" s="4675"/>
      <c r="L28" s="4675"/>
      <c r="M28" s="4675"/>
      <c r="N28" s="4675"/>
      <c r="O28" s="4675"/>
      <c r="P28" s="4675"/>
      <c r="Q28" s="4675"/>
      <c r="R28" s="4675"/>
      <c r="S28" s="4675"/>
      <c r="T28" s="4675"/>
      <c r="U28" s="4675"/>
      <c r="V28" s="4675"/>
      <c r="W28" s="4675"/>
      <c r="X28" s="4675"/>
      <c r="Y28" s="4676"/>
      <c r="Z28" s="180"/>
    </row>
    <row r="29" spans="1:42" ht="13.5" customHeight="1" x14ac:dyDescent="0.25">
      <c r="A29" s="90">
        <v>7</v>
      </c>
      <c r="B29" s="91" t="s">
        <v>54</v>
      </c>
      <c r="C29" s="90"/>
      <c r="D29" s="4674" t="s">
        <v>443</v>
      </c>
      <c r="E29" s="4675"/>
      <c r="F29" s="4675"/>
      <c r="G29" s="4675"/>
      <c r="H29" s="4675"/>
      <c r="I29" s="4675"/>
      <c r="J29" s="4675"/>
      <c r="K29" s="4675"/>
      <c r="L29" s="4675"/>
      <c r="M29" s="4675"/>
      <c r="N29" s="4675"/>
      <c r="O29" s="4675"/>
      <c r="P29" s="4675"/>
      <c r="Q29" s="4675"/>
      <c r="R29" s="4675"/>
      <c r="S29" s="4675"/>
      <c r="T29" s="4675"/>
      <c r="U29" s="4675"/>
      <c r="V29" s="4675"/>
      <c r="W29" s="4675"/>
      <c r="X29" s="4675"/>
      <c r="Y29" s="4676"/>
      <c r="Z29" s="180"/>
    </row>
    <row r="30" spans="1:42" ht="13.35" customHeight="1" x14ac:dyDescent="0.25">
      <c r="A30" s="69">
        <v>8</v>
      </c>
      <c r="B30" s="70" t="s">
        <v>56</v>
      </c>
      <c r="C30" s="69"/>
      <c r="D30" s="4674" t="s">
        <v>444</v>
      </c>
      <c r="E30" s="4675"/>
      <c r="F30" s="4675"/>
      <c r="G30" s="4675"/>
      <c r="H30" s="4675"/>
      <c r="I30" s="4675"/>
      <c r="J30" s="4675"/>
      <c r="K30" s="4675"/>
      <c r="L30" s="4675"/>
      <c r="M30" s="4675"/>
      <c r="N30" s="4675"/>
      <c r="O30" s="4675"/>
      <c r="P30" s="4675"/>
      <c r="Q30" s="4675"/>
      <c r="R30" s="4675"/>
      <c r="S30" s="4675"/>
      <c r="T30" s="4675"/>
      <c r="U30" s="4675"/>
      <c r="V30" s="4675"/>
      <c r="W30" s="4675"/>
      <c r="X30" s="4675"/>
      <c r="Y30" s="4676"/>
      <c r="Z30" s="180"/>
    </row>
    <row r="31" spans="1:42" ht="27.6" customHeight="1" x14ac:dyDescent="0.25">
      <c r="A31" s="69">
        <v>9</v>
      </c>
      <c r="B31" s="70" t="s">
        <v>355</v>
      </c>
      <c r="C31" s="69"/>
      <c r="D31" s="4677" t="s">
        <v>445</v>
      </c>
      <c r="E31" s="4678"/>
      <c r="F31" s="4678"/>
      <c r="G31" s="4678"/>
      <c r="H31" s="4678"/>
      <c r="I31" s="4678"/>
      <c r="J31" s="4678"/>
      <c r="K31" s="4678"/>
      <c r="L31" s="4678"/>
      <c r="M31" s="4678"/>
      <c r="N31" s="4678"/>
      <c r="O31" s="4678"/>
      <c r="P31" s="4678"/>
      <c r="Q31" s="4678"/>
      <c r="R31" s="4678"/>
      <c r="S31" s="4678"/>
      <c r="T31" s="4678"/>
      <c r="U31" s="4678"/>
      <c r="V31" s="4678"/>
      <c r="W31" s="4678"/>
      <c r="X31" s="4678"/>
      <c r="Y31" s="4679"/>
      <c r="Z31" s="867"/>
    </row>
    <row r="32" spans="1:42" x14ac:dyDescent="0.25">
      <c r="B32" s="80"/>
      <c r="C32" s="81"/>
      <c r="D32" s="286"/>
      <c r="E32" s="286"/>
      <c r="F32" s="286"/>
      <c r="G32" s="286"/>
      <c r="H32" s="286"/>
      <c r="I32" s="286"/>
      <c r="J32" s="286"/>
      <c r="K32" s="286"/>
      <c r="L32" s="286"/>
      <c r="M32" s="286"/>
      <c r="N32" s="286"/>
      <c r="O32" s="286"/>
      <c r="P32" s="286"/>
      <c r="Q32" s="286"/>
      <c r="R32" s="286"/>
      <c r="S32" s="286"/>
      <c r="T32" s="286"/>
      <c r="U32" s="286"/>
      <c r="V32" s="286"/>
      <c r="W32" s="286"/>
      <c r="X32" s="286"/>
      <c r="Y32" s="287"/>
      <c r="Z32" s="287"/>
      <c r="AA32" s="287"/>
      <c r="AB32" s="287"/>
      <c r="AC32" s="286"/>
      <c r="AD32" s="286"/>
      <c r="AE32" s="286"/>
      <c r="AF32" s="286"/>
      <c r="AG32" s="286"/>
      <c r="AH32" s="286"/>
      <c r="AI32" s="286"/>
      <c r="AJ32" s="286"/>
      <c r="AK32" s="286"/>
      <c r="AL32" s="286"/>
      <c r="AM32" s="286"/>
      <c r="AN32" s="286"/>
      <c r="AO32" s="286"/>
      <c r="AP32" s="286"/>
    </row>
    <row r="33" spans="1:78" x14ac:dyDescent="0.25">
      <c r="E33" s="288"/>
      <c r="V33" s="289"/>
      <c r="W33" s="191"/>
    </row>
    <row r="35" spans="1:78" s="47" customFormat="1" x14ac:dyDescent="0.25">
      <c r="B35" s="271"/>
      <c r="C35" s="92"/>
      <c r="Y35" s="290"/>
      <c r="Z35" s="290"/>
      <c r="AA35" s="290"/>
      <c r="AB35" s="290"/>
      <c r="AM35" s="47" t="e">
        <f>+AVERAGE(#REF!)</f>
        <v>#REF!</v>
      </c>
      <c r="AQ35" s="47" t="e">
        <f>+AVERAGE(#REF!)</f>
        <v>#REF!</v>
      </c>
      <c r="AU35" s="47" t="e">
        <f>+AVERAGE(#REF!)</f>
        <v>#REF!</v>
      </c>
      <c r="AY35" s="47" t="e">
        <f>+AVERAGE(#REF!)</f>
        <v>#REF!</v>
      </c>
    </row>
    <row r="36" spans="1:78" x14ac:dyDescent="0.25">
      <c r="A36" s="4"/>
      <c r="C36" s="92"/>
      <c r="D36" s="4703"/>
      <c r="E36" s="4703"/>
      <c r="F36" s="4703"/>
      <c r="G36" s="4703"/>
      <c r="H36" s="4703"/>
      <c r="I36" s="4703"/>
      <c r="J36" s="4703"/>
      <c r="K36" s="4703"/>
      <c r="L36" s="4703"/>
      <c r="M36" s="4703"/>
      <c r="N36" s="4703"/>
      <c r="O36" s="4703"/>
      <c r="P36" s="4703"/>
      <c r="Q36" s="4703"/>
      <c r="R36" s="4703"/>
      <c r="S36" s="4703"/>
      <c r="T36" s="4703"/>
      <c r="U36" s="4703"/>
      <c r="V36" s="4703"/>
      <c r="W36" s="4703"/>
      <c r="X36" s="4703"/>
      <c r="Y36" s="4703"/>
      <c r="Z36" s="4703"/>
      <c r="AA36" s="4703"/>
      <c r="AB36" s="4703"/>
      <c r="AC36" s="4704"/>
      <c r="AD36" s="4703"/>
      <c r="AE36" s="4703"/>
      <c r="AF36" s="4703"/>
      <c r="AG36" s="4703"/>
      <c r="AH36" s="4703"/>
      <c r="AI36" s="4703"/>
      <c r="AJ36" s="4705"/>
      <c r="AK36" s="4705"/>
      <c r="AL36" s="4705"/>
      <c r="AM36" s="4705"/>
      <c r="AN36" s="4706"/>
      <c r="AO36" s="4706"/>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row>
    <row r="37" spans="1:78" x14ac:dyDescent="0.25">
      <c r="A37" s="4"/>
      <c r="C37" s="92"/>
      <c r="D37" s="259"/>
      <c r="E37" s="259"/>
      <c r="F37" s="291"/>
      <c r="G37" s="259"/>
      <c r="H37" s="259"/>
      <c r="I37" s="259"/>
      <c r="J37" s="259"/>
      <c r="K37" s="259"/>
      <c r="L37" s="291"/>
      <c r="M37" s="259"/>
      <c r="N37" s="259"/>
      <c r="O37" s="259"/>
      <c r="P37" s="291"/>
      <c r="Q37" s="259"/>
      <c r="R37" s="259"/>
      <c r="S37" s="259"/>
      <c r="T37" s="259"/>
      <c r="U37" s="291"/>
      <c r="V37" s="259"/>
      <c r="W37" s="259"/>
      <c r="X37" s="259"/>
      <c r="Y37" s="292"/>
      <c r="Z37" s="292"/>
      <c r="AA37" s="293"/>
      <c r="AB37" s="293"/>
      <c r="AC37" s="259"/>
      <c r="AD37" s="291"/>
      <c r="AE37" s="259"/>
      <c r="AF37" s="259"/>
      <c r="AG37" s="259"/>
      <c r="AH37" s="291"/>
      <c r="AI37" s="259"/>
      <c r="AJ37" s="259"/>
      <c r="AK37" s="259"/>
      <c r="AL37" s="291"/>
      <c r="AM37" s="294"/>
      <c r="AN37" s="295"/>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row>
    <row r="38" spans="1:78" x14ac:dyDescent="0.25">
      <c r="A38" s="4"/>
      <c r="B38" s="296"/>
      <c r="C38" s="297"/>
      <c r="D38" s="255"/>
      <c r="E38" s="4707">
        <v>1998</v>
      </c>
      <c r="F38" s="4708"/>
      <c r="G38" s="4708"/>
      <c r="H38" s="4708"/>
      <c r="I38" s="4707">
        <v>1999</v>
      </c>
      <c r="J38" s="4708"/>
      <c r="K38" s="4708"/>
      <c r="L38" s="4708"/>
      <c r="M38" s="4707">
        <v>2000</v>
      </c>
      <c r="N38" s="4708"/>
      <c r="O38" s="4708"/>
      <c r="P38" s="4708"/>
      <c r="Q38" s="4707">
        <v>2001</v>
      </c>
      <c r="R38" s="4708"/>
      <c r="S38" s="4708"/>
      <c r="T38" s="4708"/>
      <c r="U38" s="4707">
        <v>2002</v>
      </c>
      <c r="V38" s="4708"/>
      <c r="W38" s="4708"/>
      <c r="X38" s="4708"/>
      <c r="Y38" s="4707">
        <v>2003</v>
      </c>
      <c r="Z38" s="4708"/>
      <c r="AA38" s="4708"/>
      <c r="AB38" s="4708"/>
      <c r="AC38" s="4708"/>
      <c r="AD38" s="4707">
        <v>2004</v>
      </c>
      <c r="AE38" s="4708"/>
      <c r="AF38" s="4708"/>
      <c r="AG38" s="4708"/>
      <c r="AH38" s="4707">
        <v>2005</v>
      </c>
      <c r="AI38" s="4708"/>
      <c r="AJ38" s="4708"/>
      <c r="AK38" s="4708"/>
      <c r="AL38" s="4707">
        <v>2006</v>
      </c>
      <c r="AM38" s="4708"/>
      <c r="AN38" s="4708"/>
      <c r="AO38" s="4708"/>
      <c r="AP38" s="4707">
        <v>2007</v>
      </c>
      <c r="AQ38" s="4708"/>
      <c r="AR38" s="4708"/>
      <c r="AS38" s="4708"/>
      <c r="AT38" s="4707">
        <v>2008</v>
      </c>
      <c r="AU38" s="4708"/>
      <c r="AV38" s="4708"/>
      <c r="AW38" s="4708"/>
      <c r="AX38" s="4707">
        <v>2009</v>
      </c>
      <c r="AY38" s="4708"/>
      <c r="AZ38" s="4708"/>
      <c r="BA38" s="4708"/>
      <c r="BB38" s="4707">
        <v>2010</v>
      </c>
      <c r="BC38" s="4708"/>
      <c r="BD38" s="4708"/>
      <c r="BE38" s="4708"/>
      <c r="BF38" s="4707">
        <v>2011</v>
      </c>
      <c r="BG38" s="4708"/>
      <c r="BH38" s="4708"/>
      <c r="BI38" s="4708"/>
      <c r="BJ38" s="4707">
        <v>2012</v>
      </c>
      <c r="BK38" s="4708"/>
      <c r="BL38" s="4708"/>
      <c r="BM38" s="4708"/>
      <c r="BN38" s="4707">
        <v>2013</v>
      </c>
      <c r="BO38" s="4708"/>
      <c r="BP38" s="4708"/>
      <c r="BQ38" s="4708"/>
      <c r="BR38" s="4707">
        <v>2014</v>
      </c>
      <c r="BS38" s="4708"/>
      <c r="BT38" s="4708"/>
      <c r="BU38" s="4708"/>
      <c r="BV38" s="4707">
        <v>2014</v>
      </c>
      <c r="BW38" s="4708"/>
      <c r="BX38" s="4708"/>
      <c r="BY38" s="4709"/>
      <c r="BZ38" s="47"/>
    </row>
    <row r="39" spans="1:78" x14ac:dyDescent="0.25">
      <c r="A39" s="4"/>
      <c r="C39" s="92"/>
      <c r="D39" s="47"/>
      <c r="E39" s="258" t="s">
        <v>357</v>
      </c>
      <c r="F39" s="259" t="s">
        <v>358</v>
      </c>
      <c r="G39" s="259" t="s">
        <v>359</v>
      </c>
      <c r="H39" s="260" t="s">
        <v>360</v>
      </c>
      <c r="I39" s="258" t="s">
        <v>357</v>
      </c>
      <c r="J39" s="259" t="s">
        <v>358</v>
      </c>
      <c r="K39" s="259" t="s">
        <v>359</v>
      </c>
      <c r="L39" s="260" t="s">
        <v>360</v>
      </c>
      <c r="M39" s="258" t="s">
        <v>357</v>
      </c>
      <c r="N39" s="259" t="s">
        <v>358</v>
      </c>
      <c r="O39" s="259" t="s">
        <v>359</v>
      </c>
      <c r="P39" s="260" t="s">
        <v>360</v>
      </c>
      <c r="Q39" s="258" t="s">
        <v>357</v>
      </c>
      <c r="R39" s="259" t="s">
        <v>358</v>
      </c>
      <c r="S39" s="259" t="s">
        <v>359</v>
      </c>
      <c r="T39" s="260" t="s">
        <v>360</v>
      </c>
      <c r="U39" s="258" t="s">
        <v>357</v>
      </c>
      <c r="V39" s="259" t="s">
        <v>358</v>
      </c>
      <c r="W39" s="259" t="s">
        <v>359</v>
      </c>
      <c r="X39" s="260" t="s">
        <v>360</v>
      </c>
      <c r="Y39" s="298" t="s">
        <v>357</v>
      </c>
      <c r="Z39" s="293"/>
      <c r="AA39" s="293" t="s">
        <v>358</v>
      </c>
      <c r="AB39" s="293" t="s">
        <v>359</v>
      </c>
      <c r="AC39" s="260" t="s">
        <v>360</v>
      </c>
      <c r="AD39" s="258" t="s">
        <v>357</v>
      </c>
      <c r="AE39" s="259" t="s">
        <v>358</v>
      </c>
      <c r="AF39" s="259" t="s">
        <v>359</v>
      </c>
      <c r="AG39" s="260" t="s">
        <v>360</v>
      </c>
      <c r="AH39" s="258" t="s">
        <v>357</v>
      </c>
      <c r="AI39" s="259" t="s">
        <v>358</v>
      </c>
      <c r="AJ39" s="259" t="s">
        <v>359</v>
      </c>
      <c r="AK39" s="260" t="s">
        <v>360</v>
      </c>
      <c r="AL39" s="258" t="s">
        <v>357</v>
      </c>
      <c r="AM39" s="259" t="s">
        <v>358</v>
      </c>
      <c r="AN39" s="259" t="s">
        <v>359</v>
      </c>
      <c r="AO39" s="260" t="s">
        <v>360</v>
      </c>
      <c r="AP39" s="258" t="s">
        <v>357</v>
      </c>
      <c r="AQ39" s="259" t="s">
        <v>358</v>
      </c>
      <c r="AR39" s="259" t="s">
        <v>359</v>
      </c>
      <c r="AS39" s="260" t="s">
        <v>360</v>
      </c>
      <c r="AT39" s="258" t="s">
        <v>357</v>
      </c>
      <c r="AU39" s="259" t="s">
        <v>358</v>
      </c>
      <c r="AV39" s="259" t="s">
        <v>359</v>
      </c>
      <c r="AW39" s="260" t="s">
        <v>360</v>
      </c>
      <c r="AX39" s="258" t="s">
        <v>357</v>
      </c>
      <c r="AY39" s="259" t="s">
        <v>358</v>
      </c>
      <c r="AZ39" s="259" t="s">
        <v>359</v>
      </c>
      <c r="BA39" s="260" t="s">
        <v>360</v>
      </c>
      <c r="BB39" s="258" t="s">
        <v>357</v>
      </c>
      <c r="BC39" s="259" t="s">
        <v>358</v>
      </c>
      <c r="BD39" s="259" t="s">
        <v>359</v>
      </c>
      <c r="BE39" s="260" t="s">
        <v>360</v>
      </c>
      <c r="BF39" s="258" t="s">
        <v>357</v>
      </c>
      <c r="BG39" s="259" t="s">
        <v>358</v>
      </c>
      <c r="BH39" s="259" t="s">
        <v>359</v>
      </c>
      <c r="BI39" s="260" t="s">
        <v>360</v>
      </c>
      <c r="BJ39" s="258" t="s">
        <v>357</v>
      </c>
      <c r="BK39" s="259" t="s">
        <v>358</v>
      </c>
      <c r="BL39" s="259" t="s">
        <v>359</v>
      </c>
      <c r="BM39" s="260" t="s">
        <v>360</v>
      </c>
      <c r="BN39" s="258" t="s">
        <v>357</v>
      </c>
      <c r="BO39" s="259" t="s">
        <v>358</v>
      </c>
      <c r="BP39" s="259" t="s">
        <v>359</v>
      </c>
      <c r="BQ39" s="260" t="s">
        <v>360</v>
      </c>
      <c r="BR39" s="258" t="s">
        <v>357</v>
      </c>
      <c r="BS39" s="259" t="s">
        <v>358</v>
      </c>
      <c r="BT39" s="259" t="s">
        <v>359</v>
      </c>
      <c r="BU39" s="260" t="s">
        <v>360</v>
      </c>
      <c r="BV39" s="258" t="s">
        <v>357</v>
      </c>
      <c r="BW39" s="259" t="s">
        <v>358</v>
      </c>
      <c r="BX39" s="259" t="s">
        <v>359</v>
      </c>
      <c r="BY39" s="260" t="s">
        <v>360</v>
      </c>
      <c r="BZ39" s="47"/>
    </row>
    <row r="40" spans="1:78" x14ac:dyDescent="0.25">
      <c r="A40" s="4"/>
      <c r="C40" s="92"/>
      <c r="D40" s="299" t="s">
        <v>446</v>
      </c>
      <c r="E40" s="300">
        <v>284</v>
      </c>
      <c r="F40" s="301">
        <v>269</v>
      </c>
      <c r="G40" s="301">
        <v>477</v>
      </c>
      <c r="H40" s="302">
        <v>618</v>
      </c>
      <c r="I40" s="300">
        <v>581</v>
      </c>
      <c r="J40" s="301">
        <v>419</v>
      </c>
      <c r="K40" s="301">
        <v>380</v>
      </c>
      <c r="L40" s="302">
        <v>319</v>
      </c>
      <c r="M40" s="300">
        <v>256</v>
      </c>
      <c r="N40" s="301">
        <v>359</v>
      </c>
      <c r="O40" s="301">
        <v>328</v>
      </c>
      <c r="P40" s="302">
        <v>389</v>
      </c>
      <c r="Q40" s="300">
        <v>348</v>
      </c>
      <c r="R40" s="301">
        <v>298</v>
      </c>
      <c r="S40" s="301">
        <v>285</v>
      </c>
      <c r="T40" s="302">
        <v>291</v>
      </c>
      <c r="U40" s="300">
        <v>273</v>
      </c>
      <c r="V40" s="301">
        <v>245</v>
      </c>
      <c r="W40" s="301">
        <v>282</v>
      </c>
      <c r="X40" s="302">
        <v>264</v>
      </c>
      <c r="Y40" s="303">
        <v>209</v>
      </c>
      <c r="Z40" s="304"/>
      <c r="AA40" s="304">
        <v>177</v>
      </c>
      <c r="AB40" s="304">
        <v>177</v>
      </c>
      <c r="AC40" s="302">
        <v>149</v>
      </c>
      <c r="AD40" s="300">
        <v>147</v>
      </c>
      <c r="AE40" s="301">
        <v>164</v>
      </c>
      <c r="AF40" s="301">
        <v>159</v>
      </c>
      <c r="AG40" s="302">
        <v>118</v>
      </c>
      <c r="AH40" s="300">
        <v>104</v>
      </c>
      <c r="AI40" s="300">
        <v>111</v>
      </c>
      <c r="AJ40" s="300">
        <v>93</v>
      </c>
      <c r="AK40" s="300">
        <v>89</v>
      </c>
      <c r="AL40" s="300">
        <v>76</v>
      </c>
      <c r="AM40" s="300">
        <v>97</v>
      </c>
      <c r="AN40" s="300">
        <v>103</v>
      </c>
      <c r="AO40" s="300">
        <v>93</v>
      </c>
      <c r="AP40" s="300">
        <v>78</v>
      </c>
      <c r="AQ40" s="300">
        <v>71</v>
      </c>
      <c r="AR40" s="300">
        <v>124</v>
      </c>
      <c r="AS40" s="300">
        <v>148</v>
      </c>
      <c r="AT40" s="300">
        <v>258</v>
      </c>
      <c r="AU40" s="300">
        <v>229</v>
      </c>
      <c r="AV40" s="300">
        <v>261</v>
      </c>
      <c r="AW40" s="300">
        <v>609</v>
      </c>
      <c r="AX40" s="300">
        <v>465</v>
      </c>
      <c r="AY40" s="300">
        <v>342</v>
      </c>
      <c r="AZ40" s="300">
        <v>230</v>
      </c>
      <c r="BA40" s="300">
        <v>198</v>
      </c>
      <c r="BB40" s="300">
        <v>193</v>
      </c>
      <c r="BC40" s="300">
        <v>197</v>
      </c>
      <c r="BD40" s="300">
        <v>188</v>
      </c>
      <c r="BE40" s="300">
        <v>166</v>
      </c>
      <c r="BF40" s="300">
        <v>186</v>
      </c>
      <c r="BG40" s="300">
        <v>153</v>
      </c>
      <c r="BH40" s="300">
        <v>195</v>
      </c>
      <c r="BI40" s="300">
        <v>241</v>
      </c>
      <c r="BJ40" s="300">
        <v>234</v>
      </c>
      <c r="BK40" s="300">
        <v>229</v>
      </c>
      <c r="BL40" s="300">
        <v>182</v>
      </c>
      <c r="BM40" s="300">
        <v>182</v>
      </c>
      <c r="BN40" s="300">
        <v>196</v>
      </c>
      <c r="BO40" s="300">
        <v>215</v>
      </c>
      <c r="BP40" s="300">
        <v>260</v>
      </c>
      <c r="BQ40" s="300">
        <v>253</v>
      </c>
      <c r="BR40" s="300">
        <v>248</v>
      </c>
      <c r="BS40" s="300">
        <v>206</v>
      </c>
      <c r="BT40" s="300">
        <v>212</v>
      </c>
      <c r="BU40" s="300">
        <v>227</v>
      </c>
      <c r="BV40" s="300"/>
      <c r="BW40" s="300"/>
      <c r="BX40" s="300"/>
      <c r="BY40" s="305"/>
      <c r="BZ40" s="47"/>
    </row>
    <row r="41" spans="1:78" x14ac:dyDescent="0.25">
      <c r="C41" s="92"/>
      <c r="D41" s="47"/>
      <c r="E41" s="306"/>
      <c r="F41" s="47"/>
      <c r="G41" s="47"/>
      <c r="H41" s="47"/>
      <c r="I41" s="47"/>
      <c r="J41" s="47"/>
      <c r="K41" s="47"/>
      <c r="L41" s="47"/>
      <c r="M41" s="47"/>
      <c r="N41" s="47"/>
      <c r="O41" s="299">
        <f>AVERAGE(M40:P40)</f>
        <v>333</v>
      </c>
      <c r="P41" s="47"/>
      <c r="Q41" s="47"/>
      <c r="R41" s="47"/>
      <c r="S41" s="47"/>
      <c r="T41" s="47"/>
      <c r="U41" s="47"/>
      <c r="V41" s="47"/>
      <c r="W41" s="47"/>
      <c r="X41" s="47"/>
      <c r="Y41" s="290"/>
      <c r="Z41" s="290"/>
      <c r="AA41" s="290"/>
      <c r="AB41" s="290"/>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row>
    <row r="42" spans="1:78" x14ac:dyDescent="0.25">
      <c r="E42" s="307"/>
    </row>
    <row r="43" spans="1:78" x14ac:dyDescent="0.25">
      <c r="E43" s="307"/>
    </row>
    <row r="44" spans="1:78" x14ac:dyDescent="0.25">
      <c r="E44" s="307"/>
    </row>
    <row r="45" spans="1:78" x14ac:dyDescent="0.25">
      <c r="E45" s="307"/>
    </row>
    <row r="46" spans="1:78" x14ac:dyDescent="0.25">
      <c r="E46" s="307"/>
    </row>
    <row r="47" spans="1:78" x14ac:dyDescent="0.25">
      <c r="E47" s="307"/>
    </row>
    <row r="48" spans="1:78" x14ac:dyDescent="0.25">
      <c r="E48" s="307"/>
    </row>
    <row r="49" spans="2:30" x14ac:dyDescent="0.25">
      <c r="E49" s="307"/>
    </row>
    <row r="50" spans="2:30" x14ac:dyDescent="0.25">
      <c r="E50" s="307"/>
    </row>
    <row r="51" spans="2:30" x14ac:dyDescent="0.25">
      <c r="E51" s="307"/>
    </row>
    <row r="52" spans="2:30" x14ac:dyDescent="0.25">
      <c r="E52" s="307"/>
    </row>
    <row r="53" spans="2:30" x14ac:dyDescent="0.25">
      <c r="E53" s="307"/>
    </row>
    <row r="54" spans="2:30" x14ac:dyDescent="0.25">
      <c r="E54" s="307"/>
    </row>
    <row r="55" spans="2:30" x14ac:dyDescent="0.25">
      <c r="E55" s="307"/>
    </row>
    <row r="56" spans="2:30" x14ac:dyDescent="0.25">
      <c r="E56" s="307"/>
    </row>
    <row r="57" spans="2:30" x14ac:dyDescent="0.25">
      <c r="E57" s="307"/>
    </row>
    <row r="58" spans="2:30" x14ac:dyDescent="0.25">
      <c r="E58" s="307"/>
    </row>
    <row r="59" spans="2:30" x14ac:dyDescent="0.25">
      <c r="E59" s="307"/>
    </row>
    <row r="60" spans="2:30" x14ac:dyDescent="0.25">
      <c r="E60" s="307"/>
    </row>
    <row r="61" spans="2:30" x14ac:dyDescent="0.25">
      <c r="E61" s="307"/>
    </row>
    <row r="62" spans="2:30" x14ac:dyDescent="0.25">
      <c r="E62" s="307"/>
      <c r="AD62" s="4" t="s">
        <v>358</v>
      </c>
    </row>
    <row r="63" spans="2:30" x14ac:dyDescent="0.25">
      <c r="B63" s="275"/>
      <c r="C63" s="275"/>
      <c r="D63" s="275"/>
      <c r="E63" s="307"/>
      <c r="F63" s="275"/>
      <c r="G63" s="275"/>
      <c r="H63" s="275"/>
      <c r="I63" s="275"/>
      <c r="J63" s="275"/>
      <c r="K63" s="275"/>
      <c r="L63" s="275"/>
      <c r="M63" s="275"/>
      <c r="N63" s="275"/>
      <c r="O63" s="275"/>
      <c r="P63" s="308"/>
      <c r="Q63" s="275"/>
    </row>
    <row r="64" spans="2:30" x14ac:dyDescent="0.25">
      <c r="E64" s="307"/>
    </row>
    <row r="65" spans="5:5" x14ac:dyDescent="0.25">
      <c r="E65" s="307"/>
    </row>
    <row r="66" spans="5:5" x14ac:dyDescent="0.25">
      <c r="E66" s="307"/>
    </row>
    <row r="67" spans="5:5" x14ac:dyDescent="0.25">
      <c r="E67" s="307"/>
    </row>
    <row r="68" spans="5:5" x14ac:dyDescent="0.25">
      <c r="E68" s="307"/>
    </row>
    <row r="69" spans="5:5" x14ac:dyDescent="0.25">
      <c r="E69" s="307"/>
    </row>
    <row r="70" spans="5:5" x14ac:dyDescent="0.25">
      <c r="E70" s="307"/>
    </row>
    <row r="71" spans="5:5" x14ac:dyDescent="0.25">
      <c r="E71" s="307"/>
    </row>
    <row r="72" spans="5:5" x14ac:dyDescent="0.25">
      <c r="E72" s="307"/>
    </row>
    <row r="73" spans="5:5" x14ac:dyDescent="0.25">
      <c r="E73" s="307"/>
    </row>
    <row r="74" spans="5:5" x14ac:dyDescent="0.25">
      <c r="E74" s="307"/>
    </row>
    <row r="75" spans="5:5" x14ac:dyDescent="0.25">
      <c r="E75" s="307"/>
    </row>
    <row r="76" spans="5:5" x14ac:dyDescent="0.25">
      <c r="E76" s="307"/>
    </row>
    <row r="77" spans="5:5" x14ac:dyDescent="0.25">
      <c r="E77" s="307"/>
    </row>
    <row r="78" spans="5:5" x14ac:dyDescent="0.25">
      <c r="E78" s="307"/>
    </row>
    <row r="79" spans="5:5" x14ac:dyDescent="0.25">
      <c r="E79" s="307"/>
    </row>
    <row r="80" spans="5:5" x14ac:dyDescent="0.25">
      <c r="E80" s="307"/>
    </row>
    <row r="81" spans="5:5" x14ac:dyDescent="0.25">
      <c r="E81" s="307"/>
    </row>
    <row r="82" spans="5:5" x14ac:dyDescent="0.25">
      <c r="E82" s="307"/>
    </row>
    <row r="83" spans="5:5" x14ac:dyDescent="0.25">
      <c r="E83" s="307"/>
    </row>
    <row r="84" spans="5:5" x14ac:dyDescent="0.25">
      <c r="E84" s="307"/>
    </row>
    <row r="85" spans="5:5" x14ac:dyDescent="0.25">
      <c r="E85" s="307"/>
    </row>
    <row r="86" spans="5:5" x14ac:dyDescent="0.25">
      <c r="E86" s="307"/>
    </row>
    <row r="87" spans="5:5" x14ac:dyDescent="0.25">
      <c r="E87" s="307"/>
    </row>
    <row r="88" spans="5:5" x14ac:dyDescent="0.25">
      <c r="E88" s="307"/>
    </row>
    <row r="89" spans="5:5" x14ac:dyDescent="0.25">
      <c r="E89" s="307"/>
    </row>
    <row r="90" spans="5:5" x14ac:dyDescent="0.25">
      <c r="E90" s="307"/>
    </row>
    <row r="91" spans="5:5" x14ac:dyDescent="0.25">
      <c r="E91" s="307"/>
    </row>
    <row r="92" spans="5:5" x14ac:dyDescent="0.25">
      <c r="E92" s="307"/>
    </row>
    <row r="93" spans="5:5" x14ac:dyDescent="0.25">
      <c r="E93" s="307"/>
    </row>
    <row r="94" spans="5:5" x14ac:dyDescent="0.25">
      <c r="E94" s="307"/>
    </row>
    <row r="95" spans="5:5" x14ac:dyDescent="0.25">
      <c r="E95" s="307"/>
    </row>
    <row r="96" spans="5:5" x14ac:dyDescent="0.25">
      <c r="E96" s="307"/>
    </row>
    <row r="97" spans="5:5" x14ac:dyDescent="0.25">
      <c r="E97" s="307"/>
    </row>
    <row r="98" spans="5:5" x14ac:dyDescent="0.25">
      <c r="E98" s="307"/>
    </row>
    <row r="99" spans="5:5" x14ac:dyDescent="0.25">
      <c r="E99" s="308"/>
    </row>
    <row r="100" spans="5:5" x14ac:dyDescent="0.25">
      <c r="E100" s="308"/>
    </row>
    <row r="101" spans="5:5" x14ac:dyDescent="0.25">
      <c r="E101" s="308"/>
    </row>
    <row r="102" spans="5:5" x14ac:dyDescent="0.25">
      <c r="E102" s="308"/>
    </row>
    <row r="103" spans="5:5" x14ac:dyDescent="0.25">
      <c r="E103" s="308"/>
    </row>
    <row r="104" spans="5:5" x14ac:dyDescent="0.25">
      <c r="E104" s="308"/>
    </row>
    <row r="105" spans="5:5" x14ac:dyDescent="0.25">
      <c r="E105" s="308"/>
    </row>
  </sheetData>
  <mergeCells count="37">
    <mergeCell ref="BV38:BY38"/>
    <mergeCell ref="AD38:AG38"/>
    <mergeCell ref="AH38:AK38"/>
    <mergeCell ref="AL38:AO38"/>
    <mergeCell ref="AP38:AS38"/>
    <mergeCell ref="AT38:AW38"/>
    <mergeCell ref="AX38:BA38"/>
    <mergeCell ref="BB38:BE38"/>
    <mergeCell ref="BF38:BI38"/>
    <mergeCell ref="BJ38:BM38"/>
    <mergeCell ref="BN38:BQ38"/>
    <mergeCell ref="BR38:BU38"/>
    <mergeCell ref="AB36:AE36"/>
    <mergeCell ref="AF36:AI36"/>
    <mergeCell ref="AJ36:AM36"/>
    <mergeCell ref="AN36:AO36"/>
    <mergeCell ref="E38:H38"/>
    <mergeCell ref="I38:L38"/>
    <mergeCell ref="M38:P38"/>
    <mergeCell ref="Q38:T38"/>
    <mergeCell ref="U38:X38"/>
    <mergeCell ref="Y38:AC38"/>
    <mergeCell ref="D28:Y28"/>
    <mergeCell ref="D29:Y29"/>
    <mergeCell ref="D30:Y30"/>
    <mergeCell ref="D31:Y31"/>
    <mergeCell ref="D36:F36"/>
    <mergeCell ref="G36:L36"/>
    <mergeCell ref="M36:Q36"/>
    <mergeCell ref="R36:V36"/>
    <mergeCell ref="W36:AA36"/>
    <mergeCell ref="D5:Y5"/>
    <mergeCell ref="D6:W6"/>
    <mergeCell ref="X6:AC6"/>
    <mergeCell ref="D4:AB4"/>
    <mergeCell ref="D2:AB2"/>
    <mergeCell ref="D3:AB3"/>
  </mergeCells>
  <pageMargins left="0.74803149606299202" right="0.74803149606299202" top="0.98425196850393704" bottom="0.98425196850393704" header="0.511811023622047" footer="0.511811023622047"/>
  <pageSetup paperSize="9" scale="81"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78D5F-ADB7-4DEC-9FC8-B032CEA7D6F1}">
  <sheetPr>
    <tabColor rgb="FFFFC000"/>
    <pageSetUpPr fitToPage="1"/>
  </sheetPr>
  <dimension ref="A1:DG133"/>
  <sheetViews>
    <sheetView showGridLines="0" view="pageBreakPreview" topLeftCell="B1" zoomScaleNormal="100" zoomScaleSheetLayoutView="100" workbookViewId="0">
      <selection activeCell="Q121" sqref="Q121"/>
    </sheetView>
  </sheetViews>
  <sheetFormatPr defaultColWidth="9.140625" defaultRowHeight="15" x14ac:dyDescent="0.25"/>
  <cols>
    <col min="1" max="1" width="3.85546875" style="456" customWidth="1"/>
    <col min="2" max="2" width="11.85546875" style="66" customWidth="1"/>
    <col min="3" max="3" width="4.5703125" style="457" customWidth="1"/>
    <col min="4" max="4" width="20.42578125" style="459" customWidth="1"/>
    <col min="5" max="5" width="7" style="459" customWidth="1"/>
    <col min="6" max="6" width="5.42578125" style="459" customWidth="1"/>
    <col min="7" max="7" width="5.85546875" style="459" customWidth="1"/>
    <col min="8" max="18" width="8.140625" style="459" customWidth="1"/>
    <col min="19" max="19" width="7.140625" style="459" customWidth="1"/>
    <col min="20" max="23" width="8.140625" style="459" customWidth="1"/>
    <col min="24" max="26" width="6.140625" style="459" customWidth="1"/>
    <col min="27" max="27" width="5.140625" style="459" customWidth="1"/>
    <col min="28" max="28" width="5.85546875" style="459" customWidth="1"/>
    <col min="29" max="31" width="7.140625" style="459" customWidth="1"/>
    <col min="32" max="32" width="6.140625" style="459" customWidth="1"/>
    <col min="33" max="33" width="7.5703125" style="459" customWidth="1"/>
    <col min="34" max="34" width="9.85546875" style="459" bestFit="1" customWidth="1"/>
    <col min="35" max="37" width="10" style="459" bestFit="1" customWidth="1"/>
    <col min="38" max="38" width="9.85546875" style="459" bestFit="1" customWidth="1"/>
    <col min="39" max="39" width="10" style="459" bestFit="1" customWidth="1"/>
    <col min="40" max="40" width="10" style="459" customWidth="1"/>
    <col min="41" max="41" width="10" style="459" bestFit="1" customWidth="1"/>
    <col min="42" max="42" width="9.85546875" style="459" bestFit="1" customWidth="1"/>
    <col min="43" max="45" width="10" style="459" bestFit="1" customWidth="1"/>
    <col min="46" max="46" width="9.85546875" style="459" bestFit="1" customWidth="1"/>
    <col min="47" max="49" width="10" style="459" bestFit="1" customWidth="1"/>
    <col min="50" max="50" width="9.85546875" style="459" bestFit="1" customWidth="1"/>
    <col min="51" max="53" width="10" style="459" bestFit="1" customWidth="1"/>
    <col min="54" max="54" width="9.85546875" style="459" bestFit="1" customWidth="1"/>
    <col min="55" max="57" width="10" style="459" bestFit="1" customWidth="1"/>
    <col min="58" max="58" width="9.85546875" style="459" bestFit="1" customWidth="1"/>
    <col min="59" max="61" width="10" style="459" bestFit="1" customWidth="1"/>
    <col min="62" max="62" width="9.85546875" style="459" bestFit="1" customWidth="1"/>
    <col min="63" max="65" width="10" style="459" bestFit="1" customWidth="1"/>
    <col min="66" max="67" width="9.85546875" style="459" bestFit="1" customWidth="1"/>
    <col min="68" max="69" width="10" style="459" bestFit="1" customWidth="1"/>
    <col min="70" max="70" width="11.5703125" style="459" customWidth="1"/>
    <col min="71" max="73" width="10.42578125" style="459" customWidth="1"/>
    <col min="74" max="16384" width="9.140625" style="459"/>
  </cols>
  <sheetData>
    <row r="1" spans="1:44" x14ac:dyDescent="0.25">
      <c r="D1" s="458"/>
      <c r="E1" s="458"/>
      <c r="F1" s="458"/>
      <c r="G1" s="458"/>
      <c r="H1" s="458"/>
      <c r="I1" s="458"/>
      <c r="J1" s="458"/>
      <c r="K1" s="458"/>
      <c r="L1" s="458"/>
      <c r="M1" s="458"/>
      <c r="N1" s="458"/>
      <c r="O1" s="458"/>
      <c r="P1" s="458"/>
      <c r="Q1" s="458"/>
      <c r="R1" s="458"/>
      <c r="S1" s="458"/>
      <c r="T1" s="458"/>
      <c r="U1" s="458"/>
      <c r="V1" s="458"/>
    </row>
    <row r="2" spans="1:44" ht="15" customHeight="1" x14ac:dyDescent="0.25">
      <c r="A2" s="70">
        <v>1</v>
      </c>
      <c r="B2" s="70" t="s">
        <v>0</v>
      </c>
      <c r="C2" s="70">
        <v>17</v>
      </c>
      <c r="D2" s="4710" t="s">
        <v>447</v>
      </c>
      <c r="E2" s="4711"/>
      <c r="F2" s="4711"/>
      <c r="G2" s="4711"/>
      <c r="H2" s="4711"/>
      <c r="I2" s="4711"/>
      <c r="J2" s="4711"/>
      <c r="K2" s="4711"/>
      <c r="L2" s="4711"/>
      <c r="M2" s="4711"/>
      <c r="N2" s="4711"/>
      <c r="O2" s="4711"/>
      <c r="P2" s="4711"/>
      <c r="Q2" s="4711"/>
      <c r="R2" s="4711"/>
      <c r="S2" s="4711"/>
      <c r="T2" s="4711"/>
      <c r="U2" s="4711"/>
      <c r="V2" s="4711"/>
      <c r="W2" s="4711"/>
      <c r="X2" s="4711"/>
      <c r="Y2" s="4711"/>
      <c r="Z2" s="4711"/>
      <c r="AA2" s="4711"/>
      <c r="AB2" s="4711"/>
      <c r="AC2" s="4712"/>
      <c r="AD2" s="2800"/>
      <c r="AE2" s="2800"/>
    </row>
    <row r="3" spans="1:44" ht="15" customHeight="1" x14ac:dyDescent="0.25">
      <c r="A3" s="70">
        <v>2</v>
      </c>
      <c r="B3" s="70" t="s">
        <v>2</v>
      </c>
      <c r="C3" s="456"/>
      <c r="D3" s="4710" t="s">
        <v>448</v>
      </c>
      <c r="E3" s="4711"/>
      <c r="F3" s="4711"/>
      <c r="G3" s="4711"/>
      <c r="H3" s="4711"/>
      <c r="I3" s="4711"/>
      <c r="J3" s="4711"/>
      <c r="K3" s="4711"/>
      <c r="L3" s="4711"/>
      <c r="M3" s="4711"/>
      <c r="N3" s="4711"/>
      <c r="O3" s="4711"/>
      <c r="P3" s="4711"/>
      <c r="Q3" s="4711"/>
      <c r="R3" s="4711"/>
      <c r="S3" s="4711"/>
      <c r="T3" s="4711"/>
      <c r="U3" s="4711"/>
      <c r="V3" s="4711"/>
      <c r="W3" s="4711"/>
      <c r="X3" s="4711"/>
      <c r="Y3" s="4711"/>
      <c r="Z3" s="4711"/>
      <c r="AA3" s="4711"/>
      <c r="AB3" s="4711"/>
      <c r="AC3" s="4712"/>
      <c r="AD3" s="2800"/>
      <c r="AE3" s="2800"/>
      <c r="AF3" s="274"/>
      <c r="AG3" s="274"/>
      <c r="AH3" s="274"/>
      <c r="AI3" s="274"/>
      <c r="AJ3" s="274"/>
      <c r="AK3" s="274"/>
      <c r="AL3" s="274"/>
      <c r="AM3" s="274"/>
      <c r="AN3" s="274"/>
      <c r="AO3" s="274"/>
      <c r="AP3" s="274"/>
      <c r="AQ3" s="274"/>
      <c r="AR3" s="274"/>
    </row>
    <row r="4" spans="1:44" ht="15" customHeight="1" x14ac:dyDescent="0.25">
      <c r="A4" s="70">
        <v>3</v>
      </c>
      <c r="B4" s="70" t="s">
        <v>4</v>
      </c>
      <c r="C4" s="456"/>
      <c r="D4" s="4710" t="s">
        <v>449</v>
      </c>
      <c r="E4" s="4711"/>
      <c r="F4" s="4711"/>
      <c r="G4" s="4711"/>
      <c r="H4" s="4711"/>
      <c r="I4" s="4711"/>
      <c r="J4" s="4711"/>
      <c r="K4" s="4711"/>
      <c r="L4" s="4711"/>
      <c r="M4" s="4711"/>
      <c r="N4" s="4711"/>
      <c r="O4" s="4711"/>
      <c r="P4" s="4711"/>
      <c r="Q4" s="4711"/>
      <c r="R4" s="4711"/>
      <c r="S4" s="4711"/>
      <c r="T4" s="4711"/>
      <c r="U4" s="4711"/>
      <c r="V4" s="4711"/>
      <c r="W4" s="4711"/>
      <c r="X4" s="4711"/>
      <c r="Y4" s="4711"/>
      <c r="Z4" s="4711"/>
      <c r="AA4" s="4711"/>
      <c r="AB4" s="4711"/>
      <c r="AC4" s="4712"/>
      <c r="AD4" s="2800"/>
      <c r="AE4" s="2800"/>
      <c r="AF4" s="274"/>
      <c r="AG4" s="274"/>
      <c r="AH4" s="274"/>
      <c r="AI4" s="274"/>
      <c r="AJ4" s="274"/>
      <c r="AK4" s="274"/>
      <c r="AL4" s="274"/>
      <c r="AM4" s="274"/>
      <c r="AN4" s="274"/>
      <c r="AO4" s="274"/>
      <c r="AP4" s="274"/>
      <c r="AQ4" s="274"/>
      <c r="AR4" s="274"/>
    </row>
    <row r="5" spans="1:44" s="4" customFormat="1" ht="11.1" customHeight="1" x14ac:dyDescent="0.25">
      <c r="A5" s="70"/>
      <c r="B5" s="70"/>
      <c r="C5" s="69"/>
      <c r="D5" s="459"/>
      <c r="E5" s="459"/>
      <c r="F5" s="459"/>
      <c r="G5" s="459"/>
      <c r="H5" s="459"/>
      <c r="I5" s="459"/>
      <c r="J5" s="459"/>
      <c r="K5" s="459"/>
      <c r="L5" s="459"/>
      <c r="M5" s="459"/>
      <c r="N5" s="459"/>
      <c r="O5" s="459"/>
      <c r="P5" s="459"/>
      <c r="Q5" s="459"/>
      <c r="R5" s="459"/>
      <c r="S5" s="459"/>
      <c r="T5" s="459"/>
      <c r="U5" s="459"/>
      <c r="V5" s="459"/>
      <c r="W5" s="459"/>
      <c r="X5" s="459"/>
      <c r="Y5" s="459"/>
      <c r="Z5" s="459"/>
      <c r="AA5" s="459"/>
      <c r="AB5" s="459"/>
    </row>
    <row r="6" spans="1:44" x14ac:dyDescent="0.25">
      <c r="A6" s="70">
        <v>4</v>
      </c>
      <c r="B6" s="70" t="s">
        <v>6</v>
      </c>
      <c r="C6" s="456"/>
      <c r="D6" s="460"/>
      <c r="E6" s="460" t="s">
        <v>450</v>
      </c>
      <c r="F6" s="460"/>
      <c r="G6" s="461"/>
      <c r="H6" s="461"/>
      <c r="I6" s="461"/>
      <c r="J6" s="461"/>
      <c r="K6" s="461"/>
      <c r="L6" s="461"/>
      <c r="M6" s="461"/>
      <c r="N6" s="461"/>
      <c r="O6" s="461"/>
      <c r="P6" s="461"/>
      <c r="Q6" s="462"/>
      <c r="R6" s="462"/>
      <c r="S6" s="463"/>
      <c r="T6" s="463"/>
      <c r="U6" s="463"/>
      <c r="V6" s="463"/>
    </row>
    <row r="7" spans="1:44" x14ac:dyDescent="0.25">
      <c r="A7" s="70"/>
      <c r="B7" s="80"/>
      <c r="C7" s="456"/>
      <c r="D7" s="464" t="s">
        <v>451</v>
      </c>
      <c r="E7" s="465">
        <v>34699</v>
      </c>
      <c r="F7" s="465">
        <v>35064</v>
      </c>
      <c r="G7" s="465">
        <v>35430</v>
      </c>
      <c r="H7" s="465">
        <v>35795</v>
      </c>
      <c r="I7" s="465">
        <v>36160</v>
      </c>
      <c r="J7" s="465">
        <v>36525</v>
      </c>
      <c r="K7" s="466">
        <v>36891</v>
      </c>
      <c r="L7" s="466">
        <v>37256</v>
      </c>
      <c r="M7" s="466">
        <v>37621</v>
      </c>
      <c r="N7" s="466">
        <v>37986</v>
      </c>
      <c r="O7" s="466">
        <v>38352</v>
      </c>
      <c r="P7" s="2808">
        <v>38717</v>
      </c>
      <c r="Q7" s="2808">
        <v>39082</v>
      </c>
      <c r="R7" s="2808">
        <v>39083</v>
      </c>
      <c r="S7" s="2808">
        <v>39448</v>
      </c>
      <c r="T7" s="2809">
        <v>2009</v>
      </c>
      <c r="U7" s="2809" t="s">
        <v>334</v>
      </c>
      <c r="V7" s="2809" t="s">
        <v>335</v>
      </c>
      <c r="W7" s="2809">
        <v>2012</v>
      </c>
      <c r="X7" s="2809" t="s">
        <v>337</v>
      </c>
      <c r="Y7" s="2809" t="s">
        <v>338</v>
      </c>
      <c r="Z7" s="2809" t="s">
        <v>339</v>
      </c>
      <c r="AA7" s="2809" t="s">
        <v>340</v>
      </c>
      <c r="AB7" s="2809" t="s">
        <v>341</v>
      </c>
      <c r="AC7" s="2809" t="s">
        <v>342</v>
      </c>
      <c r="AD7" s="2809" t="s">
        <v>343</v>
      </c>
      <c r="AE7" s="2809" t="s">
        <v>344</v>
      </c>
      <c r="AF7" s="4276" t="s">
        <v>345</v>
      </c>
      <c r="AG7" s="4272" t="s">
        <v>2173</v>
      </c>
      <c r="AQ7" s="459">
        <v>2013</v>
      </c>
    </row>
    <row r="8" spans="1:44" ht="15.75" customHeight="1" x14ac:dyDescent="0.25">
      <c r="A8" s="70"/>
      <c r="B8" s="80"/>
      <c r="C8" s="456"/>
      <c r="D8" s="467" t="s">
        <v>452</v>
      </c>
      <c r="E8" s="182">
        <v>14.249861950162632</v>
      </c>
      <c r="F8" s="889">
        <v>15.961605455762633</v>
      </c>
      <c r="G8" s="889">
        <v>16.907569634826817</v>
      </c>
      <c r="H8" s="889">
        <v>17.088810804424099</v>
      </c>
      <c r="I8" s="889">
        <v>17.819453657359947</v>
      </c>
      <c r="J8" s="889">
        <v>16.188356793310934</v>
      </c>
      <c r="K8" s="889">
        <v>17.985392227799206</v>
      </c>
      <c r="L8" s="889">
        <v>18.974802327047424</v>
      </c>
      <c r="M8" s="890">
        <v>20.798733573458545</v>
      </c>
      <c r="N8" s="890">
        <v>17.763833711643663</v>
      </c>
      <c r="O8" s="890">
        <v>18.866653675729257</v>
      </c>
      <c r="P8" s="890">
        <v>19.616864661478136</v>
      </c>
      <c r="Q8" s="890">
        <v>23.052215354438239</v>
      </c>
      <c r="R8" s="890">
        <v>24.354377516885773</v>
      </c>
      <c r="S8" s="890">
        <v>28.462098971868539</v>
      </c>
      <c r="T8" s="890">
        <v>20.082928063519489</v>
      </c>
      <c r="U8" s="890">
        <v>19.983518855300066</v>
      </c>
      <c r="V8" s="890">
        <v>22.45597973217691</v>
      </c>
      <c r="W8" s="890">
        <v>24.136036911326176</v>
      </c>
      <c r="X8" s="890">
        <v>26.010810028356289</v>
      </c>
      <c r="Y8" s="890">
        <v>26.000508481997393</v>
      </c>
      <c r="Z8" s="890">
        <v>24.481512705978318</v>
      </c>
      <c r="AA8" s="890">
        <v>22.999776239585422</v>
      </c>
      <c r="AB8" s="890">
        <v>21.839375840604625</v>
      </c>
      <c r="AC8" s="890">
        <v>22.9</v>
      </c>
      <c r="AD8" s="890">
        <v>22.5</v>
      </c>
      <c r="AE8" s="890">
        <v>19.899999999999999</v>
      </c>
      <c r="AF8" s="4274">
        <v>21.8</v>
      </c>
      <c r="AG8" s="891">
        <v>27</v>
      </c>
    </row>
    <row r="9" spans="1:44" x14ac:dyDescent="0.25">
      <c r="A9" s="70"/>
      <c r="B9" s="80"/>
      <c r="C9" s="456"/>
      <c r="D9" s="468" t="s">
        <v>453</v>
      </c>
      <c r="E9" s="462">
        <v>17.108273267130564</v>
      </c>
      <c r="F9" s="182">
        <v>17.348503213191183</v>
      </c>
      <c r="G9" s="182">
        <v>18.67401724698064</v>
      </c>
      <c r="H9" s="182">
        <v>18.467489635828439</v>
      </c>
      <c r="I9" s="182">
        <v>19.008717881411748</v>
      </c>
      <c r="J9" s="182">
        <v>18.831250202551612</v>
      </c>
      <c r="K9" s="892">
        <v>21.085650693451381</v>
      </c>
      <c r="L9" s="892">
        <v>22.799781464070652</v>
      </c>
      <c r="M9" s="892">
        <v>24.491522247348566</v>
      </c>
      <c r="N9" s="892">
        <v>19.554092561790501</v>
      </c>
      <c r="O9" s="892">
        <v>18.791975957889999</v>
      </c>
      <c r="P9" s="892">
        <v>19.507937121427805</v>
      </c>
      <c r="Q9" s="892">
        <v>21.873071169531016</v>
      </c>
      <c r="R9" s="892">
        <v>23.578974282487803</v>
      </c>
      <c r="S9" s="892">
        <v>27.906009692793511</v>
      </c>
      <c r="T9" s="892">
        <v>21.088715348670419</v>
      </c>
      <c r="U9" s="892">
        <v>21.907028147870818</v>
      </c>
      <c r="V9" s="892">
        <v>23.87612798977592</v>
      </c>
      <c r="W9" s="892">
        <v>23.021378791128832</v>
      </c>
      <c r="X9" s="892">
        <v>24.110343971897027</v>
      </c>
      <c r="Y9" s="892">
        <v>24.483383983978221</v>
      </c>
      <c r="Z9" s="892">
        <v>23.232551263992683</v>
      </c>
      <c r="AA9" s="892">
        <v>23.539700665293289</v>
      </c>
      <c r="AB9" s="892">
        <v>23.000537593118807</v>
      </c>
      <c r="AC9" s="892">
        <v>23.285476441119599</v>
      </c>
      <c r="AD9" s="892">
        <v>23.243962480869875</v>
      </c>
      <c r="AE9" s="892">
        <v>25.1</v>
      </c>
      <c r="AF9" s="4275">
        <v>29</v>
      </c>
      <c r="AG9" s="891">
        <v>30.3</v>
      </c>
    </row>
    <row r="10" spans="1:44" x14ac:dyDescent="0.25">
      <c r="A10" s="70"/>
      <c r="B10" s="80"/>
      <c r="D10" s="468" t="s">
        <v>454</v>
      </c>
      <c r="E10" s="3704">
        <v>2.8584113169679304</v>
      </c>
      <c r="F10" s="3704">
        <v>1.3868977574285479</v>
      </c>
      <c r="G10" s="3704">
        <v>1.7664476121538208</v>
      </c>
      <c r="H10" s="3704">
        <v>1.3786788314043388</v>
      </c>
      <c r="I10" s="3704">
        <v>1.189264224051799</v>
      </c>
      <c r="J10" s="3704">
        <v>2.6428934092406746</v>
      </c>
      <c r="K10" s="3705">
        <v>3.1002584656521748</v>
      </c>
      <c r="L10" s="3705">
        <v>3.8249791370232287</v>
      </c>
      <c r="M10" s="3705">
        <v>3.6927886738900213</v>
      </c>
      <c r="N10" s="3705">
        <v>1.7902588501468399</v>
      </c>
      <c r="O10" s="3705">
        <v>-7.4677717839260152E-2</v>
      </c>
      <c r="P10" s="3705">
        <v>-0.10892754005033203</v>
      </c>
      <c r="Q10" s="3705">
        <v>-1.1791441849072266</v>
      </c>
      <c r="R10" s="3705">
        <v>-0.77540323439797154</v>
      </c>
      <c r="S10" s="3705">
        <v>-0.55608927907503014</v>
      </c>
      <c r="T10" s="3705">
        <v>1.0057872851509306</v>
      </c>
      <c r="U10" s="3705">
        <v>1.923509292570754</v>
      </c>
      <c r="V10" s="3705">
        <v>1.4201783142829061</v>
      </c>
      <c r="W10" s="3705">
        <v>-1.1146581201973427</v>
      </c>
      <c r="X10" s="3705">
        <v>-1.9004402075153219</v>
      </c>
      <c r="Y10" s="3705">
        <v>-1.5171244980191698</v>
      </c>
      <c r="Z10" s="3705">
        <v>-1.2489840623616622</v>
      </c>
      <c r="AA10" s="3705">
        <v>0.53994543607543144</v>
      </c>
      <c r="AB10" s="3705">
        <v>1.1611617525141833</v>
      </c>
      <c r="AC10" s="3705">
        <v>0.46033328107151661</v>
      </c>
      <c r="AD10" s="3705">
        <v>0.68866665215590128</v>
      </c>
      <c r="AE10" s="3705">
        <v>5.2430731334024623</v>
      </c>
      <c r="AF10" s="3705">
        <v>7.2108081961853632</v>
      </c>
      <c r="AG10" s="3705">
        <v>3.3</v>
      </c>
    </row>
    <row r="11" spans="1:44" x14ac:dyDescent="0.25">
      <c r="A11" s="70"/>
      <c r="B11" s="80"/>
      <c r="D11" s="469" t="s">
        <v>455</v>
      </c>
      <c r="E11" s="893">
        <v>0</v>
      </c>
      <c r="F11" s="187">
        <v>-1.5</v>
      </c>
      <c r="G11" s="187">
        <v>-1</v>
      </c>
      <c r="H11" s="187">
        <v>-1.3</v>
      </c>
      <c r="I11" s="187">
        <v>-1.5</v>
      </c>
      <c r="J11" s="893">
        <v>-0.4</v>
      </c>
      <c r="K11" s="187">
        <v>-0.1</v>
      </c>
      <c r="L11" s="187">
        <v>0.2</v>
      </c>
      <c r="M11" s="187">
        <v>0.8</v>
      </c>
      <c r="N11" s="187">
        <v>-0.7</v>
      </c>
      <c r="O11" s="893">
        <v>-2.5</v>
      </c>
      <c r="P11" s="187">
        <v>-2.8</v>
      </c>
      <c r="Q11" s="187">
        <v>-4</v>
      </c>
      <c r="R11" s="187">
        <v>-4.8</v>
      </c>
      <c r="S11" s="187">
        <v>-5</v>
      </c>
      <c r="T11" s="893">
        <v>-2.4</v>
      </c>
      <c r="U11" s="187">
        <v>-1.3</v>
      </c>
      <c r="V11" s="187">
        <v>-2</v>
      </c>
      <c r="W11" s="187">
        <v>-4.7</v>
      </c>
      <c r="X11" s="187">
        <v>-5.3</v>
      </c>
      <c r="Y11" s="893">
        <v>-4.8</v>
      </c>
      <c r="Z11" s="187">
        <v>-4.3</v>
      </c>
      <c r="AA11" s="187">
        <v>-2.7</v>
      </c>
      <c r="AB11" s="187">
        <v>-2.4</v>
      </c>
      <c r="AC11" s="187">
        <v>-3</v>
      </c>
      <c r="AD11" s="893">
        <v>-2.6</v>
      </c>
      <c r="AE11" s="893">
        <v>2</v>
      </c>
      <c r="AF11" s="188">
        <v>3.7</v>
      </c>
      <c r="AG11" s="4273">
        <v>-0.5</v>
      </c>
    </row>
    <row r="12" spans="1:44" x14ac:dyDescent="0.25">
      <c r="A12" s="70"/>
      <c r="B12" s="80"/>
      <c r="F12" s="470"/>
      <c r="G12" s="470"/>
      <c r="H12" s="470"/>
      <c r="I12" s="470"/>
      <c r="J12" s="470"/>
      <c r="K12" s="470"/>
      <c r="L12" s="470"/>
      <c r="M12" s="470"/>
      <c r="N12" s="470"/>
      <c r="O12" s="470"/>
      <c r="P12" s="470"/>
      <c r="Q12" s="470"/>
      <c r="R12" s="470"/>
      <c r="S12" s="470"/>
      <c r="T12" s="470"/>
      <c r="U12" s="470"/>
      <c r="V12" s="470"/>
      <c r="W12" s="470"/>
      <c r="X12" s="470"/>
      <c r="Y12" s="470"/>
      <c r="Z12" s="470"/>
    </row>
    <row r="13" spans="1:44" x14ac:dyDescent="0.25">
      <c r="A13" s="70"/>
      <c r="B13" s="80"/>
      <c r="D13" s="471"/>
      <c r="E13" s="471"/>
      <c r="F13" s="182"/>
      <c r="G13" s="182"/>
      <c r="H13" s="182"/>
      <c r="I13" s="182"/>
      <c r="J13" s="182"/>
      <c r="K13" s="182"/>
      <c r="L13" s="182"/>
      <c r="M13" s="182"/>
      <c r="N13" s="182"/>
      <c r="O13" s="182"/>
      <c r="P13" s="182"/>
      <c r="Q13" s="182"/>
      <c r="R13" s="182"/>
      <c r="S13" s="182"/>
      <c r="T13" s="182"/>
      <c r="U13" s="182"/>
      <c r="V13" s="182"/>
      <c r="W13" s="182"/>
      <c r="X13" s="182"/>
      <c r="Y13" s="182"/>
      <c r="Z13" s="470"/>
    </row>
    <row r="14" spans="1:44" x14ac:dyDescent="0.25">
      <c r="A14" s="70">
        <v>5</v>
      </c>
      <c r="B14" s="70" t="s">
        <v>51</v>
      </c>
      <c r="D14" s="458"/>
      <c r="E14" s="458"/>
      <c r="F14" s="462"/>
      <c r="G14" s="462"/>
      <c r="H14" s="462"/>
      <c r="I14" s="462"/>
      <c r="J14" s="462"/>
      <c r="K14" s="462"/>
      <c r="L14" s="462"/>
      <c r="M14" s="462"/>
      <c r="N14" s="462"/>
      <c r="O14" s="462"/>
      <c r="P14" s="462"/>
      <c r="Q14" s="462"/>
      <c r="R14" s="462"/>
      <c r="S14" s="458"/>
      <c r="T14" s="458"/>
      <c r="U14" s="458"/>
      <c r="V14" s="458"/>
      <c r="W14" s="472"/>
      <c r="Y14" s="473"/>
      <c r="Z14" s="470"/>
    </row>
    <row r="15" spans="1:44" x14ac:dyDescent="0.25">
      <c r="A15" s="70"/>
      <c r="B15" s="80"/>
      <c r="C15" s="456"/>
      <c r="D15" s="458"/>
      <c r="E15" s="458"/>
      <c r="F15" s="462"/>
      <c r="G15" s="462"/>
      <c r="H15" s="462"/>
      <c r="I15" s="462"/>
      <c r="J15" s="462"/>
      <c r="K15" s="462"/>
      <c r="L15" s="462"/>
      <c r="M15" s="462"/>
      <c r="N15" s="462"/>
      <c r="O15" s="462"/>
      <c r="P15" s="474"/>
      <c r="Q15" s="462"/>
      <c r="R15" s="462"/>
      <c r="S15" s="458"/>
      <c r="T15" s="458"/>
      <c r="U15" s="458"/>
      <c r="V15" s="458"/>
      <c r="W15" s="472"/>
      <c r="Y15" s="473"/>
    </row>
    <row r="16" spans="1:44" x14ac:dyDescent="0.25">
      <c r="A16" s="70"/>
      <c r="B16" s="80"/>
      <c r="D16" s="458"/>
      <c r="E16" s="458"/>
      <c r="F16" s="462"/>
      <c r="G16" s="462"/>
      <c r="H16" s="462"/>
      <c r="I16" s="462"/>
      <c r="J16" s="462"/>
      <c r="K16" s="462"/>
      <c r="L16" s="462"/>
      <c r="M16" s="462"/>
      <c r="N16" s="462"/>
      <c r="O16" s="462"/>
      <c r="P16" s="474"/>
      <c r="Q16" s="462"/>
      <c r="R16" s="462"/>
      <c r="S16" s="458"/>
      <c r="T16" s="458"/>
      <c r="U16" s="458"/>
      <c r="V16" s="458"/>
      <c r="W16" s="472"/>
    </row>
    <row r="17" spans="1:23" x14ac:dyDescent="0.25">
      <c r="A17" s="70"/>
      <c r="B17" s="80"/>
      <c r="D17" s="458"/>
      <c r="E17" s="458"/>
      <c r="F17" s="462"/>
      <c r="G17" s="462"/>
      <c r="H17" s="462"/>
      <c r="I17" s="462"/>
      <c r="J17" s="462"/>
      <c r="K17" s="462"/>
      <c r="L17" s="462"/>
      <c r="M17" s="462"/>
      <c r="N17" s="462"/>
      <c r="O17" s="462"/>
      <c r="P17" s="474"/>
      <c r="Q17" s="462"/>
      <c r="R17" s="462"/>
      <c r="S17" s="458"/>
      <c r="T17" s="458"/>
      <c r="U17" s="458"/>
      <c r="V17" s="458"/>
      <c r="W17" s="472"/>
    </row>
    <row r="18" spans="1:23" x14ac:dyDescent="0.25">
      <c r="A18" s="70"/>
      <c r="B18" s="80"/>
      <c r="D18" s="458"/>
      <c r="E18" s="458"/>
      <c r="F18" s="462"/>
      <c r="G18" s="462"/>
      <c r="H18" s="462"/>
      <c r="I18" s="462"/>
      <c r="J18" s="462"/>
      <c r="K18" s="462"/>
      <c r="L18" s="462"/>
      <c r="M18" s="462"/>
      <c r="N18" s="462"/>
      <c r="O18" s="462"/>
      <c r="P18" s="474"/>
      <c r="Q18" s="462"/>
      <c r="R18" s="462"/>
      <c r="S18" s="458"/>
      <c r="T18" s="458"/>
      <c r="U18" s="458"/>
      <c r="V18" s="458"/>
      <c r="W18" s="472"/>
    </row>
    <row r="19" spans="1:23" x14ac:dyDescent="0.25">
      <c r="A19" s="70"/>
      <c r="B19" s="80"/>
      <c r="D19" s="458"/>
      <c r="E19" s="458"/>
      <c r="F19" s="462"/>
      <c r="G19" s="462"/>
      <c r="H19" s="462"/>
      <c r="I19" s="462"/>
      <c r="J19" s="462"/>
      <c r="K19" s="462"/>
      <c r="L19" s="462"/>
      <c r="M19" s="462"/>
      <c r="N19" s="462"/>
      <c r="O19" s="462"/>
      <c r="P19" s="474"/>
      <c r="Q19" s="462"/>
      <c r="R19" s="462"/>
      <c r="S19" s="458"/>
      <c r="T19" s="458"/>
      <c r="U19" s="458"/>
      <c r="V19" s="458"/>
      <c r="W19" s="472"/>
    </row>
    <row r="20" spans="1:23" x14ac:dyDescent="0.25">
      <c r="A20" s="70"/>
      <c r="B20" s="80"/>
      <c r="D20" s="458"/>
      <c r="E20" s="458"/>
      <c r="F20" s="462"/>
      <c r="G20" s="462"/>
      <c r="H20" s="462"/>
      <c r="I20" s="462"/>
      <c r="J20" s="462"/>
      <c r="K20" s="462"/>
      <c r="L20" s="462"/>
      <c r="M20" s="462"/>
      <c r="N20" s="462"/>
      <c r="O20" s="462"/>
      <c r="P20" s="462"/>
      <c r="Q20" s="462"/>
      <c r="R20" s="462"/>
      <c r="S20" s="458"/>
      <c r="T20" s="458"/>
      <c r="U20" s="458"/>
      <c r="V20" s="458"/>
      <c r="W20" s="475"/>
    </row>
    <row r="21" spans="1:23" x14ac:dyDescent="0.25">
      <c r="A21" s="70"/>
      <c r="B21" s="80"/>
      <c r="D21" s="458"/>
      <c r="E21" s="458"/>
      <c r="F21" s="462"/>
      <c r="G21" s="462"/>
      <c r="H21" s="462"/>
      <c r="I21" s="462"/>
      <c r="J21" s="462"/>
      <c r="K21" s="462"/>
      <c r="L21" s="462"/>
      <c r="M21" s="462"/>
      <c r="N21" s="462"/>
      <c r="O21" s="462"/>
      <c r="P21" s="462"/>
      <c r="Q21" s="462"/>
      <c r="R21" s="462"/>
      <c r="S21" s="458"/>
      <c r="T21" s="458"/>
      <c r="U21" s="458"/>
      <c r="V21" s="458"/>
      <c r="W21" s="475"/>
    </row>
    <row r="22" spans="1:23" x14ac:dyDescent="0.25">
      <c r="A22" s="70"/>
      <c r="B22" s="80"/>
      <c r="D22" s="458"/>
      <c r="E22" s="458"/>
      <c r="F22" s="462"/>
      <c r="G22" s="462"/>
      <c r="H22" s="462"/>
      <c r="I22" s="462"/>
      <c r="J22" s="462"/>
      <c r="K22" s="462"/>
      <c r="L22" s="462"/>
      <c r="M22" s="462"/>
      <c r="N22" s="462"/>
      <c r="O22" s="462"/>
      <c r="P22" s="462"/>
      <c r="Q22" s="462"/>
      <c r="R22" s="462"/>
      <c r="S22" s="458"/>
      <c r="T22" s="458"/>
      <c r="U22" s="458"/>
      <c r="V22" s="458"/>
      <c r="W22" s="472"/>
    </row>
    <row r="23" spans="1:23" x14ac:dyDescent="0.25">
      <c r="A23" s="70"/>
      <c r="B23" s="80"/>
      <c r="D23" s="458"/>
      <c r="E23" s="458"/>
      <c r="F23" s="462"/>
      <c r="G23" s="462"/>
      <c r="H23" s="462"/>
      <c r="I23" s="462"/>
      <c r="J23" s="462"/>
      <c r="K23" s="462"/>
      <c r="L23" s="462"/>
      <c r="M23" s="462"/>
      <c r="N23" s="462"/>
      <c r="O23" s="462"/>
      <c r="P23" s="462"/>
      <c r="Q23" s="462"/>
      <c r="R23" s="462"/>
      <c r="S23" s="458"/>
      <c r="T23" s="458"/>
      <c r="U23" s="458"/>
      <c r="V23" s="458"/>
      <c r="W23" s="472"/>
    </row>
    <row r="24" spans="1:23" x14ac:dyDescent="0.25">
      <c r="A24" s="70"/>
      <c r="B24" s="80"/>
      <c r="D24" s="458"/>
      <c r="E24" s="458"/>
      <c r="F24" s="462"/>
      <c r="G24" s="462"/>
      <c r="H24" s="462"/>
      <c r="I24" s="462"/>
      <c r="J24" s="462"/>
      <c r="K24" s="462"/>
      <c r="L24" s="462"/>
      <c r="M24" s="462"/>
      <c r="N24" s="462"/>
      <c r="O24" s="462"/>
      <c r="P24" s="462"/>
      <c r="Q24" s="462"/>
      <c r="R24" s="462"/>
      <c r="S24" s="458"/>
      <c r="T24" s="458"/>
      <c r="U24" s="458"/>
      <c r="V24" s="458"/>
      <c r="W24" s="472"/>
    </row>
    <row r="25" spans="1:23" x14ac:dyDescent="0.25">
      <c r="A25" s="70"/>
      <c r="B25" s="80"/>
      <c r="D25" s="458"/>
      <c r="E25" s="458"/>
      <c r="F25" s="462"/>
      <c r="G25" s="462"/>
      <c r="H25" s="462"/>
      <c r="I25" s="462"/>
      <c r="J25" s="462"/>
      <c r="K25" s="462"/>
      <c r="L25" s="462"/>
      <c r="M25" s="462"/>
      <c r="N25" s="462"/>
      <c r="O25" s="462"/>
      <c r="P25" s="462"/>
      <c r="Q25" s="462"/>
      <c r="R25" s="462"/>
      <c r="S25" s="458"/>
      <c r="T25" s="458"/>
      <c r="U25" s="458"/>
      <c r="V25" s="458"/>
      <c r="W25" s="472"/>
    </row>
    <row r="26" spans="1:23" x14ac:dyDescent="0.25">
      <c r="A26" s="70"/>
      <c r="B26" s="80"/>
      <c r="D26" s="458"/>
      <c r="E26" s="458"/>
      <c r="F26" s="462"/>
      <c r="G26" s="462"/>
      <c r="H26" s="462"/>
      <c r="I26" s="462"/>
      <c r="J26" s="462"/>
      <c r="K26" s="462"/>
      <c r="L26" s="462"/>
      <c r="M26" s="462"/>
      <c r="N26" s="462"/>
      <c r="O26" s="462"/>
      <c r="P26" s="462"/>
      <c r="Q26" s="462"/>
      <c r="R26" s="462"/>
      <c r="S26" s="458"/>
      <c r="T26" s="458"/>
      <c r="U26" s="458"/>
      <c r="V26" s="458"/>
      <c r="W26" s="472" t="s">
        <v>74</v>
      </c>
    </row>
    <row r="27" spans="1:23" x14ac:dyDescent="0.25">
      <c r="A27" s="70"/>
      <c r="B27" s="80"/>
      <c r="D27" s="458"/>
      <c r="E27" s="458"/>
      <c r="F27" s="462"/>
      <c r="G27" s="462"/>
      <c r="H27" s="462"/>
      <c r="I27" s="462"/>
      <c r="J27" s="462"/>
      <c r="K27" s="462"/>
      <c r="L27" s="462"/>
      <c r="M27" s="462"/>
      <c r="N27" s="462"/>
      <c r="O27" s="462"/>
      <c r="P27" s="462"/>
      <c r="Q27" s="462"/>
      <c r="R27" s="462"/>
      <c r="S27" s="458"/>
      <c r="T27" s="458"/>
      <c r="U27" s="458"/>
      <c r="V27" s="458"/>
      <c r="W27" s="472"/>
    </row>
    <row r="28" spans="1:23" x14ac:dyDescent="0.25">
      <c r="A28" s="70"/>
      <c r="B28" s="80"/>
      <c r="D28" s="458"/>
      <c r="E28" s="458"/>
      <c r="F28" s="458"/>
      <c r="G28" s="458"/>
      <c r="H28" s="458"/>
      <c r="I28" s="458"/>
      <c r="J28" s="458"/>
      <c r="K28" s="458"/>
      <c r="L28" s="458"/>
      <c r="M28" s="458"/>
      <c r="N28" s="458"/>
      <c r="O28" s="458"/>
      <c r="P28" s="458"/>
      <c r="Q28" s="458"/>
      <c r="R28" s="458"/>
      <c r="S28" s="458"/>
      <c r="T28" s="458"/>
      <c r="U28" s="458"/>
      <c r="V28" s="458"/>
      <c r="W28" s="472"/>
    </row>
    <row r="29" spans="1:23" x14ac:dyDescent="0.25">
      <c r="A29" s="70"/>
      <c r="B29" s="80"/>
      <c r="D29" s="458"/>
      <c r="E29" s="458"/>
      <c r="F29" s="458"/>
      <c r="G29" s="458"/>
      <c r="H29" s="458"/>
      <c r="I29" s="458"/>
      <c r="J29" s="458"/>
      <c r="K29" s="458"/>
      <c r="L29" s="458"/>
      <c r="M29" s="458"/>
      <c r="N29" s="458"/>
      <c r="O29" s="458"/>
      <c r="P29" s="458"/>
      <c r="Q29" s="458"/>
      <c r="R29" s="458"/>
      <c r="S29" s="458"/>
      <c r="T29" s="458"/>
      <c r="U29" s="458"/>
      <c r="V29" s="458"/>
      <c r="W29" s="472"/>
    </row>
    <row r="30" spans="1:23" x14ac:dyDescent="0.25">
      <c r="A30" s="70"/>
      <c r="B30" s="80"/>
      <c r="D30" s="458"/>
      <c r="E30" s="458"/>
      <c r="F30" s="458"/>
      <c r="G30" s="458"/>
      <c r="H30" s="458"/>
      <c r="I30" s="458"/>
      <c r="J30" s="458"/>
      <c r="K30" s="458"/>
      <c r="L30" s="458"/>
      <c r="M30" s="458"/>
      <c r="N30" s="458"/>
      <c r="O30" s="458"/>
      <c r="P30" s="458"/>
      <c r="Q30" s="458"/>
      <c r="R30" s="458"/>
      <c r="S30" s="458"/>
      <c r="T30" s="458"/>
      <c r="U30" s="458"/>
      <c r="V30" s="458"/>
      <c r="W30" s="472"/>
    </row>
    <row r="31" spans="1:23" x14ac:dyDescent="0.25">
      <c r="A31" s="70"/>
      <c r="B31" s="70"/>
      <c r="D31" s="458"/>
      <c r="E31" s="458"/>
      <c r="F31" s="458"/>
      <c r="G31" s="458"/>
      <c r="H31" s="458"/>
      <c r="I31" s="458"/>
      <c r="J31" s="458"/>
      <c r="K31" s="458"/>
      <c r="L31" s="458"/>
      <c r="M31" s="458"/>
      <c r="N31" s="458"/>
      <c r="O31" s="458"/>
      <c r="P31" s="458"/>
      <c r="Q31" s="458"/>
      <c r="R31" s="458"/>
      <c r="S31" s="458"/>
      <c r="T31" s="458"/>
      <c r="U31" s="458"/>
      <c r="V31" s="458"/>
      <c r="W31" s="472"/>
    </row>
    <row r="32" spans="1:23" x14ac:dyDescent="0.25">
      <c r="A32" s="70"/>
      <c r="B32" s="70"/>
      <c r="D32" s="458"/>
      <c r="E32" s="458"/>
      <c r="F32" s="458"/>
      <c r="G32" s="458"/>
      <c r="H32" s="458"/>
      <c r="I32" s="458"/>
      <c r="J32" s="458"/>
      <c r="K32" s="458"/>
      <c r="L32" s="458"/>
      <c r="M32" s="458"/>
      <c r="N32" s="458"/>
      <c r="O32" s="458"/>
      <c r="P32" s="458"/>
      <c r="Q32" s="458"/>
      <c r="R32" s="458"/>
      <c r="S32" s="458"/>
      <c r="T32" s="458"/>
      <c r="U32" s="458"/>
      <c r="V32" s="458"/>
      <c r="W32" s="472"/>
    </row>
    <row r="33" spans="1:64" ht="19.5" customHeight="1" x14ac:dyDescent="0.25">
      <c r="A33" s="70"/>
      <c r="B33" s="80"/>
      <c r="D33" s="458"/>
      <c r="E33" s="458"/>
      <c r="F33" s="458"/>
      <c r="G33" s="458"/>
      <c r="H33" s="458"/>
      <c r="I33" s="458"/>
      <c r="J33" s="458"/>
      <c r="K33" s="458"/>
      <c r="L33" s="458"/>
      <c r="M33" s="458"/>
      <c r="N33" s="458"/>
      <c r="O33" s="458"/>
      <c r="P33" s="458"/>
      <c r="Q33" s="458"/>
      <c r="R33" s="458"/>
      <c r="S33" s="458"/>
      <c r="T33" s="458"/>
      <c r="U33" s="458"/>
      <c r="V33" s="458"/>
      <c r="W33" s="472"/>
    </row>
    <row r="34" spans="1:64" ht="19.5" customHeight="1" x14ac:dyDescent="0.25">
      <c r="A34" s="70"/>
      <c r="B34" s="80"/>
      <c r="D34" s="458"/>
      <c r="E34" s="458"/>
      <c r="F34" s="458"/>
      <c r="G34" s="458"/>
      <c r="H34" s="458"/>
      <c r="I34" s="458"/>
      <c r="J34" s="458"/>
      <c r="K34" s="458"/>
      <c r="L34" s="458"/>
      <c r="M34" s="458"/>
      <c r="N34" s="458"/>
      <c r="O34" s="458"/>
      <c r="P34" s="458"/>
      <c r="Q34" s="458"/>
      <c r="R34" s="458"/>
      <c r="S34" s="458"/>
      <c r="T34" s="458"/>
      <c r="U34" s="458"/>
      <c r="V34" s="458"/>
      <c r="W34" s="472"/>
    </row>
    <row r="35" spans="1:64" ht="15" customHeight="1" x14ac:dyDescent="0.25">
      <c r="A35" s="70">
        <v>6</v>
      </c>
      <c r="B35" s="70" t="s">
        <v>52</v>
      </c>
      <c r="C35" s="456"/>
      <c r="D35" s="4710" t="s">
        <v>456</v>
      </c>
      <c r="E35" s="4711"/>
      <c r="F35" s="4711"/>
      <c r="G35" s="4711"/>
      <c r="H35" s="4711"/>
      <c r="I35" s="4711"/>
      <c r="J35" s="4711"/>
      <c r="K35" s="4711"/>
      <c r="L35" s="4711"/>
      <c r="M35" s="4711"/>
      <c r="N35" s="4711"/>
      <c r="O35" s="4711"/>
      <c r="P35" s="4711"/>
      <c r="Q35" s="4711"/>
      <c r="R35" s="4711"/>
      <c r="S35" s="4711"/>
      <c r="T35" s="4711"/>
      <c r="U35" s="4711"/>
      <c r="V35" s="4711"/>
      <c r="W35" s="4711"/>
      <c r="X35" s="4711"/>
      <c r="Y35" s="4711"/>
      <c r="Z35" s="4711"/>
      <c r="AA35" s="4711"/>
      <c r="AB35" s="4711"/>
      <c r="AC35" s="4712"/>
      <c r="AD35" s="2800"/>
      <c r="AE35" s="2800"/>
      <c r="AF35" s="476"/>
      <c r="AG35" s="476"/>
      <c r="AH35" s="476"/>
      <c r="AI35" s="476"/>
      <c r="AJ35" s="476"/>
      <c r="AK35" s="476"/>
      <c r="AL35" s="476"/>
      <c r="AM35" s="476"/>
      <c r="AN35" s="476"/>
      <c r="AO35" s="476"/>
      <c r="AP35" s="476"/>
      <c r="AQ35" s="476"/>
      <c r="AR35" s="476"/>
      <c r="AS35" s="476"/>
      <c r="AT35" s="476"/>
      <c r="AU35" s="476"/>
      <c r="AV35" s="476"/>
    </row>
    <row r="36" spans="1:64" ht="17.45" customHeight="1" x14ac:dyDescent="0.25">
      <c r="A36" s="70">
        <v>7</v>
      </c>
      <c r="B36" s="70" t="s">
        <v>54</v>
      </c>
      <c r="C36" s="477"/>
      <c r="D36" s="4710" t="s">
        <v>457</v>
      </c>
      <c r="E36" s="4711"/>
      <c r="F36" s="4711"/>
      <c r="G36" s="4711"/>
      <c r="H36" s="4711"/>
      <c r="I36" s="4711"/>
      <c r="J36" s="4711"/>
      <c r="K36" s="4711"/>
      <c r="L36" s="4711"/>
      <c r="M36" s="4711"/>
      <c r="N36" s="4711"/>
      <c r="O36" s="4711"/>
      <c r="P36" s="4711"/>
      <c r="Q36" s="4711"/>
      <c r="R36" s="4711"/>
      <c r="S36" s="4711"/>
      <c r="T36" s="4711"/>
      <c r="U36" s="4711"/>
      <c r="V36" s="4711"/>
      <c r="W36" s="4711"/>
      <c r="X36" s="4711"/>
      <c r="Y36" s="4711"/>
      <c r="Z36" s="4711"/>
      <c r="AA36" s="4711"/>
      <c r="AB36" s="4711"/>
      <c r="AC36" s="4712"/>
      <c r="AD36" s="2800"/>
      <c r="AE36" s="2800"/>
      <c r="AF36" s="476"/>
      <c r="AG36" s="476"/>
      <c r="AH36" s="476"/>
      <c r="AI36" s="476"/>
      <c r="AJ36" s="476"/>
      <c r="AK36" s="478"/>
      <c r="AL36" s="478"/>
      <c r="AM36" s="478"/>
      <c r="AN36" s="478"/>
      <c r="AO36" s="478"/>
      <c r="AP36" s="478"/>
      <c r="AQ36" s="478"/>
      <c r="AR36" s="478"/>
      <c r="AS36" s="478"/>
      <c r="AT36" s="478"/>
      <c r="AU36" s="478"/>
      <c r="AV36" s="478"/>
    </row>
    <row r="37" spans="1:64" ht="15" customHeight="1" x14ac:dyDescent="0.25">
      <c r="A37" s="70">
        <v>8</v>
      </c>
      <c r="B37" s="70" t="s">
        <v>56</v>
      </c>
      <c r="C37" s="456"/>
      <c r="D37" s="4710" t="s">
        <v>370</v>
      </c>
      <c r="E37" s="4711"/>
      <c r="F37" s="4711"/>
      <c r="G37" s="4711"/>
      <c r="H37" s="4711"/>
      <c r="I37" s="4711"/>
      <c r="J37" s="4711"/>
      <c r="K37" s="4711"/>
      <c r="L37" s="4711"/>
      <c r="M37" s="4711"/>
      <c r="N37" s="4711"/>
      <c r="O37" s="4711"/>
      <c r="P37" s="4711"/>
      <c r="Q37" s="4711"/>
      <c r="R37" s="4711"/>
      <c r="S37" s="4711"/>
      <c r="T37" s="4711"/>
      <c r="U37" s="4711"/>
      <c r="V37" s="4711"/>
      <c r="W37" s="4711"/>
      <c r="X37" s="4711"/>
      <c r="Y37" s="4711"/>
      <c r="Z37" s="4711"/>
      <c r="AA37" s="4711"/>
      <c r="AB37" s="4711"/>
      <c r="AC37" s="4712"/>
      <c r="AD37" s="2800"/>
      <c r="AE37" s="2800"/>
      <c r="AF37" s="476"/>
      <c r="AG37" s="476"/>
      <c r="AH37" s="476"/>
      <c r="AI37" s="476"/>
      <c r="AJ37" s="476"/>
      <c r="AK37" s="478"/>
      <c r="AL37" s="478"/>
      <c r="AM37" s="478"/>
      <c r="AN37" s="478"/>
      <c r="AO37" s="478"/>
      <c r="AP37" s="478"/>
      <c r="AQ37" s="478"/>
      <c r="AR37" s="478"/>
      <c r="AS37" s="478"/>
      <c r="AT37" s="478"/>
      <c r="AU37" s="478"/>
      <c r="AV37" s="478"/>
    </row>
    <row r="38" spans="1:64" ht="67.5" customHeight="1" x14ac:dyDescent="0.25">
      <c r="A38" s="70">
        <v>9</v>
      </c>
      <c r="B38" s="70" t="s">
        <v>58</v>
      </c>
      <c r="C38" s="479"/>
      <c r="D38" s="4710" t="s">
        <v>458</v>
      </c>
      <c r="E38" s="4711"/>
      <c r="F38" s="4711"/>
      <c r="G38" s="4711"/>
      <c r="H38" s="4711"/>
      <c r="I38" s="4711"/>
      <c r="J38" s="4711"/>
      <c r="K38" s="4711"/>
      <c r="L38" s="4711"/>
      <c r="M38" s="4711"/>
      <c r="N38" s="4711"/>
      <c r="O38" s="4711"/>
      <c r="P38" s="4711"/>
      <c r="Q38" s="4711"/>
      <c r="R38" s="4711"/>
      <c r="S38" s="4711"/>
      <c r="T38" s="4711"/>
      <c r="U38" s="4711"/>
      <c r="V38" s="4711"/>
      <c r="W38" s="4711"/>
      <c r="X38" s="4711"/>
      <c r="Y38" s="4711"/>
      <c r="Z38" s="4711"/>
      <c r="AA38" s="4711"/>
      <c r="AB38" s="4711"/>
      <c r="AC38" s="4712"/>
      <c r="AD38" s="2800"/>
      <c r="AE38" s="2800"/>
      <c r="AF38" s="478"/>
      <c r="AG38" s="478"/>
      <c r="AH38" s="478"/>
      <c r="AI38" s="478"/>
      <c r="AJ38" s="478"/>
      <c r="AK38" s="478"/>
      <c r="AL38" s="478"/>
      <c r="AM38" s="478"/>
      <c r="AN38" s="478"/>
      <c r="AO38" s="478"/>
      <c r="AP38" s="478"/>
      <c r="AQ38" s="478"/>
      <c r="AR38" s="478"/>
      <c r="AS38" s="478"/>
      <c r="AT38" s="478"/>
      <c r="AU38" s="478"/>
      <c r="AV38" s="478"/>
    </row>
    <row r="39" spans="1:64" ht="13.5" customHeight="1" x14ac:dyDescent="0.25">
      <c r="A39" s="70"/>
      <c r="B39" s="70"/>
      <c r="C39" s="479"/>
      <c r="D39" s="2800"/>
      <c r="E39" s="2800"/>
      <c r="F39" s="2800"/>
      <c r="G39" s="2800"/>
      <c r="H39" s="2800"/>
      <c r="I39" s="2800"/>
      <c r="J39" s="2800"/>
      <c r="K39" s="2800"/>
      <c r="L39" s="2800"/>
      <c r="M39" s="2800"/>
      <c r="N39" s="2800"/>
      <c r="O39" s="2800"/>
      <c r="P39" s="2800"/>
      <c r="Q39" s="2800"/>
      <c r="R39" s="2800"/>
      <c r="S39" s="2800"/>
      <c r="T39" s="2800"/>
      <c r="U39" s="2800"/>
      <c r="V39" s="2800"/>
      <c r="W39" s="2800"/>
      <c r="X39" s="2800"/>
      <c r="Y39" s="2800"/>
      <c r="Z39" s="2800"/>
      <c r="AA39" s="2800"/>
      <c r="AB39" s="2800"/>
      <c r="AC39" s="2800"/>
      <c r="AD39" s="2800"/>
      <c r="AE39" s="2800"/>
      <c r="AF39" s="478"/>
      <c r="AG39" s="478"/>
      <c r="AH39" s="478"/>
      <c r="AI39" s="478"/>
      <c r="AJ39" s="478"/>
      <c r="AK39" s="478"/>
      <c r="AL39" s="478"/>
      <c r="AM39" s="478"/>
      <c r="AN39" s="478"/>
      <c r="AO39" s="478"/>
      <c r="AP39" s="478"/>
      <c r="AQ39" s="478"/>
      <c r="AR39" s="478"/>
      <c r="AS39" s="478"/>
      <c r="AT39" s="478"/>
      <c r="AU39" s="478"/>
      <c r="AV39" s="478"/>
    </row>
    <row r="40" spans="1:64" x14ac:dyDescent="0.25">
      <c r="B40" s="80"/>
      <c r="W40" s="472"/>
    </row>
    <row r="41" spans="1:64" hidden="1" x14ac:dyDescent="0.25">
      <c r="B41" s="80"/>
      <c r="C41" s="480"/>
      <c r="D41" s="481">
        <v>34424</v>
      </c>
      <c r="E41" s="481"/>
      <c r="F41" s="481">
        <v>34515</v>
      </c>
      <c r="G41" s="481">
        <v>34607</v>
      </c>
      <c r="H41" s="481">
        <v>34699</v>
      </c>
      <c r="I41" s="481">
        <v>34789</v>
      </c>
      <c r="J41" s="481">
        <v>34880</v>
      </c>
      <c r="K41" s="481">
        <v>34972</v>
      </c>
      <c r="L41" s="481">
        <v>35064</v>
      </c>
      <c r="M41" s="481">
        <v>35155</v>
      </c>
      <c r="N41" s="481">
        <v>35246</v>
      </c>
      <c r="O41" s="481">
        <v>35338</v>
      </c>
      <c r="P41" s="481">
        <v>35430</v>
      </c>
      <c r="Q41" s="481">
        <v>35520</v>
      </c>
      <c r="R41" s="481">
        <v>35611</v>
      </c>
      <c r="S41" s="481">
        <v>35703</v>
      </c>
      <c r="T41" s="481">
        <v>35795</v>
      </c>
      <c r="U41" s="481"/>
      <c r="V41" s="481"/>
      <c r="W41" s="481">
        <v>35885</v>
      </c>
      <c r="X41" s="481">
        <v>35976</v>
      </c>
      <c r="Y41" s="481">
        <v>36068</v>
      </c>
      <c r="Z41" s="481">
        <v>36250</v>
      </c>
      <c r="AA41" s="481"/>
      <c r="AB41" s="481">
        <v>36341</v>
      </c>
      <c r="AC41" s="481">
        <v>36433</v>
      </c>
      <c r="AD41" s="481"/>
      <c r="AE41" s="481"/>
      <c r="AF41" s="481">
        <v>36525</v>
      </c>
      <c r="AG41" s="481">
        <v>36616</v>
      </c>
      <c r="AH41" s="481">
        <v>36707</v>
      </c>
      <c r="AI41" s="481">
        <v>36799</v>
      </c>
      <c r="AJ41" s="481">
        <v>36891</v>
      </c>
      <c r="AK41" s="482">
        <v>36981</v>
      </c>
      <c r="AL41" s="482">
        <v>37072</v>
      </c>
      <c r="AM41" s="482">
        <v>37164</v>
      </c>
      <c r="AN41" s="482">
        <v>37256</v>
      </c>
      <c r="AO41" s="481">
        <v>37346</v>
      </c>
      <c r="AP41" s="481">
        <v>37437</v>
      </c>
      <c r="AQ41" s="481">
        <v>37529</v>
      </c>
      <c r="AR41" s="481">
        <v>37621</v>
      </c>
      <c r="AS41" s="481">
        <v>37711</v>
      </c>
      <c r="AT41" s="481">
        <v>37802</v>
      </c>
      <c r="AU41" s="481">
        <v>37894</v>
      </c>
      <c r="AV41" s="481">
        <v>37986</v>
      </c>
      <c r="AW41" s="481">
        <v>38077</v>
      </c>
      <c r="AX41" s="481">
        <v>38168</v>
      </c>
      <c r="AY41" s="481">
        <v>38260</v>
      </c>
      <c r="AZ41" s="481">
        <v>38352</v>
      </c>
      <c r="BA41" s="481">
        <v>38442</v>
      </c>
      <c r="BB41" s="481">
        <v>38533</v>
      </c>
      <c r="BC41" s="481">
        <v>38625</v>
      </c>
      <c r="BD41" s="481">
        <v>38717</v>
      </c>
      <c r="BE41" s="481">
        <v>38807</v>
      </c>
      <c r="BF41" s="481">
        <v>38898</v>
      </c>
      <c r="BG41" s="481">
        <v>38990</v>
      </c>
      <c r="BH41" s="481">
        <v>39082</v>
      </c>
      <c r="BI41" s="481">
        <v>39172</v>
      </c>
      <c r="BJ41" s="481">
        <v>39263</v>
      </c>
      <c r="BK41" s="481">
        <v>39355</v>
      </c>
      <c r="BL41" s="481">
        <v>39447</v>
      </c>
    </row>
    <row r="42" spans="1:64" hidden="1" x14ac:dyDescent="0.25">
      <c r="B42" s="80" t="str">
        <f>D2</f>
        <v>Balance of Payments</v>
      </c>
      <c r="C42" s="483"/>
      <c r="D42" s="484">
        <v>21.762213666649085</v>
      </c>
      <c r="E42" s="484"/>
      <c r="F42" s="484">
        <v>22.090779639881028</v>
      </c>
      <c r="G42" s="484">
        <v>23.307022207680667</v>
      </c>
      <c r="H42" s="484">
        <v>21.262635775726753</v>
      </c>
      <c r="I42" s="484">
        <v>22.735529747857409</v>
      </c>
      <c r="J42" s="484">
        <v>21.723759872910748</v>
      </c>
      <c r="K42" s="484">
        <v>23.324918146395966</v>
      </c>
      <c r="L42" s="484">
        <v>23.240190828546393</v>
      </c>
      <c r="M42" s="484">
        <v>22.575924903368303</v>
      </c>
      <c r="N42" s="484">
        <v>23.626916082099246</v>
      </c>
      <c r="O42" s="484">
        <v>26.79138722202612</v>
      </c>
      <c r="P42" s="484">
        <v>25.692670098338589</v>
      </c>
      <c r="Q42" s="484">
        <v>23.099889580467465</v>
      </c>
      <c r="R42" s="484">
        <v>23.581279806892351</v>
      </c>
      <c r="S42" s="17">
        <v>25.873345031105437</v>
      </c>
      <c r="T42" s="17">
        <v>25.673733279972044</v>
      </c>
      <c r="U42" s="17"/>
      <c r="V42" s="17"/>
      <c r="W42" s="17">
        <v>26.060011010153179</v>
      </c>
      <c r="X42" s="17">
        <v>24.478131479710783</v>
      </c>
      <c r="Y42" s="17">
        <v>27.048504266725882</v>
      </c>
      <c r="Z42" s="17">
        <v>27.031190237921837</v>
      </c>
      <c r="AA42" s="17"/>
      <c r="AB42" s="17">
        <v>23.588547530963488</v>
      </c>
      <c r="AC42" s="17">
        <v>25.194968433682163</v>
      </c>
      <c r="AD42" s="17"/>
      <c r="AE42" s="17"/>
      <c r="AF42" s="17">
        <v>25.582200108490298</v>
      </c>
      <c r="AG42" s="17">
        <v>27.348450223395425</v>
      </c>
      <c r="AH42" s="17">
        <v>26.789343416677369</v>
      </c>
      <c r="AI42" s="17">
        <v>26.96931807252092</v>
      </c>
      <c r="AJ42" s="17">
        <v>30.226819582447639</v>
      </c>
      <c r="AK42" s="17">
        <v>29.555814258542661</v>
      </c>
      <c r="AL42" s="17">
        <v>30.773899246330821</v>
      </c>
      <c r="AM42" s="17">
        <v>28.736241621127917</v>
      </c>
      <c r="AN42" s="17">
        <v>31.392831187609904</v>
      </c>
      <c r="AO42" s="17">
        <v>34.340300696736342</v>
      </c>
      <c r="AP42" s="17">
        <v>33.1040309369344</v>
      </c>
      <c r="AQ42" s="17">
        <v>31.880325077554122</v>
      </c>
      <c r="AR42" s="17">
        <v>32.767555043598399</v>
      </c>
      <c r="AS42" s="17">
        <v>30.200556771518688</v>
      </c>
      <c r="AT42" s="17">
        <v>27.681508120352717</v>
      </c>
      <c r="AU42" s="17">
        <v>27.543296945337119</v>
      </c>
      <c r="AV42" s="17">
        <v>26.932803691047486</v>
      </c>
      <c r="AW42" s="17">
        <v>26.417752942848416</v>
      </c>
      <c r="AX42" s="17">
        <v>26.829758361822449</v>
      </c>
      <c r="AY42" s="17">
        <v>26.261854076630552</v>
      </c>
      <c r="AZ42" s="17">
        <v>27.102701490373697</v>
      </c>
      <c r="BA42" s="17">
        <v>25.780972543794206</v>
      </c>
      <c r="BB42" s="17">
        <v>28.26753310446297</v>
      </c>
      <c r="BC42" s="17">
        <v>27.854661657556896</v>
      </c>
      <c r="BD42" s="17">
        <v>27.916742742377217</v>
      </c>
      <c r="BE42" s="17">
        <v>26.1</v>
      </c>
      <c r="BF42" s="17">
        <v>28.7</v>
      </c>
      <c r="BG42" s="17">
        <v>30.7</v>
      </c>
      <c r="BH42" s="17">
        <v>32.700000000000003</v>
      </c>
      <c r="BI42" s="17">
        <v>31</v>
      </c>
      <c r="BJ42" s="17">
        <v>32.200000000000003</v>
      </c>
      <c r="BK42" s="17">
        <v>31.3</v>
      </c>
      <c r="BL42" s="17">
        <v>32.1</v>
      </c>
    </row>
    <row r="43" spans="1:64" hidden="1" x14ac:dyDescent="0.25">
      <c r="B43" s="80"/>
      <c r="G43" s="426"/>
      <c r="H43" s="426"/>
      <c r="I43" s="426"/>
      <c r="J43" s="426"/>
      <c r="K43" s="426"/>
      <c r="L43" s="426"/>
      <c r="M43" s="426"/>
      <c r="N43" s="426"/>
      <c r="O43" s="426"/>
    </row>
    <row r="44" spans="1:64" hidden="1" x14ac:dyDescent="0.25">
      <c r="B44" s="80"/>
      <c r="G44" s="426"/>
      <c r="H44" s="426"/>
      <c r="I44" s="426"/>
      <c r="J44" s="426"/>
      <c r="K44" s="426"/>
      <c r="L44" s="426"/>
      <c r="M44" s="426"/>
      <c r="N44" s="426"/>
      <c r="O44" s="426"/>
    </row>
    <row r="45" spans="1:64" hidden="1" x14ac:dyDescent="0.25">
      <c r="B45" s="80"/>
      <c r="D45" s="462"/>
      <c r="E45" s="462"/>
      <c r="F45" s="485"/>
      <c r="G45" s="485"/>
      <c r="H45" s="485"/>
      <c r="I45" s="485"/>
      <c r="J45" s="485"/>
      <c r="K45" s="485"/>
      <c r="L45" s="485"/>
      <c r="M45" s="485"/>
      <c r="N45" s="485"/>
      <c r="O45" s="485"/>
      <c r="P45" s="485"/>
      <c r="Q45" s="485"/>
      <c r="R45" s="485"/>
      <c r="S45" s="485"/>
      <c r="T45" s="485"/>
      <c r="U45" s="485"/>
      <c r="V45" s="485"/>
    </row>
    <row r="46" spans="1:64" hidden="1" x14ac:dyDescent="0.25">
      <c r="B46" s="80"/>
      <c r="D46" s="486"/>
      <c r="E46" s="486"/>
      <c r="F46" s="487"/>
      <c r="G46" s="487"/>
      <c r="H46" s="487"/>
      <c r="I46" s="487"/>
      <c r="J46" s="487"/>
      <c r="K46" s="487"/>
      <c r="L46" s="487"/>
      <c r="M46" s="487"/>
      <c r="N46" s="487"/>
      <c r="O46" s="487"/>
      <c r="P46" s="487"/>
      <c r="Q46" s="487"/>
      <c r="R46" s="486"/>
      <c r="S46" s="488"/>
      <c r="T46" s="488"/>
      <c r="U46" s="488"/>
      <c r="V46" s="488"/>
    </row>
    <row r="47" spans="1:64" hidden="1" x14ac:dyDescent="0.25">
      <c r="B47" s="80"/>
      <c r="D47" s="462"/>
      <c r="E47" s="462"/>
      <c r="F47" s="182"/>
      <c r="G47" s="182"/>
      <c r="H47" s="182"/>
      <c r="I47" s="182"/>
      <c r="J47" s="182"/>
      <c r="K47" s="182"/>
      <c r="L47" s="182"/>
      <c r="M47" s="182"/>
      <c r="N47" s="182"/>
      <c r="O47" s="182"/>
      <c r="P47" s="182"/>
      <c r="Q47" s="182"/>
      <c r="R47" s="182"/>
      <c r="S47" s="182"/>
      <c r="T47" s="182"/>
      <c r="U47" s="182"/>
      <c r="V47" s="182"/>
    </row>
    <row r="48" spans="1:64" hidden="1" x14ac:dyDescent="0.25">
      <c r="B48" s="80"/>
      <c r="D48" s="462"/>
      <c r="E48" s="462"/>
      <c r="F48" s="489"/>
      <c r="G48" s="489"/>
      <c r="H48" s="489"/>
      <c r="I48" s="489"/>
      <c r="J48" s="489"/>
      <c r="K48" s="489"/>
      <c r="L48" s="489"/>
      <c r="M48" s="489"/>
      <c r="N48" s="489"/>
      <c r="O48" s="489"/>
      <c r="P48" s="489"/>
      <c r="Q48" s="489"/>
      <c r="R48" s="462"/>
      <c r="S48" s="490"/>
      <c r="T48" s="490"/>
      <c r="U48" s="490"/>
      <c r="V48" s="490"/>
    </row>
    <row r="49" spans="1:32" hidden="1" x14ac:dyDescent="0.25">
      <c r="B49" s="80"/>
      <c r="D49" s="462"/>
      <c r="E49" s="462"/>
      <c r="F49" s="182"/>
      <c r="G49" s="182"/>
      <c r="H49" s="182"/>
      <c r="I49" s="182"/>
      <c r="J49" s="182"/>
      <c r="K49" s="182"/>
      <c r="L49" s="182"/>
      <c r="M49" s="182"/>
      <c r="N49" s="182"/>
      <c r="O49" s="182"/>
      <c r="P49" s="182"/>
      <c r="Q49" s="182"/>
      <c r="R49" s="182"/>
      <c r="S49" s="182"/>
      <c r="T49" s="182"/>
      <c r="U49" s="182"/>
      <c r="V49" s="182"/>
    </row>
    <row r="50" spans="1:32" hidden="1" x14ac:dyDescent="0.25">
      <c r="B50" s="80"/>
      <c r="G50" s="426"/>
      <c r="H50" s="426"/>
      <c r="I50" s="426"/>
      <c r="J50" s="426"/>
      <c r="K50" s="426"/>
      <c r="L50" s="426"/>
      <c r="M50" s="426"/>
      <c r="N50" s="426"/>
      <c r="O50" s="426"/>
    </row>
    <row r="51" spans="1:32" hidden="1" x14ac:dyDescent="0.25">
      <c r="B51" s="437"/>
      <c r="G51" s="426"/>
      <c r="H51" s="426"/>
      <c r="I51" s="426"/>
      <c r="J51" s="426"/>
      <c r="K51" s="426"/>
      <c r="L51" s="426"/>
      <c r="M51" s="426"/>
      <c r="N51" s="426"/>
      <c r="O51" s="426"/>
    </row>
    <row r="52" spans="1:32" hidden="1" x14ac:dyDescent="0.25">
      <c r="B52" s="80"/>
      <c r="G52" s="426"/>
      <c r="H52" s="426"/>
      <c r="I52" s="426"/>
      <c r="J52" s="426"/>
      <c r="K52" s="426"/>
      <c r="L52" s="426"/>
      <c r="M52" s="426"/>
      <c r="N52" s="426"/>
      <c r="O52" s="426"/>
    </row>
    <row r="53" spans="1:32" hidden="1" x14ac:dyDescent="0.25">
      <c r="A53" s="491"/>
      <c r="B53" s="437">
        <v>1992</v>
      </c>
      <c r="C53" s="491">
        <v>1993</v>
      </c>
      <c r="D53" s="473">
        <v>1994</v>
      </c>
      <c r="E53" s="473"/>
      <c r="F53" s="473">
        <v>1995</v>
      </c>
      <c r="G53" s="473">
        <v>1996</v>
      </c>
      <c r="H53" s="473">
        <v>1997</v>
      </c>
      <c r="I53" s="473">
        <v>1998</v>
      </c>
      <c r="J53" s="473">
        <v>1999</v>
      </c>
      <c r="K53" s="473">
        <v>2000</v>
      </c>
      <c r="L53" s="473">
        <v>2001</v>
      </c>
      <c r="M53" s="473">
        <v>2002</v>
      </c>
      <c r="N53" s="473">
        <v>2003</v>
      </c>
      <c r="O53" s="473">
        <v>2004</v>
      </c>
      <c r="P53" s="473">
        <v>2005</v>
      </c>
      <c r="Q53" s="473">
        <v>2006</v>
      </c>
    </row>
    <row r="54" spans="1:32" hidden="1" x14ac:dyDescent="0.25">
      <c r="A54" s="491" t="s">
        <v>459</v>
      </c>
      <c r="B54" s="80">
        <v>160.21498</v>
      </c>
      <c r="C54" s="491">
        <v>176.84388000000001</v>
      </c>
      <c r="D54" s="473">
        <v>181.23876999999999</v>
      </c>
      <c r="E54" s="473"/>
      <c r="F54" s="473">
        <v>201.06291000000002</v>
      </c>
      <c r="G54" s="473">
        <v>215.54748000000001</v>
      </c>
      <c r="H54" s="473">
        <v>226.96107999999998</v>
      </c>
      <c r="I54" s="473">
        <v>234.32900000000001</v>
      </c>
      <c r="J54" s="473">
        <v>237.28399999999999</v>
      </c>
      <c r="K54" s="473">
        <v>257.01100000000002</v>
      </c>
      <c r="L54" s="473">
        <v>263.161</v>
      </c>
      <c r="M54" s="473">
        <v>265.76400000000001</v>
      </c>
      <c r="N54" s="473">
        <v>266.05500000000001</v>
      </c>
      <c r="O54" s="473">
        <v>273.69400000000002</v>
      </c>
      <c r="P54" s="473">
        <v>295.58</v>
      </c>
      <c r="Q54" s="473">
        <v>312.173</v>
      </c>
    </row>
    <row r="55" spans="1:32" hidden="1" x14ac:dyDescent="0.25">
      <c r="A55" s="491" t="s">
        <v>460</v>
      </c>
      <c r="B55" s="437">
        <v>21.34</v>
      </c>
      <c r="C55" s="491">
        <v>22.48</v>
      </c>
      <c r="D55" s="473">
        <v>22.1</v>
      </c>
      <c r="E55" s="473"/>
      <c r="F55" s="473">
        <v>22.77</v>
      </c>
      <c r="G55" s="473">
        <v>24.73</v>
      </c>
      <c r="H55" s="473">
        <v>24.6</v>
      </c>
      <c r="I55" s="473">
        <v>25.65</v>
      </c>
      <c r="J55" s="473">
        <v>25.33</v>
      </c>
      <c r="K55" s="473">
        <v>27.87</v>
      </c>
      <c r="L55" s="473">
        <v>30.13</v>
      </c>
      <c r="M55" s="473">
        <v>32.99</v>
      </c>
      <c r="N55" s="473">
        <v>28.06</v>
      </c>
      <c r="O55" s="473">
        <v>26.71</v>
      </c>
      <c r="P55" s="473">
        <v>27.45</v>
      </c>
      <c r="Q55" s="473">
        <v>29.63</v>
      </c>
    </row>
    <row r="56" spans="1:32" hidden="1" x14ac:dyDescent="0.25">
      <c r="A56" s="491" t="s">
        <v>461</v>
      </c>
      <c r="B56" s="437">
        <v>62.34</v>
      </c>
      <c r="C56" s="491">
        <v>68.81</v>
      </c>
      <c r="D56" s="473">
        <v>70.52</v>
      </c>
      <c r="E56" s="473"/>
      <c r="F56" s="473">
        <v>78.23</v>
      </c>
      <c r="G56" s="473">
        <v>83.87</v>
      </c>
      <c r="H56" s="473">
        <v>87.14</v>
      </c>
      <c r="I56" s="473">
        <v>91.17</v>
      </c>
      <c r="J56" s="473">
        <v>85.65</v>
      </c>
      <c r="K56" s="473">
        <v>100</v>
      </c>
      <c r="L56" s="473">
        <v>102.31</v>
      </c>
      <c r="M56" s="473">
        <v>103.41</v>
      </c>
      <c r="N56" s="473">
        <v>103.52</v>
      </c>
      <c r="O56" s="473">
        <v>106.49</v>
      </c>
      <c r="P56" s="473">
        <v>115.01</v>
      </c>
      <c r="Q56" s="473">
        <v>121.46</v>
      </c>
    </row>
    <row r="57" spans="1:32" hidden="1" x14ac:dyDescent="0.25">
      <c r="B57" s="70"/>
    </row>
    <row r="58" spans="1:32" hidden="1" x14ac:dyDescent="0.25">
      <c r="B58" s="91"/>
    </row>
    <row r="59" spans="1:32" hidden="1" x14ac:dyDescent="0.25">
      <c r="B59" s="70"/>
      <c r="D59" s="474" t="s">
        <v>365</v>
      </c>
      <c r="E59" s="474"/>
      <c r="F59" s="474" t="s">
        <v>462</v>
      </c>
      <c r="G59" s="474"/>
      <c r="H59" s="474"/>
      <c r="I59" s="474"/>
      <c r="J59" s="462"/>
      <c r="K59" s="474"/>
      <c r="L59" s="462"/>
      <c r="M59" s="462"/>
      <c r="N59" s="182"/>
      <c r="O59" s="182"/>
      <c r="P59" s="182"/>
      <c r="Q59" s="182"/>
      <c r="R59" s="182"/>
      <c r="S59" s="182"/>
      <c r="T59" s="182"/>
      <c r="U59" s="182"/>
      <c r="V59" s="182"/>
    </row>
    <row r="60" spans="1:32" hidden="1" x14ac:dyDescent="0.25">
      <c r="B60" s="70"/>
      <c r="D60" s="2810"/>
      <c r="E60" s="2810"/>
      <c r="F60" s="2811">
        <v>2000</v>
      </c>
      <c r="G60" s="2811">
        <v>2001</v>
      </c>
      <c r="H60" s="2811">
        <v>2002</v>
      </c>
      <c r="I60" s="2811">
        <v>2003</v>
      </c>
      <c r="J60" s="2811">
        <v>2004</v>
      </c>
      <c r="K60" s="2811">
        <v>2005</v>
      </c>
      <c r="L60" s="2811">
        <v>2006</v>
      </c>
      <c r="M60" s="2811">
        <v>2007</v>
      </c>
      <c r="N60" s="182"/>
      <c r="O60" s="182"/>
      <c r="P60" s="182"/>
      <c r="Q60" s="182"/>
      <c r="R60" s="182"/>
      <c r="S60" s="182"/>
      <c r="T60" s="182"/>
      <c r="U60" s="182"/>
      <c r="V60" s="182"/>
    </row>
    <row r="61" spans="1:32" hidden="1" x14ac:dyDescent="0.25">
      <c r="D61" s="492" t="s">
        <v>463</v>
      </c>
      <c r="E61" s="492"/>
      <c r="F61" s="493">
        <v>21.062020413209158</v>
      </c>
      <c r="G61" s="493">
        <v>23.191605547805064</v>
      </c>
      <c r="H61" s="493">
        <v>24.780375443120942</v>
      </c>
      <c r="I61" s="493">
        <v>20.570273651079209</v>
      </c>
      <c r="J61" s="493">
        <v>20.197309815539832</v>
      </c>
      <c r="K61" s="493">
        <v>21.097655066262529</v>
      </c>
      <c r="L61" s="493">
        <v>22.918783431482296</v>
      </c>
      <c r="M61" s="493">
        <v>24.867771305796595</v>
      </c>
      <c r="N61" s="182"/>
      <c r="O61" s="182"/>
      <c r="P61" s="182"/>
      <c r="Q61" s="182"/>
      <c r="R61" s="182"/>
      <c r="S61" s="182"/>
      <c r="T61" s="182"/>
      <c r="U61" s="182"/>
      <c r="V61" s="182"/>
    </row>
    <row r="62" spans="1:32" hidden="1" x14ac:dyDescent="0.25">
      <c r="D62" s="492" t="s">
        <v>464</v>
      </c>
      <c r="E62" s="492"/>
      <c r="F62" s="493">
        <v>3.0188212738085425</v>
      </c>
      <c r="G62" s="493">
        <v>2.8701763811424823</v>
      </c>
      <c r="H62" s="493">
        <v>3.7343233801004363</v>
      </c>
      <c r="I62" s="493">
        <v>2.5466945560893888</v>
      </c>
      <c r="J62" s="493">
        <v>2.0566602812589356</v>
      </c>
      <c r="K62" s="493">
        <v>1.7535253171990575</v>
      </c>
      <c r="L62" s="493">
        <v>2.0372634847371804</v>
      </c>
      <c r="M62" s="493">
        <v>2.0010090807234486</v>
      </c>
      <c r="N62" s="182"/>
      <c r="O62" s="182"/>
      <c r="P62" s="182"/>
      <c r="Q62" s="182"/>
      <c r="R62" s="182"/>
      <c r="S62" s="182"/>
      <c r="T62" s="182"/>
      <c r="U62" s="182"/>
      <c r="V62" s="182"/>
      <c r="AF62" s="459" t="s">
        <v>358</v>
      </c>
    </row>
    <row r="63" spans="1:32" hidden="1" x14ac:dyDescent="0.25">
      <c r="D63" s="492" t="s">
        <v>465</v>
      </c>
      <c r="E63" s="492"/>
      <c r="F63" s="493">
        <v>24.080841687017699</v>
      </c>
      <c r="G63" s="493">
        <v>26.061781928947546</v>
      </c>
      <c r="H63" s="493">
        <v>28.51469882322138</v>
      </c>
      <c r="I63" s="493">
        <v>23.116968207168597</v>
      </c>
      <c r="J63" s="493">
        <v>22.253970096798767</v>
      </c>
      <c r="K63" s="493">
        <v>22.851180383461585</v>
      </c>
      <c r="L63" s="493">
        <v>24.956046916219478</v>
      </c>
      <c r="M63" s="493">
        <v>26.868780386520044</v>
      </c>
      <c r="N63" s="182"/>
      <c r="O63" s="182"/>
      <c r="P63" s="182"/>
      <c r="Q63" s="182"/>
      <c r="R63" s="182"/>
      <c r="S63" s="182"/>
      <c r="T63" s="182"/>
      <c r="U63" s="182"/>
      <c r="V63" s="182"/>
    </row>
    <row r="64" spans="1:32" hidden="1" x14ac:dyDescent="0.25">
      <c r="D64" s="492" t="s">
        <v>466</v>
      </c>
      <c r="E64" s="492"/>
      <c r="F64" s="493">
        <v>20.540195283186648</v>
      </c>
      <c r="G64" s="493">
        <v>21.689557032451738</v>
      </c>
      <c r="H64" s="493">
        <v>24.215302657057119</v>
      </c>
      <c r="I64" s="493">
        <v>21.000513209798104</v>
      </c>
      <c r="J64" s="493">
        <v>22.342405485574066</v>
      </c>
      <c r="K64" s="493">
        <v>23.264335684301852</v>
      </c>
      <c r="L64" s="493">
        <v>27.370953688584144</v>
      </c>
      <c r="M64" s="493">
        <v>28.88598892418554</v>
      </c>
      <c r="N64" s="182"/>
      <c r="O64" s="182"/>
      <c r="P64" s="182"/>
      <c r="Q64" s="182"/>
      <c r="R64" s="182"/>
      <c r="S64" s="182"/>
      <c r="T64" s="182"/>
      <c r="U64" s="182"/>
      <c r="V64" s="182"/>
    </row>
    <row r="65" spans="2:22" hidden="1" x14ac:dyDescent="0.25">
      <c r="D65" s="492" t="s">
        <v>454</v>
      </c>
      <c r="E65" s="492"/>
      <c r="F65" s="493">
        <v>3.540646403831051</v>
      </c>
      <c r="G65" s="493">
        <v>4.3722248964958084</v>
      </c>
      <c r="H65" s="493">
        <v>4.2993961661642608</v>
      </c>
      <c r="I65" s="493">
        <v>2.1164549973704929</v>
      </c>
      <c r="J65" s="493">
        <v>-8.8435388775298662E-2</v>
      </c>
      <c r="K65" s="493">
        <v>-0.41315530084026619</v>
      </c>
      <c r="L65" s="493">
        <v>-2.4149067723646667</v>
      </c>
      <c r="M65" s="493">
        <v>-2.0172085376654962</v>
      </c>
      <c r="N65" s="182"/>
      <c r="O65" s="182"/>
      <c r="P65" s="182"/>
      <c r="Q65" s="182"/>
      <c r="R65" s="182"/>
      <c r="S65" s="182"/>
      <c r="T65" s="182"/>
      <c r="U65" s="182"/>
      <c r="V65" s="182"/>
    </row>
    <row r="66" spans="2:22" hidden="1" x14ac:dyDescent="0.25">
      <c r="D66" s="492" t="s">
        <v>467</v>
      </c>
      <c r="E66" s="492"/>
      <c r="F66" s="493">
        <v>-0.58515552817985828</v>
      </c>
      <c r="G66" s="493">
        <v>-0.32303699876569475</v>
      </c>
      <c r="H66" s="493">
        <v>-0.45554929027919078</v>
      </c>
      <c r="I66" s="493">
        <v>0.15919815530029913</v>
      </c>
      <c r="J66" s="493">
        <v>-0.30250062886591289</v>
      </c>
      <c r="K66" s="493">
        <v>-0.42100700358907173</v>
      </c>
      <c r="L66" s="493">
        <v>-0.89922179636440092</v>
      </c>
      <c r="M66" s="493">
        <v>-1.0803483033701891</v>
      </c>
      <c r="N66" s="182"/>
      <c r="O66" s="182"/>
      <c r="P66" s="182"/>
      <c r="Q66" s="182"/>
      <c r="R66" s="182"/>
      <c r="S66" s="182"/>
      <c r="T66" s="182"/>
      <c r="U66" s="182"/>
      <c r="V66" s="182"/>
    </row>
    <row r="67" spans="2:22" hidden="1" x14ac:dyDescent="0.25">
      <c r="D67" s="492" t="s">
        <v>468</v>
      </c>
      <c r="E67" s="492"/>
      <c r="F67" s="493">
        <v>-2.3883367962626392</v>
      </c>
      <c r="G67" s="493">
        <v>-3.1544881554734427</v>
      </c>
      <c r="H67" s="493">
        <v>-2.5156177938031949</v>
      </c>
      <c r="I67" s="493">
        <v>-2.7660183724348433</v>
      </c>
      <c r="J67" s="493">
        <v>-1.9958878260875796</v>
      </c>
      <c r="K67" s="493">
        <v>-2.0391715610028638</v>
      </c>
      <c r="L67" s="493">
        <v>-2.0534030685886364</v>
      </c>
      <c r="M67" s="493">
        <v>-3.1325637170280869</v>
      </c>
      <c r="N67" s="182"/>
      <c r="O67" s="182"/>
      <c r="P67" s="182"/>
      <c r="Q67" s="182"/>
      <c r="R67" s="182"/>
      <c r="S67" s="182"/>
      <c r="T67" s="182"/>
      <c r="U67" s="182"/>
      <c r="V67" s="182"/>
    </row>
    <row r="68" spans="2:22" hidden="1" x14ac:dyDescent="0.25">
      <c r="D68" s="492" t="s">
        <v>469</v>
      </c>
      <c r="E68" s="492"/>
      <c r="F68" s="493">
        <v>0.56715407938855344</v>
      </c>
      <c r="G68" s="493">
        <v>0.89469974225667048</v>
      </c>
      <c r="H68" s="493">
        <v>1.328229082081875</v>
      </c>
      <c r="I68" s="493">
        <v>-0.49036521976405112</v>
      </c>
      <c r="J68" s="493">
        <v>-2.3868238437287914</v>
      </c>
      <c r="K68" s="493">
        <v>-2.8733338654322016</v>
      </c>
      <c r="L68" s="493">
        <v>-5.367531637317704</v>
      </c>
      <c r="M68" s="493">
        <v>-6.2301205580637724</v>
      </c>
      <c r="N68" s="182"/>
      <c r="O68" s="182"/>
      <c r="P68" s="182"/>
      <c r="Q68" s="182"/>
      <c r="R68" s="182"/>
      <c r="S68" s="182"/>
      <c r="T68" s="182"/>
      <c r="U68" s="182"/>
      <c r="V68" s="182"/>
    </row>
    <row r="69" spans="2:22" hidden="1" x14ac:dyDescent="0.25">
      <c r="D69" s="492" t="s">
        <v>470</v>
      </c>
      <c r="E69" s="492"/>
      <c r="F69" s="493">
        <v>-0.69641749480560611</v>
      </c>
      <c r="G69" s="493">
        <v>-0.61342716275476539</v>
      </c>
      <c r="H69" s="493">
        <v>-0.50004321044169631</v>
      </c>
      <c r="I69" s="493">
        <v>-0.59316582228980419</v>
      </c>
      <c r="J69" s="493">
        <v>-0.81168493781931506</v>
      </c>
      <c r="K69" s="493">
        <v>-1.1614679958755849</v>
      </c>
      <c r="L69" s="493">
        <v>-1.0852003462256634</v>
      </c>
      <c r="M69" s="493">
        <v>-1.0428839246218706</v>
      </c>
      <c r="N69" s="182"/>
      <c r="O69" s="182"/>
      <c r="P69" s="182"/>
      <c r="Q69" s="182"/>
      <c r="R69" s="182"/>
      <c r="S69" s="182"/>
      <c r="T69" s="182"/>
      <c r="U69" s="182"/>
      <c r="V69" s="182"/>
    </row>
    <row r="70" spans="2:22" hidden="1" x14ac:dyDescent="0.25">
      <c r="D70" s="494" t="s">
        <v>471</v>
      </c>
      <c r="E70" s="494"/>
      <c r="F70" s="495">
        <v>-0.12926341541705266</v>
      </c>
      <c r="G70" s="495">
        <v>0.2812725795019051</v>
      </c>
      <c r="H70" s="495">
        <v>0.82818587164017865</v>
      </c>
      <c r="I70" s="495">
        <v>-1.0835310420538553</v>
      </c>
      <c r="J70" s="495">
        <v>-3.1985087815481066</v>
      </c>
      <c r="K70" s="495">
        <v>-4.0348018613077867</v>
      </c>
      <c r="L70" s="495">
        <v>-6.4527319835433676</v>
      </c>
      <c r="M70" s="495">
        <v>-7.2730044826856428</v>
      </c>
      <c r="N70" s="182"/>
      <c r="O70" s="182"/>
      <c r="P70" s="182"/>
      <c r="Q70" s="182"/>
      <c r="R70" s="182"/>
      <c r="S70" s="182"/>
      <c r="T70" s="182"/>
      <c r="U70" s="182"/>
      <c r="V70" s="182"/>
    </row>
    <row r="71" spans="2:22" hidden="1" x14ac:dyDescent="0.25"/>
    <row r="72" spans="2:22" hidden="1" x14ac:dyDescent="0.25"/>
    <row r="73" spans="2:22" hidden="1" x14ac:dyDescent="0.25"/>
    <row r="74" spans="2:22" hidden="1" x14ac:dyDescent="0.25">
      <c r="C74" s="491">
        <v>1992</v>
      </c>
      <c r="D74" s="473">
        <v>1993</v>
      </c>
      <c r="E74" s="473"/>
      <c r="F74" s="473">
        <v>1994</v>
      </c>
      <c r="G74" s="473">
        <v>1995</v>
      </c>
      <c r="H74" s="473">
        <v>1996</v>
      </c>
      <c r="I74" s="473">
        <v>1997</v>
      </c>
      <c r="J74" s="473">
        <v>1998</v>
      </c>
      <c r="K74" s="473">
        <v>1999</v>
      </c>
      <c r="L74" s="473">
        <v>2000</v>
      </c>
      <c r="M74" s="473">
        <v>2001</v>
      </c>
      <c r="N74" s="473">
        <v>2002</v>
      </c>
      <c r="O74" s="473">
        <v>2003</v>
      </c>
      <c r="P74" s="473">
        <v>2004</v>
      </c>
      <c r="Q74" s="473">
        <v>2005</v>
      </c>
      <c r="R74" s="473">
        <v>2006</v>
      </c>
    </row>
    <row r="75" spans="2:22" hidden="1" x14ac:dyDescent="0.25">
      <c r="B75" s="66" t="s">
        <v>472</v>
      </c>
      <c r="C75" s="491">
        <v>21.34</v>
      </c>
      <c r="D75" s="473">
        <v>22.48</v>
      </c>
      <c r="E75" s="473"/>
      <c r="F75" s="473">
        <v>22.1</v>
      </c>
      <c r="G75" s="473">
        <v>22.77</v>
      </c>
      <c r="H75" s="473">
        <v>24.73</v>
      </c>
      <c r="I75" s="473">
        <v>24.6</v>
      </c>
      <c r="J75" s="473">
        <v>25.65</v>
      </c>
      <c r="K75" s="473">
        <v>25.33</v>
      </c>
      <c r="L75" s="473">
        <v>27.87</v>
      </c>
      <c r="M75" s="473">
        <v>30.13</v>
      </c>
      <c r="N75" s="473">
        <v>32.99</v>
      </c>
      <c r="O75" s="473">
        <v>28.06</v>
      </c>
      <c r="P75" s="473">
        <v>26.71</v>
      </c>
      <c r="Q75" s="473">
        <v>27.45</v>
      </c>
      <c r="R75" s="473">
        <v>29.63</v>
      </c>
    </row>
    <row r="76" spans="2:22" hidden="1" x14ac:dyDescent="0.25">
      <c r="B76" s="66" t="s">
        <v>473</v>
      </c>
      <c r="C76" s="491">
        <v>1.5</v>
      </c>
      <c r="D76" s="473">
        <v>2.13</v>
      </c>
      <c r="E76" s="473"/>
      <c r="F76" s="473">
        <v>0.01</v>
      </c>
      <c r="G76" s="473">
        <v>-1.65</v>
      </c>
      <c r="H76" s="473">
        <v>-1.1499999999999999</v>
      </c>
      <c r="I76" s="473">
        <v>-1.49</v>
      </c>
      <c r="J76" s="473">
        <v>-1.76</v>
      </c>
      <c r="K76" s="473">
        <v>-0.51</v>
      </c>
      <c r="L76" s="473">
        <v>-0.13</v>
      </c>
      <c r="M76" s="473">
        <v>0.28000000000000003</v>
      </c>
      <c r="N76" s="473">
        <v>0.83</v>
      </c>
      <c r="O76" s="473">
        <v>-1.08</v>
      </c>
      <c r="P76" s="473">
        <v>-3.2</v>
      </c>
      <c r="Q76" s="473">
        <v>-4.03</v>
      </c>
      <c r="R76" s="473">
        <v>-6.45</v>
      </c>
    </row>
    <row r="77" spans="2:22" hidden="1" x14ac:dyDescent="0.25">
      <c r="B77" s="66" t="s">
        <v>474</v>
      </c>
      <c r="C77" s="496">
        <v>2.8516000000000004</v>
      </c>
      <c r="D77" s="497">
        <v>3.2667000000000002</v>
      </c>
      <c r="E77" s="497"/>
      <c r="F77" s="497">
        <v>3.5497000000000001</v>
      </c>
      <c r="G77" s="497">
        <v>3.6269999999999998</v>
      </c>
      <c r="H77" s="497">
        <v>4.2964000000000002</v>
      </c>
      <c r="I77" s="497">
        <v>4.6073000000000004</v>
      </c>
      <c r="J77" s="497">
        <v>5.5316000000000001</v>
      </c>
      <c r="K77" s="497">
        <v>6.1130999999999993</v>
      </c>
      <c r="L77" s="497">
        <v>6.9352999999999998</v>
      </c>
      <c r="M77" s="497">
        <v>8.6030999999999995</v>
      </c>
      <c r="N77" s="497">
        <v>10.516500000000001</v>
      </c>
      <c r="O77" s="497">
        <v>7.5647000000000002</v>
      </c>
      <c r="P77" s="497">
        <v>6.4499000000000004</v>
      </c>
      <c r="Q77" s="497">
        <v>6.3623000000000003</v>
      </c>
      <c r="R77" s="497">
        <v>6.7671999999999999</v>
      </c>
    </row>
    <row r="78" spans="2:22" hidden="1" x14ac:dyDescent="0.25"/>
    <row r="79" spans="2:22" hidden="1" x14ac:dyDescent="0.25">
      <c r="B79" s="66" t="s">
        <v>474</v>
      </c>
    </row>
    <row r="80" spans="2:22" hidden="1" x14ac:dyDescent="0.25">
      <c r="B80" s="66">
        <v>2.8516000000000004</v>
      </c>
    </row>
    <row r="81" spans="2:24" hidden="1" x14ac:dyDescent="0.25">
      <c r="B81" s="66">
        <v>3.2667000000000002</v>
      </c>
    </row>
    <row r="82" spans="2:24" hidden="1" x14ac:dyDescent="0.25">
      <c r="B82" s="66">
        <v>3.5497000000000001</v>
      </c>
    </row>
    <row r="83" spans="2:24" hidden="1" x14ac:dyDescent="0.25">
      <c r="B83" s="66">
        <v>3.6269999999999998</v>
      </c>
    </row>
    <row r="84" spans="2:24" hidden="1" x14ac:dyDescent="0.25">
      <c r="B84" s="66">
        <v>4.2964000000000002</v>
      </c>
    </row>
    <row r="85" spans="2:24" hidden="1" x14ac:dyDescent="0.25">
      <c r="B85" s="66">
        <v>4.6073000000000004</v>
      </c>
    </row>
    <row r="86" spans="2:24" hidden="1" x14ac:dyDescent="0.25">
      <c r="B86" s="66">
        <v>5.5316000000000001</v>
      </c>
    </row>
    <row r="87" spans="2:24" hidden="1" x14ac:dyDescent="0.25">
      <c r="B87" s="66">
        <v>6.1130999999999993</v>
      </c>
    </row>
    <row r="88" spans="2:24" hidden="1" x14ac:dyDescent="0.25">
      <c r="B88" s="66">
        <v>6.9352999999999998</v>
      </c>
    </row>
    <row r="89" spans="2:24" hidden="1" x14ac:dyDescent="0.25">
      <c r="B89" s="66">
        <v>8.6030999999999995</v>
      </c>
    </row>
    <row r="90" spans="2:24" hidden="1" x14ac:dyDescent="0.25">
      <c r="B90" s="66">
        <v>10.516500000000001</v>
      </c>
      <c r="X90" s="459" t="s">
        <v>85</v>
      </c>
    </row>
    <row r="91" spans="2:24" hidden="1" x14ac:dyDescent="0.25">
      <c r="B91" s="66">
        <v>7.5647000000000002</v>
      </c>
      <c r="X91" s="459" t="s">
        <v>475</v>
      </c>
    </row>
    <row r="92" spans="2:24" hidden="1" x14ac:dyDescent="0.25">
      <c r="B92" s="66">
        <v>6.4499000000000004</v>
      </c>
    </row>
    <row r="93" spans="2:24" hidden="1" x14ac:dyDescent="0.25">
      <c r="B93" s="66">
        <v>6.3623000000000003</v>
      </c>
    </row>
    <row r="94" spans="2:24" hidden="1" x14ac:dyDescent="0.25">
      <c r="B94" s="66">
        <v>6.7671999999999999</v>
      </c>
    </row>
    <row r="95" spans="2:24" hidden="1" x14ac:dyDescent="0.25"/>
    <row r="96" spans="2:24"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spans="3:111" hidden="1" x14ac:dyDescent="0.25"/>
    <row r="114" spans="3:111" hidden="1" x14ac:dyDescent="0.25"/>
    <row r="115" spans="3:111" hidden="1" x14ac:dyDescent="0.25"/>
    <row r="116" spans="3:111" hidden="1" x14ac:dyDescent="0.25"/>
    <row r="117" spans="3:111" hidden="1" x14ac:dyDescent="0.25"/>
    <row r="118" spans="3:111" hidden="1" x14ac:dyDescent="0.25"/>
    <row r="119" spans="3:111" hidden="1" x14ac:dyDescent="0.25"/>
    <row r="121" spans="3:111" ht="7.5" customHeight="1" x14ac:dyDescent="0.25"/>
    <row r="122" spans="3:111" x14ac:dyDescent="0.25">
      <c r="C122" s="473"/>
      <c r="D122" s="498"/>
      <c r="E122" s="498"/>
      <c r="F122" s="4684">
        <v>1990</v>
      </c>
      <c r="G122" s="4684"/>
      <c r="H122" s="4684"/>
      <c r="I122" s="4684"/>
      <c r="J122" s="4684">
        <v>1991</v>
      </c>
      <c r="K122" s="4684"/>
      <c r="L122" s="4684"/>
      <c r="M122" s="4684"/>
      <c r="N122" s="4684">
        <v>1992</v>
      </c>
      <c r="O122" s="4684"/>
      <c r="P122" s="4684"/>
      <c r="Q122" s="4684"/>
      <c r="R122" s="4684">
        <v>1993</v>
      </c>
      <c r="S122" s="4684"/>
      <c r="T122" s="4684"/>
      <c r="U122" s="4684"/>
      <c r="V122" s="4684">
        <v>1994</v>
      </c>
      <c r="W122" s="4684"/>
      <c r="X122" s="4684"/>
      <c r="Y122" s="4684"/>
      <c r="Z122" s="4684">
        <v>1995</v>
      </c>
      <c r="AA122" s="4684"/>
      <c r="AB122" s="4684"/>
      <c r="AC122" s="4684"/>
      <c r="AD122" s="2798"/>
      <c r="AE122" s="2798"/>
      <c r="AF122" s="4684">
        <v>1996</v>
      </c>
      <c r="AG122" s="4684"/>
      <c r="AH122" s="4684"/>
      <c r="AI122" s="4684"/>
      <c r="AJ122" s="4684">
        <v>1997</v>
      </c>
      <c r="AK122" s="4684"/>
      <c r="AL122" s="4684"/>
      <c r="AM122" s="4684"/>
      <c r="AN122" s="4684">
        <v>1998</v>
      </c>
      <c r="AO122" s="4684"/>
      <c r="AP122" s="4684"/>
      <c r="AQ122" s="4684"/>
      <c r="AR122" s="4684">
        <v>1999</v>
      </c>
      <c r="AS122" s="4684"/>
      <c r="AT122" s="4684"/>
      <c r="AU122" s="4684"/>
      <c r="AV122" s="4684">
        <v>2000</v>
      </c>
      <c r="AW122" s="4684"/>
      <c r="AX122" s="4684"/>
      <c r="AY122" s="4684"/>
      <c r="AZ122" s="4684">
        <v>2001</v>
      </c>
      <c r="BA122" s="4684"/>
      <c r="BB122" s="4684"/>
      <c r="BC122" s="4684"/>
      <c r="BD122" s="4684">
        <v>2002</v>
      </c>
      <c r="BE122" s="4684"/>
      <c r="BF122" s="4684"/>
      <c r="BG122" s="4684"/>
      <c r="BH122" s="4684">
        <v>2003</v>
      </c>
      <c r="BI122" s="4684"/>
      <c r="BJ122" s="4684"/>
      <c r="BK122" s="4684"/>
      <c r="BL122" s="4684">
        <v>2004</v>
      </c>
      <c r="BM122" s="4684"/>
      <c r="BN122" s="4684"/>
      <c r="BO122" s="4684"/>
      <c r="BP122" s="4684">
        <v>2005</v>
      </c>
      <c r="BQ122" s="4684"/>
      <c r="BR122" s="4684"/>
      <c r="BS122" s="4684"/>
      <c r="BT122" s="4684">
        <v>2006</v>
      </c>
      <c r="BU122" s="4684"/>
      <c r="BV122" s="4684"/>
      <c r="BW122" s="4684"/>
      <c r="BX122" s="4684">
        <v>2007</v>
      </c>
      <c r="BY122" s="4684"/>
      <c r="BZ122" s="4684"/>
      <c r="CA122" s="4684"/>
      <c r="CB122" s="4684">
        <v>2008</v>
      </c>
      <c r="CC122" s="4684"/>
      <c r="CD122" s="4684"/>
      <c r="CE122" s="4684"/>
      <c r="CF122" s="4684">
        <v>2009</v>
      </c>
      <c r="CG122" s="4684"/>
      <c r="CH122" s="4684"/>
      <c r="CI122" s="4684"/>
      <c r="CJ122" s="4684">
        <v>2010</v>
      </c>
      <c r="CK122" s="4684"/>
      <c r="CL122" s="4684"/>
      <c r="CM122" s="4684"/>
      <c r="CN122" s="4684">
        <v>2011</v>
      </c>
      <c r="CO122" s="4684"/>
      <c r="CP122" s="4684"/>
      <c r="CQ122" s="4684"/>
      <c r="CR122" s="4684">
        <v>2012</v>
      </c>
      <c r="CS122" s="4684"/>
      <c r="CT122" s="4684"/>
      <c r="CU122" s="4684"/>
      <c r="CV122" s="4684">
        <v>2013</v>
      </c>
      <c r="CW122" s="4684"/>
      <c r="CX122" s="4684"/>
      <c r="CY122" s="4684"/>
      <c r="CZ122" s="4713">
        <v>2014</v>
      </c>
      <c r="DA122" s="4714"/>
      <c r="DB122" s="4714"/>
      <c r="DC122" s="499"/>
      <c r="DD122" s="4715">
        <v>2015</v>
      </c>
      <c r="DE122" s="4716"/>
      <c r="DF122" s="4716"/>
      <c r="DG122" s="500"/>
    </row>
    <row r="123" spans="3:111" x14ac:dyDescent="0.25">
      <c r="C123" s="473"/>
      <c r="D123" s="473"/>
      <c r="E123" s="473"/>
      <c r="F123" s="501" t="s">
        <v>357</v>
      </c>
      <c r="G123" s="501" t="s">
        <v>358</v>
      </c>
      <c r="H123" s="501" t="s">
        <v>359</v>
      </c>
      <c r="I123" s="3377" t="s">
        <v>360</v>
      </c>
      <c r="J123" s="501" t="s">
        <v>357</v>
      </c>
      <c r="K123" s="501" t="s">
        <v>358</v>
      </c>
      <c r="L123" s="501" t="s">
        <v>359</v>
      </c>
      <c r="M123" s="3377" t="s">
        <v>360</v>
      </c>
      <c r="N123" s="501" t="s">
        <v>357</v>
      </c>
      <c r="O123" s="501" t="s">
        <v>358</v>
      </c>
      <c r="P123" s="501" t="s">
        <v>359</v>
      </c>
      <c r="Q123" s="3377" t="s">
        <v>360</v>
      </c>
      <c r="R123" s="501" t="s">
        <v>357</v>
      </c>
      <c r="S123" s="501" t="s">
        <v>358</v>
      </c>
      <c r="T123" s="501" t="s">
        <v>359</v>
      </c>
      <c r="U123" s="3377" t="s">
        <v>360</v>
      </c>
      <c r="V123" s="501" t="s">
        <v>357</v>
      </c>
      <c r="W123" s="501" t="s">
        <v>358</v>
      </c>
      <c r="X123" s="501" t="s">
        <v>359</v>
      </c>
      <c r="Y123" s="3377" t="s">
        <v>360</v>
      </c>
      <c r="Z123" s="501" t="s">
        <v>357</v>
      </c>
      <c r="AA123" s="501" t="s">
        <v>358</v>
      </c>
      <c r="AB123" s="501" t="s">
        <v>359</v>
      </c>
      <c r="AC123" s="3377" t="s">
        <v>360</v>
      </c>
      <c r="AD123" s="885"/>
      <c r="AE123" s="885"/>
      <c r="AF123" s="501" t="s">
        <v>357</v>
      </c>
      <c r="AG123" s="501" t="s">
        <v>358</v>
      </c>
      <c r="AH123" s="501" t="s">
        <v>359</v>
      </c>
      <c r="AI123" s="3377" t="s">
        <v>360</v>
      </c>
      <c r="AJ123" s="501" t="s">
        <v>357</v>
      </c>
      <c r="AK123" s="501" t="s">
        <v>358</v>
      </c>
      <c r="AL123" s="501" t="s">
        <v>359</v>
      </c>
      <c r="AM123" s="3377" t="s">
        <v>360</v>
      </c>
      <c r="AN123" s="501" t="s">
        <v>357</v>
      </c>
      <c r="AO123" s="501" t="s">
        <v>358</v>
      </c>
      <c r="AP123" s="501" t="s">
        <v>359</v>
      </c>
      <c r="AQ123" s="3377" t="s">
        <v>360</v>
      </c>
      <c r="AR123" s="501" t="s">
        <v>357</v>
      </c>
      <c r="AS123" s="501" t="s">
        <v>358</v>
      </c>
      <c r="AT123" s="501" t="s">
        <v>359</v>
      </c>
      <c r="AU123" s="3377" t="s">
        <v>360</v>
      </c>
      <c r="AV123" s="501" t="s">
        <v>357</v>
      </c>
      <c r="AW123" s="501" t="s">
        <v>358</v>
      </c>
      <c r="AX123" s="501" t="s">
        <v>359</v>
      </c>
      <c r="AY123" s="3377" t="s">
        <v>360</v>
      </c>
      <c r="AZ123" s="501" t="s">
        <v>357</v>
      </c>
      <c r="BA123" s="501" t="s">
        <v>358</v>
      </c>
      <c r="BB123" s="501" t="s">
        <v>359</v>
      </c>
      <c r="BC123" s="3377" t="s">
        <v>360</v>
      </c>
      <c r="BD123" s="501" t="s">
        <v>357</v>
      </c>
      <c r="BE123" s="501" t="s">
        <v>358</v>
      </c>
      <c r="BF123" s="501" t="s">
        <v>359</v>
      </c>
      <c r="BG123" s="3377" t="s">
        <v>360</v>
      </c>
      <c r="BH123" s="501" t="s">
        <v>357</v>
      </c>
      <c r="BI123" s="501" t="s">
        <v>358</v>
      </c>
      <c r="BJ123" s="501" t="s">
        <v>359</v>
      </c>
      <c r="BK123" s="3377" t="s">
        <v>360</v>
      </c>
      <c r="BL123" s="501" t="s">
        <v>357</v>
      </c>
      <c r="BM123" s="501" t="s">
        <v>358</v>
      </c>
      <c r="BN123" s="501" t="s">
        <v>359</v>
      </c>
      <c r="BO123" s="3377" t="s">
        <v>360</v>
      </c>
      <c r="BP123" s="501" t="s">
        <v>357</v>
      </c>
      <c r="BQ123" s="501" t="s">
        <v>358</v>
      </c>
      <c r="BR123" s="501" t="s">
        <v>359</v>
      </c>
      <c r="BS123" s="3377" t="s">
        <v>360</v>
      </c>
      <c r="BT123" s="501" t="s">
        <v>357</v>
      </c>
      <c r="BU123" s="501" t="s">
        <v>358</v>
      </c>
      <c r="BV123" s="501" t="s">
        <v>359</v>
      </c>
      <c r="BW123" s="3377" t="s">
        <v>360</v>
      </c>
      <c r="BX123" s="501" t="s">
        <v>357</v>
      </c>
      <c r="BY123" s="501" t="s">
        <v>358</v>
      </c>
      <c r="BZ123" s="501" t="s">
        <v>359</v>
      </c>
      <c r="CA123" s="3377" t="s">
        <v>360</v>
      </c>
      <c r="CB123" s="501" t="s">
        <v>357</v>
      </c>
      <c r="CC123" s="501" t="s">
        <v>358</v>
      </c>
      <c r="CD123" s="501" t="s">
        <v>359</v>
      </c>
      <c r="CE123" s="3377" t="s">
        <v>360</v>
      </c>
      <c r="CF123" s="501" t="s">
        <v>357</v>
      </c>
      <c r="CG123" s="501" t="s">
        <v>358</v>
      </c>
      <c r="CH123" s="501" t="s">
        <v>359</v>
      </c>
      <c r="CI123" s="3377" t="s">
        <v>360</v>
      </c>
      <c r="CJ123" s="501" t="s">
        <v>357</v>
      </c>
      <c r="CK123" s="501" t="s">
        <v>358</v>
      </c>
      <c r="CL123" s="501" t="s">
        <v>359</v>
      </c>
      <c r="CM123" s="3377" t="s">
        <v>360</v>
      </c>
      <c r="CN123" s="501" t="s">
        <v>357</v>
      </c>
      <c r="CO123" s="501" t="s">
        <v>358</v>
      </c>
      <c r="CP123" s="501" t="s">
        <v>359</v>
      </c>
      <c r="CQ123" s="3377" t="s">
        <v>360</v>
      </c>
      <c r="CR123" s="501" t="s">
        <v>357</v>
      </c>
      <c r="CS123" s="501" t="s">
        <v>358</v>
      </c>
      <c r="CT123" s="501" t="s">
        <v>359</v>
      </c>
      <c r="CU123" s="3377" t="s">
        <v>360</v>
      </c>
      <c r="CV123" s="501" t="s">
        <v>357</v>
      </c>
      <c r="CW123" s="501" t="s">
        <v>358</v>
      </c>
      <c r="CX123" s="501" t="s">
        <v>359</v>
      </c>
      <c r="CY123" s="3377" t="s">
        <v>360</v>
      </c>
      <c r="CZ123" s="501" t="s">
        <v>357</v>
      </c>
      <c r="DA123" s="501" t="s">
        <v>358</v>
      </c>
      <c r="DB123" s="501" t="s">
        <v>359</v>
      </c>
      <c r="DC123" s="3377" t="s">
        <v>360</v>
      </c>
      <c r="DD123" s="502" t="s">
        <v>357</v>
      </c>
      <c r="DE123" s="502" t="s">
        <v>358</v>
      </c>
      <c r="DF123" s="502" t="s">
        <v>359</v>
      </c>
      <c r="DG123" s="3378" t="s">
        <v>360</v>
      </c>
    </row>
    <row r="124" spans="3:111" x14ac:dyDescent="0.25">
      <c r="C124" s="473"/>
      <c r="D124" s="473" t="s">
        <v>476</v>
      </c>
      <c r="E124" s="473"/>
      <c r="F124" s="503">
        <v>15.631122502721112</v>
      </c>
      <c r="G124" s="503">
        <v>15.04714071133523</v>
      </c>
      <c r="H124" s="503">
        <v>15.380606000626784</v>
      </c>
      <c r="I124" s="503">
        <v>13.821185466475505</v>
      </c>
      <c r="J124" s="503">
        <v>14.422118948755871</v>
      </c>
      <c r="K124" s="503">
        <v>14.038318063803754</v>
      </c>
      <c r="L124" s="503">
        <v>14.128463389873042</v>
      </c>
      <c r="M124" s="503">
        <v>12.962155405874592</v>
      </c>
      <c r="N124" s="503">
        <v>13.59534198815466</v>
      </c>
      <c r="O124" s="503">
        <v>12.864359125061553</v>
      </c>
      <c r="P124" s="503">
        <v>14.243341858306161</v>
      </c>
      <c r="Q124" s="503">
        <v>13.467086578046414</v>
      </c>
      <c r="R124" s="503">
        <v>13.581500769520735</v>
      </c>
      <c r="S124" s="503">
        <v>12.987691350515608</v>
      </c>
      <c r="T124" s="503">
        <v>14.152347994044506</v>
      </c>
      <c r="U124" s="503">
        <v>14.367715105722487</v>
      </c>
      <c r="V124" s="503">
        <v>14.263418577950587</v>
      </c>
      <c r="W124" s="503">
        <v>14.746592888615636</v>
      </c>
      <c r="X124" s="503">
        <v>16.801768904562273</v>
      </c>
      <c r="Y124" s="503">
        <v>16.687923743035508</v>
      </c>
      <c r="Z124" s="503">
        <v>17.773807780905592</v>
      </c>
      <c r="AA124" s="503">
        <v>17.944480445430752</v>
      </c>
      <c r="AB124" s="503">
        <v>17.412025636995512</v>
      </c>
      <c r="AC124" s="503">
        <v>17.42581832153321</v>
      </c>
      <c r="AD124" s="503"/>
      <c r="AE124" s="503"/>
      <c r="AF124" s="503">
        <v>17.510038169830963</v>
      </c>
      <c r="AG124" s="503">
        <v>18.526482283739661</v>
      </c>
      <c r="AH124" s="503">
        <v>19.495465592580853</v>
      </c>
      <c r="AI124" s="503">
        <v>19.172426540772637</v>
      </c>
      <c r="AJ124" s="503">
        <v>18.367557299681199</v>
      </c>
      <c r="AK124" s="503">
        <v>18.029394690102716</v>
      </c>
      <c r="AL124" s="503">
        <v>19.45032277296497</v>
      </c>
      <c r="AM124" s="503">
        <v>19.787848663176707</v>
      </c>
      <c r="AN124" s="503">
        <v>19.124995930592181</v>
      </c>
      <c r="AO124" s="503">
        <v>18.070323288649455</v>
      </c>
      <c r="AP124" s="503">
        <v>21.659955753656195</v>
      </c>
      <c r="AQ124" s="503">
        <v>20.246511990970781</v>
      </c>
      <c r="AR124" s="503">
        <v>17.686328829025744</v>
      </c>
      <c r="AS124" s="503">
        <v>17.433413152045439</v>
      </c>
      <c r="AT124" s="503">
        <v>17.802757751473166</v>
      </c>
      <c r="AU124" s="503">
        <v>18.82459395688727</v>
      </c>
      <c r="AV124" s="503">
        <v>19.771484401200148</v>
      </c>
      <c r="AW124" s="503">
        <v>19.231601789877821</v>
      </c>
      <c r="AX124" s="503">
        <v>19.773784951144034</v>
      </c>
      <c r="AY124" s="503">
        <v>21.203027796394579</v>
      </c>
      <c r="AZ124" s="503">
        <v>20.81968067274806</v>
      </c>
      <c r="BA124" s="503">
        <v>21.170367702026951</v>
      </c>
      <c r="BB124" s="503">
        <v>20.26189913107163</v>
      </c>
      <c r="BC124" s="503">
        <v>22.288528170615713</v>
      </c>
      <c r="BD124" s="503">
        <v>24.01068113408817</v>
      </c>
      <c r="BE124" s="503">
        <v>23.411910835236998</v>
      </c>
      <c r="BF124" s="503">
        <v>22.520406517180191</v>
      </c>
      <c r="BG124" s="503">
        <v>23.113174152928352</v>
      </c>
      <c r="BH124" s="503">
        <v>20.402369813903189</v>
      </c>
      <c r="BI124" s="503">
        <v>19.895686611667003</v>
      </c>
      <c r="BJ124" s="503">
        <v>19.884091168022834</v>
      </c>
      <c r="BK124" s="503">
        <v>19.715241543646627</v>
      </c>
      <c r="BL124" s="503">
        <v>19.392974485578161</v>
      </c>
      <c r="BM124" s="503">
        <v>21.785363403844254</v>
      </c>
      <c r="BN124" s="503">
        <v>21.309168638171375</v>
      </c>
      <c r="BO124" s="503">
        <v>21.873306800862242</v>
      </c>
      <c r="BP124" s="503">
        <v>20.512435908810357</v>
      </c>
      <c r="BQ124" s="503">
        <v>22.070297526751688</v>
      </c>
      <c r="BR124" s="470">
        <v>23.121537375261163</v>
      </c>
      <c r="BS124" s="470">
        <v>22.143450515976081</v>
      </c>
      <c r="BT124" s="470">
        <v>22.548713133512972</v>
      </c>
      <c r="BU124" s="470">
        <v>24.950401574680424</v>
      </c>
      <c r="BV124" s="470">
        <v>25.895490593177129</v>
      </c>
      <c r="BW124" s="470">
        <v>29.344604830950701</v>
      </c>
      <c r="BX124" s="470">
        <v>26.610244958115164</v>
      </c>
      <c r="BY124" s="470">
        <v>27.435914311099413</v>
      </c>
      <c r="BZ124" s="470">
        <v>27.660327764843167</v>
      </c>
      <c r="CA124" s="470">
        <v>26.671676073535817</v>
      </c>
      <c r="CB124" s="470">
        <v>29.462094819336997</v>
      </c>
      <c r="CC124" s="470">
        <v>32.393499552903442</v>
      </c>
      <c r="CD124" s="470">
        <v>33.406501039075373</v>
      </c>
      <c r="CE124" s="470">
        <v>30.180155761551109</v>
      </c>
      <c r="CF124" s="470">
        <v>25.730666879393894</v>
      </c>
      <c r="CG124" s="470">
        <v>21.249792361924232</v>
      </c>
      <c r="CH124" s="470">
        <v>20.564345747643291</v>
      </c>
      <c r="CI124" s="470">
        <v>22.057612090004291</v>
      </c>
      <c r="CJ124" s="470">
        <v>22.365665056130794</v>
      </c>
      <c r="CK124" s="470">
        <v>22.338568107761837</v>
      </c>
      <c r="CL124" s="470">
        <v>22.721010826827513</v>
      </c>
      <c r="CM124" s="470">
        <v>21.275510651469741</v>
      </c>
      <c r="CN124" s="470">
        <v>22.696340529552568</v>
      </c>
      <c r="CO124" s="470">
        <v>23.962228229060571</v>
      </c>
      <c r="CP124" s="470">
        <v>24.997231228055835</v>
      </c>
      <c r="CQ124" s="470">
        <v>26.556315358630091</v>
      </c>
      <c r="CR124" s="470">
        <v>26.077037922144452</v>
      </c>
      <c r="CS124" s="470">
        <v>26.45944407396162</v>
      </c>
      <c r="CT124" s="470">
        <v>26.089156749989932</v>
      </c>
      <c r="CU124" s="470">
        <v>26.386230996191063</v>
      </c>
      <c r="CV124" s="470">
        <v>27.614466132618219</v>
      </c>
      <c r="CW124" s="470">
        <v>28.512244382224711</v>
      </c>
      <c r="CX124" s="470">
        <v>29.448844459996305</v>
      </c>
      <c r="CY124" s="470">
        <v>27.700989440503211</v>
      </c>
      <c r="CZ124" s="470">
        <v>29.402143113695427</v>
      </c>
      <c r="DA124" s="470">
        <v>28.494982453254448</v>
      </c>
      <c r="DB124" s="470">
        <v>28.08707891546387</v>
      </c>
      <c r="DC124" s="470">
        <v>27.067012631793695</v>
      </c>
      <c r="DD124" s="504"/>
      <c r="DE124" s="504"/>
      <c r="DF124" s="504"/>
      <c r="DG124" s="504"/>
    </row>
    <row r="125" spans="3:111" x14ac:dyDescent="0.25">
      <c r="C125" s="473"/>
      <c r="D125" s="473" t="s">
        <v>477</v>
      </c>
      <c r="E125" s="473"/>
      <c r="F125" s="503">
        <v>15.560900249289</v>
      </c>
      <c r="G125" s="503">
        <v>13.906174561450566</v>
      </c>
      <c r="H125" s="503">
        <v>14.598446236825177</v>
      </c>
      <c r="I125" s="503">
        <v>15.794164374007053</v>
      </c>
      <c r="J125" s="503">
        <v>13.352495993168276</v>
      </c>
      <c r="K125" s="503">
        <v>14.462980094899876</v>
      </c>
      <c r="L125" s="503">
        <v>12.29596085185988</v>
      </c>
      <c r="M125" s="503">
        <v>13.846538434830915</v>
      </c>
      <c r="N125" s="503">
        <v>13.704700239288847</v>
      </c>
      <c r="O125" s="503">
        <v>13.337198650845339</v>
      </c>
      <c r="P125" s="503">
        <v>13.427220091697331</v>
      </c>
      <c r="Q125" s="503">
        <v>12.181918376608641</v>
      </c>
      <c r="R125" s="503">
        <v>11.952421769393483</v>
      </c>
      <c r="S125" s="503">
        <v>13.287862678001829</v>
      </c>
      <c r="T125" s="503">
        <v>12.928386516974502</v>
      </c>
      <c r="U125" s="503">
        <v>14.938466844985909</v>
      </c>
      <c r="V125" s="503">
        <v>13.607883095477721</v>
      </c>
      <c r="W125" s="503">
        <v>12.899067527410596</v>
      </c>
      <c r="X125" s="503">
        <v>13.802216779576899</v>
      </c>
      <c r="Y125" s="503">
        <v>15.881049875813922</v>
      </c>
      <c r="Z125" s="503">
        <v>14.932459604561132</v>
      </c>
      <c r="AA125" s="503">
        <v>14.508357256893786</v>
      </c>
      <c r="AB125" s="503">
        <v>16.136812140898694</v>
      </c>
      <c r="AC125" s="503">
        <v>15.773349604697257</v>
      </c>
      <c r="AD125" s="503"/>
      <c r="AE125" s="503"/>
      <c r="AF125" s="503">
        <v>15.493811860737949</v>
      </c>
      <c r="AG125" s="503">
        <v>15.482671223304918</v>
      </c>
      <c r="AH125" s="503">
        <v>17.301918809554888</v>
      </c>
      <c r="AI125" s="503">
        <v>17.123567859447959</v>
      </c>
      <c r="AJ125" s="503">
        <v>15.585218780600938</v>
      </c>
      <c r="AK125" s="503">
        <v>15.949809457571979</v>
      </c>
      <c r="AL125" s="503">
        <v>17.553196724884383</v>
      </c>
      <c r="AM125" s="503">
        <v>17.951489382794922</v>
      </c>
      <c r="AN125" s="503">
        <v>18.010385128756063</v>
      </c>
      <c r="AO125" s="503">
        <v>17.218389175054739</v>
      </c>
      <c r="AP125" s="503">
        <v>18.757708848616158</v>
      </c>
      <c r="AQ125" s="503">
        <v>17.044696933827961</v>
      </c>
      <c r="AR125" s="503">
        <v>18.590479378398058</v>
      </c>
      <c r="AS125" s="503">
        <v>17.153945380435783</v>
      </c>
      <c r="AT125" s="503">
        <v>17.699295042725396</v>
      </c>
      <c r="AU125" s="503">
        <v>18.70753441916936</v>
      </c>
      <c r="AV125" s="503">
        <v>19.465634348212969</v>
      </c>
      <c r="AW125" s="503">
        <v>19.842658754731815</v>
      </c>
      <c r="AX125" s="503">
        <v>19.767383028088954</v>
      </c>
      <c r="AY125" s="503">
        <v>22.850564441304748</v>
      </c>
      <c r="AZ125" s="503">
        <v>22.513446211712338</v>
      </c>
      <c r="BA125" s="503">
        <v>23.7059933145086</v>
      </c>
      <c r="BB125" s="503">
        <v>21.102791403788498</v>
      </c>
      <c r="BC125" s="503">
        <v>23.122012664323606</v>
      </c>
      <c r="BD125" s="503">
        <v>24.502034048924365</v>
      </c>
      <c r="BE125" s="503">
        <v>24.434811420655482</v>
      </c>
      <c r="BF125" s="503">
        <v>22.654702371350218</v>
      </c>
      <c r="BG125" s="503">
        <v>23.646502451894261</v>
      </c>
      <c r="BH125" s="503">
        <v>20.661631108878133</v>
      </c>
      <c r="BI125" s="503">
        <v>19.570155060030121</v>
      </c>
      <c r="BJ125" s="503">
        <v>19.95889523832367</v>
      </c>
      <c r="BK125" s="503">
        <v>18.120406663848922</v>
      </c>
      <c r="BL125" s="503">
        <v>18.606924115825365</v>
      </c>
      <c r="BM125" s="503">
        <v>19.264561401582927</v>
      </c>
      <c r="BN125" s="503">
        <v>19.410750586080685</v>
      </c>
      <c r="BO125" s="503">
        <v>19.044324299039918</v>
      </c>
      <c r="BP125" s="503">
        <v>18.490176567118546</v>
      </c>
      <c r="BQ125" s="503">
        <v>21.156090877841169</v>
      </c>
      <c r="BR125" s="470">
        <v>20.993235606686795</v>
      </c>
      <c r="BS125" s="470">
        <v>20.141135234946152</v>
      </c>
      <c r="BT125" s="470">
        <v>20.249979236646855</v>
      </c>
      <c r="BU125" s="470">
        <v>21.896953287301244</v>
      </c>
      <c r="BV125" s="470">
        <v>23.563933446840931</v>
      </c>
      <c r="BW125" s="470">
        <v>24.182705746270848</v>
      </c>
      <c r="BX125" s="470">
        <v>25.137606807684783</v>
      </c>
      <c r="BY125" s="470">
        <v>24.00820343274366</v>
      </c>
      <c r="BZ125" s="470">
        <v>23.689780904742751</v>
      </c>
      <c r="CA125" s="470">
        <v>24.533929668466847</v>
      </c>
      <c r="CB125" s="470">
        <v>26.848880723659292</v>
      </c>
      <c r="CC125" s="470">
        <v>29.436180750670221</v>
      </c>
      <c r="CD125" s="470">
        <v>30.115902287955265</v>
      </c>
      <c r="CE125" s="470">
        <v>28.380897936923304</v>
      </c>
      <c r="CF125" s="470">
        <v>23.644835535264651</v>
      </c>
      <c r="CG125" s="470">
        <v>20.923338600943783</v>
      </c>
      <c r="CH125" s="470">
        <v>20.205675869786312</v>
      </c>
      <c r="CI125" s="470">
        <v>20.878455813731161</v>
      </c>
      <c r="CJ125" s="470">
        <v>21.574813973234015</v>
      </c>
      <c r="CK125" s="470">
        <v>22.050441492567369</v>
      </c>
      <c r="CL125" s="470">
        <v>22.624711309301109</v>
      </c>
      <c r="CM125" s="470">
        <v>22.410860693472326</v>
      </c>
      <c r="CN125" s="470">
        <v>23.033237267684026</v>
      </c>
      <c r="CO125" s="470">
        <v>23.697201527931576</v>
      </c>
      <c r="CP125" s="470">
        <v>24.160336946360978</v>
      </c>
      <c r="CQ125" s="470">
        <v>24.205805783139581</v>
      </c>
      <c r="CR125" s="470">
        <v>23.510631821240175</v>
      </c>
      <c r="CS125" s="470">
        <v>23.48515853353048</v>
      </c>
      <c r="CT125" s="470">
        <v>22.613683366704123</v>
      </c>
      <c r="CU125" s="470">
        <v>22.855192060862127</v>
      </c>
      <c r="CV125" s="470">
        <v>23.909977069883119</v>
      </c>
      <c r="CW125" s="470">
        <v>24.273573802618372</v>
      </c>
      <c r="CX125" s="470">
        <v>25.164834424178974</v>
      </c>
      <c r="CY125" s="470">
        <v>24.930303812050443</v>
      </c>
      <c r="CZ125" s="470">
        <v>25.845389441256224</v>
      </c>
      <c r="DA125" s="470">
        <v>24.376376536188939</v>
      </c>
      <c r="DB125" s="470">
        <v>24.419348864928214</v>
      </c>
      <c r="DC125" s="470">
        <v>24.579047000032293</v>
      </c>
      <c r="DD125" s="504"/>
      <c r="DE125" s="504"/>
      <c r="DF125" s="504"/>
      <c r="DG125" s="504"/>
    </row>
    <row r="126" spans="3:111" x14ac:dyDescent="0.25">
      <c r="C126" s="473"/>
      <c r="D126" s="473" t="s">
        <v>478</v>
      </c>
      <c r="E126" s="473"/>
      <c r="F126" s="503">
        <v>1.8</v>
      </c>
      <c r="G126" s="503">
        <v>1.2</v>
      </c>
      <c r="H126" s="503">
        <v>0.4</v>
      </c>
      <c r="I126" s="503">
        <v>2</v>
      </c>
      <c r="J126" s="503">
        <v>-0.5</v>
      </c>
      <c r="K126" s="503">
        <v>1.6</v>
      </c>
      <c r="L126" s="503">
        <v>0.1</v>
      </c>
      <c r="M126" s="503">
        <v>3.2</v>
      </c>
      <c r="N126" s="503">
        <v>2.8</v>
      </c>
      <c r="O126" s="503">
        <v>1.2</v>
      </c>
      <c r="P126" s="503">
        <v>1.7</v>
      </c>
      <c r="Q126" s="503">
        <v>0.2</v>
      </c>
      <c r="R126" s="503">
        <v>2.5</v>
      </c>
      <c r="S126" s="503">
        <v>2.2000000000000002</v>
      </c>
      <c r="T126" s="503">
        <v>0.9</v>
      </c>
      <c r="U126" s="503">
        <v>2.7</v>
      </c>
      <c r="V126" s="503">
        <v>1.2</v>
      </c>
      <c r="W126" s="503">
        <v>0</v>
      </c>
      <c r="X126" s="503">
        <v>-0.8</v>
      </c>
      <c r="Y126" s="503">
        <v>-0.2</v>
      </c>
      <c r="Z126" s="503">
        <v>-1.5</v>
      </c>
      <c r="AA126" s="503">
        <v>-3.3</v>
      </c>
      <c r="AB126" s="503">
        <v>-0.8</v>
      </c>
      <c r="AC126" s="503">
        <v>-0.9</v>
      </c>
      <c r="AD126" s="503"/>
      <c r="AE126" s="503"/>
      <c r="AF126" s="503">
        <v>-1.2</v>
      </c>
      <c r="AG126" s="503">
        <v>-1.9</v>
      </c>
      <c r="AH126" s="503">
        <v>-0.2</v>
      </c>
      <c r="AI126" s="503">
        <v>-1.1000000000000001</v>
      </c>
      <c r="AJ126" s="503">
        <v>-1.6</v>
      </c>
      <c r="AK126" s="503">
        <v>-1.3</v>
      </c>
      <c r="AL126" s="503">
        <v>-1.2</v>
      </c>
      <c r="AM126" s="503">
        <v>-1.7</v>
      </c>
      <c r="AN126" s="503">
        <v>-0.5</v>
      </c>
      <c r="AO126" s="503">
        <v>-1</v>
      </c>
      <c r="AP126" s="503">
        <v>-2.6</v>
      </c>
      <c r="AQ126" s="503">
        <v>-2.7</v>
      </c>
      <c r="AR126" s="503">
        <v>1.3</v>
      </c>
      <c r="AS126" s="503">
        <v>-0.9</v>
      </c>
      <c r="AT126" s="503">
        <v>-0.8</v>
      </c>
      <c r="AU126" s="503">
        <v>-1.4</v>
      </c>
      <c r="AV126" s="503">
        <v>-0.1</v>
      </c>
      <c r="AW126" s="503">
        <v>-0.1</v>
      </c>
      <c r="AX126" s="503">
        <v>-1</v>
      </c>
      <c r="AY126" s="503">
        <v>0.7</v>
      </c>
      <c r="AZ126" s="503">
        <v>0.7</v>
      </c>
      <c r="BA126" s="503">
        <v>0.5</v>
      </c>
      <c r="BB126" s="503">
        <v>-0.7</v>
      </c>
      <c r="BC126" s="503">
        <v>0.6</v>
      </c>
      <c r="BD126" s="503">
        <v>1.2</v>
      </c>
      <c r="BE126" s="503">
        <v>0.4</v>
      </c>
      <c r="BF126" s="503">
        <v>0.8</v>
      </c>
      <c r="BG126" s="503">
        <v>1.2</v>
      </c>
      <c r="BH126" s="503">
        <v>0.3</v>
      </c>
      <c r="BI126" s="503">
        <v>-2.5</v>
      </c>
      <c r="BJ126" s="503">
        <v>0</v>
      </c>
      <c r="BK126" s="503">
        <v>-1.1000000000000001</v>
      </c>
      <c r="BL126" s="503">
        <v>-1.4</v>
      </c>
      <c r="BM126" s="503">
        <v>-3.1</v>
      </c>
      <c r="BN126" s="503">
        <v>-2.9</v>
      </c>
      <c r="BO126" s="503">
        <v>-3.5</v>
      </c>
      <c r="BP126" s="503">
        <v>-3.2</v>
      </c>
      <c r="BQ126" s="503">
        <v>-2.4</v>
      </c>
      <c r="BR126" s="470">
        <v>-3.3</v>
      </c>
      <c r="BS126" s="470">
        <v>-3.6</v>
      </c>
      <c r="BT126" s="470">
        <v>-4.5</v>
      </c>
      <c r="BU126" s="470">
        <v>-3.8</v>
      </c>
      <c r="BV126" s="470">
        <v>-3.1</v>
      </c>
      <c r="BW126" s="470">
        <v>-6.5</v>
      </c>
      <c r="BX126" s="470">
        <v>-3.4</v>
      </c>
      <c r="BY126" s="470">
        <v>-5.4</v>
      </c>
      <c r="BZ126" s="470">
        <v>-6.9</v>
      </c>
      <c r="CA126" s="470">
        <v>-5.7</v>
      </c>
      <c r="CB126" s="470">
        <v>-5.9</v>
      </c>
      <c r="CC126" s="470">
        <v>-5.8</v>
      </c>
      <c r="CD126" s="470">
        <v>-6.6</v>
      </c>
      <c r="CE126" s="470">
        <v>-3.8</v>
      </c>
      <c r="CF126" s="470">
        <v>-4</v>
      </c>
      <c r="CG126" s="470">
        <v>-1.9</v>
      </c>
      <c r="CH126" s="470">
        <v>-2.2999999999999998</v>
      </c>
      <c r="CI126" s="470">
        <v>-2.7</v>
      </c>
      <c r="CJ126" s="470">
        <v>-2.7</v>
      </c>
      <c r="CK126" s="470">
        <v>-1.2</v>
      </c>
      <c r="CL126" s="470">
        <v>-1.9</v>
      </c>
      <c r="CM126" s="470">
        <v>-0.4</v>
      </c>
      <c r="CN126" s="470">
        <v>-1.4</v>
      </c>
      <c r="CO126" s="470">
        <v>-1.9</v>
      </c>
      <c r="CP126" s="470">
        <v>-2.7</v>
      </c>
      <c r="CQ126" s="470">
        <v>-2.7</v>
      </c>
      <c r="CR126" s="470">
        <v>-3.6</v>
      </c>
      <c r="CS126" s="470">
        <v>-4.8</v>
      </c>
      <c r="CT126" s="470">
        <v>-5.5</v>
      </c>
      <c r="CU126" s="470">
        <v>-5.8</v>
      </c>
      <c r="CV126" s="470">
        <v>-5.2</v>
      </c>
      <c r="CW126" s="470">
        <v>-6.1</v>
      </c>
      <c r="CX126" s="470">
        <v>-6.4</v>
      </c>
      <c r="CY126" s="470">
        <v>-5.3</v>
      </c>
      <c r="CZ126" s="459">
        <v>-4.5999999999999996</v>
      </c>
      <c r="DA126" s="459">
        <v>-6.2</v>
      </c>
      <c r="DB126" s="459">
        <v>-5.8</v>
      </c>
      <c r="DC126" s="459">
        <v>-5.0999999999999996</v>
      </c>
      <c r="DD126" s="505"/>
      <c r="DE126" s="505"/>
      <c r="DF126" s="505"/>
      <c r="DG126" s="505"/>
    </row>
    <row r="127" spans="3:111" x14ac:dyDescent="0.25">
      <c r="C127" s="473"/>
      <c r="D127" s="473" t="s">
        <v>454</v>
      </c>
      <c r="E127" s="473"/>
      <c r="F127" s="503">
        <v>5.5436957971981302</v>
      </c>
      <c r="G127" s="503">
        <v>5.7098599860522503</v>
      </c>
      <c r="H127" s="503">
        <v>4.4089267158196845</v>
      </c>
      <c r="I127" s="503">
        <v>6.7048991875589312</v>
      </c>
      <c r="J127" s="503">
        <v>3.1073830902418953</v>
      </c>
      <c r="K127" s="503">
        <v>5.8330597749858253</v>
      </c>
      <c r="L127" s="503">
        <v>3.3307858145026064</v>
      </c>
      <c r="M127" s="503">
        <v>6.2437330740920771</v>
      </c>
      <c r="N127" s="503">
        <v>5.717487575386814</v>
      </c>
      <c r="O127" s="503">
        <v>4.7238945456663437</v>
      </c>
      <c r="P127" s="503">
        <v>4.6376196965661336</v>
      </c>
      <c r="Q127" s="503">
        <v>3.6737258656931906</v>
      </c>
      <c r="R127" s="503">
        <v>5.668042440089029</v>
      </c>
      <c r="S127" s="503">
        <v>5.5597858638573294</v>
      </c>
      <c r="T127" s="503">
        <v>4.443594936935245</v>
      </c>
      <c r="U127" s="503">
        <v>6.6952151002991513</v>
      </c>
      <c r="V127" s="503">
        <v>4.4349705050707104</v>
      </c>
      <c r="W127" s="503">
        <v>3.1326980223383547</v>
      </c>
      <c r="X127" s="503">
        <v>2.3678869579602724</v>
      </c>
      <c r="Y127" s="503">
        <v>2.6883648673270746</v>
      </c>
      <c r="Z127" s="503">
        <v>1.6095166261121601</v>
      </c>
      <c r="AA127" s="503">
        <v>-0.18318267222248366</v>
      </c>
      <c r="AB127" s="503">
        <v>2.5666684130560067</v>
      </c>
      <c r="AC127" s="503">
        <v>2.0625815613400516</v>
      </c>
      <c r="AD127" s="503"/>
      <c r="AE127" s="503"/>
      <c r="AF127" s="503">
        <v>1.6419636808275087</v>
      </c>
      <c r="AG127" s="503">
        <v>1.2640859832556248</v>
      </c>
      <c r="AH127" s="503">
        <v>2.8827207687669767</v>
      </c>
      <c r="AI127" s="503">
        <v>1.9908306642465599</v>
      </c>
      <c r="AJ127" s="503">
        <v>1.3155550319906348</v>
      </c>
      <c r="AK127" s="503">
        <v>1.3520465348867954</v>
      </c>
      <c r="AL127" s="503">
        <v>1.9332631214838418</v>
      </c>
      <c r="AM127" s="503">
        <v>1.4936511564505957</v>
      </c>
      <c r="AN127" s="503">
        <v>2.3717865242916516</v>
      </c>
      <c r="AO127" s="503">
        <v>2.0673513644072692</v>
      </c>
      <c r="AP127" s="503">
        <v>0.63954892222954585</v>
      </c>
      <c r="AQ127" s="503">
        <v>0.26847080411996477</v>
      </c>
      <c r="AR127" s="503">
        <v>4.7247143226489774</v>
      </c>
      <c r="AS127" s="503">
        <v>2.3700143477305669</v>
      </c>
      <c r="AT127" s="503">
        <v>2.6852100057845059</v>
      </c>
      <c r="AU127" s="503">
        <v>2.0483128307332827</v>
      </c>
      <c r="AV127" s="503">
        <v>3.2629595016969311</v>
      </c>
      <c r="AW127" s="503">
        <v>3.4716306519269184</v>
      </c>
      <c r="AX127" s="503">
        <v>2.8881966092524309</v>
      </c>
      <c r="AY127" s="503">
        <v>4.1464146052332334</v>
      </c>
      <c r="AZ127" s="503">
        <v>4.250880602752062</v>
      </c>
      <c r="BA127" s="503">
        <v>4.8681881388691988</v>
      </c>
      <c r="BB127" s="503">
        <v>3.756074488293498</v>
      </c>
      <c r="BC127" s="503">
        <v>4.1883240350520188</v>
      </c>
      <c r="BD127" s="503">
        <v>4.2944970893996057</v>
      </c>
      <c r="BE127" s="503">
        <v>4.6776035804434262</v>
      </c>
      <c r="BF127" s="503">
        <v>3.8022261655105658</v>
      </c>
      <c r="BG127" s="503">
        <v>3.7743596520622811</v>
      </c>
      <c r="BH127" s="503">
        <v>3.0804019672582941</v>
      </c>
      <c r="BI127" s="503">
        <v>2.014621862061817</v>
      </c>
      <c r="BJ127" s="503">
        <v>2.1322158194868353</v>
      </c>
      <c r="BK127" s="503">
        <v>0.88326837133018399</v>
      </c>
      <c r="BL127" s="503">
        <v>1.2634687614865598</v>
      </c>
      <c r="BM127" s="503">
        <v>-0.51058212674402015</v>
      </c>
      <c r="BN127" s="503">
        <v>-0.16723104065909572</v>
      </c>
      <c r="BO127" s="503">
        <v>-0.84106114292322354</v>
      </c>
      <c r="BP127" s="503">
        <v>-0.43268933110276098</v>
      </c>
      <c r="BQ127" s="503">
        <v>0.68681420590701014</v>
      </c>
      <c r="BR127" s="470">
        <v>-0.56311706714027865</v>
      </c>
      <c r="BS127" s="470">
        <v>-0.17437580525485896</v>
      </c>
      <c r="BT127" s="470">
        <v>-0.52831198553024994</v>
      </c>
      <c r="BU127" s="470">
        <v>-1.0994039282398183</v>
      </c>
      <c r="BV127" s="470">
        <v>-0.26714432531864984</v>
      </c>
      <c r="BW127" s="470">
        <v>-3.2483801340369265</v>
      </c>
      <c r="BX127" s="470">
        <v>0.45038093035663129</v>
      </c>
      <c r="BY127" s="470">
        <v>-1.5888101925425804</v>
      </c>
      <c r="BZ127" s="470">
        <v>-2.0510322194464745</v>
      </c>
      <c r="CA127" s="470">
        <v>-0.25337651849518256</v>
      </c>
      <c r="CB127" s="470">
        <v>-0.52527048539564991</v>
      </c>
      <c r="CC127" s="470">
        <v>-0.84865195163937535</v>
      </c>
      <c r="CD127" s="470">
        <v>-1.2660803855562306</v>
      </c>
      <c r="CE127" s="470">
        <v>0.17868553809357191</v>
      </c>
      <c r="CF127" s="470">
        <v>0.10026815902996386</v>
      </c>
      <c r="CG127" s="470">
        <v>1.7011498174206416</v>
      </c>
      <c r="CH127" s="470">
        <v>1.7084449482845785</v>
      </c>
      <c r="CI127" s="470">
        <v>0.95819698451473179</v>
      </c>
      <c r="CJ127" s="470">
        <v>1.1754355054049908</v>
      </c>
      <c r="CK127" s="470">
        <v>1.9678923782520952</v>
      </c>
      <c r="CL127" s="470">
        <v>2.1319643185706605</v>
      </c>
      <c r="CM127" s="470">
        <v>3.3356541442258281</v>
      </c>
      <c r="CN127" s="470">
        <v>2.4890815477308816</v>
      </c>
      <c r="CO127" s="470">
        <v>2.0894020265679263</v>
      </c>
      <c r="CP127" s="470">
        <v>1.8935103941017248</v>
      </c>
      <c r="CQ127" s="470">
        <v>0.34954404394885863</v>
      </c>
      <c r="CR127" s="470">
        <v>-0.15298946139192651</v>
      </c>
      <c r="CS127" s="470">
        <v>-0.57933286527916306</v>
      </c>
      <c r="CT127" s="470">
        <v>-1.3942829184251915</v>
      </c>
      <c r="CU127" s="470">
        <v>-1.6903008566093396</v>
      </c>
      <c r="CV127" s="470">
        <v>-1.7447105907860088</v>
      </c>
      <c r="CW127" s="470">
        <v>-2.2401111120353874</v>
      </c>
      <c r="CX127" s="470">
        <v>-2.5172669640866245</v>
      </c>
      <c r="CY127" s="470">
        <v>-1.2492813801449001</v>
      </c>
      <c r="CZ127" s="470">
        <v>-1.9270746554220102</v>
      </c>
      <c r="DA127" s="470">
        <v>-2.4153934481612152</v>
      </c>
      <c r="DB127" s="470">
        <v>-2.026357440723038</v>
      </c>
      <c r="DC127" s="470">
        <v>-0.89926499496891377</v>
      </c>
      <c r="DD127" s="504"/>
      <c r="DE127" s="504"/>
      <c r="DF127" s="504"/>
      <c r="DG127" s="504"/>
    </row>
    <row r="128" spans="3:111" x14ac:dyDescent="0.25">
      <c r="C128" s="473"/>
      <c r="D128" s="473"/>
      <c r="E128" s="473"/>
      <c r="F128" s="473"/>
      <c r="G128" s="473"/>
      <c r="H128" s="473"/>
      <c r="I128" s="473"/>
      <c r="J128" s="473"/>
      <c r="K128" s="473"/>
      <c r="L128" s="473"/>
      <c r="M128" s="473"/>
      <c r="N128" s="473"/>
      <c r="O128" s="473"/>
      <c r="P128" s="473"/>
      <c r="Q128" s="473"/>
      <c r="R128" s="473"/>
      <c r="S128" s="473"/>
      <c r="T128" s="473"/>
      <c r="U128" s="473"/>
      <c r="V128" s="473"/>
      <c r="W128" s="473"/>
      <c r="X128" s="473"/>
      <c r="Y128" s="473"/>
      <c r="Z128" s="473"/>
      <c r="AA128" s="473"/>
      <c r="AB128" s="473"/>
      <c r="AC128" s="473"/>
      <c r="AD128" s="473"/>
      <c r="AE128" s="473"/>
      <c r="AF128" s="473"/>
      <c r="AG128" s="473"/>
      <c r="AH128" s="473"/>
      <c r="AI128" s="473"/>
      <c r="AJ128" s="473"/>
      <c r="AK128" s="473"/>
      <c r="AL128" s="473"/>
      <c r="AM128" s="473"/>
      <c r="AN128" s="473"/>
      <c r="AO128" s="473"/>
      <c r="AP128" s="473"/>
      <c r="AQ128" s="473"/>
      <c r="AR128" s="473"/>
      <c r="AS128" s="473"/>
      <c r="AT128" s="473"/>
      <c r="AU128" s="473"/>
      <c r="AV128" s="473"/>
      <c r="AW128" s="473"/>
      <c r="AX128" s="473"/>
      <c r="AY128" s="473"/>
      <c r="AZ128" s="473"/>
      <c r="BA128" s="473"/>
      <c r="BB128" s="473"/>
      <c r="BC128" s="473"/>
      <c r="BD128" s="473"/>
      <c r="BE128" s="473"/>
      <c r="BF128" s="473"/>
      <c r="BG128" s="473"/>
      <c r="BH128" s="473"/>
      <c r="BI128" s="473"/>
      <c r="BJ128" s="473"/>
      <c r="BK128" s="473"/>
      <c r="BL128" s="473"/>
      <c r="BM128" s="473"/>
      <c r="BN128" s="473"/>
      <c r="BO128" s="473"/>
      <c r="BP128" s="473"/>
      <c r="BQ128" s="473"/>
      <c r="DD128" s="505"/>
      <c r="DE128" s="505"/>
      <c r="DF128" s="505"/>
      <c r="DG128" s="505"/>
    </row>
    <row r="129" spans="3:111" x14ac:dyDescent="0.25">
      <c r="C129" s="473"/>
      <c r="D129" s="473"/>
      <c r="E129" s="473"/>
      <c r="F129" s="473"/>
      <c r="G129" s="503"/>
      <c r="H129" s="473"/>
      <c r="I129" s="473"/>
      <c r="J129" s="473"/>
      <c r="K129" s="473"/>
      <c r="L129" s="473"/>
      <c r="M129" s="473"/>
      <c r="N129" s="473"/>
      <c r="O129" s="473"/>
      <c r="P129" s="473"/>
      <c r="Q129" s="473"/>
      <c r="R129" s="473"/>
      <c r="S129" s="473"/>
      <c r="T129" s="473"/>
      <c r="U129" s="473"/>
      <c r="V129" s="473"/>
      <c r="W129" s="473"/>
      <c r="X129" s="473"/>
      <c r="Y129" s="473"/>
      <c r="Z129" s="473"/>
      <c r="AA129" s="473"/>
      <c r="AB129" s="473"/>
      <c r="AC129" s="473"/>
      <c r="AD129" s="473"/>
      <c r="AE129" s="473"/>
      <c r="AF129" s="473"/>
      <c r="AG129" s="473"/>
      <c r="AH129" s="473"/>
      <c r="AI129" s="473"/>
      <c r="AJ129" s="473"/>
      <c r="AK129" s="473"/>
      <c r="AL129" s="473"/>
      <c r="AM129" s="473"/>
      <c r="AN129" s="473"/>
      <c r="AO129" s="473"/>
      <c r="AP129" s="473"/>
      <c r="AQ129" s="473"/>
      <c r="AR129" s="473"/>
      <c r="AS129" s="473"/>
      <c r="AT129" s="473"/>
      <c r="AU129" s="473"/>
      <c r="AV129" s="473"/>
      <c r="AW129" s="473"/>
      <c r="AX129" s="473"/>
      <c r="AY129" s="473"/>
      <c r="AZ129" s="473"/>
      <c r="BA129" s="473"/>
      <c r="BB129" s="473"/>
      <c r="BC129" s="473"/>
      <c r="BD129" s="473"/>
      <c r="BE129" s="473"/>
      <c r="BF129" s="473"/>
      <c r="BG129" s="473"/>
      <c r="BH129" s="473"/>
      <c r="BI129" s="473"/>
      <c r="BJ129" s="473"/>
      <c r="BK129" s="473"/>
      <c r="BL129" s="473"/>
      <c r="BM129" s="473"/>
      <c r="BN129" s="473"/>
      <c r="BO129" s="473"/>
      <c r="BP129" s="473"/>
      <c r="BQ129" s="473"/>
      <c r="CJ129" s="470">
        <v>22.365665056130794</v>
      </c>
      <c r="CK129" s="470">
        <v>22.338568107761837</v>
      </c>
      <c r="CL129" s="470">
        <v>22.721010826827513</v>
      </c>
      <c r="CM129" s="470">
        <v>21.275510651469741</v>
      </c>
      <c r="CN129" s="470">
        <v>22.696340529552568</v>
      </c>
      <c r="CO129" s="470">
        <v>23.962228229060571</v>
      </c>
      <c r="CP129" s="470">
        <v>24.997231228055835</v>
      </c>
      <c r="CQ129" s="470">
        <v>26.556315358630091</v>
      </c>
      <c r="CR129" s="470">
        <v>26.077037922144452</v>
      </c>
      <c r="CS129" s="470">
        <v>26.45944407396162</v>
      </c>
      <c r="CT129" s="470">
        <v>26.089156749989932</v>
      </c>
      <c r="CU129" s="470">
        <v>26.386230996191063</v>
      </c>
      <c r="CV129" s="470">
        <v>27.614466132618219</v>
      </c>
      <c r="CW129" s="470">
        <v>28.512244382224711</v>
      </c>
      <c r="CX129" s="470">
        <v>29.448844459996305</v>
      </c>
      <c r="CY129" s="470">
        <v>27.700989440503211</v>
      </c>
      <c r="CZ129" s="470">
        <v>29.402143113695427</v>
      </c>
      <c r="DA129" s="470">
        <v>28.494982453254448</v>
      </c>
      <c r="DB129" s="470">
        <v>28.08707891546387</v>
      </c>
      <c r="DC129" s="470">
        <v>27.067012631793695</v>
      </c>
      <c r="DD129" s="504"/>
      <c r="DE129" s="504"/>
      <c r="DF129" s="504"/>
      <c r="DG129" s="504"/>
    </row>
    <row r="130" spans="3:111" x14ac:dyDescent="0.25">
      <c r="C130" s="473"/>
      <c r="D130" s="473"/>
      <c r="E130" s="473"/>
      <c r="F130" s="473"/>
      <c r="G130" s="473"/>
      <c r="H130" s="473"/>
      <c r="I130" s="473"/>
      <c r="J130" s="473"/>
      <c r="K130" s="473"/>
      <c r="L130" s="473"/>
      <c r="M130" s="473"/>
      <c r="N130" s="473"/>
      <c r="O130" s="473"/>
      <c r="P130" s="473"/>
      <c r="Q130" s="473"/>
      <c r="R130" s="473"/>
      <c r="S130" s="473"/>
      <c r="T130" s="473"/>
      <c r="U130" s="473"/>
      <c r="V130" s="473"/>
      <c r="W130" s="473"/>
      <c r="X130" s="473"/>
      <c r="Y130" s="473"/>
      <c r="Z130" s="473"/>
      <c r="AA130" s="473"/>
      <c r="AB130" s="473"/>
      <c r="AC130" s="473"/>
      <c r="AD130" s="473"/>
      <c r="AE130" s="473"/>
      <c r="AF130" s="473"/>
      <c r="AG130" s="473"/>
      <c r="AH130" s="473"/>
      <c r="AI130" s="473"/>
      <c r="AJ130" s="473"/>
      <c r="AK130" s="473"/>
      <c r="AL130" s="473"/>
      <c r="AM130" s="473"/>
      <c r="AN130" s="473"/>
      <c r="AO130" s="473"/>
      <c r="AP130" s="473"/>
      <c r="AQ130" s="473"/>
      <c r="AR130" s="473"/>
      <c r="AS130" s="473"/>
      <c r="AT130" s="473"/>
      <c r="AU130" s="473"/>
      <c r="AV130" s="473"/>
      <c r="AW130" s="473"/>
      <c r="AX130" s="473"/>
      <c r="AY130" s="473"/>
      <c r="AZ130" s="473"/>
      <c r="BA130" s="473"/>
      <c r="BB130" s="473"/>
      <c r="BC130" s="473"/>
      <c r="BD130" s="473"/>
      <c r="BE130" s="473"/>
      <c r="BF130" s="473"/>
      <c r="BG130" s="473"/>
      <c r="BH130" s="473"/>
      <c r="BI130" s="473"/>
      <c r="BJ130" s="473"/>
      <c r="BK130" s="473"/>
      <c r="BL130" s="473"/>
      <c r="BM130" s="473"/>
      <c r="BN130" s="473"/>
      <c r="BO130" s="473"/>
      <c r="BP130" s="473"/>
      <c r="BQ130" s="473"/>
      <c r="CJ130" s="470">
        <v>21.574813973234015</v>
      </c>
      <c r="CK130" s="470">
        <v>22.050441492567369</v>
      </c>
      <c r="CL130" s="470">
        <v>22.624711309301109</v>
      </c>
      <c r="CM130" s="470">
        <v>22.410860693472326</v>
      </c>
      <c r="CN130" s="470">
        <v>23.033237267684026</v>
      </c>
      <c r="CO130" s="470">
        <v>23.697201527931576</v>
      </c>
      <c r="CP130" s="470">
        <v>24.160336946360978</v>
      </c>
      <c r="CQ130" s="470">
        <v>24.205805783139581</v>
      </c>
      <c r="CR130" s="470">
        <v>23.510631821240175</v>
      </c>
      <c r="CS130" s="470">
        <v>23.48515853353048</v>
      </c>
      <c r="CT130" s="470">
        <v>22.613683366704123</v>
      </c>
      <c r="CU130" s="470">
        <v>22.855192060862127</v>
      </c>
      <c r="CV130" s="470">
        <v>23.909977069883119</v>
      </c>
      <c r="CW130" s="470">
        <v>24.273573802618372</v>
      </c>
      <c r="CX130" s="470">
        <v>25.164834424178974</v>
      </c>
      <c r="CY130" s="470">
        <v>24.930303812050443</v>
      </c>
      <c r="CZ130" s="470">
        <v>25.828058277587434</v>
      </c>
      <c r="DA130" s="470">
        <v>24.35226802971976</v>
      </c>
      <c r="DB130" s="470">
        <v>24.419348864928214</v>
      </c>
      <c r="DC130" s="470">
        <v>24.579047000032293</v>
      </c>
      <c r="DD130" s="504"/>
      <c r="DE130" s="504"/>
      <c r="DF130" s="504"/>
      <c r="DG130" s="504"/>
    </row>
    <row r="131" spans="3:111" x14ac:dyDescent="0.25">
      <c r="CJ131" s="459">
        <v>-2.7</v>
      </c>
      <c r="CK131" s="459">
        <v>-1.2</v>
      </c>
      <c r="CL131" s="459">
        <v>-1.9</v>
      </c>
      <c r="CM131" s="459">
        <v>-0.4</v>
      </c>
      <c r="CN131" s="459">
        <v>-1.4</v>
      </c>
      <c r="CO131" s="459">
        <v>-1.9</v>
      </c>
      <c r="CP131" s="459">
        <v>-2.7</v>
      </c>
      <c r="CQ131" s="459">
        <v>-2.7</v>
      </c>
      <c r="CR131" s="459">
        <v>-3.6</v>
      </c>
      <c r="CS131" s="459">
        <v>-4.8</v>
      </c>
      <c r="CT131" s="459">
        <v>-5.5</v>
      </c>
      <c r="CU131" s="459">
        <v>-5.8</v>
      </c>
      <c r="CV131" s="459">
        <v>-5.2</v>
      </c>
      <c r="CW131" s="459">
        <v>-6.1</v>
      </c>
      <c r="CX131" s="459">
        <v>-6.4</v>
      </c>
      <c r="CY131" s="459">
        <v>-5.3</v>
      </c>
      <c r="CZ131" s="459">
        <v>-4.5999999999999996</v>
      </c>
      <c r="DA131" s="459">
        <v>-6.2</v>
      </c>
      <c r="DB131" s="459">
        <v>-5.8</v>
      </c>
      <c r="DC131" s="459">
        <v>-5.0999999999999996</v>
      </c>
      <c r="DD131" s="505"/>
      <c r="DE131" s="505"/>
      <c r="DF131" s="505"/>
      <c r="DG131" s="505"/>
    </row>
    <row r="132" spans="3:111" x14ac:dyDescent="0.25">
      <c r="CJ132" s="470">
        <v>1.1754355054049908</v>
      </c>
      <c r="CK132" s="470">
        <v>1.9678923782520952</v>
      </c>
      <c r="CL132" s="470">
        <v>2.1319643185706605</v>
      </c>
      <c r="CM132" s="470">
        <v>3.3356541442258281</v>
      </c>
      <c r="CN132" s="470">
        <v>2.4890815477308816</v>
      </c>
      <c r="CO132" s="470">
        <v>2.0894020265679263</v>
      </c>
      <c r="CP132" s="470">
        <v>1.8935103941017248</v>
      </c>
      <c r="CQ132" s="470">
        <v>0.34954404394885863</v>
      </c>
      <c r="CR132" s="470">
        <v>-0.15298946139192651</v>
      </c>
      <c r="CS132" s="470">
        <v>-0.57933286527916306</v>
      </c>
      <c r="CT132" s="470">
        <v>-1.3942829184251915</v>
      </c>
      <c r="CU132" s="470">
        <v>-1.6903008566093396</v>
      </c>
      <c r="CV132" s="470">
        <v>-1.7447105907860088</v>
      </c>
      <c r="CW132" s="470">
        <v>-2.2401111120353874</v>
      </c>
      <c r="CX132" s="470">
        <v>-2.5172669640866245</v>
      </c>
      <c r="CY132" s="470">
        <v>-1.2492813801449001</v>
      </c>
      <c r="CZ132" s="470">
        <v>-1.9270746554220102</v>
      </c>
      <c r="DA132" s="470">
        <v>-2.4153934481612152</v>
      </c>
      <c r="DB132" s="470">
        <v>-2.026357440723038</v>
      </c>
      <c r="DC132" s="470">
        <v>-0.89926499496891377</v>
      </c>
      <c r="DD132" s="504"/>
      <c r="DE132" s="504"/>
      <c r="DF132" s="504"/>
      <c r="DG132" s="504"/>
    </row>
    <row r="133" spans="3:111" x14ac:dyDescent="0.25">
      <c r="CJ133" s="470">
        <f>CJ127-CJ132</f>
        <v>0</v>
      </c>
      <c r="CK133" s="470">
        <f t="shared" ref="CK133:DC133" si="0">CK127-CK132</f>
        <v>0</v>
      </c>
      <c r="CL133" s="470">
        <f t="shared" si="0"/>
        <v>0</v>
      </c>
      <c r="CM133" s="470">
        <f t="shared" si="0"/>
        <v>0</v>
      </c>
      <c r="CN133" s="470">
        <f t="shared" si="0"/>
        <v>0</v>
      </c>
      <c r="CO133" s="470">
        <f t="shared" si="0"/>
        <v>0</v>
      </c>
      <c r="CP133" s="470">
        <f t="shared" si="0"/>
        <v>0</v>
      </c>
      <c r="CQ133" s="470">
        <f t="shared" si="0"/>
        <v>0</v>
      </c>
      <c r="CR133" s="470">
        <f t="shared" si="0"/>
        <v>0</v>
      </c>
      <c r="CS133" s="470">
        <f t="shared" si="0"/>
        <v>0</v>
      </c>
      <c r="CT133" s="470">
        <f t="shared" si="0"/>
        <v>0</v>
      </c>
      <c r="CU133" s="470">
        <f t="shared" si="0"/>
        <v>0</v>
      </c>
      <c r="CV133" s="470">
        <f t="shared" si="0"/>
        <v>0</v>
      </c>
      <c r="CW133" s="470">
        <f t="shared" si="0"/>
        <v>0</v>
      </c>
      <c r="CX133" s="470">
        <f t="shared" si="0"/>
        <v>0</v>
      </c>
      <c r="CY133" s="470">
        <f t="shared" si="0"/>
        <v>0</v>
      </c>
      <c r="CZ133" s="470">
        <f t="shared" si="0"/>
        <v>0</v>
      </c>
      <c r="DA133" s="470">
        <f t="shared" si="0"/>
        <v>0</v>
      </c>
      <c r="DB133" s="470">
        <f t="shared" si="0"/>
        <v>0</v>
      </c>
      <c r="DC133" s="470">
        <f t="shared" si="0"/>
        <v>0</v>
      </c>
      <c r="DD133" s="504"/>
      <c r="DE133" s="504"/>
      <c r="DF133" s="504"/>
      <c r="DG133" s="504"/>
    </row>
  </sheetData>
  <mergeCells count="33">
    <mergeCell ref="CZ122:DB122"/>
    <mergeCell ref="DD122:DF122"/>
    <mergeCell ref="CB122:CE122"/>
    <mergeCell ref="CF122:CI122"/>
    <mergeCell ref="CJ122:CM122"/>
    <mergeCell ref="CN122:CQ122"/>
    <mergeCell ref="CR122:CU122"/>
    <mergeCell ref="CV122:CY122"/>
    <mergeCell ref="BX122:CA122"/>
    <mergeCell ref="AF122:AI122"/>
    <mergeCell ref="AJ122:AM122"/>
    <mergeCell ref="AN122:AQ122"/>
    <mergeCell ref="AR122:AU122"/>
    <mergeCell ref="AV122:AY122"/>
    <mergeCell ref="AZ122:BC122"/>
    <mergeCell ref="BD122:BG122"/>
    <mergeCell ref="BH122:BK122"/>
    <mergeCell ref="BL122:BO122"/>
    <mergeCell ref="BP122:BS122"/>
    <mergeCell ref="BT122:BW122"/>
    <mergeCell ref="D38:AC38"/>
    <mergeCell ref="F122:I122"/>
    <mergeCell ref="J122:M122"/>
    <mergeCell ref="N122:Q122"/>
    <mergeCell ref="R122:U122"/>
    <mergeCell ref="V122:Y122"/>
    <mergeCell ref="Z122:AC122"/>
    <mergeCell ref="D37:AC37"/>
    <mergeCell ref="D2:AC2"/>
    <mergeCell ref="D3:AC3"/>
    <mergeCell ref="D4:AC4"/>
    <mergeCell ref="D35:AC35"/>
    <mergeCell ref="D36:AC36"/>
  </mergeCells>
  <pageMargins left="0.74803149606299202" right="0.74803149606299202" top="0.98425196850393704" bottom="0.98425196850393704" header="0.511811023622047" footer="0.511811023622047"/>
  <pageSetup paperSize="9" scale="49"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520C8-B700-4D41-93BD-65F04DD5AC07}">
  <sheetPr>
    <tabColor rgb="FFFFC000"/>
    <pageSetUpPr fitToPage="1"/>
  </sheetPr>
  <dimension ref="A1:AD133"/>
  <sheetViews>
    <sheetView showGridLines="0" topLeftCell="A31" zoomScaleNormal="100" zoomScaleSheetLayoutView="110" workbookViewId="0">
      <selection activeCell="Y32" sqref="Y32"/>
    </sheetView>
  </sheetViews>
  <sheetFormatPr defaultColWidth="9.140625" defaultRowHeight="15" x14ac:dyDescent="0.25"/>
  <cols>
    <col min="1" max="1" width="3.85546875" customWidth="1"/>
    <col min="2" max="2" width="14.42578125" customWidth="1"/>
    <col min="3" max="3" width="5" customWidth="1"/>
    <col min="4" max="4" width="22" bestFit="1" customWidth="1"/>
    <col min="5" max="5" width="8.85546875" customWidth="1"/>
    <col min="6" max="6" width="6.140625" bestFit="1" customWidth="1"/>
    <col min="7" max="13" width="6.85546875" bestFit="1" customWidth="1"/>
    <col min="14" max="14" width="7" customWidth="1"/>
    <col min="15" max="15" width="6.85546875" customWidth="1"/>
    <col min="16" max="16" width="7.140625" customWidth="1"/>
    <col min="17" max="17" width="6.140625" customWidth="1"/>
    <col min="18" max="18" width="5.85546875" customWidth="1"/>
    <col min="19" max="19" width="7.42578125" customWidth="1"/>
    <col min="20" max="20" width="5.85546875" customWidth="1"/>
    <col min="21" max="21" width="6.42578125" customWidth="1"/>
  </cols>
  <sheetData>
    <row r="1" spans="1:29" s="508" customFormat="1" x14ac:dyDescent="0.2">
      <c r="A1" s="506"/>
      <c r="B1" s="507"/>
      <c r="C1" s="506"/>
    </row>
    <row r="2" spans="1:29" s="508" customFormat="1" ht="14.25" customHeight="1" x14ac:dyDescent="0.2">
      <c r="A2" s="509">
        <v>1</v>
      </c>
      <c r="B2" s="509" t="s">
        <v>0</v>
      </c>
      <c r="C2" s="509">
        <v>18</v>
      </c>
      <c r="D2" s="4674" t="s">
        <v>479</v>
      </c>
      <c r="E2" s="4675"/>
      <c r="F2" s="4675"/>
      <c r="G2" s="4675"/>
      <c r="H2" s="4675"/>
      <c r="I2" s="4675"/>
      <c r="J2" s="4675"/>
      <c r="K2" s="4675"/>
      <c r="L2" s="4675"/>
      <c r="M2" s="4675"/>
      <c r="N2" s="4675"/>
      <c r="O2" s="4675"/>
      <c r="P2" s="4675"/>
      <c r="Q2" s="4675"/>
      <c r="R2" s="4675"/>
      <c r="S2" s="4676"/>
      <c r="T2" s="180"/>
      <c r="U2" s="344"/>
      <c r="V2" s="510"/>
    </row>
    <row r="3" spans="1:29" s="508" customFormat="1" ht="14.25" customHeight="1" x14ac:dyDescent="0.25">
      <c r="A3" s="509">
        <v>2</v>
      </c>
      <c r="B3" s="509" t="s">
        <v>2</v>
      </c>
      <c r="C3" s="509"/>
      <c r="D3" s="4674" t="s">
        <v>448</v>
      </c>
      <c r="E3" s="4675"/>
      <c r="F3" s="4675"/>
      <c r="G3" s="4675"/>
      <c r="H3" s="4675"/>
      <c r="I3" s="4675"/>
      <c r="J3" s="4675"/>
      <c r="K3" s="4675"/>
      <c r="L3" s="4675"/>
      <c r="M3" s="4675"/>
      <c r="N3" s="4675"/>
      <c r="O3" s="4675"/>
      <c r="P3" s="4675"/>
      <c r="Q3" s="4675"/>
      <c r="R3" s="4675"/>
      <c r="S3" s="4676"/>
      <c r="T3" s="180"/>
      <c r="U3" s="344"/>
      <c r="V3" s="68"/>
    </row>
    <row r="4" spans="1:29" s="508" customFormat="1" ht="18" customHeight="1" x14ac:dyDescent="0.2">
      <c r="A4" s="509">
        <v>3</v>
      </c>
      <c r="B4" s="509" t="s">
        <v>4</v>
      </c>
      <c r="C4" s="509"/>
      <c r="D4" s="4674" t="s">
        <v>480</v>
      </c>
      <c r="E4" s="4675"/>
      <c r="F4" s="4675"/>
      <c r="G4" s="4675"/>
      <c r="H4" s="4675"/>
      <c r="I4" s="4675"/>
      <c r="J4" s="4675"/>
      <c r="K4" s="4675"/>
      <c r="L4" s="4675"/>
      <c r="M4" s="4675"/>
      <c r="N4" s="4675"/>
      <c r="O4" s="4675"/>
      <c r="P4" s="4675"/>
      <c r="Q4" s="4675"/>
      <c r="R4" s="4675"/>
      <c r="S4" s="4676"/>
      <c r="T4" s="180"/>
      <c r="U4" s="344"/>
      <c r="V4" s="511"/>
    </row>
    <row r="5" spans="1:29" s="4" customFormat="1" ht="13.5" customHeight="1" x14ac:dyDescent="0.25">
      <c r="A5" s="69"/>
      <c r="B5" s="70"/>
      <c r="C5" s="69"/>
      <c r="D5" s="512"/>
      <c r="E5" s="512"/>
      <c r="F5" s="512"/>
      <c r="G5" s="512"/>
      <c r="H5" s="512"/>
      <c r="I5" s="512"/>
      <c r="J5" s="512"/>
      <c r="K5" s="512"/>
      <c r="L5" s="512"/>
      <c r="M5" s="512"/>
      <c r="N5" s="512"/>
      <c r="O5" s="512"/>
      <c r="P5" s="512"/>
      <c r="Q5" s="4717"/>
      <c r="R5" s="4717"/>
      <c r="S5" s="4717"/>
      <c r="T5" s="4717"/>
      <c r="U5" s="4717"/>
      <c r="V5" s="4717"/>
      <c r="W5" s="4717"/>
      <c r="X5" s="4717"/>
      <c r="Y5" s="4717"/>
      <c r="Z5" s="4717"/>
      <c r="AA5" s="4717"/>
      <c r="AB5" s="4717"/>
      <c r="AC5" s="4717"/>
    </row>
    <row r="6" spans="1:29" x14ac:dyDescent="0.25">
      <c r="A6" s="509">
        <v>4</v>
      </c>
      <c r="B6" s="509" t="s">
        <v>6</v>
      </c>
      <c r="C6" s="509"/>
      <c r="D6" s="474" t="s">
        <v>80</v>
      </c>
      <c r="E6" s="474" t="s">
        <v>481</v>
      </c>
      <c r="F6" s="462"/>
      <c r="G6" s="462"/>
      <c r="H6" s="513"/>
      <c r="I6" s="513"/>
      <c r="J6" s="513"/>
      <c r="K6" s="513"/>
      <c r="L6" s="513"/>
      <c r="M6" s="513"/>
      <c r="N6" s="513"/>
      <c r="O6" s="513"/>
      <c r="P6" s="513"/>
      <c r="Q6" s="512"/>
      <c r="R6" s="512"/>
      <c r="S6" s="512"/>
      <c r="T6" s="512"/>
      <c r="U6" s="512"/>
      <c r="V6" s="512"/>
      <c r="W6" s="512"/>
    </row>
    <row r="7" spans="1:29" x14ac:dyDescent="0.25">
      <c r="A7" s="509"/>
      <c r="B7" s="509"/>
      <c r="C7" s="509"/>
      <c r="D7" s="464"/>
      <c r="E7" s="3379" t="s">
        <v>18</v>
      </c>
      <c r="F7" s="3379" t="s">
        <v>19</v>
      </c>
      <c r="G7" s="3380" t="s">
        <v>20</v>
      </c>
      <c r="H7" s="3380" t="s">
        <v>21</v>
      </c>
      <c r="I7" s="3380" t="s">
        <v>22</v>
      </c>
      <c r="J7" s="3380" t="s">
        <v>23</v>
      </c>
      <c r="K7" s="3380" t="s">
        <v>24</v>
      </c>
      <c r="L7" s="3380" t="s">
        <v>25</v>
      </c>
      <c r="M7" s="3380" t="s">
        <v>26</v>
      </c>
      <c r="N7" s="3380" t="s">
        <v>27</v>
      </c>
      <c r="O7" s="3380" t="s">
        <v>28</v>
      </c>
      <c r="P7" s="3380" t="s">
        <v>29</v>
      </c>
      <c r="Q7" s="3380" t="s">
        <v>30</v>
      </c>
      <c r="R7" s="3380" t="s">
        <v>31</v>
      </c>
      <c r="S7" s="3381" t="s">
        <v>32</v>
      </c>
      <c r="T7" s="894"/>
      <c r="U7" s="512"/>
      <c r="V7" s="512"/>
      <c r="W7" s="512"/>
    </row>
    <row r="8" spans="1:29" x14ac:dyDescent="0.25">
      <c r="A8" s="509"/>
      <c r="B8" s="509"/>
      <c r="C8" s="509"/>
      <c r="D8" s="514" t="s">
        <v>180</v>
      </c>
      <c r="E8" s="414">
        <v>26</v>
      </c>
      <c r="F8" s="414">
        <v>19</v>
      </c>
      <c r="G8" s="414">
        <v>21</v>
      </c>
      <c r="H8" s="414">
        <v>21</v>
      </c>
      <c r="I8" s="414">
        <v>24</v>
      </c>
      <c r="J8" s="414">
        <v>26</v>
      </c>
      <c r="K8" s="414">
        <v>21</v>
      </c>
      <c r="L8" s="414">
        <v>25</v>
      </c>
      <c r="M8" s="414">
        <v>24</v>
      </c>
      <c r="N8" s="414">
        <v>20</v>
      </c>
      <c r="O8" s="414">
        <v>18</v>
      </c>
      <c r="P8" s="414">
        <v>25</v>
      </c>
      <c r="Q8" s="414">
        <v>23</v>
      </c>
      <c r="R8" s="414">
        <v>25</v>
      </c>
      <c r="S8" s="515">
        <v>27</v>
      </c>
      <c r="T8" s="414"/>
      <c r="U8" s="512"/>
      <c r="V8" s="512"/>
      <c r="W8" s="512"/>
    </row>
    <row r="9" spans="1:29" x14ac:dyDescent="0.25">
      <c r="A9" s="509"/>
      <c r="B9" s="509"/>
      <c r="C9" s="509"/>
      <c r="D9" s="514" t="s">
        <v>123</v>
      </c>
      <c r="E9" s="414">
        <v>27</v>
      </c>
      <c r="F9" s="414">
        <v>27</v>
      </c>
      <c r="G9" s="414">
        <v>26</v>
      </c>
      <c r="H9" s="414">
        <v>28</v>
      </c>
      <c r="I9" s="414">
        <v>30</v>
      </c>
      <c r="J9" s="414">
        <v>30</v>
      </c>
      <c r="K9" s="414">
        <v>31</v>
      </c>
      <c r="L9" s="414">
        <v>33</v>
      </c>
      <c r="M9" s="414">
        <v>34</v>
      </c>
      <c r="N9" s="414">
        <v>33</v>
      </c>
      <c r="O9" s="414">
        <v>35</v>
      </c>
      <c r="P9" s="414">
        <v>33</v>
      </c>
      <c r="Q9" s="414">
        <v>33</v>
      </c>
      <c r="R9" s="414">
        <v>33</v>
      </c>
      <c r="S9" s="515">
        <v>33</v>
      </c>
      <c r="T9" s="414"/>
      <c r="U9" s="512"/>
      <c r="V9" s="512"/>
      <c r="W9" s="512"/>
    </row>
    <row r="10" spans="1:29" x14ac:dyDescent="0.25">
      <c r="A10" s="509"/>
      <c r="B10" s="509"/>
      <c r="C10" s="509"/>
      <c r="D10" s="514" t="s">
        <v>290</v>
      </c>
      <c r="E10" s="414">
        <v>25</v>
      </c>
      <c r="F10" s="414">
        <v>26</v>
      </c>
      <c r="G10" s="414">
        <v>27</v>
      </c>
      <c r="H10" s="414">
        <v>32</v>
      </c>
      <c r="I10" s="414">
        <v>35</v>
      </c>
      <c r="J10" s="414">
        <v>33</v>
      </c>
      <c r="K10" s="414">
        <v>33</v>
      </c>
      <c r="L10" s="414">
        <v>34</v>
      </c>
      <c r="M10" s="414">
        <v>32</v>
      </c>
      <c r="N10" s="414">
        <v>29</v>
      </c>
      <c r="O10" s="414">
        <v>30</v>
      </c>
      <c r="P10" s="414">
        <v>29</v>
      </c>
      <c r="Q10" s="414">
        <v>30</v>
      </c>
      <c r="R10" s="414">
        <v>32</v>
      </c>
      <c r="S10" s="515">
        <v>31</v>
      </c>
      <c r="T10" s="414"/>
      <c r="U10" s="512"/>
      <c r="V10" s="512"/>
      <c r="W10" s="512"/>
    </row>
    <row r="11" spans="1:29" x14ac:dyDescent="0.25">
      <c r="A11" s="509"/>
      <c r="B11" s="509"/>
      <c r="C11" s="509"/>
      <c r="D11" s="514" t="s">
        <v>293</v>
      </c>
      <c r="E11" s="414">
        <v>40</v>
      </c>
      <c r="F11" s="414">
        <v>39</v>
      </c>
      <c r="G11" s="414">
        <v>38</v>
      </c>
      <c r="H11" s="414">
        <v>44</v>
      </c>
      <c r="I11" s="414">
        <v>53</v>
      </c>
      <c r="J11" s="414">
        <v>47</v>
      </c>
      <c r="K11" s="414">
        <v>44</v>
      </c>
      <c r="L11" s="414">
        <v>45</v>
      </c>
      <c r="M11" s="414">
        <v>48</v>
      </c>
      <c r="N11" s="414">
        <v>41</v>
      </c>
      <c r="O11" s="414">
        <v>36</v>
      </c>
      <c r="P11" s="414">
        <v>41</v>
      </c>
      <c r="Q11" s="414">
        <v>35</v>
      </c>
      <c r="R11" s="414">
        <v>40</v>
      </c>
      <c r="S11" s="515">
        <v>39</v>
      </c>
      <c r="T11" s="414"/>
      <c r="U11" s="512"/>
      <c r="V11" s="512"/>
      <c r="W11" s="512"/>
    </row>
    <row r="12" spans="1:29" x14ac:dyDescent="0.25">
      <c r="A12" s="509"/>
      <c r="B12" s="509"/>
      <c r="C12" s="509"/>
      <c r="D12" s="514" t="s">
        <v>126</v>
      </c>
      <c r="E12" s="414">
        <v>37</v>
      </c>
      <c r="F12" s="414">
        <v>37</v>
      </c>
      <c r="G12" s="414">
        <v>41</v>
      </c>
      <c r="H12" s="414">
        <v>46</v>
      </c>
      <c r="I12" s="414">
        <v>47</v>
      </c>
      <c r="J12" s="414">
        <v>60</v>
      </c>
      <c r="K12" s="414">
        <v>69</v>
      </c>
      <c r="L12" s="414">
        <v>71</v>
      </c>
      <c r="M12" s="414">
        <v>78</v>
      </c>
      <c r="N12" s="414">
        <v>75</v>
      </c>
      <c r="O12" s="414">
        <v>67</v>
      </c>
      <c r="P12" s="414">
        <v>65</v>
      </c>
      <c r="Q12" s="414">
        <v>59</v>
      </c>
      <c r="R12" s="414">
        <v>41</v>
      </c>
      <c r="S12" s="515">
        <v>42</v>
      </c>
      <c r="T12" s="414"/>
      <c r="U12" s="512"/>
      <c r="V12" s="512"/>
      <c r="W12" s="512"/>
    </row>
    <row r="13" spans="1:29" x14ac:dyDescent="0.25">
      <c r="A13" s="509"/>
      <c r="B13" s="509"/>
      <c r="C13" s="509"/>
      <c r="D13" s="516" t="s">
        <v>103</v>
      </c>
      <c r="E13" s="517">
        <v>42</v>
      </c>
      <c r="F13" s="517">
        <v>36</v>
      </c>
      <c r="G13" s="517">
        <v>44</v>
      </c>
      <c r="H13" s="517">
        <v>45</v>
      </c>
      <c r="I13" s="517">
        <v>45</v>
      </c>
      <c r="J13" s="517">
        <v>54</v>
      </c>
      <c r="K13" s="517">
        <v>50</v>
      </c>
      <c r="L13" s="518">
        <v>52</v>
      </c>
      <c r="M13" s="518">
        <v>53</v>
      </c>
      <c r="N13" s="518">
        <v>56</v>
      </c>
      <c r="O13" s="518">
        <v>49</v>
      </c>
      <c r="P13" s="518">
        <v>47</v>
      </c>
      <c r="Q13" s="518">
        <v>61</v>
      </c>
      <c r="R13" s="518">
        <v>67</v>
      </c>
      <c r="S13" s="519">
        <v>60</v>
      </c>
      <c r="T13" s="518"/>
      <c r="U13" s="512"/>
      <c r="V13" s="512"/>
      <c r="W13" s="512"/>
    </row>
    <row r="14" spans="1:29" x14ac:dyDescent="0.25">
      <c r="A14" s="509"/>
      <c r="B14" s="509"/>
      <c r="C14" s="509"/>
      <c r="D14" s="514" t="s">
        <v>294</v>
      </c>
      <c r="E14" s="414">
        <v>36</v>
      </c>
      <c r="F14" s="414">
        <v>44</v>
      </c>
      <c r="G14" s="414">
        <v>45</v>
      </c>
      <c r="H14" s="414">
        <v>54</v>
      </c>
      <c r="I14" s="414">
        <v>68</v>
      </c>
      <c r="J14" s="414">
        <v>70</v>
      </c>
      <c r="K14" s="414">
        <v>64</v>
      </c>
      <c r="L14" s="414">
        <v>55</v>
      </c>
      <c r="M14" s="414">
        <v>52</v>
      </c>
      <c r="N14" s="414">
        <v>42</v>
      </c>
      <c r="O14" s="414">
        <v>44</v>
      </c>
      <c r="P14" s="414">
        <v>49</v>
      </c>
      <c r="Q14" s="414">
        <v>54</v>
      </c>
      <c r="R14" s="414">
        <v>42</v>
      </c>
      <c r="S14" s="515">
        <v>41</v>
      </c>
      <c r="T14" s="414"/>
      <c r="U14" s="512"/>
      <c r="V14" s="512"/>
      <c r="W14" s="512"/>
    </row>
    <row r="15" spans="1:29" x14ac:dyDescent="0.25">
      <c r="A15" s="509"/>
      <c r="B15" s="509"/>
      <c r="C15" s="509"/>
      <c r="D15" s="514" t="s">
        <v>177</v>
      </c>
      <c r="E15" s="414">
        <v>41</v>
      </c>
      <c r="F15" s="414">
        <v>38</v>
      </c>
      <c r="G15" s="414">
        <v>47</v>
      </c>
      <c r="H15" s="414">
        <v>62</v>
      </c>
      <c r="I15" s="414">
        <v>58</v>
      </c>
      <c r="J15" s="414">
        <v>52</v>
      </c>
      <c r="K15" s="414">
        <v>48</v>
      </c>
      <c r="L15" s="414">
        <v>60</v>
      </c>
      <c r="M15" s="414">
        <v>63</v>
      </c>
      <c r="N15" s="414">
        <v>60</v>
      </c>
      <c r="O15" s="414">
        <v>63</v>
      </c>
      <c r="P15" s="414">
        <v>69</v>
      </c>
      <c r="Q15" s="414">
        <v>60</v>
      </c>
      <c r="R15" s="414">
        <v>48</v>
      </c>
      <c r="S15" s="515">
        <v>47</v>
      </c>
      <c r="T15" s="414"/>
      <c r="U15" s="512"/>
      <c r="V15" s="512"/>
      <c r="W15" s="512"/>
    </row>
    <row r="16" spans="1:29" x14ac:dyDescent="0.25">
      <c r="A16" s="509"/>
      <c r="B16" s="509"/>
      <c r="C16" s="509"/>
      <c r="D16" s="520" t="s">
        <v>113</v>
      </c>
      <c r="E16" s="414">
        <v>48</v>
      </c>
      <c r="F16" s="414">
        <v>45</v>
      </c>
      <c r="G16" s="414">
        <v>51</v>
      </c>
      <c r="H16" s="414">
        <v>53</v>
      </c>
      <c r="I16" s="414">
        <v>46</v>
      </c>
      <c r="J16" s="414">
        <v>39</v>
      </c>
      <c r="K16" s="414">
        <v>41</v>
      </c>
      <c r="L16" s="414">
        <v>41</v>
      </c>
      <c r="M16" s="414">
        <v>42</v>
      </c>
      <c r="N16" s="414">
        <v>43</v>
      </c>
      <c r="O16" s="414">
        <v>41</v>
      </c>
      <c r="P16" s="414">
        <v>36</v>
      </c>
      <c r="Q16" s="414">
        <v>39</v>
      </c>
      <c r="R16" s="414">
        <v>37</v>
      </c>
      <c r="S16" s="515">
        <v>37</v>
      </c>
      <c r="T16" s="414"/>
      <c r="U16" s="512"/>
      <c r="V16" s="512"/>
      <c r="W16" s="512"/>
      <c r="X16" s="512"/>
    </row>
    <row r="17" spans="1:26" x14ac:dyDescent="0.25">
      <c r="A17" s="509"/>
      <c r="B17" s="509"/>
      <c r="C17" s="509"/>
      <c r="D17" s="514" t="s">
        <v>105</v>
      </c>
      <c r="E17" s="414">
        <v>58</v>
      </c>
      <c r="F17" s="414">
        <v>52</v>
      </c>
      <c r="G17" s="414">
        <v>52</v>
      </c>
      <c r="H17" s="414">
        <v>60</v>
      </c>
      <c r="I17" s="414">
        <v>60</v>
      </c>
      <c r="J17" s="414">
        <v>66</v>
      </c>
      <c r="K17" s="414">
        <v>58</v>
      </c>
      <c r="L17" s="414">
        <v>53</v>
      </c>
      <c r="M17" s="414">
        <v>55</v>
      </c>
      <c r="N17" s="414">
        <v>61</v>
      </c>
      <c r="O17" s="414">
        <v>57</v>
      </c>
      <c r="P17" s="414">
        <v>51</v>
      </c>
      <c r="Q17" s="414">
        <v>51</v>
      </c>
      <c r="R17" s="414">
        <v>46</v>
      </c>
      <c r="S17" s="515">
        <v>48</v>
      </c>
      <c r="T17" s="414"/>
      <c r="U17" s="512"/>
      <c r="V17" s="512"/>
      <c r="W17" s="512"/>
      <c r="X17" s="512"/>
    </row>
    <row r="18" spans="1:26" x14ac:dyDescent="0.25">
      <c r="A18" s="509"/>
      <c r="B18" s="509"/>
      <c r="C18" s="509"/>
      <c r="D18" s="514" t="s">
        <v>292</v>
      </c>
      <c r="E18" s="414">
        <v>55</v>
      </c>
      <c r="F18" s="414">
        <v>55</v>
      </c>
      <c r="G18" s="414">
        <v>60</v>
      </c>
      <c r="H18" s="414">
        <v>57</v>
      </c>
      <c r="I18" s="414">
        <v>57</v>
      </c>
      <c r="J18" s="414">
        <v>55</v>
      </c>
      <c r="K18" s="414">
        <v>54</v>
      </c>
      <c r="L18" s="414">
        <v>54</v>
      </c>
      <c r="M18" s="414">
        <v>45</v>
      </c>
      <c r="N18" s="414">
        <v>39</v>
      </c>
      <c r="O18" s="414">
        <v>46</v>
      </c>
      <c r="P18" s="414">
        <v>45</v>
      </c>
      <c r="Q18" s="414">
        <v>45</v>
      </c>
      <c r="R18" s="414">
        <v>49</v>
      </c>
      <c r="S18" s="515">
        <v>52</v>
      </c>
      <c r="T18" s="414"/>
      <c r="U18" s="512"/>
      <c r="V18" s="512"/>
      <c r="W18" s="512"/>
      <c r="X18" s="512"/>
    </row>
    <row r="19" spans="1:26" x14ac:dyDescent="0.25">
      <c r="A19" s="509"/>
      <c r="B19" s="509"/>
      <c r="C19" s="509"/>
      <c r="D19" s="514" t="s">
        <v>106</v>
      </c>
      <c r="E19" s="414">
        <v>66</v>
      </c>
      <c r="F19" s="414">
        <v>66</v>
      </c>
      <c r="G19" s="414">
        <v>72</v>
      </c>
      <c r="H19" s="414">
        <v>64</v>
      </c>
      <c r="I19" s="414">
        <v>56</v>
      </c>
      <c r="J19" s="414">
        <v>58</v>
      </c>
      <c r="K19" s="414">
        <v>53</v>
      </c>
      <c r="L19" s="414">
        <v>48</v>
      </c>
      <c r="M19" s="414">
        <v>56</v>
      </c>
      <c r="N19" s="414">
        <v>57</v>
      </c>
      <c r="O19" s="414">
        <v>75</v>
      </c>
      <c r="P19" s="414">
        <v>81</v>
      </c>
      <c r="Q19" s="414">
        <v>80</v>
      </c>
      <c r="R19" s="414">
        <v>72</v>
      </c>
      <c r="S19" s="515">
        <v>71</v>
      </c>
      <c r="T19" s="414"/>
      <c r="U19" s="512"/>
      <c r="V19" s="512"/>
      <c r="W19" s="512"/>
      <c r="X19" s="512"/>
    </row>
    <row r="20" spans="1:26" x14ac:dyDescent="0.25">
      <c r="A20" s="509"/>
      <c r="B20" s="509"/>
      <c r="C20" s="509"/>
      <c r="D20" s="514" t="s">
        <v>110</v>
      </c>
      <c r="E20" s="414">
        <v>68</v>
      </c>
      <c r="F20" s="414">
        <v>73</v>
      </c>
      <c r="G20" s="414">
        <v>74</v>
      </c>
      <c r="H20" s="414">
        <v>68</v>
      </c>
      <c r="I20" s="414">
        <v>64</v>
      </c>
      <c r="J20" s="414">
        <v>67</v>
      </c>
      <c r="K20" s="414">
        <v>77</v>
      </c>
      <c r="L20" s="414">
        <v>78</v>
      </c>
      <c r="M20" s="414">
        <v>76</v>
      </c>
      <c r="N20" s="414">
        <v>59</v>
      </c>
      <c r="O20" s="414">
        <v>53</v>
      </c>
      <c r="P20" s="414">
        <v>62</v>
      </c>
      <c r="Q20" s="414">
        <v>68</v>
      </c>
      <c r="R20" s="414">
        <v>52</v>
      </c>
      <c r="S20" s="515">
        <v>51</v>
      </c>
      <c r="T20" s="414"/>
      <c r="U20" s="512"/>
      <c r="V20" s="512"/>
      <c r="W20" s="512"/>
      <c r="X20" s="512"/>
    </row>
    <row r="21" spans="1:26" x14ac:dyDescent="0.25">
      <c r="A21" s="509"/>
      <c r="B21" s="509"/>
      <c r="C21" s="509"/>
      <c r="D21" s="521" t="s">
        <v>111</v>
      </c>
      <c r="E21" s="522">
        <v>81</v>
      </c>
      <c r="F21" s="522">
        <v>57</v>
      </c>
      <c r="G21" s="522">
        <v>76</v>
      </c>
      <c r="H21" s="522">
        <v>56</v>
      </c>
      <c r="I21" s="522">
        <v>66</v>
      </c>
      <c r="J21" s="522">
        <v>76</v>
      </c>
      <c r="K21" s="522">
        <v>80</v>
      </c>
      <c r="L21" s="414">
        <v>79</v>
      </c>
      <c r="M21" s="414">
        <v>74</v>
      </c>
      <c r="N21" s="414">
        <v>74</v>
      </c>
      <c r="O21" s="522">
        <v>71</v>
      </c>
      <c r="P21" s="522">
        <v>64</v>
      </c>
      <c r="Q21" s="414">
        <v>63</v>
      </c>
      <c r="R21" s="414">
        <v>90</v>
      </c>
      <c r="S21" s="515">
        <v>91</v>
      </c>
      <c r="T21" s="414"/>
      <c r="U21" s="512"/>
      <c r="V21" s="512"/>
      <c r="W21" s="512"/>
      <c r="X21" s="512"/>
    </row>
    <row r="22" spans="1:26" x14ac:dyDescent="0.25">
      <c r="A22" s="509"/>
      <c r="B22" s="509"/>
      <c r="C22" s="509"/>
      <c r="D22" s="523" t="s">
        <v>84</v>
      </c>
      <c r="E22" s="524">
        <v>117</v>
      </c>
      <c r="F22" s="524">
        <v>125</v>
      </c>
      <c r="G22" s="524">
        <v>131</v>
      </c>
      <c r="H22" s="524">
        <v>134</v>
      </c>
      <c r="I22" s="524">
        <v>133</v>
      </c>
      <c r="J22" s="524">
        <v>139</v>
      </c>
      <c r="K22" s="524">
        <v>142</v>
      </c>
      <c r="L22" s="524">
        <v>144</v>
      </c>
      <c r="M22" s="524">
        <v>148</v>
      </c>
      <c r="N22" s="524">
        <v>144</v>
      </c>
      <c r="O22" s="524">
        <v>138</v>
      </c>
      <c r="P22" s="524">
        <v>140</v>
      </c>
      <c r="Q22" s="524">
        <v>137</v>
      </c>
      <c r="R22" s="524">
        <v>140</v>
      </c>
      <c r="S22" s="525">
        <v>141</v>
      </c>
      <c r="T22" s="474"/>
      <c r="U22" s="512"/>
      <c r="V22" s="512"/>
      <c r="W22" s="512"/>
      <c r="X22" s="512"/>
    </row>
    <row r="23" spans="1:26" x14ac:dyDescent="0.25">
      <c r="A23" s="509"/>
      <c r="B23" s="509"/>
      <c r="C23" s="509"/>
      <c r="D23" s="526"/>
      <c r="E23" s="513"/>
      <c r="F23" s="513"/>
      <c r="G23" s="513"/>
      <c r="H23" s="513"/>
      <c r="I23" s="513"/>
      <c r="J23" s="513"/>
      <c r="K23" s="513"/>
      <c r="L23" s="513"/>
      <c r="M23" s="513"/>
      <c r="N23" s="513"/>
      <c r="O23" s="513"/>
      <c r="P23" s="513"/>
      <c r="Q23" s="512"/>
      <c r="R23" s="512"/>
      <c r="S23" s="512"/>
      <c r="T23" s="512"/>
      <c r="U23" s="512"/>
      <c r="V23" s="512"/>
      <c r="W23" s="512"/>
      <c r="X23" s="512"/>
    </row>
    <row r="24" spans="1:26" x14ac:dyDescent="0.25">
      <c r="A24" s="509"/>
      <c r="B24" s="509"/>
      <c r="C24" s="527"/>
      <c r="D24" s="474" t="s">
        <v>267</v>
      </c>
      <c r="E24" s="474" t="s">
        <v>482</v>
      </c>
      <c r="F24" s="528"/>
      <c r="G24" s="528"/>
      <c r="H24" s="414"/>
      <c r="I24" s="414"/>
      <c r="J24" s="414"/>
      <c r="K24" s="414"/>
      <c r="L24" s="414"/>
      <c r="M24" s="414"/>
      <c r="N24" s="414"/>
      <c r="O24" s="414"/>
      <c r="P24" s="414"/>
      <c r="Q24" s="413"/>
      <c r="R24" s="413"/>
      <c r="S24" s="413"/>
      <c r="T24" s="413"/>
      <c r="U24" s="413"/>
      <c r="V24" s="413"/>
      <c r="W24" s="413"/>
      <c r="X24" s="512"/>
    </row>
    <row r="25" spans="1:26" x14ac:dyDescent="0.25">
      <c r="A25" s="509"/>
      <c r="B25" s="509"/>
      <c r="C25" s="527"/>
      <c r="D25" s="464"/>
      <c r="E25" s="2243">
        <v>2005</v>
      </c>
      <c r="F25" s="2243">
        <v>2006</v>
      </c>
      <c r="G25" s="2243">
        <v>2007</v>
      </c>
      <c r="H25" s="2243">
        <v>2008</v>
      </c>
      <c r="I25" s="2243">
        <v>2009</v>
      </c>
      <c r="J25" s="2243">
        <v>2010</v>
      </c>
      <c r="K25" s="2243">
        <v>2011</v>
      </c>
      <c r="L25" s="2243">
        <v>2012</v>
      </c>
      <c r="M25" s="2243">
        <v>2013</v>
      </c>
      <c r="N25" s="2243">
        <v>2014</v>
      </c>
      <c r="O25" s="2243">
        <v>2015</v>
      </c>
      <c r="P25" s="2243">
        <v>2016</v>
      </c>
      <c r="Q25" s="2243">
        <v>2017</v>
      </c>
      <c r="R25" s="2243">
        <v>2018</v>
      </c>
      <c r="S25" s="2243">
        <v>2019</v>
      </c>
      <c r="T25" s="2243">
        <v>2020</v>
      </c>
      <c r="U25" s="3382">
        <v>2021</v>
      </c>
      <c r="V25" s="3382">
        <v>2022</v>
      </c>
      <c r="W25" s="529"/>
      <c r="X25" s="529"/>
      <c r="Y25" s="529"/>
      <c r="Z25" s="529"/>
    </row>
    <row r="26" spans="1:26" x14ac:dyDescent="0.25">
      <c r="A26" s="509"/>
      <c r="B26" s="509"/>
      <c r="C26" s="527"/>
      <c r="D26" s="530" t="s">
        <v>483</v>
      </c>
      <c r="E26" s="3383"/>
      <c r="F26" s="3383"/>
      <c r="G26" s="3383"/>
      <c r="H26" s="3383"/>
      <c r="I26" s="3383"/>
      <c r="J26" s="3383"/>
      <c r="K26" s="3383"/>
      <c r="L26" s="3383"/>
      <c r="M26" s="3383"/>
      <c r="N26" s="3383"/>
      <c r="O26" s="3383"/>
      <c r="P26" s="3383"/>
      <c r="Q26" s="3383"/>
      <c r="R26" s="3383"/>
      <c r="S26" s="3383"/>
      <c r="T26" s="3383"/>
      <c r="U26" s="3539"/>
      <c r="V26" s="3539"/>
      <c r="W26" s="529"/>
      <c r="X26" s="529"/>
      <c r="Y26" s="529"/>
      <c r="Z26" s="529"/>
    </row>
    <row r="27" spans="1:26" x14ac:dyDescent="0.25">
      <c r="A27" s="531"/>
      <c r="B27" s="531"/>
      <c r="C27" s="527"/>
      <c r="D27" s="514" t="s">
        <v>180</v>
      </c>
      <c r="E27" s="414" t="s">
        <v>484</v>
      </c>
      <c r="F27" s="3656">
        <v>22</v>
      </c>
      <c r="G27" s="3656">
        <v>23</v>
      </c>
      <c r="H27" s="3656">
        <v>19</v>
      </c>
      <c r="I27" s="3656">
        <v>18</v>
      </c>
      <c r="J27" s="3656">
        <v>10</v>
      </c>
      <c r="K27" s="3656">
        <v>16</v>
      </c>
      <c r="L27" s="3656">
        <v>14</v>
      </c>
      <c r="M27" s="3656">
        <v>15</v>
      </c>
      <c r="N27" s="3656">
        <v>12</v>
      </c>
      <c r="O27" s="3656">
        <v>14</v>
      </c>
      <c r="P27" s="3656">
        <v>19</v>
      </c>
      <c r="Q27" s="3656">
        <v>24</v>
      </c>
      <c r="R27" s="3656">
        <v>22</v>
      </c>
      <c r="S27" s="3656">
        <v>22</v>
      </c>
      <c r="T27" s="3656">
        <v>27</v>
      </c>
      <c r="U27" s="3657">
        <v>25</v>
      </c>
      <c r="V27" s="4279"/>
      <c r="W27" s="512"/>
      <c r="X27" s="512"/>
      <c r="Y27" s="512"/>
      <c r="Z27" s="512"/>
    </row>
    <row r="28" spans="1:26" x14ac:dyDescent="0.25">
      <c r="A28" s="531"/>
      <c r="B28" s="531"/>
      <c r="C28" s="533"/>
      <c r="D28" s="514" t="s">
        <v>123</v>
      </c>
      <c r="E28" s="414" t="s">
        <v>484</v>
      </c>
      <c r="F28" s="462">
        <v>23</v>
      </c>
      <c r="G28" s="462">
        <v>26</v>
      </c>
      <c r="H28" s="462">
        <v>26</v>
      </c>
      <c r="I28" s="462">
        <v>25</v>
      </c>
      <c r="J28" s="462">
        <v>28</v>
      </c>
      <c r="K28" s="462">
        <v>25</v>
      </c>
      <c r="L28" s="462">
        <v>28</v>
      </c>
      <c r="M28" s="462">
        <v>30</v>
      </c>
      <c r="N28" s="462">
        <v>31</v>
      </c>
      <c r="O28" s="462">
        <v>35</v>
      </c>
      <c r="P28" s="462">
        <v>36</v>
      </c>
      <c r="Q28" s="462">
        <v>35</v>
      </c>
      <c r="R28" s="462">
        <v>35</v>
      </c>
      <c r="S28" s="462">
        <v>42</v>
      </c>
      <c r="T28" s="462">
        <v>38</v>
      </c>
      <c r="U28" s="534">
        <v>44</v>
      </c>
      <c r="V28" s="4280"/>
      <c r="W28" s="512"/>
      <c r="X28" s="512"/>
      <c r="Y28" s="512"/>
      <c r="Z28" s="512"/>
    </row>
    <row r="29" spans="1:26" x14ac:dyDescent="0.25">
      <c r="A29" s="531"/>
      <c r="B29" s="531"/>
      <c r="C29" s="535"/>
      <c r="D29" s="514" t="s">
        <v>290</v>
      </c>
      <c r="E29" s="414" t="s">
        <v>484</v>
      </c>
      <c r="F29" s="414">
        <v>19</v>
      </c>
      <c r="G29" s="414">
        <v>22</v>
      </c>
      <c r="H29" s="414">
        <v>23</v>
      </c>
      <c r="I29" s="462">
        <v>35</v>
      </c>
      <c r="J29" s="462">
        <v>34</v>
      </c>
      <c r="K29" s="462">
        <v>33</v>
      </c>
      <c r="L29" s="462">
        <v>31</v>
      </c>
      <c r="M29" s="462">
        <v>36</v>
      </c>
      <c r="N29" s="462">
        <v>30</v>
      </c>
      <c r="O29" s="462">
        <v>31</v>
      </c>
      <c r="P29" s="462">
        <v>31</v>
      </c>
      <c r="Q29" s="462">
        <v>30</v>
      </c>
      <c r="R29" s="462">
        <v>31</v>
      </c>
      <c r="S29" s="462">
        <v>35</v>
      </c>
      <c r="T29" s="462">
        <v>28</v>
      </c>
      <c r="U29" s="534">
        <v>26</v>
      </c>
      <c r="V29" s="4280"/>
      <c r="W29" s="512"/>
      <c r="X29" s="512"/>
      <c r="Y29" s="512"/>
      <c r="Z29" s="512"/>
    </row>
    <row r="30" spans="1:26" x14ac:dyDescent="0.25">
      <c r="A30" s="531"/>
      <c r="B30" s="531"/>
      <c r="C30" s="533"/>
      <c r="D30" s="514" t="s">
        <v>293</v>
      </c>
      <c r="E30" s="414" t="s">
        <v>484</v>
      </c>
      <c r="F30" s="414" t="s">
        <v>484</v>
      </c>
      <c r="G30" s="414">
        <v>31</v>
      </c>
      <c r="H30" s="414">
        <v>36</v>
      </c>
      <c r="I30" s="462">
        <v>31</v>
      </c>
      <c r="J30" s="462">
        <v>43</v>
      </c>
      <c r="K30" s="462">
        <v>45</v>
      </c>
      <c r="L30" s="462">
        <v>36</v>
      </c>
      <c r="M30" s="462">
        <v>31</v>
      </c>
      <c r="N30" s="462">
        <v>34</v>
      </c>
      <c r="O30" s="462">
        <v>28</v>
      </c>
      <c r="P30" s="462">
        <v>30</v>
      </c>
      <c r="Q30" s="462">
        <v>33</v>
      </c>
      <c r="R30" s="462">
        <v>32</v>
      </c>
      <c r="S30" s="462">
        <v>29</v>
      </c>
      <c r="T30" s="462">
        <v>31</v>
      </c>
      <c r="U30" s="534">
        <v>30</v>
      </c>
      <c r="V30" s="4280"/>
      <c r="W30" s="512"/>
      <c r="X30" s="512"/>
      <c r="Y30" s="512"/>
      <c r="Z30" s="512"/>
    </row>
    <row r="31" spans="1:26" x14ac:dyDescent="0.25">
      <c r="A31" s="531"/>
      <c r="B31" s="531"/>
      <c r="C31" s="535"/>
      <c r="D31" s="514" t="s">
        <v>485</v>
      </c>
      <c r="E31" s="414" t="s">
        <v>484</v>
      </c>
      <c r="F31" s="462">
        <v>33</v>
      </c>
      <c r="G31" s="462">
        <v>34</v>
      </c>
      <c r="H31" s="462">
        <v>30</v>
      </c>
      <c r="I31" s="462">
        <v>33</v>
      </c>
      <c r="J31" s="462">
        <v>49</v>
      </c>
      <c r="K31" s="462">
        <v>48</v>
      </c>
      <c r="L31" s="462">
        <v>47</v>
      </c>
      <c r="M31" s="462">
        <v>47</v>
      </c>
      <c r="N31" s="462">
        <v>45</v>
      </c>
      <c r="O31" s="462">
        <v>46</v>
      </c>
      <c r="P31" s="462">
        <v>40</v>
      </c>
      <c r="Q31" s="462">
        <v>51</v>
      </c>
      <c r="R31" s="462">
        <v>55</v>
      </c>
      <c r="S31" s="462">
        <v>53</v>
      </c>
      <c r="T31" s="462">
        <v>57</v>
      </c>
      <c r="U31" s="534">
        <v>50</v>
      </c>
      <c r="V31" s="4280"/>
      <c r="W31" s="512"/>
      <c r="X31" s="512"/>
      <c r="Y31" s="512"/>
      <c r="Z31" s="512"/>
    </row>
    <row r="32" spans="1:26" x14ac:dyDescent="0.25">
      <c r="A32" s="509"/>
      <c r="B32" s="509"/>
      <c r="C32" s="533"/>
      <c r="D32" s="536" t="s">
        <v>98</v>
      </c>
      <c r="E32" s="537">
        <v>37</v>
      </c>
      <c r="F32" s="537">
        <v>38</v>
      </c>
      <c r="G32" s="537">
        <v>50</v>
      </c>
      <c r="H32" s="537">
        <v>53</v>
      </c>
      <c r="I32" s="537">
        <v>48</v>
      </c>
      <c r="J32" s="537">
        <v>44</v>
      </c>
      <c r="K32" s="537">
        <v>52</v>
      </c>
      <c r="L32" s="537">
        <v>50</v>
      </c>
      <c r="M32" s="537">
        <v>53</v>
      </c>
      <c r="N32" s="537">
        <v>52</v>
      </c>
      <c r="O32" s="537">
        <v>53</v>
      </c>
      <c r="P32" s="537">
        <v>52</v>
      </c>
      <c r="Q32" s="537">
        <v>53</v>
      </c>
      <c r="R32" s="537">
        <v>53</v>
      </c>
      <c r="S32" s="537">
        <v>56</v>
      </c>
      <c r="T32" s="537">
        <v>59</v>
      </c>
      <c r="U32" s="538">
        <v>62</v>
      </c>
      <c r="V32" s="4281">
        <v>60</v>
      </c>
    </row>
    <row r="33" spans="1:29" x14ac:dyDescent="0.25">
      <c r="A33" s="509"/>
      <c r="B33" s="509"/>
      <c r="C33" s="527"/>
      <c r="D33" s="514" t="s">
        <v>177</v>
      </c>
      <c r="E33" s="462">
        <v>31</v>
      </c>
      <c r="F33" s="462">
        <v>35</v>
      </c>
      <c r="G33" s="462">
        <v>35</v>
      </c>
      <c r="H33" s="462">
        <v>38</v>
      </c>
      <c r="I33" s="462">
        <v>45</v>
      </c>
      <c r="J33" s="462">
        <v>42</v>
      </c>
      <c r="K33" s="462">
        <v>47</v>
      </c>
      <c r="L33" s="462">
        <v>45</v>
      </c>
      <c r="M33" s="462">
        <v>50</v>
      </c>
      <c r="N33" s="462">
        <v>48</v>
      </c>
      <c r="O33" s="462">
        <v>48</v>
      </c>
      <c r="P33" s="462">
        <v>46</v>
      </c>
      <c r="Q33" s="462">
        <v>52</v>
      </c>
      <c r="R33" s="462">
        <v>47</v>
      </c>
      <c r="S33" s="462">
        <v>47</v>
      </c>
      <c r="T33" s="462">
        <v>47</v>
      </c>
      <c r="U33" s="534">
        <v>42</v>
      </c>
      <c r="V33" s="4282"/>
    </row>
    <row r="34" spans="1:29" x14ac:dyDescent="0.25">
      <c r="A34" s="509"/>
      <c r="B34" s="509"/>
      <c r="C34" s="533"/>
      <c r="D34" s="520" t="s">
        <v>113</v>
      </c>
      <c r="E34" s="462">
        <v>48</v>
      </c>
      <c r="F34" s="462">
        <v>50</v>
      </c>
      <c r="G34" s="462">
        <v>52</v>
      </c>
      <c r="H34" s="462">
        <v>44</v>
      </c>
      <c r="I34" s="462">
        <v>44</v>
      </c>
      <c r="J34" s="462">
        <v>32</v>
      </c>
      <c r="K34" s="462">
        <v>34</v>
      </c>
      <c r="L34" s="462">
        <v>34</v>
      </c>
      <c r="M34" s="462">
        <v>33</v>
      </c>
      <c r="N34" s="462">
        <v>36</v>
      </c>
      <c r="O34" s="462">
        <v>33</v>
      </c>
      <c r="P34" s="462">
        <v>33</v>
      </c>
      <c r="Q34" s="462">
        <v>38</v>
      </c>
      <c r="R34" s="462">
        <v>34</v>
      </c>
      <c r="S34" s="462">
        <v>38</v>
      </c>
      <c r="T34" s="462">
        <v>39</v>
      </c>
      <c r="U34" s="534">
        <v>47</v>
      </c>
      <c r="V34" s="4282"/>
    </row>
    <row r="35" spans="1:29" x14ac:dyDescent="0.25">
      <c r="A35" s="509"/>
      <c r="B35" s="509"/>
      <c r="C35" s="535"/>
      <c r="D35" s="514" t="s">
        <v>105</v>
      </c>
      <c r="E35" s="462">
        <v>47</v>
      </c>
      <c r="F35" s="462">
        <v>45</v>
      </c>
      <c r="G35" s="462">
        <v>47</v>
      </c>
      <c r="H35" s="462">
        <v>50</v>
      </c>
      <c r="I35" s="462">
        <v>46</v>
      </c>
      <c r="J35" s="462">
        <v>47</v>
      </c>
      <c r="K35" s="462">
        <v>38</v>
      </c>
      <c r="L35" s="462">
        <v>37</v>
      </c>
      <c r="M35" s="462">
        <v>32</v>
      </c>
      <c r="N35" s="462">
        <v>41</v>
      </c>
      <c r="O35" s="462">
        <v>39</v>
      </c>
      <c r="P35" s="462">
        <v>45</v>
      </c>
      <c r="Q35" s="462">
        <v>48</v>
      </c>
      <c r="R35" s="462">
        <v>51</v>
      </c>
      <c r="S35" s="462">
        <v>50</v>
      </c>
      <c r="T35" s="462">
        <v>53</v>
      </c>
      <c r="U35" s="534">
        <v>55</v>
      </c>
      <c r="V35" s="4282"/>
      <c r="AC35" s="383"/>
    </row>
    <row r="36" spans="1:29" x14ac:dyDescent="0.25">
      <c r="A36" s="509"/>
      <c r="B36" s="509"/>
      <c r="C36" s="527"/>
      <c r="D36" s="539" t="s">
        <v>106</v>
      </c>
      <c r="E36" s="3384" t="s">
        <v>484</v>
      </c>
      <c r="F36" s="3119">
        <v>44</v>
      </c>
      <c r="G36" s="3119">
        <v>49</v>
      </c>
      <c r="H36" s="3119">
        <v>43</v>
      </c>
      <c r="I36" s="3119">
        <v>40</v>
      </c>
      <c r="J36" s="3119">
        <v>38</v>
      </c>
      <c r="K36" s="3119">
        <v>44</v>
      </c>
      <c r="L36" s="3119">
        <v>46</v>
      </c>
      <c r="M36" s="3119">
        <v>51</v>
      </c>
      <c r="N36" s="3119">
        <v>54</v>
      </c>
      <c r="O36" s="3119">
        <v>56</v>
      </c>
      <c r="P36" s="3119">
        <v>57</v>
      </c>
      <c r="Q36" s="3119">
        <v>61</v>
      </c>
      <c r="R36" s="3119">
        <v>60</v>
      </c>
      <c r="S36" s="3119">
        <v>59</v>
      </c>
      <c r="T36" s="3119">
        <v>56</v>
      </c>
      <c r="U36" s="3540">
        <v>57</v>
      </c>
      <c r="V36" s="4282"/>
    </row>
    <row r="37" spans="1:29" x14ac:dyDescent="0.25">
      <c r="A37" s="509"/>
      <c r="B37" s="509"/>
      <c r="C37" s="527"/>
      <c r="D37" s="540" t="s">
        <v>486</v>
      </c>
      <c r="E37" s="462"/>
      <c r="F37" s="462"/>
      <c r="G37" s="462"/>
      <c r="H37" s="462"/>
      <c r="I37" s="462"/>
      <c r="J37" s="462"/>
      <c r="K37" s="462"/>
      <c r="L37" s="462"/>
      <c r="M37" s="462"/>
      <c r="N37" s="462"/>
      <c r="O37" s="462"/>
      <c r="P37" s="462"/>
      <c r="Q37" s="462"/>
      <c r="R37" s="462"/>
      <c r="S37" s="462"/>
      <c r="T37" s="462"/>
      <c r="U37" s="534"/>
      <c r="V37" s="4283"/>
    </row>
    <row r="38" spans="1:29" x14ac:dyDescent="0.25">
      <c r="A38" s="509"/>
      <c r="B38" s="509"/>
      <c r="C38" s="527"/>
      <c r="D38" s="3658" t="s">
        <v>487</v>
      </c>
      <c r="E38" s="3656">
        <v>37</v>
      </c>
      <c r="F38" s="3656">
        <v>40</v>
      </c>
      <c r="G38" s="3656">
        <v>54</v>
      </c>
      <c r="H38" s="3656">
        <v>55</v>
      </c>
      <c r="I38" s="3656">
        <v>56</v>
      </c>
      <c r="J38" s="3656">
        <v>56</v>
      </c>
      <c r="K38" s="3656">
        <v>54</v>
      </c>
      <c r="L38" s="3656">
        <v>57</v>
      </c>
      <c r="M38" s="3656">
        <v>57</v>
      </c>
      <c r="N38" s="3656">
        <v>56</v>
      </c>
      <c r="O38" s="3656">
        <v>49</v>
      </c>
      <c r="P38" s="3656">
        <v>54</v>
      </c>
      <c r="Q38" s="3656">
        <v>58</v>
      </c>
      <c r="R38" s="3656">
        <v>59</v>
      </c>
      <c r="S38" s="3656">
        <v>59</v>
      </c>
      <c r="T38" s="3656">
        <v>61</v>
      </c>
      <c r="U38" s="3657">
        <v>61</v>
      </c>
      <c r="V38" s="4277">
        <v>60</v>
      </c>
    </row>
    <row r="39" spans="1:29" x14ac:dyDescent="0.25">
      <c r="A39" s="509"/>
      <c r="B39" s="509"/>
      <c r="C39" s="527"/>
      <c r="D39" s="467" t="s">
        <v>488</v>
      </c>
      <c r="E39" s="462">
        <v>29</v>
      </c>
      <c r="F39" s="462">
        <v>25</v>
      </c>
      <c r="G39" s="462">
        <v>35</v>
      </c>
      <c r="H39" s="462">
        <v>28</v>
      </c>
      <c r="I39" s="462">
        <v>26</v>
      </c>
      <c r="J39" s="462">
        <v>21</v>
      </c>
      <c r="K39" s="462">
        <v>32</v>
      </c>
      <c r="L39" s="462">
        <v>29</v>
      </c>
      <c r="M39" s="462">
        <v>32</v>
      </c>
      <c r="N39" s="462">
        <v>35</v>
      </c>
      <c r="O39" s="462">
        <v>40</v>
      </c>
      <c r="P39" s="462">
        <v>40</v>
      </c>
      <c r="Q39" s="462">
        <v>50</v>
      </c>
      <c r="R39" s="462">
        <v>49</v>
      </c>
      <c r="S39" s="462">
        <v>50</v>
      </c>
      <c r="T39" s="462">
        <v>54</v>
      </c>
      <c r="U39" s="534">
        <v>61</v>
      </c>
      <c r="V39" s="534">
        <v>63</v>
      </c>
    </row>
    <row r="40" spans="1:29" x14ac:dyDescent="0.25">
      <c r="A40" s="509"/>
      <c r="B40" s="509"/>
      <c r="C40" s="527"/>
      <c r="D40" s="467" t="s">
        <v>489</v>
      </c>
      <c r="E40" s="462">
        <v>35</v>
      </c>
      <c r="F40" s="462">
        <v>32</v>
      </c>
      <c r="G40" s="462">
        <v>32</v>
      </c>
      <c r="H40" s="462">
        <v>38</v>
      </c>
      <c r="I40" s="462">
        <v>30</v>
      </c>
      <c r="J40" s="462">
        <v>31</v>
      </c>
      <c r="K40" s="462">
        <v>40</v>
      </c>
      <c r="L40" s="462">
        <v>37</v>
      </c>
      <c r="M40" s="462">
        <v>43</v>
      </c>
      <c r="N40" s="462">
        <v>51</v>
      </c>
      <c r="O40" s="462">
        <v>52</v>
      </c>
      <c r="P40" s="462">
        <v>47</v>
      </c>
      <c r="Q40" s="462">
        <v>41</v>
      </c>
      <c r="R40" s="462">
        <v>46</v>
      </c>
      <c r="S40" s="462">
        <v>44</v>
      </c>
      <c r="T40" s="462">
        <v>56</v>
      </c>
      <c r="U40" s="534">
        <v>58</v>
      </c>
      <c r="V40" s="534">
        <v>56</v>
      </c>
    </row>
    <row r="41" spans="1:29" x14ac:dyDescent="0.25">
      <c r="A41" s="509"/>
      <c r="B41" s="509"/>
      <c r="C41" s="527"/>
      <c r="D41" s="541" t="s">
        <v>490</v>
      </c>
      <c r="E41" s="461">
        <v>49</v>
      </c>
      <c r="F41" s="461">
        <v>52</v>
      </c>
      <c r="G41" s="461">
        <v>55</v>
      </c>
      <c r="H41" s="461">
        <v>55</v>
      </c>
      <c r="I41" s="461">
        <v>54</v>
      </c>
      <c r="J41" s="461">
        <v>51</v>
      </c>
      <c r="K41" s="461">
        <v>56</v>
      </c>
      <c r="L41" s="461">
        <v>54</v>
      </c>
      <c r="M41" s="461">
        <v>58</v>
      </c>
      <c r="N41" s="461">
        <v>55</v>
      </c>
      <c r="O41" s="461">
        <v>55</v>
      </c>
      <c r="P41" s="461">
        <v>54</v>
      </c>
      <c r="Q41" s="461">
        <v>56</v>
      </c>
      <c r="R41" s="461">
        <v>57</v>
      </c>
      <c r="S41" s="461">
        <v>60</v>
      </c>
      <c r="T41" s="461">
        <v>61</v>
      </c>
      <c r="U41" s="542">
        <v>61</v>
      </c>
      <c r="V41" s="534">
        <v>60</v>
      </c>
    </row>
    <row r="42" spans="1:29" x14ac:dyDescent="0.25">
      <c r="A42" s="509"/>
      <c r="B42" s="509"/>
      <c r="C42" s="527"/>
      <c r="D42" s="523" t="s">
        <v>84</v>
      </c>
      <c r="E42" s="524">
        <v>50</v>
      </c>
      <c r="F42" s="524">
        <v>52</v>
      </c>
      <c r="G42" s="524">
        <v>55</v>
      </c>
      <c r="H42" s="524">
        <v>55</v>
      </c>
      <c r="I42" s="524">
        <v>57</v>
      </c>
      <c r="J42" s="524">
        <v>58</v>
      </c>
      <c r="K42" s="524">
        <v>59</v>
      </c>
      <c r="L42" s="524">
        <v>59</v>
      </c>
      <c r="M42" s="524">
        <v>60</v>
      </c>
      <c r="N42" s="524">
        <v>60</v>
      </c>
      <c r="O42" s="524">
        <v>61</v>
      </c>
      <c r="P42" s="524">
        <v>61</v>
      </c>
      <c r="Q42" s="524">
        <v>63</v>
      </c>
      <c r="R42" s="524">
        <v>63</v>
      </c>
      <c r="S42" s="524">
        <v>63</v>
      </c>
      <c r="T42" s="524">
        <v>63</v>
      </c>
      <c r="U42" s="525">
        <v>64</v>
      </c>
      <c r="V42" s="4278">
        <v>141</v>
      </c>
    </row>
    <row r="43" spans="1:29" x14ac:dyDescent="0.25">
      <c r="A43" s="509"/>
      <c r="B43" s="509"/>
      <c r="C43" s="527"/>
      <c r="D43" s="543"/>
      <c r="E43" s="71"/>
      <c r="F43" s="71"/>
      <c r="G43" s="71"/>
      <c r="H43" s="71"/>
      <c r="I43" s="71"/>
      <c r="J43" s="544"/>
      <c r="K43" s="544"/>
      <c r="L43" s="544"/>
      <c r="M43" s="512"/>
      <c r="N43" s="512"/>
      <c r="O43" s="545"/>
    </row>
    <row r="44" spans="1:29" x14ac:dyDescent="0.25">
      <c r="A44" s="509">
        <v>5</v>
      </c>
      <c r="B44" s="509" t="s">
        <v>51</v>
      </c>
      <c r="C44" s="527"/>
      <c r="D44" s="543"/>
      <c r="E44" s="71"/>
      <c r="F44" s="71"/>
      <c r="G44" s="71"/>
      <c r="H44" s="71"/>
      <c r="I44" s="71"/>
      <c r="J44" s="544"/>
      <c r="K44" s="544"/>
      <c r="L44" s="544"/>
      <c r="M44" s="512"/>
      <c r="N44" s="512"/>
      <c r="O44" s="545"/>
    </row>
    <row r="45" spans="1:29" x14ac:dyDescent="0.25">
      <c r="A45" s="509"/>
      <c r="B45" s="509"/>
      <c r="C45" s="527"/>
      <c r="D45" s="543"/>
      <c r="E45" s="71"/>
      <c r="F45" s="71"/>
      <c r="G45" s="71"/>
      <c r="H45" s="71"/>
      <c r="I45" s="71"/>
      <c r="J45" s="544"/>
      <c r="K45" s="544"/>
      <c r="L45" s="544"/>
      <c r="M45" s="512"/>
      <c r="N45" s="512"/>
      <c r="O45" s="545"/>
    </row>
    <row r="46" spans="1:29" x14ac:dyDescent="0.25">
      <c r="A46" s="509"/>
      <c r="B46" s="509"/>
      <c r="C46" s="527"/>
      <c r="D46" s="543"/>
      <c r="E46" s="71"/>
      <c r="F46" s="71"/>
      <c r="G46" s="71"/>
      <c r="H46" s="71"/>
      <c r="I46" s="71"/>
      <c r="J46" s="544"/>
      <c r="K46" s="544"/>
      <c r="L46" s="544"/>
      <c r="M46" s="512"/>
      <c r="N46" s="512"/>
      <c r="O46" s="545"/>
    </row>
    <row r="47" spans="1:29" x14ac:dyDescent="0.25">
      <c r="A47" s="509"/>
      <c r="B47" s="509"/>
      <c r="C47" s="527"/>
      <c r="D47" s="543"/>
      <c r="E47" s="71"/>
      <c r="F47" s="71"/>
      <c r="G47" s="71"/>
      <c r="H47" s="71"/>
      <c r="I47" s="71"/>
      <c r="J47" s="544"/>
      <c r="K47" s="544"/>
      <c r="L47" s="544"/>
      <c r="M47" s="512"/>
      <c r="N47" s="512"/>
      <c r="O47" s="545"/>
    </row>
    <row r="48" spans="1:29" x14ac:dyDescent="0.25">
      <c r="A48" s="509"/>
      <c r="B48" s="509"/>
      <c r="C48" s="527"/>
      <c r="D48" s="543"/>
      <c r="E48" s="71"/>
      <c r="F48" s="71"/>
      <c r="G48" s="71"/>
      <c r="H48" s="71"/>
      <c r="I48" s="71"/>
      <c r="J48" s="544"/>
      <c r="K48" s="544"/>
      <c r="L48" s="544"/>
      <c r="M48" s="512"/>
      <c r="N48" s="512"/>
      <c r="O48" s="545"/>
      <c r="P48" s="512"/>
      <c r="Q48" s="512"/>
      <c r="R48" s="512"/>
      <c r="S48" s="512"/>
      <c r="T48" s="512"/>
      <c r="U48" s="512"/>
      <c r="V48" s="512"/>
    </row>
    <row r="49" spans="1:30" x14ac:dyDescent="0.25">
      <c r="A49" s="509"/>
      <c r="B49" s="509"/>
      <c r="C49" s="527"/>
      <c r="D49" s="543"/>
      <c r="E49" s="71"/>
      <c r="F49" s="71"/>
      <c r="G49" s="71"/>
      <c r="H49" s="71"/>
      <c r="I49" s="71"/>
      <c r="J49" s="544"/>
      <c r="K49" s="544"/>
      <c r="L49" s="544"/>
      <c r="M49" s="512"/>
      <c r="N49" s="512"/>
      <c r="O49" s="545"/>
      <c r="P49" s="512"/>
      <c r="Q49" s="512"/>
      <c r="R49" s="512"/>
      <c r="S49" s="512"/>
      <c r="T49" s="512"/>
      <c r="U49" s="512"/>
      <c r="V49" s="512"/>
    </row>
    <row r="50" spans="1:30" x14ac:dyDescent="0.25">
      <c r="A50" s="509"/>
      <c r="B50" s="509"/>
      <c r="C50" s="527"/>
      <c r="D50" s="543"/>
      <c r="E50" s="71"/>
      <c r="F50" s="71"/>
      <c r="G50" s="71"/>
      <c r="H50" s="71"/>
      <c r="I50" s="71"/>
      <c r="J50" s="544"/>
      <c r="K50" s="544"/>
      <c r="L50" s="544"/>
      <c r="M50" s="512"/>
      <c r="N50" s="512"/>
      <c r="O50" s="545"/>
      <c r="P50" s="512"/>
      <c r="Q50" s="512"/>
      <c r="R50" s="512"/>
      <c r="S50" s="512"/>
      <c r="T50" s="512"/>
      <c r="U50" s="512"/>
      <c r="V50" s="512"/>
    </row>
    <row r="51" spans="1:30" x14ac:dyDescent="0.25">
      <c r="A51" s="509"/>
      <c r="B51" s="509"/>
      <c r="C51" s="527"/>
      <c r="D51" s="543"/>
      <c r="E51" s="71"/>
      <c r="F51" s="71"/>
      <c r="G51" s="71"/>
      <c r="H51" s="71"/>
      <c r="I51" s="71"/>
      <c r="J51" s="544"/>
      <c r="K51" s="544"/>
      <c r="L51" s="544"/>
      <c r="M51" s="512"/>
      <c r="N51" s="512"/>
      <c r="O51" s="545"/>
      <c r="P51" s="512"/>
      <c r="Q51" s="512"/>
      <c r="R51" s="512"/>
      <c r="S51" s="512"/>
      <c r="T51" s="512"/>
      <c r="U51" s="512"/>
      <c r="V51" s="512"/>
    </row>
    <row r="52" spans="1:30" x14ac:dyDescent="0.25">
      <c r="A52" s="509"/>
      <c r="B52" s="509"/>
      <c r="C52" s="527"/>
      <c r="D52" s="543"/>
      <c r="E52" s="71"/>
      <c r="F52" s="71"/>
      <c r="G52" s="71"/>
      <c r="H52" s="71"/>
      <c r="I52" s="71"/>
      <c r="J52" s="544"/>
      <c r="K52" s="544"/>
      <c r="L52" s="544"/>
      <c r="M52" s="512"/>
      <c r="N52" s="512"/>
      <c r="O52" s="545"/>
      <c r="P52" s="512"/>
      <c r="Q52" s="512"/>
      <c r="R52" s="512"/>
      <c r="S52" s="512"/>
      <c r="T52" s="512"/>
      <c r="U52" s="512"/>
      <c r="V52" s="512"/>
    </row>
    <row r="53" spans="1:30" x14ac:dyDescent="0.25">
      <c r="A53" s="509"/>
      <c r="B53" s="509"/>
      <c r="C53" s="527"/>
      <c r="D53" s="543"/>
      <c r="E53" s="71"/>
      <c r="F53" s="71"/>
      <c r="G53" s="71"/>
      <c r="H53" s="71"/>
      <c r="I53" s="71"/>
      <c r="J53" s="544"/>
      <c r="K53" s="544"/>
      <c r="L53" s="544"/>
      <c r="M53" s="512"/>
      <c r="N53" s="512"/>
      <c r="O53" s="545"/>
      <c r="P53" s="512"/>
      <c r="Q53" s="512"/>
      <c r="R53" s="512"/>
      <c r="S53" s="512"/>
      <c r="T53" s="512"/>
      <c r="U53" s="512"/>
      <c r="V53" s="512"/>
    </row>
    <row r="54" spans="1:30" x14ac:dyDescent="0.25">
      <c r="A54" s="509"/>
      <c r="B54" s="509"/>
      <c r="C54" s="527"/>
      <c r="D54" s="543"/>
      <c r="E54" s="71"/>
      <c r="F54" s="71"/>
      <c r="G54" s="71"/>
      <c r="H54" s="71"/>
      <c r="I54" s="71"/>
      <c r="J54" s="544"/>
      <c r="K54" s="544"/>
      <c r="L54" s="544"/>
      <c r="M54" s="512"/>
      <c r="N54" s="512"/>
      <c r="O54" s="545"/>
      <c r="P54" s="512"/>
      <c r="Q54" s="512"/>
      <c r="R54" s="512"/>
      <c r="S54" s="512"/>
      <c r="T54" s="512"/>
      <c r="U54" s="512"/>
      <c r="V54" s="512"/>
    </row>
    <row r="55" spans="1:30" x14ac:dyDescent="0.25">
      <c r="A55" s="509"/>
      <c r="B55" s="509"/>
      <c r="C55" s="527"/>
      <c r="D55" s="543"/>
      <c r="E55" s="71"/>
      <c r="F55" s="71"/>
      <c r="G55" s="71"/>
      <c r="H55" s="71"/>
      <c r="I55" s="71"/>
      <c r="J55" s="544"/>
      <c r="K55" s="544"/>
      <c r="L55" s="544"/>
      <c r="M55" s="512"/>
      <c r="N55" s="512"/>
      <c r="O55" s="545"/>
      <c r="P55" s="512"/>
      <c r="Q55" s="512"/>
      <c r="R55" s="512"/>
      <c r="S55" s="512"/>
      <c r="T55" s="512"/>
      <c r="U55" s="512"/>
      <c r="V55" s="512"/>
    </row>
    <row r="56" spans="1:30" x14ac:dyDescent="0.25">
      <c r="A56" s="509"/>
      <c r="B56" s="509"/>
      <c r="C56" s="527"/>
      <c r="D56" s="543"/>
      <c r="E56" s="71"/>
      <c r="F56" s="71"/>
      <c r="G56" s="71"/>
      <c r="H56" s="71"/>
      <c r="I56" s="71"/>
      <c r="J56" s="544"/>
      <c r="K56" s="544"/>
      <c r="L56" s="544"/>
      <c r="M56" s="512"/>
      <c r="N56" s="512"/>
      <c r="O56" s="545"/>
      <c r="P56" s="512"/>
      <c r="Q56" s="512"/>
      <c r="R56" s="512"/>
      <c r="S56" s="512"/>
      <c r="T56" s="512"/>
      <c r="U56" s="512"/>
      <c r="V56" s="512"/>
    </row>
    <row r="57" spans="1:30" x14ac:dyDescent="0.25">
      <c r="A57" s="509"/>
      <c r="B57" s="509"/>
      <c r="C57" s="527"/>
      <c r="D57" s="543"/>
      <c r="E57" s="71"/>
      <c r="F57" s="71"/>
      <c r="G57" s="71"/>
      <c r="H57" s="71"/>
      <c r="I57" s="71"/>
      <c r="J57" s="544"/>
      <c r="K57" s="544"/>
      <c r="L57" s="544"/>
      <c r="M57" s="512"/>
      <c r="N57" s="512"/>
      <c r="O57" s="545"/>
      <c r="P57" s="512"/>
      <c r="Q57" s="512"/>
      <c r="R57" s="512"/>
      <c r="S57" s="512"/>
      <c r="T57" s="512"/>
      <c r="U57" s="512"/>
      <c r="V57" s="512"/>
    </row>
    <row r="58" spans="1:30" x14ac:dyDescent="0.25">
      <c r="A58" s="509"/>
      <c r="B58" s="509"/>
      <c r="C58" s="527"/>
      <c r="D58" s="543"/>
      <c r="E58" s="71"/>
      <c r="F58" s="71"/>
      <c r="G58" s="71"/>
      <c r="H58" s="71"/>
      <c r="I58" s="71"/>
      <c r="J58" s="544"/>
      <c r="K58" s="544"/>
      <c r="L58" s="544"/>
      <c r="M58" s="512"/>
      <c r="N58" s="512"/>
      <c r="O58" s="545"/>
      <c r="P58" s="512"/>
      <c r="Q58" s="512"/>
      <c r="R58" s="512"/>
      <c r="S58" s="512"/>
      <c r="T58" s="512"/>
      <c r="U58" s="512"/>
      <c r="V58" s="512"/>
    </row>
    <row r="59" spans="1:30" x14ac:dyDescent="0.25">
      <c r="A59" s="509"/>
      <c r="B59" s="509"/>
      <c r="C59" s="527"/>
      <c r="D59" s="543"/>
      <c r="E59" s="71"/>
      <c r="F59" s="71"/>
      <c r="G59" s="71"/>
      <c r="H59" s="71"/>
      <c r="I59" s="71"/>
      <c r="J59" s="544"/>
      <c r="K59" s="544"/>
      <c r="L59" s="544"/>
      <c r="M59" s="512"/>
      <c r="N59" s="512"/>
      <c r="O59" s="545"/>
      <c r="P59" s="512"/>
      <c r="Q59" s="512"/>
      <c r="R59" s="512"/>
      <c r="S59" s="512"/>
      <c r="T59" s="512"/>
      <c r="U59" s="512"/>
      <c r="V59" s="512"/>
    </row>
    <row r="60" spans="1:30" x14ac:dyDescent="0.25">
      <c r="A60" s="509"/>
      <c r="B60" s="509"/>
      <c r="C60" s="527"/>
      <c r="D60" s="543"/>
      <c r="E60" s="71"/>
      <c r="F60" s="71"/>
      <c r="G60" s="71"/>
      <c r="H60" s="71"/>
      <c r="I60" s="71"/>
      <c r="J60" s="544"/>
      <c r="K60" s="544"/>
      <c r="L60" s="544"/>
      <c r="M60" s="512"/>
      <c r="N60" s="512"/>
      <c r="O60" s="545"/>
      <c r="P60" s="512"/>
      <c r="Q60" s="512"/>
      <c r="R60" s="512"/>
      <c r="S60" s="512"/>
      <c r="T60" s="512"/>
      <c r="U60" s="512"/>
      <c r="V60" s="512"/>
    </row>
    <row r="61" spans="1:30" x14ac:dyDescent="0.25">
      <c r="A61" s="509"/>
      <c r="B61" s="509"/>
      <c r="C61" s="527"/>
      <c r="D61" s="543"/>
      <c r="E61" s="71"/>
      <c r="F61" s="71"/>
      <c r="G61" s="71"/>
      <c r="H61" s="71"/>
      <c r="I61" s="71"/>
      <c r="J61" s="544"/>
      <c r="K61" s="544"/>
      <c r="L61" s="544"/>
      <c r="M61" s="512"/>
      <c r="N61" s="512"/>
      <c r="O61" s="545"/>
      <c r="P61" s="512"/>
      <c r="Q61" s="512"/>
      <c r="R61" s="512"/>
      <c r="S61" s="512"/>
      <c r="T61" s="512"/>
      <c r="U61" s="512"/>
      <c r="V61" s="512"/>
      <c r="AD61" t="s">
        <v>358</v>
      </c>
    </row>
    <row r="62" spans="1:30" x14ac:dyDescent="0.25">
      <c r="A62" s="509"/>
      <c r="B62" s="509"/>
      <c r="C62" s="527"/>
      <c r="D62" s="543"/>
      <c r="E62" s="71"/>
      <c r="F62" s="71"/>
      <c r="G62" s="71"/>
      <c r="H62" s="71"/>
      <c r="I62" s="71"/>
      <c r="J62" s="544"/>
      <c r="K62" s="544"/>
      <c r="L62" s="544"/>
      <c r="M62" s="544"/>
      <c r="N62" s="512"/>
      <c r="O62" s="512"/>
      <c r="P62" s="545"/>
      <c r="Q62" s="512"/>
      <c r="R62" s="512"/>
      <c r="S62" s="512"/>
      <c r="T62" s="512"/>
      <c r="U62" s="512"/>
      <c r="V62" s="512"/>
    </row>
    <row r="63" spans="1:30" s="508" customFormat="1" ht="14.25" customHeight="1" x14ac:dyDescent="0.2">
      <c r="A63" s="509">
        <v>6</v>
      </c>
      <c r="B63" s="509" t="s">
        <v>52</v>
      </c>
      <c r="C63" s="509"/>
      <c r="D63" s="4674" t="s">
        <v>310</v>
      </c>
      <c r="E63" s="4675"/>
      <c r="F63" s="4675"/>
      <c r="G63" s="4675"/>
      <c r="H63" s="4675"/>
      <c r="I63" s="4675"/>
      <c r="J63" s="4675"/>
      <c r="K63" s="4675"/>
      <c r="L63" s="4675"/>
      <c r="M63" s="4675"/>
      <c r="N63" s="4675"/>
      <c r="O63" s="4675"/>
      <c r="P63" s="4675"/>
      <c r="Q63" s="4675"/>
      <c r="R63" s="4675"/>
      <c r="S63" s="4676"/>
      <c r="T63" s="180"/>
      <c r="U63" s="512"/>
      <c r="V63" s="512"/>
    </row>
    <row r="64" spans="1:30" s="508" customFormat="1" ht="40.35" customHeight="1" x14ac:dyDescent="0.2">
      <c r="A64" s="509">
        <v>7</v>
      </c>
      <c r="B64" s="509" t="s">
        <v>54</v>
      </c>
      <c r="C64" s="546"/>
      <c r="D64" s="4677" t="s">
        <v>491</v>
      </c>
      <c r="E64" s="4678"/>
      <c r="F64" s="4678"/>
      <c r="G64" s="4678"/>
      <c r="H64" s="4678"/>
      <c r="I64" s="4678"/>
      <c r="J64" s="4678"/>
      <c r="K64" s="4678"/>
      <c r="L64" s="4678"/>
      <c r="M64" s="4678"/>
      <c r="N64" s="4678"/>
      <c r="O64" s="4678"/>
      <c r="P64" s="4678"/>
      <c r="Q64" s="4678"/>
      <c r="R64" s="4678"/>
      <c r="S64" s="4679"/>
      <c r="T64" s="867"/>
      <c r="U64" s="512"/>
      <c r="V64" s="512"/>
    </row>
    <row r="65" spans="1:22" s="508" customFormat="1" ht="25.5" customHeight="1" x14ac:dyDescent="0.2">
      <c r="A65" s="509">
        <v>8</v>
      </c>
      <c r="B65" s="509" t="s">
        <v>56</v>
      </c>
      <c r="C65" s="509"/>
      <c r="D65" s="4677" t="s">
        <v>492</v>
      </c>
      <c r="E65" s="4678"/>
      <c r="F65" s="4678"/>
      <c r="G65" s="4678"/>
      <c r="H65" s="4678"/>
      <c r="I65" s="4678"/>
      <c r="J65" s="4678"/>
      <c r="K65" s="4678"/>
      <c r="L65" s="4678"/>
      <c r="M65" s="4678"/>
      <c r="N65" s="4678"/>
      <c r="O65" s="4678"/>
      <c r="P65" s="4678"/>
      <c r="Q65" s="4678"/>
      <c r="R65" s="4678"/>
      <c r="S65" s="4679"/>
      <c r="T65" s="867"/>
      <c r="U65" s="512"/>
      <c r="V65" s="512"/>
    </row>
    <row r="66" spans="1:22" hidden="1" x14ac:dyDescent="0.25">
      <c r="A66" s="509">
        <v>8</v>
      </c>
      <c r="B66" s="509" t="s">
        <v>56</v>
      </c>
      <c r="C66" s="547"/>
      <c r="D66" s="512"/>
      <c r="E66" s="512"/>
      <c r="F66" s="512"/>
      <c r="G66" s="512"/>
      <c r="H66" s="512"/>
      <c r="I66" s="512"/>
      <c r="J66" s="512"/>
      <c r="K66" s="512"/>
      <c r="L66" s="512"/>
      <c r="M66" s="512"/>
      <c r="N66" s="512"/>
      <c r="O66" s="512"/>
      <c r="P66" s="512"/>
      <c r="Q66" s="512"/>
      <c r="R66" s="512"/>
      <c r="S66" s="512"/>
      <c r="T66" s="512"/>
      <c r="U66" s="512"/>
      <c r="V66" s="512"/>
    </row>
    <row r="67" spans="1:22" hidden="1" x14ac:dyDescent="0.25">
      <c r="A67" s="509">
        <v>8</v>
      </c>
      <c r="B67" s="509" t="s">
        <v>56</v>
      </c>
      <c r="C67" s="547"/>
      <c r="D67" s="512"/>
      <c r="E67" s="512"/>
      <c r="F67" s="512"/>
      <c r="G67" s="512"/>
      <c r="H67" s="512"/>
      <c r="I67" s="512"/>
      <c r="J67" s="512"/>
      <c r="K67" s="512"/>
      <c r="L67" s="512"/>
      <c r="M67" s="512"/>
      <c r="N67" s="512"/>
      <c r="O67" s="512"/>
      <c r="P67" s="512"/>
      <c r="Q67" s="512"/>
      <c r="R67" s="512"/>
      <c r="S67" s="512"/>
      <c r="T67" s="512"/>
      <c r="U67" s="512"/>
      <c r="V67" s="512"/>
    </row>
    <row r="68" spans="1:22" hidden="1" x14ac:dyDescent="0.25">
      <c r="A68" s="509">
        <v>8</v>
      </c>
      <c r="B68" s="509" t="s">
        <v>56</v>
      </c>
      <c r="C68" s="547"/>
      <c r="D68" s="512"/>
      <c r="E68" s="512"/>
      <c r="F68" s="512"/>
      <c r="G68" s="512"/>
      <c r="H68" s="512"/>
      <c r="I68" s="512"/>
      <c r="J68" s="512"/>
      <c r="K68" s="512"/>
      <c r="L68" s="512"/>
      <c r="M68" s="512"/>
      <c r="N68" s="512"/>
      <c r="O68" s="512"/>
      <c r="P68" s="512"/>
      <c r="Q68" s="512"/>
      <c r="R68" s="512"/>
      <c r="S68" s="512"/>
      <c r="T68" s="512"/>
      <c r="U68" s="512"/>
      <c r="V68" s="512"/>
    </row>
    <row r="69" spans="1:22" hidden="1" x14ac:dyDescent="0.25">
      <c r="A69" s="509">
        <v>8</v>
      </c>
      <c r="B69" s="509" t="s">
        <v>56</v>
      </c>
      <c r="C69" s="547"/>
      <c r="D69" s="512"/>
      <c r="E69" s="512"/>
      <c r="F69" s="512"/>
      <c r="G69" s="512"/>
      <c r="H69" s="512"/>
      <c r="I69" s="512"/>
      <c r="J69" s="512"/>
      <c r="K69" s="512"/>
      <c r="L69" s="512"/>
      <c r="M69" s="512"/>
      <c r="N69" s="512"/>
      <c r="O69" s="512"/>
      <c r="P69" s="512"/>
      <c r="Q69" s="512"/>
      <c r="R69" s="512"/>
      <c r="S69" s="512"/>
      <c r="T69" s="512"/>
      <c r="U69" s="512"/>
      <c r="V69" s="512"/>
    </row>
    <row r="70" spans="1:22" hidden="1" x14ac:dyDescent="0.25">
      <c r="A70" s="509">
        <v>8</v>
      </c>
      <c r="B70" s="509" t="s">
        <v>56</v>
      </c>
      <c r="C70" s="547"/>
      <c r="D70" s="512"/>
      <c r="E70" s="512"/>
      <c r="F70" s="512"/>
      <c r="G70" s="512"/>
      <c r="H70" s="512"/>
      <c r="I70" s="512"/>
      <c r="J70" s="512"/>
      <c r="K70" s="512"/>
      <c r="L70" s="512"/>
      <c r="M70" s="512"/>
      <c r="N70" s="512"/>
      <c r="O70" s="512"/>
      <c r="P70" s="512"/>
      <c r="Q70" s="512"/>
      <c r="R70" s="512"/>
      <c r="S70" s="512"/>
      <c r="T70" s="512"/>
      <c r="U70" s="512"/>
      <c r="V70" s="512"/>
    </row>
    <row r="71" spans="1:22" hidden="1" x14ac:dyDescent="0.25">
      <c r="A71" s="509">
        <v>8</v>
      </c>
      <c r="B71" s="509" t="s">
        <v>56</v>
      </c>
      <c r="C71" s="547"/>
      <c r="D71" s="512"/>
      <c r="E71" s="512"/>
      <c r="F71" s="512"/>
      <c r="G71" s="512"/>
      <c r="H71" s="512"/>
      <c r="I71" s="512"/>
      <c r="J71" s="512"/>
      <c r="K71" s="512"/>
      <c r="L71" s="512"/>
      <c r="M71" s="512"/>
      <c r="N71" s="512"/>
      <c r="O71" s="512"/>
      <c r="P71" s="512"/>
      <c r="Q71" s="512"/>
      <c r="R71" s="512"/>
      <c r="S71" s="512"/>
      <c r="T71" s="512"/>
      <c r="U71" s="512"/>
      <c r="V71" s="512"/>
    </row>
    <row r="72" spans="1:22" hidden="1" x14ac:dyDescent="0.25">
      <c r="A72" s="509">
        <v>8</v>
      </c>
      <c r="B72" s="509" t="s">
        <v>56</v>
      </c>
      <c r="C72" s="547"/>
      <c r="D72" s="512"/>
      <c r="E72" s="512"/>
      <c r="F72" s="512"/>
      <c r="G72" s="512"/>
      <c r="H72" s="512"/>
      <c r="I72" s="512"/>
      <c r="J72" s="512"/>
      <c r="K72" s="512"/>
      <c r="L72" s="512"/>
      <c r="M72" s="512"/>
      <c r="N72" s="512"/>
      <c r="O72" s="512"/>
      <c r="P72" s="512"/>
      <c r="Q72" s="512"/>
      <c r="R72" s="512"/>
      <c r="S72" s="512"/>
      <c r="T72" s="512"/>
      <c r="U72" s="512"/>
      <c r="V72" s="512"/>
    </row>
    <row r="73" spans="1:22" hidden="1" x14ac:dyDescent="0.25">
      <c r="A73" s="509">
        <v>8</v>
      </c>
      <c r="B73" s="509" t="s">
        <v>56</v>
      </c>
      <c r="C73" s="547"/>
      <c r="D73" s="512"/>
      <c r="E73" s="512"/>
      <c r="F73" s="512"/>
      <c r="G73" s="512"/>
      <c r="H73" s="512"/>
      <c r="I73" s="512"/>
      <c r="J73" s="512"/>
      <c r="K73" s="512"/>
      <c r="L73" s="512"/>
      <c r="M73" s="512"/>
      <c r="N73" s="512"/>
      <c r="O73" s="512"/>
      <c r="P73" s="512"/>
      <c r="Q73" s="512"/>
      <c r="R73" s="512"/>
      <c r="S73" s="512"/>
      <c r="T73" s="512"/>
      <c r="U73" s="512"/>
      <c r="V73" s="512"/>
    </row>
    <row r="74" spans="1:22" hidden="1" x14ac:dyDescent="0.25">
      <c r="A74" s="509">
        <v>8</v>
      </c>
      <c r="B74" s="509" t="s">
        <v>56</v>
      </c>
      <c r="C74" s="547"/>
      <c r="D74" s="512"/>
      <c r="E74" s="512"/>
      <c r="F74" s="512"/>
      <c r="G74" s="512"/>
      <c r="H74" s="512"/>
      <c r="I74" s="512"/>
      <c r="J74" s="512"/>
      <c r="K74" s="512"/>
      <c r="L74" s="512"/>
      <c r="M74" s="512"/>
      <c r="N74" s="512"/>
      <c r="O74" s="512"/>
      <c r="P74" s="512"/>
      <c r="Q74" s="512"/>
      <c r="R74" s="512"/>
      <c r="S74" s="512"/>
      <c r="T74" s="512"/>
      <c r="U74" s="512"/>
      <c r="V74" s="512"/>
    </row>
    <row r="75" spans="1:22" hidden="1" x14ac:dyDescent="0.25">
      <c r="A75" s="509">
        <v>8</v>
      </c>
      <c r="B75" s="509" t="s">
        <v>56</v>
      </c>
      <c r="C75" s="547"/>
      <c r="D75" s="512"/>
      <c r="E75" s="512"/>
      <c r="F75" s="512"/>
      <c r="G75" s="512"/>
      <c r="H75" s="512"/>
      <c r="I75" s="512"/>
      <c r="J75" s="512"/>
      <c r="K75" s="512"/>
      <c r="L75" s="512"/>
      <c r="M75" s="512"/>
      <c r="N75" s="512"/>
      <c r="O75" s="512"/>
      <c r="P75" s="512"/>
      <c r="Q75" s="512"/>
      <c r="R75" s="512"/>
      <c r="S75" s="512"/>
      <c r="T75" s="512"/>
      <c r="U75" s="512"/>
      <c r="V75" s="512"/>
    </row>
    <row r="76" spans="1:22" hidden="1" x14ac:dyDescent="0.25">
      <c r="A76" s="509">
        <v>8</v>
      </c>
      <c r="B76" s="509" t="s">
        <v>56</v>
      </c>
      <c r="C76" s="547"/>
      <c r="D76" s="4718" t="s">
        <v>493</v>
      </c>
      <c r="E76" s="4719"/>
      <c r="F76" s="4719"/>
      <c r="G76" s="4720"/>
      <c r="H76" s="548"/>
      <c r="I76" s="548"/>
      <c r="J76" s="548"/>
      <c r="K76" s="548"/>
      <c r="L76" s="548"/>
      <c r="M76" s="71"/>
      <c r="N76" s="72" t="s">
        <v>80</v>
      </c>
      <c r="O76" s="413"/>
      <c r="P76" s="549" t="s">
        <v>494</v>
      </c>
      <c r="Q76" s="550" t="s">
        <v>495</v>
      </c>
      <c r="R76" s="550"/>
      <c r="S76" s="551" t="s">
        <v>496</v>
      </c>
      <c r="T76" s="550"/>
      <c r="U76" s="512"/>
      <c r="V76" s="512"/>
    </row>
    <row r="77" spans="1:22" ht="22.5" hidden="1" x14ac:dyDescent="0.25">
      <c r="A77" s="509">
        <v>8</v>
      </c>
      <c r="B77" s="509" t="s">
        <v>56</v>
      </c>
      <c r="C77" s="547"/>
      <c r="D77" s="552" t="s">
        <v>497</v>
      </c>
      <c r="E77" s="553" t="s">
        <v>498</v>
      </c>
      <c r="F77" s="553" t="s">
        <v>499</v>
      </c>
      <c r="G77" s="554" t="s">
        <v>500</v>
      </c>
      <c r="H77" s="71"/>
      <c r="I77" s="71"/>
      <c r="J77" s="71"/>
      <c r="K77" s="71"/>
      <c r="L77" s="71"/>
      <c r="M77" s="512"/>
      <c r="N77" s="72" t="s">
        <v>501</v>
      </c>
      <c r="O77" s="312" t="s">
        <v>180</v>
      </c>
      <c r="P77" s="413">
        <v>21</v>
      </c>
      <c r="Q77" s="413">
        <v>19</v>
      </c>
      <c r="R77" s="413"/>
      <c r="S77" s="555">
        <v>26</v>
      </c>
      <c r="T77" s="413"/>
      <c r="U77" s="512"/>
      <c r="V77" s="512"/>
    </row>
    <row r="78" spans="1:22" ht="33" hidden="1" x14ac:dyDescent="0.25">
      <c r="A78" s="509">
        <v>8</v>
      </c>
      <c r="B78" s="509" t="s">
        <v>56</v>
      </c>
      <c r="C78" s="547"/>
      <c r="D78" s="556" t="s">
        <v>502</v>
      </c>
      <c r="E78" s="557" t="s">
        <v>503</v>
      </c>
      <c r="F78" s="558">
        <v>61</v>
      </c>
      <c r="G78" s="559">
        <v>4.45</v>
      </c>
      <c r="H78" s="136"/>
      <c r="I78" s="136"/>
      <c r="J78" s="136"/>
      <c r="K78" s="136"/>
      <c r="L78" s="136"/>
      <c r="M78" s="136"/>
      <c r="N78" s="95"/>
      <c r="O78" s="312" t="s">
        <v>123</v>
      </c>
      <c r="P78" s="413">
        <v>26</v>
      </c>
      <c r="Q78" s="413">
        <v>27</v>
      </c>
      <c r="R78" s="413"/>
      <c r="S78" s="555">
        <v>27</v>
      </c>
      <c r="T78" s="413"/>
      <c r="U78" s="512"/>
      <c r="V78" s="512"/>
    </row>
    <row r="79" spans="1:22" ht="33" hidden="1" x14ac:dyDescent="0.25">
      <c r="A79" s="509">
        <v>8</v>
      </c>
      <c r="B79" s="509" t="s">
        <v>56</v>
      </c>
      <c r="C79" s="547"/>
      <c r="D79" s="4721" t="s">
        <v>504</v>
      </c>
      <c r="E79" s="560" t="s">
        <v>505</v>
      </c>
      <c r="F79" s="561">
        <v>39</v>
      </c>
      <c r="G79" s="562">
        <v>4.55</v>
      </c>
      <c r="H79" s="512"/>
      <c r="I79" s="512"/>
      <c r="J79" s="512"/>
      <c r="K79" s="512"/>
      <c r="L79" s="512"/>
      <c r="M79" s="512"/>
      <c r="N79" s="72"/>
      <c r="O79" s="312" t="s">
        <v>290</v>
      </c>
      <c r="P79" s="413">
        <v>27</v>
      </c>
      <c r="Q79" s="413">
        <v>26</v>
      </c>
      <c r="R79" s="413"/>
      <c r="S79" s="555">
        <v>25</v>
      </c>
      <c r="T79" s="413"/>
      <c r="U79" s="512"/>
      <c r="V79" s="512"/>
    </row>
    <row r="80" spans="1:22" ht="33" hidden="1" x14ac:dyDescent="0.25">
      <c r="A80" s="509">
        <v>8</v>
      </c>
      <c r="B80" s="509" t="s">
        <v>56</v>
      </c>
      <c r="C80" s="547"/>
      <c r="D80" s="4721"/>
      <c r="E80" s="560" t="s">
        <v>506</v>
      </c>
      <c r="F80" s="561">
        <v>43</v>
      </c>
      <c r="G80" s="562">
        <v>4.22</v>
      </c>
      <c r="H80" s="512"/>
      <c r="I80" s="512"/>
      <c r="J80" s="512"/>
      <c r="K80" s="512"/>
      <c r="L80" s="512"/>
      <c r="M80" s="512"/>
      <c r="N80" s="72"/>
      <c r="O80" s="312" t="s">
        <v>293</v>
      </c>
      <c r="P80" s="413">
        <v>38</v>
      </c>
      <c r="Q80" s="413">
        <v>39</v>
      </c>
      <c r="R80" s="413"/>
      <c r="S80" s="555">
        <v>40</v>
      </c>
      <c r="T80" s="413"/>
    </row>
    <row r="81" spans="1:20" ht="43.5" hidden="1" x14ac:dyDescent="0.25">
      <c r="A81" s="509">
        <v>8</v>
      </c>
      <c r="B81" s="509" t="s">
        <v>56</v>
      </c>
      <c r="C81" s="547"/>
      <c r="D81" s="4721"/>
      <c r="E81" s="560" t="s">
        <v>507</v>
      </c>
      <c r="F81" s="561">
        <v>50</v>
      </c>
      <c r="G81" s="562">
        <v>5.08</v>
      </c>
      <c r="H81" s="512"/>
      <c r="I81" s="512"/>
      <c r="J81" s="512"/>
      <c r="K81" s="512"/>
      <c r="L81" s="512"/>
      <c r="M81" s="512"/>
      <c r="N81" s="72"/>
      <c r="O81" s="312" t="s">
        <v>126</v>
      </c>
      <c r="P81" s="413">
        <v>41</v>
      </c>
      <c r="Q81" s="413">
        <v>37</v>
      </c>
      <c r="R81" s="413"/>
      <c r="S81" s="555">
        <v>37</v>
      </c>
      <c r="T81" s="413"/>
    </row>
    <row r="82" spans="1:20" ht="64.5" hidden="1" x14ac:dyDescent="0.25">
      <c r="A82" s="509">
        <v>8</v>
      </c>
      <c r="B82" s="509" t="s">
        <v>56</v>
      </c>
      <c r="C82" s="527"/>
      <c r="D82" s="4721"/>
      <c r="E82" s="560" t="s">
        <v>508</v>
      </c>
      <c r="F82" s="561">
        <v>117</v>
      </c>
      <c r="G82" s="562">
        <v>3.96</v>
      </c>
      <c r="H82" s="512"/>
      <c r="I82" s="512"/>
      <c r="J82" s="512"/>
      <c r="K82" s="512"/>
      <c r="L82" s="512"/>
      <c r="M82" s="512"/>
      <c r="N82" s="72"/>
      <c r="O82" s="312" t="s">
        <v>103</v>
      </c>
      <c r="P82" s="413">
        <v>44</v>
      </c>
      <c r="Q82" s="413">
        <v>36</v>
      </c>
      <c r="R82" s="413"/>
      <c r="S82" s="555">
        <v>45</v>
      </c>
      <c r="T82" s="413"/>
    </row>
    <row r="83" spans="1:20" hidden="1" x14ac:dyDescent="0.25">
      <c r="A83" s="509">
        <v>8</v>
      </c>
      <c r="B83" s="509" t="s">
        <v>56</v>
      </c>
      <c r="C83" s="512"/>
      <c r="D83" s="563"/>
      <c r="E83" s="557"/>
      <c r="F83" s="558"/>
      <c r="G83" s="559"/>
      <c r="H83" s="512"/>
      <c r="I83" s="512"/>
      <c r="J83" s="512"/>
      <c r="K83" s="512"/>
      <c r="L83" s="512"/>
      <c r="M83" s="512"/>
      <c r="N83" s="72"/>
      <c r="O83" s="312" t="s">
        <v>294</v>
      </c>
      <c r="P83" s="413">
        <v>45</v>
      </c>
      <c r="Q83" s="413">
        <v>44</v>
      </c>
      <c r="R83" s="413"/>
      <c r="S83" s="555">
        <v>36</v>
      </c>
      <c r="T83" s="413"/>
    </row>
    <row r="84" spans="1:20" ht="54" hidden="1" x14ac:dyDescent="0.25">
      <c r="A84" s="509">
        <v>8</v>
      </c>
      <c r="B84" s="509" t="s">
        <v>56</v>
      </c>
      <c r="C84" s="512"/>
      <c r="D84" s="556" t="s">
        <v>509</v>
      </c>
      <c r="E84" s="557" t="s">
        <v>510</v>
      </c>
      <c r="F84" s="558">
        <v>36</v>
      </c>
      <c r="G84" s="559">
        <v>4.4400000000000004</v>
      </c>
      <c r="H84" s="512"/>
      <c r="I84" s="512"/>
      <c r="J84" s="512"/>
      <c r="K84" s="512"/>
      <c r="L84" s="512"/>
      <c r="M84" s="512"/>
      <c r="N84" s="72"/>
      <c r="O84" s="312" t="s">
        <v>177</v>
      </c>
      <c r="P84" s="413">
        <v>47</v>
      </c>
      <c r="Q84" s="413">
        <v>38</v>
      </c>
      <c r="R84" s="413"/>
      <c r="S84" s="555">
        <v>41</v>
      </c>
      <c r="T84" s="413"/>
    </row>
    <row r="85" spans="1:20" ht="54" hidden="1" x14ac:dyDescent="0.25">
      <c r="A85" s="509">
        <v>8</v>
      </c>
      <c r="B85" s="509" t="s">
        <v>56</v>
      </c>
      <c r="C85" s="512"/>
      <c r="D85" s="4721" t="s">
        <v>504</v>
      </c>
      <c r="E85" s="560" t="s">
        <v>511</v>
      </c>
      <c r="F85" s="561">
        <v>56</v>
      </c>
      <c r="G85" s="562">
        <v>4.12</v>
      </c>
      <c r="H85" s="512"/>
      <c r="I85" s="512"/>
      <c r="J85" s="512"/>
      <c r="K85" s="512"/>
      <c r="L85" s="512"/>
      <c r="M85" s="512"/>
      <c r="N85" s="95"/>
      <c r="O85" s="564" t="s">
        <v>113</v>
      </c>
      <c r="P85" s="413">
        <v>51</v>
      </c>
      <c r="Q85" s="413">
        <v>45</v>
      </c>
      <c r="R85" s="413"/>
      <c r="S85" s="555">
        <v>48</v>
      </c>
      <c r="T85" s="413"/>
    </row>
    <row r="86" spans="1:20" ht="54" hidden="1" x14ac:dyDescent="0.25">
      <c r="A86" s="509">
        <v>8</v>
      </c>
      <c r="B86" s="509" t="s">
        <v>56</v>
      </c>
      <c r="C86" s="512"/>
      <c r="D86" s="4721"/>
      <c r="E86" s="560" t="s">
        <v>512</v>
      </c>
      <c r="F86" s="561">
        <v>32</v>
      </c>
      <c r="G86" s="562">
        <v>4.7300000000000004</v>
      </c>
      <c r="H86" s="512"/>
      <c r="I86" s="512"/>
      <c r="J86" s="512"/>
      <c r="K86" s="512"/>
      <c r="L86" s="512"/>
      <c r="M86" s="512"/>
      <c r="N86" s="95"/>
      <c r="O86" s="312" t="s">
        <v>105</v>
      </c>
      <c r="P86" s="413">
        <v>52</v>
      </c>
      <c r="Q86" s="413">
        <v>52</v>
      </c>
      <c r="R86" s="413"/>
      <c r="S86" s="555">
        <v>58</v>
      </c>
      <c r="T86" s="413"/>
    </row>
    <row r="87" spans="1:20" ht="54" hidden="1" x14ac:dyDescent="0.25">
      <c r="A87" s="509">
        <v>8</v>
      </c>
      <c r="B87" s="509" t="s">
        <v>56</v>
      </c>
      <c r="C87" s="512"/>
      <c r="D87" s="4721"/>
      <c r="E87" s="560" t="s">
        <v>513</v>
      </c>
      <c r="F87" s="561">
        <v>78</v>
      </c>
      <c r="G87" s="562">
        <v>4.16</v>
      </c>
      <c r="H87" s="512"/>
      <c r="I87" s="512"/>
      <c r="J87" s="512"/>
      <c r="K87" s="512"/>
      <c r="L87" s="512"/>
      <c r="M87" s="512"/>
      <c r="N87" s="95"/>
      <c r="O87" s="312" t="s">
        <v>292</v>
      </c>
      <c r="P87" s="413">
        <v>60</v>
      </c>
      <c r="Q87" s="413">
        <v>55</v>
      </c>
      <c r="R87" s="413"/>
      <c r="S87" s="555">
        <v>55</v>
      </c>
      <c r="T87" s="413"/>
    </row>
    <row r="88" spans="1:20" ht="64.5" hidden="1" x14ac:dyDescent="0.25">
      <c r="A88" s="509">
        <v>8</v>
      </c>
      <c r="B88" s="509" t="s">
        <v>56</v>
      </c>
      <c r="C88" s="512"/>
      <c r="D88" s="4721"/>
      <c r="E88" s="560" t="s">
        <v>514</v>
      </c>
      <c r="F88" s="561">
        <v>25</v>
      </c>
      <c r="G88" s="562">
        <v>5.19</v>
      </c>
      <c r="H88" s="512"/>
      <c r="I88" s="512"/>
      <c r="J88" s="512"/>
      <c r="K88" s="512"/>
      <c r="L88" s="512"/>
      <c r="M88" s="512"/>
      <c r="N88" s="95"/>
      <c r="O88" s="312" t="s">
        <v>106</v>
      </c>
      <c r="P88" s="413">
        <v>72</v>
      </c>
      <c r="Q88" s="413">
        <v>66</v>
      </c>
      <c r="R88" s="413"/>
      <c r="S88" s="555">
        <v>66</v>
      </c>
      <c r="T88" s="413"/>
    </row>
    <row r="89" spans="1:20" ht="54" hidden="1" x14ac:dyDescent="0.25">
      <c r="A89" s="509">
        <v>8</v>
      </c>
      <c r="B89" s="509" t="s">
        <v>56</v>
      </c>
      <c r="C89" s="512"/>
      <c r="D89" s="4721"/>
      <c r="E89" s="560" t="s">
        <v>515</v>
      </c>
      <c r="F89" s="561">
        <v>46</v>
      </c>
      <c r="G89" s="562">
        <v>3.57</v>
      </c>
      <c r="H89" s="512"/>
      <c r="I89" s="512"/>
      <c r="J89" s="512"/>
      <c r="K89" s="512"/>
      <c r="L89" s="512"/>
      <c r="M89" s="512"/>
      <c r="N89" s="95"/>
      <c r="O89" s="312" t="s">
        <v>110</v>
      </c>
      <c r="P89" s="413">
        <v>74</v>
      </c>
      <c r="Q89" s="413">
        <v>73</v>
      </c>
      <c r="R89" s="413"/>
      <c r="S89" s="555">
        <v>68</v>
      </c>
      <c r="T89" s="413"/>
    </row>
    <row r="90" spans="1:20" ht="33" hidden="1" x14ac:dyDescent="0.25">
      <c r="A90" s="509">
        <v>8</v>
      </c>
      <c r="B90" s="509" t="s">
        <v>56</v>
      </c>
      <c r="C90" s="512"/>
      <c r="D90" s="4721"/>
      <c r="E90" s="560" t="s">
        <v>516</v>
      </c>
      <c r="F90" s="561">
        <v>21</v>
      </c>
      <c r="G90" s="562">
        <v>4.8899999999999997</v>
      </c>
      <c r="H90" s="512"/>
      <c r="I90" s="512"/>
      <c r="J90" s="512"/>
      <c r="K90" s="512"/>
      <c r="L90" s="512"/>
      <c r="M90" s="512"/>
      <c r="N90" s="95"/>
      <c r="O90" s="312" t="s">
        <v>111</v>
      </c>
      <c r="P90" s="413">
        <v>76</v>
      </c>
      <c r="Q90" s="413">
        <v>57</v>
      </c>
      <c r="R90" s="413"/>
      <c r="S90" s="555">
        <v>81</v>
      </c>
      <c r="T90" s="413"/>
    </row>
    <row r="91" spans="1:20" hidden="1" x14ac:dyDescent="0.25">
      <c r="A91" s="509">
        <v>8</v>
      </c>
      <c r="B91" s="509" t="s">
        <v>56</v>
      </c>
      <c r="C91" s="512"/>
      <c r="D91" s="563"/>
      <c r="E91" s="557"/>
      <c r="F91" s="558"/>
      <c r="G91" s="559"/>
      <c r="H91" s="512"/>
      <c r="I91" s="512"/>
      <c r="J91" s="512"/>
      <c r="K91" s="512"/>
      <c r="L91" s="512"/>
      <c r="M91" s="512"/>
      <c r="N91" s="512"/>
      <c r="O91" s="512"/>
      <c r="P91" s="512"/>
      <c r="Q91" s="512"/>
      <c r="R91" s="512"/>
      <c r="S91" s="512"/>
      <c r="T91" s="512"/>
    </row>
    <row r="92" spans="1:20" ht="64.5" hidden="1" x14ac:dyDescent="0.25">
      <c r="A92" s="509">
        <v>8</v>
      </c>
      <c r="B92" s="509" t="s">
        <v>56</v>
      </c>
      <c r="C92" s="512"/>
      <c r="D92" s="556" t="s">
        <v>517</v>
      </c>
      <c r="E92" s="557" t="s">
        <v>518</v>
      </c>
      <c r="F92" s="558">
        <v>33</v>
      </c>
      <c r="G92" s="559">
        <v>4.16</v>
      </c>
      <c r="H92" s="512"/>
      <c r="I92" s="512"/>
      <c r="J92" s="512"/>
      <c r="K92" s="512"/>
      <c r="L92" s="512"/>
      <c r="M92" s="512"/>
      <c r="N92" s="512"/>
      <c r="O92" s="512"/>
      <c r="P92" s="512"/>
      <c r="Q92" s="512"/>
      <c r="R92" s="512"/>
      <c r="S92" s="512"/>
      <c r="T92" s="512"/>
    </row>
    <row r="93" spans="1:20" ht="54" hidden="1" x14ac:dyDescent="0.25">
      <c r="A93" s="509">
        <v>8</v>
      </c>
      <c r="B93" s="509" t="s">
        <v>56</v>
      </c>
      <c r="C93" s="512"/>
      <c r="D93" s="4721" t="s">
        <v>504</v>
      </c>
      <c r="E93" s="560" t="s">
        <v>519</v>
      </c>
      <c r="F93" s="561">
        <v>36</v>
      </c>
      <c r="G93" s="562">
        <v>4.6100000000000003</v>
      </c>
      <c r="H93" s="512"/>
      <c r="I93" s="512"/>
      <c r="J93" s="512"/>
      <c r="K93" s="512"/>
      <c r="L93" s="512"/>
      <c r="M93" s="512"/>
      <c r="N93" s="512"/>
      <c r="O93" s="512"/>
      <c r="P93" s="512"/>
      <c r="Q93" s="512"/>
      <c r="R93" s="512"/>
      <c r="S93" s="512"/>
      <c r="T93" s="512"/>
    </row>
    <row r="94" spans="1:20" ht="33.75" hidden="1" thickBot="1" x14ac:dyDescent="0.3">
      <c r="A94" s="509">
        <v>8</v>
      </c>
      <c r="B94" s="509" t="s">
        <v>56</v>
      </c>
      <c r="C94" s="512"/>
      <c r="D94" s="4722"/>
      <c r="E94" s="565" t="s">
        <v>520</v>
      </c>
      <c r="F94" s="566">
        <v>32</v>
      </c>
      <c r="G94" s="567">
        <v>3.71</v>
      </c>
      <c r="H94" s="512"/>
      <c r="I94" s="512"/>
      <c r="J94" s="512"/>
      <c r="K94" s="512"/>
      <c r="L94" s="512"/>
      <c r="M94" s="512"/>
      <c r="N94" s="72" t="s">
        <v>267</v>
      </c>
      <c r="O94" s="413"/>
      <c r="P94" s="550" t="s">
        <v>521</v>
      </c>
      <c r="Q94" s="550" t="s">
        <v>522</v>
      </c>
      <c r="R94" s="550"/>
      <c r="S94" s="550"/>
      <c r="T94" s="550"/>
    </row>
    <row r="95" spans="1:20" hidden="1" x14ac:dyDescent="0.25">
      <c r="A95" s="509">
        <v>8</v>
      </c>
      <c r="B95" s="509" t="s">
        <v>56</v>
      </c>
      <c r="C95" s="512"/>
      <c r="D95" s="512"/>
      <c r="E95" s="512"/>
      <c r="F95" s="512"/>
      <c r="G95" s="512"/>
      <c r="H95" s="512"/>
      <c r="I95" s="512"/>
      <c r="J95" s="512"/>
      <c r="K95" s="512"/>
      <c r="L95" s="512"/>
      <c r="M95" s="512"/>
      <c r="N95" s="72" t="s">
        <v>523</v>
      </c>
      <c r="O95" s="312" t="s">
        <v>180</v>
      </c>
      <c r="P95" s="413">
        <v>19</v>
      </c>
      <c r="Q95" s="413">
        <v>23</v>
      </c>
      <c r="R95" s="413"/>
      <c r="S95" s="413"/>
      <c r="T95" s="413"/>
    </row>
    <row r="96" spans="1:20" hidden="1" x14ac:dyDescent="0.25">
      <c r="A96" s="509">
        <v>8</v>
      </c>
      <c r="B96" s="509" t="s">
        <v>56</v>
      </c>
      <c r="C96" s="512"/>
      <c r="D96" s="512"/>
      <c r="E96" s="512"/>
      <c r="F96" s="512"/>
      <c r="G96" s="512"/>
      <c r="H96" s="512"/>
      <c r="I96" s="512"/>
      <c r="J96" s="512"/>
      <c r="K96" s="512"/>
      <c r="L96" s="512"/>
      <c r="M96" s="512"/>
      <c r="N96" s="95"/>
      <c r="O96" s="312" t="s">
        <v>123</v>
      </c>
      <c r="P96" s="413">
        <v>26</v>
      </c>
      <c r="Q96" s="413">
        <v>26</v>
      </c>
      <c r="R96" s="413"/>
      <c r="S96" s="413"/>
      <c r="T96" s="413"/>
    </row>
    <row r="97" spans="1:20" hidden="1" x14ac:dyDescent="0.25">
      <c r="A97" s="509">
        <v>8</v>
      </c>
      <c r="B97" s="509" t="s">
        <v>56</v>
      </c>
      <c r="C97" s="512"/>
      <c r="D97" s="512"/>
      <c r="E97" s="512"/>
      <c r="F97" s="512"/>
      <c r="G97" s="512"/>
      <c r="H97" s="512"/>
      <c r="I97" s="512"/>
      <c r="J97" s="512"/>
      <c r="K97" s="512"/>
      <c r="L97" s="512"/>
      <c r="M97" s="512"/>
      <c r="N97" s="72"/>
      <c r="O97" s="312" t="s">
        <v>290</v>
      </c>
      <c r="P97" s="413">
        <v>23</v>
      </c>
      <c r="Q97" s="413">
        <v>22</v>
      </c>
      <c r="R97" s="413"/>
      <c r="S97" s="413"/>
      <c r="T97" s="413"/>
    </row>
    <row r="98" spans="1:20" hidden="1" x14ac:dyDescent="0.25">
      <c r="A98" s="509">
        <v>8</v>
      </c>
      <c r="B98" s="509" t="s">
        <v>56</v>
      </c>
      <c r="C98" s="512"/>
      <c r="D98" s="512"/>
      <c r="E98" s="512"/>
      <c r="F98" s="512"/>
      <c r="G98" s="512"/>
      <c r="H98" s="512"/>
      <c r="I98" s="512"/>
      <c r="J98" s="512"/>
      <c r="K98" s="512"/>
      <c r="L98" s="512"/>
      <c r="M98" s="512"/>
      <c r="N98" s="72"/>
      <c r="O98" s="312" t="s">
        <v>293</v>
      </c>
      <c r="P98" s="413">
        <v>36</v>
      </c>
      <c r="Q98" s="413">
        <v>31</v>
      </c>
      <c r="R98" s="413"/>
      <c r="S98" s="413"/>
      <c r="T98" s="413"/>
    </row>
    <row r="99" spans="1:20" hidden="1" x14ac:dyDescent="0.25">
      <c r="A99" s="509">
        <v>8</v>
      </c>
      <c r="B99" s="509" t="s">
        <v>56</v>
      </c>
      <c r="C99" s="512"/>
      <c r="D99" s="512"/>
      <c r="E99" s="512"/>
      <c r="F99" s="512"/>
      <c r="G99" s="512"/>
      <c r="H99" s="512"/>
      <c r="I99" s="512"/>
      <c r="J99" s="512"/>
      <c r="K99" s="512"/>
      <c r="L99" s="512"/>
      <c r="M99" s="512"/>
      <c r="N99" s="72"/>
      <c r="O99" s="312" t="s">
        <v>126</v>
      </c>
      <c r="P99" s="413">
        <v>30</v>
      </c>
      <c r="Q99" s="413">
        <v>34</v>
      </c>
      <c r="R99" s="413"/>
      <c r="S99" s="413"/>
      <c r="T99" s="413"/>
    </row>
    <row r="100" spans="1:20" hidden="1" x14ac:dyDescent="0.25">
      <c r="A100" s="509">
        <v>8</v>
      </c>
      <c r="B100" s="509" t="s">
        <v>56</v>
      </c>
      <c r="C100" s="512"/>
      <c r="D100" s="512"/>
      <c r="E100" s="512"/>
      <c r="F100" s="512"/>
      <c r="G100" s="512"/>
      <c r="H100" s="512"/>
      <c r="I100" s="512"/>
      <c r="J100" s="512"/>
      <c r="K100" s="512"/>
      <c r="L100" s="512"/>
      <c r="M100" s="512"/>
      <c r="N100" s="72"/>
      <c r="O100" s="312" t="s">
        <v>103</v>
      </c>
      <c r="P100" s="413">
        <v>53</v>
      </c>
      <c r="Q100" s="413">
        <v>50</v>
      </c>
      <c r="R100" s="413"/>
      <c r="S100" s="413"/>
      <c r="T100" s="413"/>
    </row>
    <row r="101" spans="1:20" hidden="1" x14ac:dyDescent="0.25">
      <c r="A101" s="509">
        <v>8</v>
      </c>
      <c r="B101" s="509" t="s">
        <v>56</v>
      </c>
      <c r="C101" s="512"/>
      <c r="D101" s="512"/>
      <c r="E101" s="512"/>
      <c r="F101" s="512"/>
      <c r="G101" s="512"/>
      <c r="H101" s="512"/>
      <c r="I101" s="512"/>
      <c r="J101" s="512"/>
      <c r="K101" s="512"/>
      <c r="L101" s="512"/>
      <c r="M101" s="512"/>
      <c r="N101" s="72"/>
      <c r="O101" s="312" t="s">
        <v>294</v>
      </c>
      <c r="P101" s="413" t="s">
        <v>484</v>
      </c>
      <c r="Q101" s="413" t="s">
        <v>484</v>
      </c>
      <c r="R101" s="413"/>
      <c r="S101" s="413"/>
      <c r="T101" s="413"/>
    </row>
    <row r="102" spans="1:20" hidden="1" x14ac:dyDescent="0.25">
      <c r="A102" s="509">
        <v>8</v>
      </c>
      <c r="B102" s="509" t="s">
        <v>56</v>
      </c>
      <c r="C102" s="512"/>
      <c r="D102" s="512"/>
      <c r="E102" s="512"/>
      <c r="F102" s="512"/>
      <c r="G102" s="512"/>
      <c r="H102" s="512"/>
      <c r="I102" s="512"/>
      <c r="J102" s="512"/>
      <c r="K102" s="512"/>
      <c r="L102" s="512"/>
      <c r="M102" s="512"/>
      <c r="N102" s="72"/>
      <c r="O102" s="312" t="s">
        <v>177</v>
      </c>
      <c r="P102" s="413">
        <v>38</v>
      </c>
      <c r="Q102" s="413">
        <v>35</v>
      </c>
      <c r="R102" s="413"/>
      <c r="S102" s="413"/>
      <c r="T102" s="413"/>
    </row>
    <row r="103" spans="1:20" hidden="1" x14ac:dyDescent="0.25">
      <c r="A103" s="509">
        <v>8</v>
      </c>
      <c r="B103" s="509" t="s">
        <v>56</v>
      </c>
      <c r="C103" s="512"/>
      <c r="D103" s="512"/>
      <c r="E103" s="512"/>
      <c r="F103" s="512"/>
      <c r="G103" s="512"/>
      <c r="H103" s="512"/>
      <c r="I103" s="512"/>
      <c r="J103" s="512"/>
      <c r="K103" s="512"/>
      <c r="L103" s="512"/>
      <c r="M103" s="512"/>
      <c r="N103" s="95"/>
      <c r="O103" s="564" t="s">
        <v>113</v>
      </c>
      <c r="P103" s="413">
        <v>44</v>
      </c>
      <c r="Q103" s="413">
        <v>52</v>
      </c>
      <c r="R103" s="413"/>
      <c r="S103" s="413"/>
      <c r="T103" s="413"/>
    </row>
    <row r="104" spans="1:20" hidden="1" x14ac:dyDescent="0.25">
      <c r="A104" s="509">
        <v>8</v>
      </c>
      <c r="B104" s="509" t="s">
        <v>56</v>
      </c>
      <c r="C104" s="512"/>
      <c r="D104" s="512"/>
      <c r="E104" s="512"/>
      <c r="F104" s="512"/>
      <c r="G104" s="512"/>
      <c r="H104" s="512"/>
      <c r="I104" s="512"/>
      <c r="J104" s="512"/>
      <c r="K104" s="512"/>
      <c r="L104" s="512"/>
      <c r="M104" s="512"/>
      <c r="N104" s="95"/>
      <c r="O104" s="312" t="s">
        <v>105</v>
      </c>
      <c r="P104" s="413">
        <v>50</v>
      </c>
      <c r="Q104" s="413">
        <v>47</v>
      </c>
      <c r="R104" s="413"/>
      <c r="S104" s="413"/>
      <c r="T104" s="413"/>
    </row>
    <row r="105" spans="1:20" hidden="1" x14ac:dyDescent="0.25">
      <c r="A105" s="509">
        <v>8</v>
      </c>
      <c r="B105" s="509" t="s">
        <v>56</v>
      </c>
      <c r="C105" s="512"/>
      <c r="D105" s="512"/>
      <c r="E105" s="512"/>
      <c r="F105" s="512"/>
      <c r="G105" s="512"/>
      <c r="H105" s="512"/>
      <c r="I105" s="512"/>
      <c r="J105" s="512"/>
      <c r="K105" s="512"/>
      <c r="L105" s="512"/>
      <c r="M105" s="512"/>
      <c r="N105" s="95"/>
      <c r="O105" s="312" t="s">
        <v>292</v>
      </c>
      <c r="P105" s="413" t="s">
        <v>484</v>
      </c>
      <c r="Q105" s="413" t="s">
        <v>484</v>
      </c>
      <c r="R105" s="413"/>
      <c r="S105" s="413"/>
      <c r="T105" s="413"/>
    </row>
    <row r="106" spans="1:20" hidden="1" x14ac:dyDescent="0.25">
      <c r="A106" s="509">
        <v>8</v>
      </c>
      <c r="B106" s="509" t="s">
        <v>56</v>
      </c>
      <c r="C106" s="512"/>
      <c r="D106" s="512"/>
      <c r="E106" s="512"/>
      <c r="F106" s="512"/>
      <c r="G106" s="512"/>
      <c r="H106" s="512"/>
      <c r="I106" s="512"/>
      <c r="J106" s="512"/>
      <c r="K106" s="512"/>
      <c r="L106" s="512"/>
      <c r="M106" s="512"/>
      <c r="N106" s="95"/>
      <c r="O106" s="312" t="s">
        <v>106</v>
      </c>
      <c r="P106" s="413">
        <v>43</v>
      </c>
      <c r="Q106" s="413">
        <v>49</v>
      </c>
      <c r="R106" s="413"/>
      <c r="S106" s="413"/>
      <c r="T106" s="413"/>
    </row>
    <row r="107" spans="1:20" hidden="1" x14ac:dyDescent="0.25">
      <c r="A107" s="509">
        <v>8</v>
      </c>
      <c r="B107" s="509" t="s">
        <v>56</v>
      </c>
      <c r="C107" s="512"/>
      <c r="D107" s="512"/>
      <c r="E107" s="512"/>
      <c r="F107" s="512"/>
      <c r="G107" s="512"/>
      <c r="H107" s="512"/>
      <c r="I107" s="512"/>
      <c r="J107" s="512"/>
      <c r="K107" s="512"/>
      <c r="L107" s="512"/>
      <c r="M107" s="512"/>
      <c r="N107" s="95"/>
      <c r="O107" s="312" t="s">
        <v>110</v>
      </c>
      <c r="P107" s="413">
        <v>45</v>
      </c>
      <c r="Q107" s="413">
        <v>44</v>
      </c>
      <c r="R107" s="413"/>
      <c r="S107" s="413"/>
      <c r="T107" s="413"/>
    </row>
    <row r="108" spans="1:20" hidden="1" x14ac:dyDescent="0.25">
      <c r="A108" s="509">
        <v>8</v>
      </c>
      <c r="B108" s="509" t="s">
        <v>56</v>
      </c>
      <c r="C108" s="512"/>
      <c r="D108" s="512"/>
      <c r="E108" s="512"/>
      <c r="F108" s="512"/>
      <c r="G108" s="512"/>
      <c r="H108" s="512"/>
      <c r="I108" s="512"/>
      <c r="J108" s="512"/>
      <c r="K108" s="512"/>
      <c r="L108" s="512"/>
      <c r="M108" s="512"/>
      <c r="N108" s="95"/>
      <c r="O108" s="312" t="s">
        <v>111</v>
      </c>
      <c r="P108" s="413" t="s">
        <v>484</v>
      </c>
      <c r="Q108" s="413" t="s">
        <v>484</v>
      </c>
      <c r="R108" s="413"/>
      <c r="S108" s="413"/>
      <c r="T108" s="413"/>
    </row>
    <row r="109" spans="1:20" hidden="1" x14ac:dyDescent="0.25">
      <c r="A109" s="509">
        <v>8</v>
      </c>
      <c r="B109" s="509" t="s">
        <v>56</v>
      </c>
      <c r="C109" s="512"/>
      <c r="D109" s="512"/>
      <c r="E109" s="512"/>
      <c r="F109" s="512"/>
      <c r="G109" s="512"/>
      <c r="H109" s="512"/>
      <c r="I109" s="512"/>
      <c r="J109" s="512"/>
      <c r="K109" s="512"/>
      <c r="L109" s="512"/>
      <c r="M109" s="512"/>
      <c r="N109" s="508"/>
      <c r="O109" s="508"/>
      <c r="P109" s="508"/>
      <c r="Q109" s="508"/>
      <c r="R109" s="508"/>
      <c r="S109" s="508"/>
      <c r="T109" s="508"/>
    </row>
    <row r="110" spans="1:20" hidden="1" x14ac:dyDescent="0.25">
      <c r="A110" s="509">
        <v>8</v>
      </c>
      <c r="B110" s="509" t="s">
        <v>56</v>
      </c>
      <c r="C110" s="512"/>
      <c r="D110" s="512"/>
      <c r="E110" s="512"/>
      <c r="F110" s="512"/>
      <c r="G110" s="512"/>
      <c r="H110" s="512"/>
      <c r="I110" s="512"/>
      <c r="J110" s="512"/>
      <c r="K110" s="512"/>
      <c r="L110" s="512"/>
      <c r="M110" s="512"/>
      <c r="N110" s="512"/>
      <c r="O110" s="512"/>
      <c r="P110" s="512"/>
      <c r="Q110" s="512"/>
      <c r="R110" s="512"/>
      <c r="S110" s="512"/>
      <c r="T110" s="512"/>
    </row>
    <row r="111" spans="1:20" hidden="1" x14ac:dyDescent="0.25">
      <c r="A111" s="509">
        <v>8</v>
      </c>
      <c r="B111" s="509" t="s">
        <v>56</v>
      </c>
      <c r="C111" s="512"/>
      <c r="D111" s="512"/>
      <c r="E111" s="512"/>
      <c r="F111" s="512"/>
      <c r="G111" s="512"/>
      <c r="H111" s="512"/>
      <c r="I111" s="512"/>
      <c r="J111" s="512"/>
      <c r="K111" s="512"/>
      <c r="L111" s="512"/>
      <c r="M111" s="512"/>
      <c r="N111" s="512"/>
      <c r="O111" s="512"/>
      <c r="P111" s="512"/>
      <c r="Q111" s="512"/>
      <c r="R111" s="512"/>
      <c r="S111" s="512"/>
      <c r="T111" s="512"/>
    </row>
    <row r="112" spans="1:20" hidden="1" x14ac:dyDescent="0.25">
      <c r="A112" s="509">
        <v>8</v>
      </c>
      <c r="B112" s="509" t="s">
        <v>56</v>
      </c>
      <c r="C112" s="512"/>
    </row>
    <row r="113" spans="1:3" hidden="1" x14ac:dyDescent="0.25">
      <c r="A113" s="509">
        <v>8</v>
      </c>
      <c r="B113" s="509" t="s">
        <v>56</v>
      </c>
      <c r="C113" s="512"/>
    </row>
    <row r="114" spans="1:3" hidden="1" x14ac:dyDescent="0.25">
      <c r="A114" s="509">
        <v>8</v>
      </c>
      <c r="B114" s="509" t="s">
        <v>56</v>
      </c>
      <c r="C114" s="512"/>
    </row>
    <row r="115" spans="1:3" hidden="1" x14ac:dyDescent="0.25">
      <c r="A115" s="509">
        <v>8</v>
      </c>
      <c r="B115" s="509" t="s">
        <v>56</v>
      </c>
      <c r="C115" s="512"/>
    </row>
    <row r="116" spans="1:3" hidden="1" x14ac:dyDescent="0.25">
      <c r="A116" s="509">
        <v>8</v>
      </c>
      <c r="B116" s="509" t="s">
        <v>56</v>
      </c>
      <c r="C116" s="512"/>
    </row>
    <row r="117" spans="1:3" hidden="1" x14ac:dyDescent="0.25">
      <c r="A117" s="509">
        <v>8</v>
      </c>
      <c r="B117" s="509" t="s">
        <v>56</v>
      </c>
      <c r="C117" s="512"/>
    </row>
    <row r="118" spans="1:3" hidden="1" x14ac:dyDescent="0.25">
      <c r="A118" s="509">
        <v>8</v>
      </c>
      <c r="B118" s="509" t="s">
        <v>56</v>
      </c>
      <c r="C118" s="512"/>
    </row>
    <row r="119" spans="1:3" hidden="1" x14ac:dyDescent="0.25">
      <c r="A119" s="509">
        <v>8</v>
      </c>
      <c r="B119" s="509" t="s">
        <v>56</v>
      </c>
      <c r="C119" s="512"/>
    </row>
    <row r="120" spans="1:3" hidden="1" x14ac:dyDescent="0.25">
      <c r="A120" s="509">
        <v>8</v>
      </c>
      <c r="B120" s="509" t="s">
        <v>56</v>
      </c>
      <c r="C120" s="512"/>
    </row>
    <row r="121" spans="1:3" hidden="1" x14ac:dyDescent="0.25">
      <c r="A121" s="509">
        <v>8</v>
      </c>
      <c r="B121" s="509" t="s">
        <v>56</v>
      </c>
      <c r="C121" s="512"/>
    </row>
    <row r="122" spans="1:3" hidden="1" x14ac:dyDescent="0.25">
      <c r="A122" s="509">
        <v>8</v>
      </c>
      <c r="B122" s="509" t="s">
        <v>56</v>
      </c>
      <c r="C122" s="512"/>
    </row>
    <row r="123" spans="1:3" hidden="1" x14ac:dyDescent="0.25">
      <c r="A123" s="509">
        <v>8</v>
      </c>
      <c r="B123" s="509" t="s">
        <v>56</v>
      </c>
      <c r="C123" s="512"/>
    </row>
    <row r="124" spans="1:3" hidden="1" x14ac:dyDescent="0.25">
      <c r="A124" s="509">
        <v>8</v>
      </c>
      <c r="B124" s="509" t="s">
        <v>56</v>
      </c>
      <c r="C124" s="512"/>
    </row>
    <row r="125" spans="1:3" hidden="1" x14ac:dyDescent="0.25">
      <c r="A125" s="509">
        <v>8</v>
      </c>
      <c r="B125" s="509" t="s">
        <v>56</v>
      </c>
      <c r="C125" s="512"/>
    </row>
    <row r="126" spans="1:3" hidden="1" x14ac:dyDescent="0.25">
      <c r="A126" s="509">
        <v>8</v>
      </c>
      <c r="B126" s="509" t="s">
        <v>56</v>
      </c>
      <c r="C126" s="512"/>
    </row>
    <row r="127" spans="1:3" hidden="1" x14ac:dyDescent="0.25">
      <c r="A127" s="509">
        <v>8</v>
      </c>
      <c r="B127" s="509" t="s">
        <v>56</v>
      </c>
      <c r="C127" s="512"/>
    </row>
    <row r="128" spans="1:3" hidden="1" x14ac:dyDescent="0.25">
      <c r="A128" s="509">
        <v>8</v>
      </c>
      <c r="B128" s="509" t="s">
        <v>56</v>
      </c>
      <c r="C128" s="512"/>
    </row>
    <row r="129" spans="1:4" hidden="1" x14ac:dyDescent="0.25">
      <c r="A129" s="509">
        <v>8</v>
      </c>
      <c r="B129" s="509" t="s">
        <v>56</v>
      </c>
      <c r="C129" s="512"/>
    </row>
    <row r="130" spans="1:4" hidden="1" x14ac:dyDescent="0.25">
      <c r="A130" s="509">
        <v>8</v>
      </c>
      <c r="B130" s="509" t="s">
        <v>56</v>
      </c>
      <c r="C130" s="512"/>
    </row>
    <row r="131" spans="1:4" hidden="1" x14ac:dyDescent="0.25">
      <c r="A131" s="509">
        <v>8</v>
      </c>
      <c r="B131" s="509" t="s">
        <v>56</v>
      </c>
      <c r="C131" s="512"/>
    </row>
    <row r="132" spans="1:4" x14ac:dyDescent="0.25">
      <c r="A132" s="509">
        <v>9</v>
      </c>
      <c r="B132" s="509" t="s">
        <v>58</v>
      </c>
      <c r="C132" s="512"/>
      <c r="D132" s="345" t="s">
        <v>524</v>
      </c>
    </row>
    <row r="133" spans="1:4" x14ac:dyDescent="0.25">
      <c r="A133" s="203"/>
      <c r="B133" s="527"/>
      <c r="C133" s="527"/>
    </row>
  </sheetData>
  <mergeCells count="11">
    <mergeCell ref="D65:S65"/>
    <mergeCell ref="D76:G76"/>
    <mergeCell ref="D79:D82"/>
    <mergeCell ref="D85:D90"/>
    <mergeCell ref="D93:D94"/>
    <mergeCell ref="D64:S64"/>
    <mergeCell ref="D2:S2"/>
    <mergeCell ref="D3:S3"/>
    <mergeCell ref="D4:S4"/>
    <mergeCell ref="Q5:AC5"/>
    <mergeCell ref="D63:S63"/>
  </mergeCells>
  <pageMargins left="0.74803149606299202" right="0.74803149606299202" top="0.98425196850393704" bottom="0.98425196850393704" header="0.511811023622047" footer="0.511811023622047"/>
  <pageSetup paperSize="9" scale="45" orientation="landscape" r:id="rId1"/>
  <headerFooter alignWithMargins="0">
    <oddHeader>&amp;C&amp;"-,Bold"DEVELOPMENT INDICATORS 2017</oddHeader>
    <oddFooter>&amp;LDepartment of Planning, Monitoring and Evaluation (DPME). &amp;CPage &amp;P of &amp;N&amp;R&amp;D</oddFooter>
  </headerFooter>
  <colBreaks count="1" manualBreakCount="1">
    <brk id="18"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9A94D-3840-434F-8DE2-D8641E948A13}">
  <sheetPr>
    <tabColor rgb="FFFFC000"/>
    <pageSetUpPr fitToPage="1"/>
  </sheetPr>
  <dimension ref="A1:AD61"/>
  <sheetViews>
    <sheetView showGridLines="0" view="pageBreakPreview" zoomScaleNormal="100" zoomScaleSheetLayoutView="100" workbookViewId="0">
      <selection activeCell="X35" sqref="X35"/>
    </sheetView>
  </sheetViews>
  <sheetFormatPr defaultColWidth="9.140625" defaultRowHeight="15" x14ac:dyDescent="0.25"/>
  <cols>
    <col min="1" max="1" width="3.85546875" style="69" customWidth="1"/>
    <col min="2" max="2" width="18.85546875" style="66" customWidth="1"/>
    <col min="3" max="3" width="3.85546875" style="67" customWidth="1"/>
    <col min="4" max="4" width="14.85546875" style="4" customWidth="1"/>
    <col min="5" max="7" width="8.140625" style="4" customWidth="1"/>
    <col min="8" max="8" width="8.140625" style="570" customWidth="1"/>
    <col min="9" max="9" width="8.140625" style="4" customWidth="1"/>
    <col min="10" max="10" width="8.140625" style="570" customWidth="1"/>
    <col min="11" max="11" width="8.140625" style="4" customWidth="1"/>
    <col min="12" max="12" width="9.140625" style="570"/>
    <col min="13" max="13" width="9.140625" style="4"/>
    <col min="14" max="14" width="9.140625" style="570"/>
    <col min="15" max="15" width="9.140625" style="4"/>
    <col min="16" max="16" width="9.140625" style="570"/>
    <col min="17" max="17" width="9.140625" style="4"/>
    <col min="18" max="18" width="9.140625" style="570"/>
    <col min="19" max="20" width="9.140625" style="4"/>
    <col min="21" max="21" width="7.42578125" style="4" customWidth="1"/>
    <col min="22" max="22" width="7" style="4" customWidth="1"/>
    <col min="23" max="24" width="7.85546875" style="4" customWidth="1"/>
    <col min="25" max="25" width="6.42578125" style="4" customWidth="1"/>
    <col min="26" max="16384" width="9.140625" style="4"/>
  </cols>
  <sheetData>
    <row r="1" spans="1:29" x14ac:dyDescent="0.25">
      <c r="A1" s="509"/>
      <c r="B1" s="568"/>
      <c r="C1" s="568"/>
      <c r="D1" s="68"/>
      <c r="E1" s="68"/>
      <c r="F1" s="68"/>
      <c r="G1" s="68"/>
      <c r="H1" s="569"/>
      <c r="I1" s="68"/>
      <c r="J1" s="569"/>
      <c r="K1" s="68"/>
    </row>
    <row r="2" spans="1:29" ht="13.35" customHeight="1" x14ac:dyDescent="0.25">
      <c r="A2" s="509">
        <v>1</v>
      </c>
      <c r="B2" s="509" t="s">
        <v>0</v>
      </c>
      <c r="C2" s="509">
        <v>19</v>
      </c>
      <c r="D2" s="4674" t="s">
        <v>525</v>
      </c>
      <c r="E2" s="4675"/>
      <c r="F2" s="4675"/>
      <c r="G2" s="4675"/>
      <c r="H2" s="4675"/>
      <c r="I2" s="4675"/>
      <c r="J2" s="4675"/>
      <c r="K2" s="4675"/>
      <c r="L2" s="4675"/>
      <c r="M2" s="4675"/>
      <c r="N2" s="4675"/>
      <c r="O2" s="4675"/>
      <c r="P2" s="4675"/>
      <c r="Q2" s="4675"/>
      <c r="R2" s="4675"/>
      <c r="S2" s="4675"/>
      <c r="T2" s="4675"/>
      <c r="U2" s="4675"/>
      <c r="V2" s="4675"/>
      <c r="W2" s="4676"/>
      <c r="X2" s="180"/>
    </row>
    <row r="3" spans="1:29" ht="13.35" customHeight="1" x14ac:dyDescent="0.25">
      <c r="A3" s="509">
        <v>2</v>
      </c>
      <c r="B3" s="509" t="s">
        <v>2</v>
      </c>
      <c r="C3" s="509"/>
      <c r="D3" s="4674" t="s">
        <v>526</v>
      </c>
      <c r="E3" s="4675"/>
      <c r="F3" s="4675"/>
      <c r="G3" s="4675"/>
      <c r="H3" s="4675"/>
      <c r="I3" s="4675"/>
      <c r="J3" s="4675"/>
      <c r="K3" s="4675"/>
      <c r="L3" s="4675"/>
      <c r="M3" s="4675"/>
      <c r="N3" s="4675"/>
      <c r="O3" s="4675"/>
      <c r="P3" s="4675"/>
      <c r="Q3" s="4675"/>
      <c r="R3" s="4675"/>
      <c r="S3" s="4675"/>
      <c r="T3" s="4675"/>
      <c r="U3" s="4675"/>
      <c r="V3" s="4675"/>
      <c r="W3" s="4676"/>
      <c r="X3" s="180"/>
    </row>
    <row r="4" spans="1:29" ht="13.35" customHeight="1" x14ac:dyDescent="0.25">
      <c r="A4" s="509">
        <v>3</v>
      </c>
      <c r="B4" s="509" t="s">
        <v>4</v>
      </c>
      <c r="C4" s="509"/>
      <c r="D4" s="4674" t="s">
        <v>527</v>
      </c>
      <c r="E4" s="4675"/>
      <c r="F4" s="4675"/>
      <c r="G4" s="4675"/>
      <c r="H4" s="4675"/>
      <c r="I4" s="4675"/>
      <c r="J4" s="4675"/>
      <c r="K4" s="4675"/>
      <c r="L4" s="4675"/>
      <c r="M4" s="4675"/>
      <c r="N4" s="4675"/>
      <c r="O4" s="4675"/>
      <c r="P4" s="4675"/>
      <c r="Q4" s="4675"/>
      <c r="R4" s="4675"/>
      <c r="S4" s="4675"/>
      <c r="T4" s="4675"/>
      <c r="U4" s="4675"/>
      <c r="V4" s="4675"/>
      <c r="W4" s="4676"/>
      <c r="X4" s="180"/>
    </row>
    <row r="5" spans="1:29" ht="13.5" customHeight="1" x14ac:dyDescent="0.25">
      <c r="B5" s="70"/>
      <c r="C5" s="69"/>
      <c r="D5" s="4677"/>
      <c r="E5" s="4678"/>
      <c r="F5" s="4678"/>
      <c r="G5" s="4678"/>
      <c r="H5" s="4678"/>
      <c r="I5" s="4678"/>
      <c r="J5" s="4678"/>
      <c r="K5" s="4678"/>
      <c r="L5" s="4678"/>
      <c r="M5" s="4678"/>
      <c r="N5" s="4678"/>
      <c r="O5" s="4678"/>
      <c r="P5" s="4678"/>
      <c r="Q5" s="4678"/>
      <c r="R5" s="4678"/>
      <c r="S5" s="4678"/>
      <c r="T5" s="4678"/>
      <c r="U5" s="4678"/>
      <c r="V5" s="4678"/>
      <c r="W5" s="4679"/>
      <c r="X5" s="867"/>
      <c r="Y5" s="867"/>
      <c r="Z5" s="867"/>
      <c r="AA5" s="867"/>
      <c r="AB5" s="867"/>
      <c r="AC5" s="867"/>
    </row>
    <row r="6" spans="1:29" ht="13.5" customHeight="1" x14ac:dyDescent="0.25">
      <c r="B6" s="70"/>
      <c r="C6" s="69"/>
      <c r="D6" s="4698"/>
      <c r="E6" s="4698"/>
      <c r="F6" s="4698"/>
      <c r="G6" s="4698"/>
      <c r="H6" s="4698"/>
      <c r="I6" s="4698"/>
      <c r="J6" s="4698"/>
      <c r="K6" s="4698"/>
      <c r="L6" s="4698"/>
      <c r="M6" s="4698"/>
      <c r="N6" s="4698"/>
      <c r="O6" s="4698"/>
      <c r="P6" s="4698"/>
      <c r="Q6" s="4698"/>
      <c r="R6" s="4698"/>
      <c r="S6" s="4698"/>
      <c r="T6" s="4698"/>
      <c r="U6" s="4698"/>
      <c r="V6" s="4698"/>
      <c r="W6" s="4698"/>
      <c r="X6" s="180"/>
    </row>
    <row r="7" spans="1:29" x14ac:dyDescent="0.25">
      <c r="A7" s="509">
        <v>4</v>
      </c>
      <c r="B7" s="509" t="s">
        <v>6</v>
      </c>
      <c r="C7" s="568"/>
      <c r="D7" s="71" t="s">
        <v>7</v>
      </c>
      <c r="E7" s="71" t="s">
        <v>528</v>
      </c>
      <c r="F7" s="71"/>
      <c r="G7" s="71"/>
      <c r="H7" s="571"/>
      <c r="I7" s="88"/>
      <c r="J7" s="571"/>
      <c r="K7" s="88"/>
      <c r="L7" s="572"/>
      <c r="M7" s="68"/>
      <c r="N7" s="569"/>
      <c r="O7" s="68"/>
      <c r="P7" s="569"/>
      <c r="Q7" s="68"/>
      <c r="R7" s="4"/>
    </row>
    <row r="8" spans="1:29" x14ac:dyDescent="0.25">
      <c r="A8" s="509"/>
      <c r="B8" s="568"/>
      <c r="C8" s="568"/>
      <c r="D8" s="159" t="s">
        <v>389</v>
      </c>
      <c r="E8" s="573" t="s">
        <v>324</v>
      </c>
      <c r="F8" s="573" t="s">
        <v>325</v>
      </c>
      <c r="G8" s="573" t="s">
        <v>326</v>
      </c>
      <c r="H8" s="573" t="s">
        <v>327</v>
      </c>
      <c r="I8" s="573" t="s">
        <v>328</v>
      </c>
      <c r="J8" s="573" t="s">
        <v>329</v>
      </c>
      <c r="K8" s="573" t="s">
        <v>330</v>
      </c>
      <c r="L8" s="573" t="s">
        <v>331</v>
      </c>
      <c r="M8" s="573" t="s">
        <v>332</v>
      </c>
      <c r="N8" s="573" t="s">
        <v>333</v>
      </c>
      <c r="O8" s="573" t="s">
        <v>334</v>
      </c>
      <c r="P8" s="573" t="s">
        <v>335</v>
      </c>
      <c r="Q8" s="573" t="s">
        <v>336</v>
      </c>
      <c r="R8" s="573" t="s">
        <v>337</v>
      </c>
      <c r="S8" s="574" t="s">
        <v>338</v>
      </c>
      <c r="T8" s="575" t="s">
        <v>339</v>
      </c>
      <c r="U8" s="576">
        <v>2016</v>
      </c>
      <c r="V8" s="577" t="s">
        <v>341</v>
      </c>
      <c r="W8" s="573" t="s">
        <v>342</v>
      </c>
      <c r="X8" s="577" t="s">
        <v>343</v>
      </c>
      <c r="Y8" s="578" t="s">
        <v>344</v>
      </c>
      <c r="Z8" s="578" t="s">
        <v>345</v>
      </c>
    </row>
    <row r="9" spans="1:29" x14ac:dyDescent="0.25">
      <c r="A9" s="509"/>
      <c r="B9" s="568"/>
      <c r="C9" s="568"/>
      <c r="D9" s="579" t="s">
        <v>529</v>
      </c>
      <c r="E9" s="580">
        <v>0.127</v>
      </c>
      <c r="F9" s="580">
        <v>0.251</v>
      </c>
      <c r="G9" s="580">
        <f>+(10+3.4+5)%</f>
        <v>0.184</v>
      </c>
      <c r="H9" s="580">
        <f>+(14.9+4+4.9)%</f>
        <v>0.23799999999999996</v>
      </c>
      <c r="I9" s="580">
        <f>+(11.8+3.7+5.6)%</f>
        <v>0.21100000000000002</v>
      </c>
      <c r="J9" s="580">
        <f>+(17.9+3.7+5.6)%</f>
        <v>0.27199999999999996</v>
      </c>
      <c r="K9" s="580">
        <f>(11.3+4.7+6.2)%</f>
        <v>0.222</v>
      </c>
      <c r="L9" s="580">
        <f>+(18.8+3.9+6.1)%</f>
        <v>0.28799999999999998</v>
      </c>
      <c r="M9" s="580">
        <f>+(13.6+4.7+5.9)%</f>
        <v>0.24200000000000002</v>
      </c>
      <c r="N9" s="580">
        <f>+(20.3+5+6.9)%</f>
        <v>0.32200000000000001</v>
      </c>
      <c r="O9" s="581">
        <f>(12.7+4.6+6.8)%</f>
        <v>0.24099999999999999</v>
      </c>
      <c r="P9" s="581">
        <f>+(18.5+4.8+7.5)%</f>
        <v>0.308</v>
      </c>
      <c r="Q9" s="580">
        <f>(12.3+4.6+7.3)%</f>
        <v>0.24199999999999999</v>
      </c>
      <c r="R9" s="580">
        <f>+(19.8+5.1+8.4)%</f>
        <v>0.33299999999999996</v>
      </c>
      <c r="S9" s="581">
        <v>0.26700000000000002</v>
      </c>
      <c r="T9" s="582">
        <v>0.27600000000000002</v>
      </c>
      <c r="U9" s="582">
        <v>0.28199999999999997</v>
      </c>
      <c r="V9" s="582">
        <v>0.28799999999999998</v>
      </c>
      <c r="W9" s="583">
        <v>0.30099999999999999</v>
      </c>
      <c r="X9" s="886">
        <v>0.311</v>
      </c>
      <c r="Y9" s="584">
        <v>0.32100000000000001</v>
      </c>
      <c r="Z9" s="584">
        <v>0.33800000000000002</v>
      </c>
    </row>
    <row r="10" spans="1:29" x14ac:dyDescent="0.25">
      <c r="A10" s="509"/>
      <c r="B10" s="568"/>
      <c r="C10" s="568"/>
      <c r="D10" s="82" t="s">
        <v>530</v>
      </c>
      <c r="E10" s="585">
        <v>0.185</v>
      </c>
      <c r="F10" s="585">
        <v>0.191</v>
      </c>
      <c r="G10" s="585">
        <f>(10.8+5.7+6.3)%</f>
        <v>0.22800000000000001</v>
      </c>
      <c r="H10" s="585">
        <f>+(14.2+6.3+6.8)%</f>
        <v>0.27300000000000002</v>
      </c>
      <c r="I10" s="585">
        <f>+(13.1+5.4+7.2)%</f>
        <v>0.25700000000000001</v>
      </c>
      <c r="J10" s="585">
        <f>+(14.5+6+7)%</f>
        <v>0.27500000000000002</v>
      </c>
      <c r="K10" s="585">
        <f>+(13.4+5.8+7.7)%</f>
        <v>0.26899999999999996</v>
      </c>
      <c r="L10" s="585">
        <f>+(18.1+6.1+8.2)%</f>
        <v>0.32400000000000007</v>
      </c>
      <c r="M10" s="585">
        <f>+(17.3+6.9+8.3)%</f>
        <v>0.32500000000000001</v>
      </c>
      <c r="N10" s="585">
        <f>+(20+6.4+9.1)%</f>
        <v>0.35499999999999998</v>
      </c>
      <c r="O10" s="586">
        <f>+(12.7+4.6+6.8)%</f>
        <v>0.24099999999999999</v>
      </c>
      <c r="P10" s="586">
        <f>+(12.8+7+9.6)%</f>
        <v>0.29399999999999998</v>
      </c>
      <c r="Q10" s="585">
        <f>+(18.4+7.1+9.5)%</f>
        <v>0.35</v>
      </c>
      <c r="R10" s="585">
        <f>(23+7+10.1)%</f>
        <v>0.40100000000000002</v>
      </c>
      <c r="S10" s="586">
        <v>0.376</v>
      </c>
      <c r="T10" s="587">
        <v>0.38800000000000001</v>
      </c>
      <c r="U10" s="587">
        <v>0.40400000000000003</v>
      </c>
      <c r="V10" s="587">
        <v>0.40699999999999997</v>
      </c>
      <c r="W10" s="586">
        <v>0.42299999999999999</v>
      </c>
      <c r="X10" s="587">
        <v>0.42899999999999999</v>
      </c>
      <c r="Y10" s="588">
        <v>0.443</v>
      </c>
      <c r="Z10" s="588">
        <v>0.45600000000000002</v>
      </c>
    </row>
    <row r="11" spans="1:29" ht="12.75" customHeight="1" x14ac:dyDescent="0.25">
      <c r="A11" s="509"/>
      <c r="B11" s="568"/>
      <c r="C11" s="568"/>
      <c r="D11" s="87"/>
      <c r="E11" s="589"/>
      <c r="F11" s="589"/>
      <c r="G11" s="589"/>
      <c r="H11" s="589"/>
      <c r="I11" s="589"/>
      <c r="J11" s="589"/>
      <c r="K11" s="589"/>
      <c r="L11" s="589"/>
      <c r="M11" s="589"/>
      <c r="N11" s="589"/>
      <c r="O11" s="590"/>
      <c r="P11" s="590"/>
      <c r="Q11" s="589"/>
      <c r="R11" s="589"/>
      <c r="S11" s="34"/>
      <c r="T11" s="34"/>
    </row>
    <row r="12" spans="1:29" ht="12.75" customHeight="1" x14ac:dyDescent="0.25">
      <c r="A12" s="509"/>
      <c r="B12" s="568"/>
      <c r="C12" s="568"/>
      <c r="D12" s="591" t="s">
        <v>365</v>
      </c>
      <c r="E12" s="592" t="s">
        <v>531</v>
      </c>
      <c r="F12" s="589"/>
      <c r="G12" s="589"/>
      <c r="H12" s="589"/>
      <c r="I12" s="589"/>
      <c r="J12" s="589"/>
      <c r="K12" s="589"/>
      <c r="L12" s="589"/>
      <c r="M12" s="589"/>
      <c r="N12" s="589"/>
      <c r="O12" s="590"/>
      <c r="P12" s="590"/>
      <c r="Q12" s="589"/>
      <c r="R12" s="589"/>
      <c r="S12" s="34"/>
      <c r="T12" s="34"/>
    </row>
    <row r="13" spans="1:29" ht="12.75" customHeight="1" x14ac:dyDescent="0.25">
      <c r="A13" s="509"/>
      <c r="B13" s="568"/>
      <c r="C13" s="568"/>
      <c r="D13" s="593" t="s">
        <v>389</v>
      </c>
      <c r="E13" s="594" t="s">
        <v>324</v>
      </c>
      <c r="F13" s="594" t="s">
        <v>325</v>
      </c>
      <c r="G13" s="594" t="s">
        <v>326</v>
      </c>
      <c r="H13" s="594" t="s">
        <v>327</v>
      </c>
      <c r="I13" s="594" t="s">
        <v>328</v>
      </c>
      <c r="J13" s="594" t="s">
        <v>329</v>
      </c>
      <c r="K13" s="594" t="s">
        <v>330</v>
      </c>
      <c r="L13" s="594" t="s">
        <v>331</v>
      </c>
      <c r="M13" s="594" t="s">
        <v>332</v>
      </c>
      <c r="N13" s="594" t="s">
        <v>333</v>
      </c>
      <c r="O13" s="595" t="s">
        <v>334</v>
      </c>
      <c r="P13" s="595" t="s">
        <v>335</v>
      </c>
      <c r="Q13" s="594" t="s">
        <v>336</v>
      </c>
      <c r="R13" s="594" t="s">
        <v>337</v>
      </c>
      <c r="S13" s="595" t="s">
        <v>338</v>
      </c>
      <c r="T13" s="594" t="s">
        <v>339</v>
      </c>
      <c r="U13" s="594">
        <v>2016</v>
      </c>
      <c r="V13" s="596" t="s">
        <v>341</v>
      </c>
      <c r="W13" s="594" t="s">
        <v>342</v>
      </c>
      <c r="X13" s="596" t="s">
        <v>343</v>
      </c>
      <c r="Y13" s="578" t="s">
        <v>344</v>
      </c>
      <c r="Z13" s="578" t="s">
        <v>345</v>
      </c>
    </row>
    <row r="14" spans="1:29" x14ac:dyDescent="0.25">
      <c r="A14" s="509"/>
      <c r="B14" s="568"/>
      <c r="C14" s="568"/>
      <c r="D14" s="597" t="s">
        <v>532</v>
      </c>
      <c r="E14" s="598">
        <v>0.124</v>
      </c>
      <c r="F14" s="598">
        <v>0.11899999999999999</v>
      </c>
      <c r="G14" s="598">
        <v>0.13700000000000001</v>
      </c>
      <c r="H14" s="598">
        <v>0.14000000000000001</v>
      </c>
      <c r="I14" s="598">
        <v>0.151</v>
      </c>
      <c r="J14" s="598">
        <v>0.17</v>
      </c>
      <c r="K14" s="598">
        <v>0.216</v>
      </c>
      <c r="L14" s="598">
        <v>0.20599999999999999</v>
      </c>
      <c r="M14" s="598">
        <v>0.182</v>
      </c>
      <c r="N14" s="598">
        <v>0.184</v>
      </c>
      <c r="O14" s="598">
        <v>0.19</v>
      </c>
      <c r="P14" s="599">
        <v>0.19</v>
      </c>
      <c r="Q14" s="598">
        <v>0.19800000000000001</v>
      </c>
      <c r="R14" s="598">
        <v>0.20599999999999999</v>
      </c>
      <c r="S14" s="599">
        <v>0.20899999999999999</v>
      </c>
      <c r="T14" s="600">
        <v>0.214</v>
      </c>
      <c r="U14" s="582">
        <v>0.22</v>
      </c>
      <c r="V14" s="601">
        <v>0.22900000000000001</v>
      </c>
      <c r="W14" s="583">
        <v>0.23499999999999999</v>
      </c>
      <c r="X14" s="601">
        <v>0.24399999999999999</v>
      </c>
      <c r="Y14" s="602">
        <v>0.249</v>
      </c>
      <c r="Z14" s="602">
        <v>0.25800000000000001</v>
      </c>
    </row>
    <row r="15" spans="1:29" x14ac:dyDescent="0.25">
      <c r="A15" s="509"/>
      <c r="B15" s="568"/>
      <c r="C15" s="568"/>
      <c r="D15" s="603" t="s">
        <v>530</v>
      </c>
      <c r="E15" s="604">
        <v>0.21</v>
      </c>
      <c r="F15" s="604">
        <v>0.17699999999999999</v>
      </c>
      <c r="G15" s="604">
        <v>0.216</v>
      </c>
      <c r="H15" s="604">
        <v>0.223</v>
      </c>
      <c r="I15" s="604">
        <v>0.23699999999999999</v>
      </c>
      <c r="J15" s="604">
        <v>0.23699999999999999</v>
      </c>
      <c r="K15" s="604">
        <v>0.27400000000000002</v>
      </c>
      <c r="L15" s="604">
        <v>0.253</v>
      </c>
      <c r="M15" s="604">
        <v>0.28299999999999997</v>
      </c>
      <c r="N15" s="604">
        <v>0.27200000000000002</v>
      </c>
      <c r="O15" s="604">
        <v>0.19</v>
      </c>
      <c r="P15" s="605">
        <v>0.28199999999999997</v>
      </c>
      <c r="Q15" s="604">
        <v>0.307</v>
      </c>
      <c r="R15" s="604">
        <v>0.29899999999999999</v>
      </c>
      <c r="S15" s="605">
        <v>0.32100000000000001</v>
      </c>
      <c r="T15" s="606">
        <v>0.32400000000000001</v>
      </c>
      <c r="U15" s="605">
        <v>0.33329999999999999</v>
      </c>
      <c r="V15" s="607">
        <v>0.33800000000000002</v>
      </c>
      <c r="W15" s="604">
        <v>0.34499999999999997</v>
      </c>
      <c r="X15" s="607">
        <v>0.35299999999999998</v>
      </c>
      <c r="Y15" s="608">
        <v>0.35699999999999998</v>
      </c>
      <c r="Z15" s="608">
        <v>0.36399999999999999</v>
      </c>
    </row>
    <row r="16" spans="1:29" x14ac:dyDescent="0.25">
      <c r="A16" s="509"/>
      <c r="B16" s="568"/>
      <c r="C16" s="568"/>
      <c r="D16" s="609"/>
      <c r="E16" s="589"/>
      <c r="F16" s="589"/>
      <c r="G16" s="589"/>
      <c r="H16" s="610"/>
      <c r="I16" s="589"/>
      <c r="J16" s="610"/>
      <c r="K16" s="589"/>
      <c r="L16" s="610"/>
      <c r="M16" s="589"/>
      <c r="N16" s="610"/>
      <c r="O16" s="589"/>
      <c r="P16" s="611"/>
      <c r="Q16" s="589"/>
      <c r="R16" s="610"/>
    </row>
    <row r="17" spans="1:24" x14ac:dyDescent="0.25">
      <c r="A17" s="509"/>
      <c r="B17" s="568"/>
      <c r="C17" s="568"/>
      <c r="D17" s="87"/>
      <c r="E17" s="612"/>
      <c r="F17" s="612"/>
      <c r="G17" s="612"/>
      <c r="H17" s="610"/>
      <c r="I17" s="612"/>
      <c r="J17" s="610"/>
      <c r="K17" s="612"/>
      <c r="L17" s="610"/>
      <c r="M17" s="612"/>
      <c r="N17" s="610"/>
      <c r="O17" s="613"/>
      <c r="P17" s="611"/>
      <c r="Q17" s="613"/>
    </row>
    <row r="18" spans="1:24" x14ac:dyDescent="0.25">
      <c r="A18" s="509">
        <v>5</v>
      </c>
      <c r="B18" s="509" t="s">
        <v>51</v>
      </c>
      <c r="C18" s="509"/>
      <c r="D18" s="87"/>
      <c r="E18" s="612"/>
      <c r="F18" s="612"/>
      <c r="G18" s="612"/>
      <c r="H18" s="610"/>
      <c r="I18" s="612"/>
      <c r="J18" s="610"/>
      <c r="K18" s="612"/>
      <c r="L18" s="610"/>
      <c r="M18" s="612"/>
      <c r="N18" s="610"/>
      <c r="O18" s="613"/>
      <c r="P18" s="611"/>
      <c r="Q18" s="613"/>
    </row>
    <row r="19" spans="1:24" x14ac:dyDescent="0.25">
      <c r="A19" s="509"/>
      <c r="B19" s="568"/>
      <c r="C19" s="568"/>
      <c r="D19" s="87"/>
      <c r="E19" s="612"/>
      <c r="F19" s="612"/>
      <c r="G19" s="612"/>
      <c r="H19" s="610"/>
      <c r="I19" s="612"/>
      <c r="J19" s="610"/>
      <c r="K19" s="612"/>
      <c r="L19" s="610"/>
      <c r="M19" s="612"/>
      <c r="N19" s="610"/>
      <c r="O19" s="613"/>
      <c r="P19" s="611"/>
      <c r="Q19" s="613"/>
    </row>
    <row r="20" spans="1:24" x14ac:dyDescent="0.25">
      <c r="A20" s="509"/>
      <c r="B20" s="568"/>
      <c r="C20" s="568"/>
      <c r="D20" s="87"/>
      <c r="E20" s="612"/>
      <c r="F20" s="612"/>
      <c r="G20" s="612"/>
      <c r="H20" s="610"/>
      <c r="I20" s="612"/>
      <c r="J20" s="610"/>
      <c r="K20" s="612"/>
      <c r="L20" s="610"/>
      <c r="M20" s="612"/>
      <c r="N20" s="610"/>
      <c r="O20" s="613"/>
      <c r="P20" s="611"/>
      <c r="Q20" s="613"/>
    </row>
    <row r="21" spans="1:24" x14ac:dyDescent="0.25">
      <c r="A21" s="509"/>
      <c r="B21" s="568"/>
      <c r="C21" s="568"/>
      <c r="D21" s="87"/>
      <c r="E21" s="612"/>
      <c r="F21" s="612"/>
      <c r="G21" s="612"/>
      <c r="H21" s="610"/>
      <c r="I21" s="612"/>
      <c r="J21" s="610"/>
      <c r="K21" s="612"/>
      <c r="L21" s="610"/>
      <c r="M21" s="612"/>
      <c r="N21" s="610"/>
      <c r="O21" s="613"/>
      <c r="P21" s="611"/>
      <c r="Q21" s="613"/>
      <c r="W21" s="55"/>
      <c r="X21" s="55"/>
    </row>
    <row r="22" spans="1:24" x14ac:dyDescent="0.25">
      <c r="A22" s="509"/>
      <c r="B22" s="568"/>
      <c r="C22" s="568"/>
      <c r="D22" s="87"/>
      <c r="E22" s="612"/>
      <c r="F22" s="612"/>
      <c r="G22" s="612"/>
      <c r="H22" s="610"/>
      <c r="I22" s="612"/>
      <c r="J22" s="610"/>
      <c r="K22" s="612"/>
      <c r="L22" s="610"/>
      <c r="M22" s="612"/>
      <c r="N22" s="610"/>
      <c r="O22" s="613"/>
      <c r="P22" s="611"/>
      <c r="Q22" s="613"/>
    </row>
    <row r="23" spans="1:24" x14ac:dyDescent="0.25">
      <c r="A23" s="509"/>
      <c r="B23" s="568"/>
      <c r="C23" s="568"/>
      <c r="D23" s="87"/>
      <c r="E23" s="612"/>
      <c r="F23" s="612"/>
      <c r="G23" s="612"/>
      <c r="H23" s="610"/>
      <c r="I23" s="612"/>
      <c r="J23" s="610"/>
      <c r="K23" s="612"/>
      <c r="L23" s="610"/>
      <c r="M23" s="612"/>
      <c r="N23" s="610"/>
      <c r="O23" s="613"/>
      <c r="P23" s="611"/>
      <c r="Q23" s="613"/>
    </row>
    <row r="24" spans="1:24" x14ac:dyDescent="0.25">
      <c r="A24" s="509"/>
      <c r="B24" s="568"/>
      <c r="C24" s="568"/>
      <c r="D24" s="87"/>
      <c r="E24" s="612"/>
      <c r="F24" s="612"/>
      <c r="G24" s="612"/>
      <c r="H24" s="610"/>
      <c r="I24" s="612"/>
      <c r="J24" s="610"/>
      <c r="K24" s="612"/>
      <c r="L24" s="610"/>
      <c r="M24" s="612"/>
      <c r="N24" s="610"/>
      <c r="O24" s="613"/>
      <c r="P24" s="611"/>
      <c r="Q24" s="613"/>
    </row>
    <row r="25" spans="1:24" x14ac:dyDescent="0.25">
      <c r="A25" s="509"/>
      <c r="B25" s="568"/>
      <c r="C25" s="568"/>
      <c r="D25" s="87"/>
      <c r="E25" s="612"/>
      <c r="F25" s="612"/>
      <c r="G25" s="612"/>
      <c r="H25" s="610"/>
      <c r="I25" s="612"/>
      <c r="J25" s="610"/>
      <c r="K25" s="612"/>
      <c r="L25" s="610"/>
      <c r="M25" s="612"/>
      <c r="N25" s="610"/>
      <c r="O25" s="613"/>
      <c r="P25" s="611"/>
      <c r="Q25" s="613"/>
    </row>
    <row r="26" spans="1:24" x14ac:dyDescent="0.25">
      <c r="A26" s="509"/>
      <c r="B26" s="568"/>
      <c r="C26" s="568"/>
      <c r="D26" s="87"/>
      <c r="E26" s="612"/>
      <c r="F26" s="612"/>
      <c r="G26" s="612"/>
      <c r="H26" s="610"/>
      <c r="I26" s="612"/>
      <c r="J26" s="610"/>
      <c r="K26" s="612"/>
      <c r="L26" s="610"/>
      <c r="M26" s="612"/>
      <c r="N26" s="610"/>
      <c r="O26" s="613"/>
      <c r="P26" s="611"/>
      <c r="Q26" s="613"/>
    </row>
    <row r="27" spans="1:24" x14ac:dyDescent="0.25">
      <c r="A27" s="509"/>
      <c r="B27" s="568"/>
      <c r="C27" s="568"/>
      <c r="D27" s="87"/>
      <c r="E27" s="612"/>
      <c r="F27" s="612"/>
      <c r="G27" s="612"/>
      <c r="H27" s="610"/>
      <c r="I27" s="612"/>
      <c r="J27" s="610"/>
      <c r="K27" s="612"/>
      <c r="L27" s="610"/>
      <c r="M27" s="612"/>
      <c r="N27" s="610"/>
      <c r="O27" s="613"/>
      <c r="P27" s="611"/>
      <c r="Q27" s="613"/>
    </row>
    <row r="28" spans="1:24" x14ac:dyDescent="0.25">
      <c r="A28" s="4"/>
      <c r="B28" s="568"/>
      <c r="C28" s="568"/>
      <c r="D28" s="87"/>
      <c r="E28" s="612"/>
      <c r="F28" s="612"/>
      <c r="G28" s="612"/>
      <c r="H28" s="610"/>
      <c r="I28" s="612"/>
      <c r="J28" s="610"/>
      <c r="K28" s="612"/>
      <c r="L28" s="610"/>
      <c r="M28" s="612"/>
      <c r="N28" s="610"/>
      <c r="O28" s="613"/>
      <c r="P28" s="611"/>
      <c r="Q28" s="613"/>
    </row>
    <row r="29" spans="1:24" x14ac:dyDescent="0.25">
      <c r="A29" s="4"/>
      <c r="B29" s="568"/>
      <c r="C29" s="568"/>
      <c r="D29" s="87"/>
      <c r="E29" s="612"/>
      <c r="F29" s="612"/>
      <c r="G29" s="612"/>
      <c r="H29" s="610"/>
      <c r="I29" s="612"/>
      <c r="J29" s="610"/>
      <c r="K29" s="612"/>
      <c r="L29" s="610"/>
      <c r="M29" s="612"/>
      <c r="N29" s="610"/>
      <c r="O29" s="613"/>
      <c r="P29" s="611"/>
      <c r="Q29" s="613"/>
    </row>
    <row r="30" spans="1:24" x14ac:dyDescent="0.25">
      <c r="A30" s="4"/>
      <c r="B30" s="568"/>
      <c r="C30" s="568"/>
      <c r="D30" s="87"/>
      <c r="E30" s="612"/>
      <c r="F30" s="612"/>
      <c r="G30" s="612"/>
      <c r="H30" s="610"/>
      <c r="I30" s="612"/>
      <c r="J30" s="610"/>
      <c r="K30" s="612"/>
      <c r="L30" s="610"/>
      <c r="M30" s="612"/>
      <c r="N30" s="610"/>
      <c r="O30" s="613"/>
      <c r="P30" s="611"/>
      <c r="Q30" s="613"/>
    </row>
    <row r="31" spans="1:24" x14ac:dyDescent="0.25">
      <c r="A31" s="4"/>
      <c r="B31" s="568"/>
      <c r="C31" s="568"/>
      <c r="D31" s="87"/>
      <c r="E31" s="612"/>
      <c r="F31" s="612"/>
      <c r="G31" s="612"/>
      <c r="H31" s="610"/>
      <c r="I31" s="612"/>
      <c r="J31" s="610"/>
      <c r="K31" s="612"/>
      <c r="L31" s="610"/>
      <c r="M31" s="612"/>
      <c r="N31" s="610"/>
      <c r="O31" s="613"/>
      <c r="P31" s="611"/>
      <c r="Q31" s="613"/>
    </row>
    <row r="32" spans="1:24" ht="12.75" customHeight="1" x14ac:dyDescent="0.25">
      <c r="A32" s="509"/>
      <c r="B32" s="568"/>
      <c r="C32" s="568"/>
      <c r="D32" s="87"/>
      <c r="E32" s="612"/>
      <c r="F32" s="612"/>
      <c r="G32" s="612"/>
      <c r="H32" s="572"/>
      <c r="I32" s="87"/>
      <c r="J32" s="614"/>
      <c r="K32" s="87"/>
      <c r="L32" s="572"/>
      <c r="M32" s="88"/>
      <c r="N32" s="572"/>
    </row>
    <row r="33" spans="1:29" x14ac:dyDescent="0.25">
      <c r="A33" s="509">
        <v>6</v>
      </c>
      <c r="B33" s="509" t="s">
        <v>52</v>
      </c>
      <c r="C33" s="509"/>
      <c r="D33" s="4674" t="s">
        <v>533</v>
      </c>
      <c r="E33" s="4675"/>
      <c r="F33" s="4675"/>
      <c r="G33" s="4675"/>
      <c r="H33" s="4675"/>
      <c r="I33" s="4675"/>
      <c r="J33" s="4675"/>
      <c r="K33" s="4675"/>
      <c r="L33" s="4675"/>
      <c r="M33" s="4675"/>
      <c r="N33" s="4675"/>
      <c r="O33" s="4675"/>
      <c r="P33" s="4675"/>
      <c r="Q33" s="4675"/>
      <c r="R33" s="4675"/>
      <c r="S33" s="4675"/>
      <c r="T33" s="4675"/>
      <c r="U33" s="4675"/>
      <c r="V33" s="4675"/>
      <c r="W33" s="4676"/>
      <c r="X33" s="180"/>
    </row>
    <row r="34" spans="1:29" ht="13.35" customHeight="1" x14ac:dyDescent="0.25">
      <c r="A34" s="509">
        <v>7</v>
      </c>
      <c r="B34" s="546" t="s">
        <v>54</v>
      </c>
      <c r="C34" s="546"/>
      <c r="D34" s="4674" t="s">
        <v>534</v>
      </c>
      <c r="E34" s="4675"/>
      <c r="F34" s="4675"/>
      <c r="G34" s="4675"/>
      <c r="H34" s="4675"/>
      <c r="I34" s="4675"/>
      <c r="J34" s="4675"/>
      <c r="K34" s="4675"/>
      <c r="L34" s="4675"/>
      <c r="M34" s="4675"/>
      <c r="N34" s="4675"/>
      <c r="O34" s="4675"/>
      <c r="P34" s="4675"/>
      <c r="Q34" s="4675"/>
      <c r="R34" s="4675"/>
      <c r="S34" s="4675"/>
      <c r="T34" s="4675"/>
      <c r="U34" s="4675"/>
      <c r="V34" s="4675"/>
      <c r="W34" s="4676"/>
      <c r="X34" s="180"/>
    </row>
    <row r="35" spans="1:29" ht="57.6" customHeight="1" x14ac:dyDescent="0.25">
      <c r="A35" s="509">
        <v>8</v>
      </c>
      <c r="B35" s="546" t="s">
        <v>58</v>
      </c>
      <c r="C35" s="546"/>
      <c r="D35" s="4677" t="s">
        <v>535</v>
      </c>
      <c r="E35" s="4678"/>
      <c r="F35" s="4678"/>
      <c r="G35" s="4678"/>
      <c r="H35" s="4678"/>
      <c r="I35" s="4678"/>
      <c r="J35" s="4678"/>
      <c r="K35" s="4678"/>
      <c r="L35" s="4678"/>
      <c r="M35" s="4678"/>
      <c r="N35" s="4678"/>
      <c r="O35" s="4678"/>
      <c r="P35" s="4678"/>
      <c r="Q35" s="4678"/>
      <c r="R35" s="4678"/>
      <c r="S35" s="4678"/>
      <c r="T35" s="4678"/>
      <c r="U35" s="4678"/>
      <c r="V35" s="4678"/>
      <c r="W35" s="4679"/>
      <c r="X35" s="867"/>
      <c r="AC35" s="34"/>
    </row>
    <row r="36" spans="1:29" ht="13.35" customHeight="1" x14ac:dyDescent="0.25">
      <c r="A36" s="509">
        <v>9</v>
      </c>
      <c r="B36" s="509" t="s">
        <v>56</v>
      </c>
      <c r="C36" s="509"/>
      <c r="D36" s="4674" t="s">
        <v>536</v>
      </c>
      <c r="E36" s="4675"/>
      <c r="F36" s="4675"/>
      <c r="G36" s="4675"/>
      <c r="H36" s="4675"/>
      <c r="I36" s="4675"/>
      <c r="J36" s="4675"/>
      <c r="K36" s="4675"/>
      <c r="L36" s="4675"/>
      <c r="M36" s="4675"/>
      <c r="N36" s="4675"/>
      <c r="O36" s="4675"/>
      <c r="P36" s="4675"/>
      <c r="Q36" s="4675"/>
      <c r="R36" s="4675"/>
      <c r="S36" s="4675"/>
      <c r="T36" s="4675"/>
      <c r="U36" s="4675"/>
      <c r="V36" s="4675"/>
      <c r="W36" s="4676"/>
      <c r="X36" s="180"/>
    </row>
    <row r="37" spans="1:29" x14ac:dyDescent="0.25">
      <c r="D37" s="615"/>
      <c r="L37" s="572"/>
      <c r="M37" s="88"/>
      <c r="N37" s="572"/>
    </row>
    <row r="38" spans="1:29" x14ac:dyDescent="0.25">
      <c r="L38" s="572"/>
      <c r="M38" s="88"/>
      <c r="N38" s="572"/>
    </row>
    <row r="39" spans="1:29" x14ac:dyDescent="0.25">
      <c r="D39" s="68"/>
      <c r="E39" s="88"/>
      <c r="F39" s="88"/>
      <c r="G39" s="88"/>
      <c r="H39" s="572"/>
      <c r="I39" s="88"/>
      <c r="J39" s="572"/>
      <c r="K39" s="68"/>
      <c r="L39" s="572"/>
      <c r="M39" s="88"/>
      <c r="N39" s="572"/>
    </row>
    <row r="41" spans="1:29" x14ac:dyDescent="0.25">
      <c r="L41" s="572"/>
      <c r="N41" s="572"/>
    </row>
    <row r="43" spans="1:29" x14ac:dyDescent="0.25">
      <c r="B43" s="271"/>
      <c r="C43" s="92"/>
      <c r="D43" s="47"/>
      <c r="E43" s="47"/>
      <c r="F43" s="47"/>
      <c r="G43" s="47"/>
      <c r="H43" s="47"/>
      <c r="I43" s="47"/>
      <c r="J43" s="47"/>
      <c r="K43" s="47"/>
      <c r="L43" s="47"/>
      <c r="M43" s="47"/>
      <c r="N43" s="47"/>
      <c r="O43" s="47"/>
      <c r="P43" s="47"/>
      <c r="Q43" s="47"/>
      <c r="R43" s="47"/>
      <c r="S43" s="47"/>
      <c r="T43" s="47"/>
      <c r="U43" s="47"/>
      <c r="V43" s="47"/>
      <c r="W43" s="47"/>
      <c r="X43" s="47"/>
    </row>
    <row r="44" spans="1:29" x14ac:dyDescent="0.25">
      <c r="B44" s="271"/>
      <c r="C44" s="92"/>
      <c r="D44" s="47"/>
      <c r="E44" s="47"/>
      <c r="F44" s="47"/>
      <c r="G44" s="47"/>
      <c r="H44" s="47"/>
      <c r="I44" s="47"/>
      <c r="J44" s="47"/>
      <c r="K44" s="47"/>
      <c r="L44" s="47"/>
      <c r="M44" s="47"/>
      <c r="N44" s="47"/>
      <c r="O44" s="47"/>
      <c r="P44" s="47"/>
      <c r="Q44" s="47"/>
      <c r="R44" s="47"/>
      <c r="S44" s="47"/>
      <c r="T44" s="47"/>
      <c r="U44" s="47"/>
      <c r="V44" s="47"/>
      <c r="W44" s="47"/>
      <c r="X44" s="47"/>
    </row>
    <row r="45" spans="1:29" x14ac:dyDescent="0.25">
      <c r="B45" s="271"/>
      <c r="C45" s="92"/>
      <c r="D45" s="47"/>
      <c r="E45" s="47"/>
      <c r="F45" s="47"/>
      <c r="G45" s="47"/>
      <c r="H45" s="47"/>
      <c r="I45" s="47"/>
      <c r="J45" s="47"/>
      <c r="K45" s="47"/>
      <c r="L45" s="47"/>
      <c r="M45" s="47"/>
      <c r="N45" s="47"/>
      <c r="O45" s="47"/>
      <c r="P45" s="47"/>
      <c r="Q45" s="47"/>
      <c r="R45" s="47"/>
      <c r="S45" s="47"/>
      <c r="T45" s="47"/>
      <c r="U45" s="47"/>
      <c r="V45" s="47"/>
      <c r="W45" s="47"/>
      <c r="X45" s="47"/>
    </row>
    <row r="46" spans="1:29" x14ac:dyDescent="0.25">
      <c r="B46" s="271"/>
      <c r="C46" s="92"/>
      <c r="D46" s="71" t="s">
        <v>7</v>
      </c>
      <c r="E46" s="71" t="s">
        <v>537</v>
      </c>
      <c r="F46" s="71"/>
      <c r="G46" s="71"/>
      <c r="H46" s="71"/>
      <c r="I46" s="88"/>
      <c r="J46" s="71"/>
      <c r="K46" s="88"/>
      <c r="L46" s="88"/>
      <c r="M46" s="616"/>
      <c r="N46" s="616"/>
      <c r="O46" s="616"/>
      <c r="P46" s="616"/>
      <c r="Q46" s="616"/>
      <c r="R46" s="617"/>
      <c r="S46" s="617"/>
      <c r="T46" s="617"/>
      <c r="U46" s="617"/>
      <c r="V46" s="617"/>
      <c r="W46" s="617"/>
      <c r="X46" s="617"/>
    </row>
    <row r="47" spans="1:29" x14ac:dyDescent="0.25">
      <c r="B47" s="271"/>
      <c r="C47" s="92"/>
      <c r="D47" s="2186"/>
      <c r="E47" s="3243" t="s">
        <v>324</v>
      </c>
      <c r="F47" s="3243" t="s">
        <v>325</v>
      </c>
      <c r="G47" s="3243" t="s">
        <v>326</v>
      </c>
      <c r="H47" s="3243" t="s">
        <v>327</v>
      </c>
      <c r="I47" s="3243" t="s">
        <v>328</v>
      </c>
      <c r="J47" s="3243" t="s">
        <v>329</v>
      </c>
      <c r="K47" s="3243" t="s">
        <v>330</v>
      </c>
      <c r="L47" s="3243" t="s">
        <v>331</v>
      </c>
      <c r="M47" s="3243" t="s">
        <v>332</v>
      </c>
      <c r="N47" s="3243" t="s">
        <v>333</v>
      </c>
      <c r="O47" s="3243" t="s">
        <v>334</v>
      </c>
      <c r="P47" s="3243" t="s">
        <v>335</v>
      </c>
      <c r="Q47" s="3243" t="s">
        <v>336</v>
      </c>
      <c r="R47" s="3243">
        <v>2013</v>
      </c>
      <c r="S47" s="3243" t="s">
        <v>338</v>
      </c>
      <c r="T47" s="3385" t="s">
        <v>339</v>
      </c>
      <c r="U47" s="3243" t="s">
        <v>340</v>
      </c>
      <c r="V47" s="596" t="s">
        <v>341</v>
      </c>
      <c r="W47" s="594" t="s">
        <v>342</v>
      </c>
      <c r="X47" s="596" t="s">
        <v>343</v>
      </c>
      <c r="Y47" s="578" t="s">
        <v>344</v>
      </c>
      <c r="Z47" s="578" t="s">
        <v>345</v>
      </c>
    </row>
    <row r="48" spans="1:29" ht="23.25" x14ac:dyDescent="0.25">
      <c r="B48" s="271"/>
      <c r="C48" s="92"/>
      <c r="D48" s="87" t="s">
        <v>538</v>
      </c>
      <c r="E48" s="612">
        <v>0.127</v>
      </c>
      <c r="F48" s="612">
        <v>0.251</v>
      </c>
      <c r="G48" s="612">
        <f>+(10+3.4+5)%</f>
        <v>0.184</v>
      </c>
      <c r="H48" s="612">
        <f>+(14.9+4+4.9)%</f>
        <v>0.23799999999999996</v>
      </c>
      <c r="I48" s="612">
        <f>+(11.8+3.7+5.6)%</f>
        <v>0.21100000000000002</v>
      </c>
      <c r="J48" s="612">
        <f>+(17.9+3.7+5.6)%</f>
        <v>0.27199999999999996</v>
      </c>
      <c r="K48" s="612">
        <f>(11.3+4.7+6.2)%</f>
        <v>0.222</v>
      </c>
      <c r="L48" s="612">
        <f>+(18.8+3.9+6.1)%</f>
        <v>0.28799999999999998</v>
      </c>
      <c r="M48" s="612">
        <f>+(13.6+4.7+5.9)%</f>
        <v>0.24200000000000002</v>
      </c>
      <c r="N48" s="612">
        <f>+(20.3+5+6.9)%</f>
        <v>0.32200000000000001</v>
      </c>
      <c r="O48" s="613">
        <f>(12.7+4.6+6.8)%</f>
        <v>0.24099999999999999</v>
      </c>
      <c r="P48" s="613">
        <f>+(18.5+4.8+7.5)%</f>
        <v>0.308</v>
      </c>
      <c r="Q48" s="612">
        <f>(12.3+4.6+7.3)%</f>
        <v>0.24199999999999999</v>
      </c>
      <c r="R48" s="612">
        <f>+(19.8+5.1+8.4)%</f>
        <v>0.33299999999999996</v>
      </c>
      <c r="S48" s="618">
        <v>0.26700000000000002</v>
      </c>
      <c r="T48" s="618">
        <v>0.27600000000000002</v>
      </c>
      <c r="U48" s="618">
        <v>0.28199999999999997</v>
      </c>
      <c r="V48" s="619">
        <v>0.28799999999999998</v>
      </c>
      <c r="W48" s="620">
        <v>0.30099999999999999</v>
      </c>
      <c r="X48" s="887">
        <v>0.311</v>
      </c>
      <c r="Y48" s="584">
        <v>0.32100000000000001</v>
      </c>
      <c r="Z48" s="584">
        <v>0.33800000000000002</v>
      </c>
    </row>
    <row r="49" spans="2:30" ht="23.25" x14ac:dyDescent="0.25">
      <c r="B49" s="271"/>
      <c r="C49" s="92"/>
      <c r="D49" s="621" t="s">
        <v>539</v>
      </c>
      <c r="E49" s="622">
        <v>0.185</v>
      </c>
      <c r="F49" s="622">
        <v>0.191</v>
      </c>
      <c r="G49" s="622">
        <f>(10.8+5.7+6.3)%</f>
        <v>0.22800000000000001</v>
      </c>
      <c r="H49" s="622">
        <f>+(14.2+6.3+6.8)%</f>
        <v>0.27300000000000002</v>
      </c>
      <c r="I49" s="622">
        <f>+(13.1+5.4+7.2)%</f>
        <v>0.25700000000000001</v>
      </c>
      <c r="J49" s="622">
        <f>+(14.5+6+7)%</f>
        <v>0.27500000000000002</v>
      </c>
      <c r="K49" s="622">
        <f>+(13.4+5.8+7.7)%</f>
        <v>0.26899999999999996</v>
      </c>
      <c r="L49" s="622">
        <f>+(18.1+6.1+8.2)%</f>
        <v>0.32400000000000007</v>
      </c>
      <c r="M49" s="622">
        <f>+(17.3+6.9+8.3)%</f>
        <v>0.32500000000000001</v>
      </c>
      <c r="N49" s="622">
        <f>+(20+6.4+9.1)%</f>
        <v>0.35499999999999998</v>
      </c>
      <c r="O49" s="623">
        <f>+(12.7+4.6+6.8)%</f>
        <v>0.24099999999999999</v>
      </c>
      <c r="P49" s="623">
        <f>+(12.8+7+9.6)%</f>
        <v>0.29399999999999998</v>
      </c>
      <c r="Q49" s="624">
        <f>+(18.4+7.1+9.5)%</f>
        <v>0.35</v>
      </c>
      <c r="R49" s="624">
        <f>(23+7+10.1)%</f>
        <v>0.40100000000000002</v>
      </c>
      <c r="S49" s="625">
        <v>0.376</v>
      </c>
      <c r="T49" s="625">
        <v>0.38800000000000001</v>
      </c>
      <c r="U49" s="625">
        <v>0.40400000000000003</v>
      </c>
      <c r="V49" s="626">
        <v>0.40699999999999997</v>
      </c>
      <c r="W49" s="586">
        <v>0.42299999999999999</v>
      </c>
      <c r="X49" s="587">
        <v>0.42899999999999999</v>
      </c>
      <c r="Y49" s="588">
        <v>0.443</v>
      </c>
      <c r="Z49" s="588">
        <v>0.45600000000000002</v>
      </c>
    </row>
    <row r="50" spans="2:30" x14ac:dyDescent="0.25">
      <c r="B50" s="271"/>
      <c r="C50" s="92"/>
      <c r="D50" s="87"/>
      <c r="E50" s="612"/>
      <c r="F50" s="612"/>
      <c r="G50" s="612"/>
      <c r="H50" s="612"/>
      <c r="I50" s="612"/>
      <c r="J50" s="612"/>
      <c r="K50" s="612"/>
      <c r="L50" s="612"/>
      <c r="M50" s="612"/>
      <c r="N50" s="612"/>
      <c r="O50" s="613"/>
      <c r="P50" s="613"/>
      <c r="Q50" s="613"/>
      <c r="R50" s="617"/>
      <c r="S50" s="617"/>
      <c r="T50" s="617"/>
      <c r="U50" s="617"/>
      <c r="V50" s="617"/>
      <c r="W50" s="617"/>
      <c r="X50" s="617"/>
    </row>
    <row r="51" spans="2:30" x14ac:dyDescent="0.25">
      <c r="B51" s="271"/>
      <c r="C51" s="92"/>
      <c r="D51" s="131" t="s">
        <v>365</v>
      </c>
      <c r="E51" s="627" t="s">
        <v>531</v>
      </c>
      <c r="F51" s="612"/>
      <c r="G51" s="612"/>
      <c r="H51" s="612"/>
      <c r="I51" s="612"/>
      <c r="J51" s="612"/>
      <c r="K51" s="612"/>
      <c r="L51" s="612"/>
      <c r="M51" s="612"/>
      <c r="N51" s="612"/>
      <c r="O51" s="613"/>
      <c r="P51" s="613"/>
      <c r="Q51" s="613"/>
      <c r="R51" s="617"/>
      <c r="S51" s="617"/>
      <c r="T51" s="617"/>
      <c r="U51" s="617"/>
      <c r="V51" s="617"/>
      <c r="W51" s="617"/>
      <c r="X51" s="617"/>
    </row>
    <row r="52" spans="2:30" x14ac:dyDescent="0.25">
      <c r="B52" s="271"/>
      <c r="C52" s="92"/>
      <c r="D52" s="3386"/>
      <c r="E52" s="3243" t="s">
        <v>324</v>
      </c>
      <c r="F52" s="3243" t="s">
        <v>325</v>
      </c>
      <c r="G52" s="3243" t="s">
        <v>326</v>
      </c>
      <c r="H52" s="3243" t="s">
        <v>327</v>
      </c>
      <c r="I52" s="3243" t="s">
        <v>328</v>
      </c>
      <c r="J52" s="3243" t="s">
        <v>329</v>
      </c>
      <c r="K52" s="3243" t="s">
        <v>330</v>
      </c>
      <c r="L52" s="3243" t="s">
        <v>331</v>
      </c>
      <c r="M52" s="3243" t="s">
        <v>332</v>
      </c>
      <c r="N52" s="3243" t="s">
        <v>333</v>
      </c>
      <c r="O52" s="3387" t="s">
        <v>334</v>
      </c>
      <c r="P52" s="3387" t="s">
        <v>335</v>
      </c>
      <c r="Q52" s="3387" t="s">
        <v>336</v>
      </c>
      <c r="R52" s="3387">
        <v>2013</v>
      </c>
      <c r="S52" s="3243" t="s">
        <v>338</v>
      </c>
      <c r="T52" s="3243" t="s">
        <v>339</v>
      </c>
      <c r="U52" s="3243" t="s">
        <v>340</v>
      </c>
      <c r="V52" s="596" t="s">
        <v>341</v>
      </c>
      <c r="W52" s="594" t="s">
        <v>342</v>
      </c>
      <c r="X52" s="596" t="s">
        <v>343</v>
      </c>
      <c r="Y52" s="578" t="s">
        <v>344</v>
      </c>
      <c r="Z52" s="578" t="s">
        <v>345</v>
      </c>
    </row>
    <row r="53" spans="2:30" ht="23.25" x14ac:dyDescent="0.25">
      <c r="B53" s="271"/>
      <c r="C53" s="92"/>
      <c r="D53" s="87" t="s">
        <v>540</v>
      </c>
      <c r="E53" s="612">
        <v>0.124</v>
      </c>
      <c r="F53" s="612">
        <v>0.11899999999999999</v>
      </c>
      <c r="G53" s="612">
        <v>0.13700000000000001</v>
      </c>
      <c r="H53" s="612">
        <v>0.14000000000000001</v>
      </c>
      <c r="I53" s="612">
        <v>0.151</v>
      </c>
      <c r="J53" s="612">
        <v>0.17</v>
      </c>
      <c r="K53" s="612">
        <v>0.216</v>
      </c>
      <c r="L53" s="612">
        <v>0.20599999999999999</v>
      </c>
      <c r="M53" s="612">
        <v>0.182</v>
      </c>
      <c r="N53" s="612">
        <v>0.184</v>
      </c>
      <c r="O53" s="612">
        <v>0.19</v>
      </c>
      <c r="P53" s="613">
        <v>0.19</v>
      </c>
      <c r="Q53" s="612">
        <v>0.19800000000000001</v>
      </c>
      <c r="R53" s="612">
        <v>0.20599999999999999</v>
      </c>
      <c r="S53" s="618">
        <v>0.20899999999999999</v>
      </c>
      <c r="T53" s="618">
        <v>0.214</v>
      </c>
      <c r="U53" s="618">
        <v>0.22</v>
      </c>
      <c r="V53" s="601">
        <v>0.22900000000000001</v>
      </c>
      <c r="W53" s="583">
        <v>0.23499999999999999</v>
      </c>
      <c r="X53" s="601">
        <v>0.24399999999999999</v>
      </c>
      <c r="Y53" s="602">
        <v>0.249</v>
      </c>
      <c r="Z53" s="602">
        <v>0.25800000000000001</v>
      </c>
    </row>
    <row r="54" spans="2:30" ht="23.25" x14ac:dyDescent="0.25">
      <c r="B54" s="271"/>
      <c r="C54" s="92"/>
      <c r="D54" s="621" t="s">
        <v>541</v>
      </c>
      <c r="E54" s="622">
        <v>0.21</v>
      </c>
      <c r="F54" s="622">
        <v>0.17699999999999999</v>
      </c>
      <c r="G54" s="622">
        <v>0.216</v>
      </c>
      <c r="H54" s="622">
        <v>0.223</v>
      </c>
      <c r="I54" s="622">
        <v>0.23699999999999999</v>
      </c>
      <c r="J54" s="622">
        <v>0.23699999999999999</v>
      </c>
      <c r="K54" s="622">
        <v>0.27400000000000002</v>
      </c>
      <c r="L54" s="622">
        <v>0.253</v>
      </c>
      <c r="M54" s="622">
        <v>0.28299999999999997</v>
      </c>
      <c r="N54" s="622">
        <v>0.27200000000000002</v>
      </c>
      <c r="O54" s="622">
        <v>0.19</v>
      </c>
      <c r="P54" s="623">
        <v>0.28199999999999997</v>
      </c>
      <c r="Q54" s="622">
        <v>0.307</v>
      </c>
      <c r="R54" s="622">
        <v>0.29899999999999999</v>
      </c>
      <c r="S54" s="628">
        <v>0.32100000000000001</v>
      </c>
      <c r="T54" s="628">
        <v>0.32400000000000001</v>
      </c>
      <c r="U54" s="628">
        <v>0.33329999999999999</v>
      </c>
      <c r="V54" s="607">
        <v>0.33800000000000002</v>
      </c>
      <c r="W54" s="604">
        <v>0.34499999999999997</v>
      </c>
      <c r="X54" s="607">
        <v>0.35299999999999998</v>
      </c>
      <c r="Y54" s="608">
        <v>0.35699999999999998</v>
      </c>
      <c r="Z54" s="608">
        <v>0.36399999999999999</v>
      </c>
    </row>
    <row r="55" spans="2:30" x14ac:dyDescent="0.25">
      <c r="B55" s="271"/>
      <c r="C55" s="92"/>
      <c r="D55" s="617"/>
      <c r="E55" s="617"/>
      <c r="F55" s="617"/>
      <c r="G55" s="617"/>
      <c r="H55" s="617"/>
      <c r="I55" s="617"/>
      <c r="J55" s="617"/>
      <c r="K55" s="617"/>
      <c r="L55" s="617"/>
      <c r="M55" s="617"/>
      <c r="N55" s="617"/>
      <c r="O55" s="617"/>
      <c r="P55" s="617"/>
      <c r="Q55" s="617"/>
      <c r="R55" s="617"/>
      <c r="S55" s="617"/>
      <c r="T55" s="617"/>
      <c r="U55" s="617"/>
      <c r="V55" s="617"/>
      <c r="W55" s="617"/>
      <c r="X55" s="617"/>
    </row>
    <row r="56" spans="2:30" x14ac:dyDescent="0.25">
      <c r="B56" s="271"/>
      <c r="C56" s="92"/>
      <c r="D56" s="47"/>
      <c r="E56" s="47"/>
      <c r="F56" s="47"/>
      <c r="G56" s="47"/>
      <c r="H56" s="47"/>
      <c r="I56" s="47"/>
      <c r="J56" s="47"/>
      <c r="K56" s="47"/>
      <c r="L56" s="47"/>
      <c r="M56" s="47"/>
      <c r="N56" s="47"/>
      <c r="O56" s="47"/>
      <c r="P56" s="47"/>
      <c r="Q56" s="47"/>
      <c r="R56" s="47"/>
      <c r="S56" s="47"/>
      <c r="T56" s="47"/>
      <c r="U56" s="47"/>
      <c r="V56" s="47"/>
      <c r="W56" s="47"/>
      <c r="X56" s="47"/>
    </row>
    <row r="57" spans="2:30" x14ac:dyDescent="0.25">
      <c r="B57" s="271"/>
      <c r="C57" s="92"/>
      <c r="D57" s="47"/>
      <c r="E57" s="47"/>
      <c r="F57" s="47"/>
      <c r="G57" s="47"/>
      <c r="H57" s="47"/>
      <c r="I57" s="47"/>
      <c r="J57" s="47"/>
      <c r="K57" s="47"/>
      <c r="L57" s="47"/>
      <c r="M57" s="47"/>
      <c r="N57" s="47"/>
      <c r="O57" s="47"/>
      <c r="P57" s="47"/>
      <c r="Q57" s="47"/>
      <c r="R57" s="47"/>
      <c r="S57" s="47"/>
      <c r="T57" s="47"/>
      <c r="U57" s="47"/>
      <c r="V57" s="47"/>
      <c r="W57" s="47"/>
      <c r="X57" s="47"/>
    </row>
    <row r="58" spans="2:30" x14ac:dyDescent="0.25">
      <c r="B58" s="271"/>
      <c r="C58" s="92"/>
      <c r="D58" s="47"/>
      <c r="E58" s="47"/>
      <c r="F58" s="47"/>
      <c r="G58" s="47"/>
      <c r="H58" s="47"/>
      <c r="I58" s="47"/>
      <c r="J58" s="47"/>
      <c r="K58" s="47"/>
      <c r="L58" s="47"/>
      <c r="M58" s="47"/>
      <c r="N58" s="47"/>
      <c r="O58" s="47"/>
      <c r="P58" s="47"/>
      <c r="Q58" s="47"/>
      <c r="R58" s="47"/>
      <c r="S58" s="47"/>
      <c r="T58" s="47"/>
      <c r="U58" s="47"/>
      <c r="V58" s="47"/>
      <c r="W58" s="47"/>
      <c r="X58" s="47"/>
    </row>
    <row r="59" spans="2:30" x14ac:dyDescent="0.25">
      <c r="B59" s="271"/>
      <c r="C59" s="92"/>
      <c r="D59" s="47"/>
      <c r="E59" s="47"/>
      <c r="F59" s="47"/>
      <c r="G59" s="47"/>
      <c r="H59" s="47"/>
      <c r="I59" s="47"/>
      <c r="J59" s="47"/>
      <c r="K59" s="47"/>
      <c r="L59" s="47"/>
      <c r="M59" s="47"/>
      <c r="N59" s="47"/>
      <c r="O59" s="47"/>
      <c r="P59" s="47"/>
      <c r="Q59" s="47"/>
      <c r="R59" s="47"/>
      <c r="S59" s="47"/>
      <c r="T59" s="47"/>
      <c r="U59" s="47"/>
      <c r="V59" s="47"/>
      <c r="W59" s="47"/>
      <c r="X59" s="47"/>
    </row>
    <row r="61" spans="2:30" x14ac:dyDescent="0.25">
      <c r="AD61" s="4" t="s">
        <v>358</v>
      </c>
    </row>
  </sheetData>
  <mergeCells count="9">
    <mergeCell ref="D34:W34"/>
    <mergeCell ref="D35:W35"/>
    <mergeCell ref="D36:W36"/>
    <mergeCell ref="D2:W2"/>
    <mergeCell ref="D3:W3"/>
    <mergeCell ref="D4:W4"/>
    <mergeCell ref="D5:W5"/>
    <mergeCell ref="D6:W6"/>
    <mergeCell ref="D33:W33"/>
  </mergeCells>
  <pageMargins left="0.74803149606299202" right="0.74803149606299202" top="0.98425196850393704" bottom="0.98425196850393704" header="0.511811023622047" footer="0.511811023622047"/>
  <pageSetup paperSize="9" scale="55"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D5042-81FD-42D2-8417-B8A4DADE3CD9}">
  <sheetPr>
    <tabColor rgb="FFFFC000"/>
    <pageSetUpPr fitToPage="1"/>
  </sheetPr>
  <dimension ref="A1:AD44"/>
  <sheetViews>
    <sheetView showGridLines="0" view="pageBreakPreview" zoomScaleNormal="100" zoomScaleSheetLayoutView="100" workbookViewId="0">
      <selection activeCell="S29" sqref="S29"/>
    </sheetView>
  </sheetViews>
  <sheetFormatPr defaultColWidth="9.140625" defaultRowHeight="15" x14ac:dyDescent="0.25"/>
  <cols>
    <col min="1" max="1" width="3.85546875" style="69" customWidth="1"/>
    <col min="2" max="2" width="18.85546875" style="66" customWidth="1"/>
    <col min="3" max="3" width="3.85546875" style="67" customWidth="1"/>
    <col min="4" max="4" width="30.140625" style="4" customWidth="1"/>
    <col min="5" max="5" width="16.85546875" style="4" customWidth="1"/>
    <col min="6" max="6" width="17.5703125" style="4" customWidth="1"/>
    <col min="7" max="7" width="13.42578125" style="4" customWidth="1"/>
    <col min="8" max="8" width="8.140625" style="570" customWidth="1"/>
    <col min="9" max="9" width="13.85546875" style="4" customWidth="1"/>
    <col min="10" max="10" width="7.140625" style="570" customWidth="1"/>
    <col min="11" max="11" width="8.42578125" style="4" customWidth="1"/>
    <col min="12" max="12" width="9.5703125" style="570" customWidth="1"/>
    <col min="13" max="13" width="9.5703125" style="4" customWidth="1"/>
    <col min="14" max="14" width="9.140625" style="570"/>
    <col min="15" max="15" width="9.140625" style="4"/>
    <col min="16" max="16" width="9.140625" style="570"/>
    <col min="17" max="17" width="9.140625" style="4"/>
    <col min="18" max="18" width="9.140625" style="570"/>
    <col min="19" max="20" width="9.140625" style="4"/>
    <col min="21" max="21" width="7.42578125" style="4" customWidth="1"/>
    <col min="22" max="22" width="7" style="4" customWidth="1"/>
    <col min="23" max="24" width="7.85546875" style="4" customWidth="1"/>
    <col min="25" max="25" width="6.42578125" style="4" customWidth="1"/>
    <col min="26" max="16384" width="9.140625" style="4"/>
  </cols>
  <sheetData>
    <row r="1" spans="1:29" x14ac:dyDescent="0.25">
      <c r="A1" s="509"/>
      <c r="B1" s="568"/>
      <c r="C1" s="568"/>
      <c r="D1" s="68"/>
      <c r="E1" s="68"/>
      <c r="F1" s="68"/>
      <c r="G1" s="68"/>
      <c r="H1" s="569"/>
      <c r="I1" s="68"/>
      <c r="J1" s="569"/>
      <c r="K1" s="68"/>
    </row>
    <row r="2" spans="1:29" ht="13.35" customHeight="1" x14ac:dyDescent="0.25">
      <c r="A2" s="509">
        <v>1</v>
      </c>
      <c r="B2" s="509" t="s">
        <v>0</v>
      </c>
      <c r="C2" s="509">
        <v>20</v>
      </c>
      <c r="D2" s="4674" t="s">
        <v>542</v>
      </c>
      <c r="E2" s="4675"/>
      <c r="F2" s="4675"/>
      <c r="G2" s="4675"/>
      <c r="H2" s="4675"/>
      <c r="I2" s="4675"/>
      <c r="J2" s="4675"/>
      <c r="K2" s="4675"/>
      <c r="L2" s="4675"/>
      <c r="M2" s="4675"/>
      <c r="N2" s="4675"/>
      <c r="O2" s="4675"/>
      <c r="P2" s="4675"/>
      <c r="Q2" s="4675"/>
      <c r="R2" s="4675"/>
      <c r="S2" s="4675"/>
      <c r="T2" s="4675"/>
      <c r="U2" s="4675"/>
      <c r="V2" s="4675"/>
      <c r="W2" s="4676"/>
      <c r="X2" s="180"/>
    </row>
    <row r="3" spans="1:29" ht="13.35" customHeight="1" x14ac:dyDescent="0.25">
      <c r="A3" s="509">
        <v>2</v>
      </c>
      <c r="B3" s="509" t="s">
        <v>2</v>
      </c>
      <c r="C3" s="509"/>
      <c r="D3" s="4674" t="s">
        <v>543</v>
      </c>
      <c r="E3" s="4675"/>
      <c r="F3" s="4675"/>
      <c r="G3" s="4675"/>
      <c r="H3" s="4675"/>
      <c r="I3" s="4675"/>
      <c r="J3" s="4675"/>
      <c r="K3" s="4675"/>
      <c r="L3" s="4675"/>
      <c r="M3" s="4675"/>
      <c r="N3" s="4675"/>
      <c r="O3" s="4675"/>
      <c r="P3" s="4675"/>
      <c r="Q3" s="4675"/>
      <c r="R3" s="4675"/>
      <c r="S3" s="4675"/>
      <c r="T3" s="4675"/>
      <c r="U3" s="4675"/>
      <c r="V3" s="4675"/>
      <c r="W3" s="4676"/>
      <c r="X3" s="180"/>
    </row>
    <row r="4" spans="1:29" ht="13.35" customHeight="1" x14ac:dyDescent="0.25">
      <c r="A4" s="509">
        <v>3</v>
      </c>
      <c r="B4" s="509" t="s">
        <v>4</v>
      </c>
      <c r="C4" s="509"/>
      <c r="D4" s="4674" t="s">
        <v>544</v>
      </c>
      <c r="E4" s="4675"/>
      <c r="F4" s="4675"/>
      <c r="G4" s="4675"/>
      <c r="H4" s="4675"/>
      <c r="I4" s="4675"/>
      <c r="J4" s="4675"/>
      <c r="K4" s="4675"/>
      <c r="L4" s="4675"/>
      <c r="M4" s="4675"/>
      <c r="N4" s="4675"/>
      <c r="O4" s="4675"/>
      <c r="P4" s="4675"/>
      <c r="Q4" s="4675"/>
      <c r="R4" s="4675"/>
      <c r="S4" s="4675"/>
      <c r="T4" s="4675"/>
      <c r="U4" s="4675"/>
      <c r="V4" s="4675"/>
      <c r="W4" s="4676"/>
      <c r="X4" s="180"/>
    </row>
    <row r="5" spans="1:29" ht="13.5" customHeight="1" x14ac:dyDescent="0.25">
      <c r="B5" s="70"/>
      <c r="C5" s="69"/>
      <c r="D5" s="4677"/>
      <c r="E5" s="4678"/>
      <c r="F5" s="4678"/>
      <c r="G5" s="4678"/>
      <c r="H5" s="4678"/>
      <c r="I5" s="4678"/>
      <c r="J5" s="4678"/>
      <c r="K5" s="4678"/>
      <c r="L5" s="4678"/>
      <c r="M5" s="4678"/>
      <c r="N5" s="4678"/>
      <c r="O5" s="4678"/>
      <c r="P5" s="4678"/>
      <c r="Q5" s="4678"/>
      <c r="R5" s="4678"/>
      <c r="S5" s="4678"/>
      <c r="T5" s="4678"/>
      <c r="U5" s="4678"/>
      <c r="V5" s="4678"/>
      <c r="W5" s="4679"/>
      <c r="X5" s="867"/>
      <c r="Y5" s="867"/>
      <c r="Z5" s="867"/>
      <c r="AA5" s="867"/>
      <c r="AB5" s="867"/>
      <c r="AC5" s="867"/>
    </row>
    <row r="6" spans="1:29" ht="13.5" customHeight="1" x14ac:dyDescent="0.25">
      <c r="B6" s="70"/>
      <c r="C6" s="69"/>
      <c r="D6" s="4698"/>
      <c r="E6" s="4698"/>
      <c r="F6" s="4698"/>
      <c r="G6" s="4698"/>
      <c r="H6" s="4698"/>
      <c r="I6" s="4698"/>
      <c r="J6" s="4698"/>
      <c r="K6" s="4698"/>
      <c r="L6" s="4698"/>
      <c r="M6" s="4698"/>
      <c r="N6" s="4698"/>
      <c r="O6" s="4698"/>
      <c r="P6" s="4698"/>
      <c r="Q6" s="4698"/>
      <c r="R6" s="4698"/>
      <c r="S6" s="4698"/>
      <c r="T6" s="4698"/>
      <c r="U6" s="4698"/>
      <c r="V6" s="4698"/>
      <c r="W6" s="4698"/>
      <c r="X6" s="180"/>
    </row>
    <row r="7" spans="1:29" x14ac:dyDescent="0.25">
      <c r="A7" s="509">
        <v>5</v>
      </c>
      <c r="B7" s="509" t="s">
        <v>6</v>
      </c>
      <c r="C7" s="568"/>
      <c r="D7" s="71" t="s">
        <v>80</v>
      </c>
      <c r="E7" s="71" t="s">
        <v>545</v>
      </c>
      <c r="F7" s="71"/>
      <c r="G7" s="71"/>
      <c r="H7" s="571"/>
      <c r="I7" s="71" t="s">
        <v>267</v>
      </c>
      <c r="J7" s="71" t="s">
        <v>546</v>
      </c>
      <c r="K7" s="88"/>
      <c r="L7" s="572"/>
      <c r="M7" s="68"/>
      <c r="N7" s="569"/>
      <c r="O7" s="68"/>
      <c r="P7" s="569"/>
      <c r="Q7" s="68"/>
      <c r="R7" s="4"/>
    </row>
    <row r="8" spans="1:29" x14ac:dyDescent="0.25">
      <c r="A8" s="509"/>
      <c r="B8" s="568"/>
      <c r="C8" s="568"/>
      <c r="D8" s="609"/>
      <c r="E8" s="589"/>
      <c r="F8" s="589"/>
      <c r="G8" s="589"/>
      <c r="H8" s="610"/>
      <c r="I8" s="589"/>
      <c r="J8" s="610"/>
      <c r="K8" s="589"/>
      <c r="L8" s="610"/>
      <c r="M8" s="589"/>
      <c r="N8" s="610"/>
      <c r="O8" s="589"/>
      <c r="P8" s="611"/>
      <c r="Q8" s="589"/>
      <c r="R8" s="610"/>
    </row>
    <row r="9" spans="1:29" ht="47.45" customHeight="1" x14ac:dyDescent="0.25">
      <c r="A9" s="509"/>
      <c r="B9" s="568"/>
      <c r="C9" s="568"/>
      <c r="D9" s="2886" t="s">
        <v>547</v>
      </c>
      <c r="E9" s="2886" t="s">
        <v>548</v>
      </c>
      <c r="F9" s="2886" t="s">
        <v>549</v>
      </c>
      <c r="G9" s="2886" t="s">
        <v>550</v>
      </c>
      <c r="H9" s="610"/>
      <c r="I9" s="2886" t="s">
        <v>547</v>
      </c>
      <c r="J9" s="4723" t="s">
        <v>548</v>
      </c>
      <c r="K9" s="4723"/>
      <c r="L9" s="4723" t="s">
        <v>549</v>
      </c>
      <c r="M9" s="4723"/>
      <c r="N9" s="4724" t="s">
        <v>550</v>
      </c>
      <c r="O9" s="4724"/>
      <c r="P9" s="611"/>
      <c r="Q9" s="613"/>
    </row>
    <row r="10" spans="1:29" x14ac:dyDescent="0.25">
      <c r="A10" s="509">
        <v>6</v>
      </c>
      <c r="B10" s="509" t="s">
        <v>51</v>
      </c>
      <c r="C10" s="509"/>
      <c r="D10" s="2887"/>
      <c r="E10" s="2889">
        <v>2016</v>
      </c>
      <c r="F10" s="2889">
        <v>2016</v>
      </c>
      <c r="G10" s="2889">
        <v>2016</v>
      </c>
      <c r="H10" s="610"/>
      <c r="I10" s="2884"/>
      <c r="J10" s="2883">
        <v>2011</v>
      </c>
      <c r="K10" s="2883">
        <v>2016</v>
      </c>
      <c r="L10" s="2883">
        <v>2011</v>
      </c>
      <c r="M10" s="2883">
        <v>2016</v>
      </c>
      <c r="N10" s="2883">
        <v>2011</v>
      </c>
      <c r="O10" s="2883">
        <v>2016</v>
      </c>
      <c r="P10" s="611"/>
      <c r="Q10" s="613"/>
    </row>
    <row r="11" spans="1:29" x14ac:dyDescent="0.25">
      <c r="A11" s="509"/>
      <c r="B11" s="568"/>
      <c r="C11" s="568"/>
      <c r="D11" s="2888" t="s">
        <v>551</v>
      </c>
      <c r="E11" s="2885" t="s">
        <v>552</v>
      </c>
      <c r="F11" s="2885" t="s">
        <v>553</v>
      </c>
      <c r="G11" s="2885" t="s">
        <v>554</v>
      </c>
      <c r="H11" s="610"/>
      <c r="I11" s="2883" t="s">
        <v>551</v>
      </c>
      <c r="J11" s="2885" t="s">
        <v>555</v>
      </c>
      <c r="K11" s="2885" t="s">
        <v>552</v>
      </c>
      <c r="L11" s="2885" t="s">
        <v>556</v>
      </c>
      <c r="M11" s="2885" t="s">
        <v>553</v>
      </c>
      <c r="N11" s="2885" t="s">
        <v>557</v>
      </c>
      <c r="O11" s="2885" t="s">
        <v>554</v>
      </c>
      <c r="P11" s="611"/>
      <c r="Q11" s="613"/>
    </row>
    <row r="12" spans="1:29" ht="27" x14ac:dyDescent="0.25">
      <c r="A12" s="509"/>
      <c r="B12" s="568"/>
      <c r="C12" s="568"/>
      <c r="D12" s="2888" t="s">
        <v>558</v>
      </c>
      <c r="E12" s="2885" t="s">
        <v>559</v>
      </c>
      <c r="F12" s="2885" t="s">
        <v>560</v>
      </c>
      <c r="G12" s="2885" t="s">
        <v>561</v>
      </c>
      <c r="H12" s="610"/>
      <c r="I12" s="2883" t="s">
        <v>558</v>
      </c>
      <c r="J12" s="2885" t="s">
        <v>562</v>
      </c>
      <c r="K12" s="2885" t="s">
        <v>559</v>
      </c>
      <c r="L12" s="2885" t="s">
        <v>563</v>
      </c>
      <c r="M12" s="2885" t="s">
        <v>560</v>
      </c>
      <c r="N12" s="2885" t="s">
        <v>564</v>
      </c>
      <c r="O12" s="2885" t="s">
        <v>561</v>
      </c>
      <c r="P12" s="611"/>
      <c r="Q12" s="613"/>
    </row>
    <row r="13" spans="1:29" ht="27" x14ac:dyDescent="0.25">
      <c r="A13" s="509"/>
      <c r="B13" s="568"/>
      <c r="C13" s="568"/>
      <c r="D13" s="2888" t="s">
        <v>565</v>
      </c>
      <c r="E13" s="2885" t="s">
        <v>566</v>
      </c>
      <c r="F13" s="2885" t="s">
        <v>567</v>
      </c>
      <c r="G13" s="2885" t="s">
        <v>568</v>
      </c>
      <c r="H13" s="610"/>
      <c r="I13" s="2883" t="s">
        <v>565</v>
      </c>
      <c r="J13" s="2885" t="s">
        <v>569</v>
      </c>
      <c r="K13" s="2885" t="s">
        <v>566</v>
      </c>
      <c r="L13" s="2885" t="s">
        <v>570</v>
      </c>
      <c r="M13" s="2885" t="s">
        <v>567</v>
      </c>
      <c r="N13" s="2885" t="s">
        <v>571</v>
      </c>
      <c r="O13" s="2885" t="s">
        <v>568</v>
      </c>
      <c r="P13" s="611"/>
      <c r="Q13" s="613"/>
      <c r="W13" s="55"/>
      <c r="X13" s="55"/>
    </row>
    <row r="14" spans="1:29" x14ac:dyDescent="0.25">
      <c r="A14" s="509"/>
      <c r="B14" s="568"/>
      <c r="C14" s="568"/>
      <c r="D14" s="2888" t="s">
        <v>572</v>
      </c>
      <c r="E14" s="2885" t="s">
        <v>573</v>
      </c>
      <c r="F14" s="2885" t="s">
        <v>574</v>
      </c>
      <c r="G14" s="2885" t="s">
        <v>575</v>
      </c>
      <c r="H14" s="610"/>
      <c r="I14" s="2883" t="s">
        <v>572</v>
      </c>
      <c r="J14" s="2885" t="s">
        <v>576</v>
      </c>
      <c r="K14" s="2885" t="s">
        <v>573</v>
      </c>
      <c r="L14" s="2885" t="s">
        <v>577</v>
      </c>
      <c r="M14" s="2885" t="s">
        <v>574</v>
      </c>
      <c r="N14" s="2885" t="s">
        <v>578</v>
      </c>
      <c r="O14" s="2885" t="s">
        <v>575</v>
      </c>
      <c r="P14" s="611"/>
      <c r="Q14" s="613"/>
    </row>
    <row r="15" spans="1:29" x14ac:dyDescent="0.25">
      <c r="A15" s="509"/>
      <c r="B15" s="568"/>
      <c r="C15" s="568"/>
      <c r="D15" s="2888" t="s">
        <v>579</v>
      </c>
      <c r="E15" s="2885" t="s">
        <v>580</v>
      </c>
      <c r="F15" s="2885" t="s">
        <v>581</v>
      </c>
      <c r="G15" s="2885" t="s">
        <v>582</v>
      </c>
      <c r="H15" s="610"/>
      <c r="I15" s="2883" t="s">
        <v>579</v>
      </c>
      <c r="J15" s="2885" t="s">
        <v>583</v>
      </c>
      <c r="K15" s="2885" t="s">
        <v>580</v>
      </c>
      <c r="L15" s="2885" t="s">
        <v>584</v>
      </c>
      <c r="M15" s="2885" t="s">
        <v>581</v>
      </c>
      <c r="N15" s="2885" t="s">
        <v>585</v>
      </c>
      <c r="O15" s="2885" t="s">
        <v>582</v>
      </c>
      <c r="P15" s="611"/>
      <c r="Q15" s="613"/>
    </row>
    <row r="16" spans="1:29" x14ac:dyDescent="0.25">
      <c r="A16" s="509"/>
      <c r="B16" s="568"/>
      <c r="C16" s="568"/>
      <c r="D16" s="2888" t="s">
        <v>586</v>
      </c>
      <c r="E16" s="2885" t="s">
        <v>587</v>
      </c>
      <c r="F16" s="2885" t="s">
        <v>588</v>
      </c>
      <c r="G16" s="2885" t="s">
        <v>589</v>
      </c>
      <c r="H16" s="610"/>
      <c r="I16" s="2883" t="s">
        <v>586</v>
      </c>
      <c r="J16" s="2885" t="s">
        <v>590</v>
      </c>
      <c r="K16" s="2885" t="s">
        <v>587</v>
      </c>
      <c r="L16" s="2885" t="s">
        <v>591</v>
      </c>
      <c r="M16" s="2885" t="s">
        <v>588</v>
      </c>
      <c r="N16" s="2885" t="s">
        <v>592</v>
      </c>
      <c r="O16" s="2885" t="s">
        <v>589</v>
      </c>
      <c r="P16" s="611"/>
      <c r="Q16" s="613"/>
    </row>
    <row r="17" spans="1:29" x14ac:dyDescent="0.25">
      <c r="A17" s="509"/>
      <c r="B17" s="568"/>
      <c r="C17" s="568"/>
      <c r="D17" s="2888" t="s">
        <v>593</v>
      </c>
      <c r="E17" s="2885" t="s">
        <v>594</v>
      </c>
      <c r="F17" s="2885" t="s">
        <v>595</v>
      </c>
      <c r="G17" s="2885" t="s">
        <v>582</v>
      </c>
      <c r="H17" s="610"/>
      <c r="I17" s="2883" t="s">
        <v>593</v>
      </c>
      <c r="J17" s="2885" t="s">
        <v>596</v>
      </c>
      <c r="K17" s="2885" t="s">
        <v>594</v>
      </c>
      <c r="L17" s="2885" t="s">
        <v>581</v>
      </c>
      <c r="M17" s="2885" t="s">
        <v>595</v>
      </c>
      <c r="N17" s="2885" t="s">
        <v>597</v>
      </c>
      <c r="O17" s="2885" t="s">
        <v>582</v>
      </c>
      <c r="P17" s="611"/>
      <c r="Q17" s="613"/>
    </row>
    <row r="18" spans="1:29" x14ac:dyDescent="0.25">
      <c r="A18" s="509"/>
      <c r="B18" s="568"/>
      <c r="C18" s="568"/>
      <c r="D18" s="2888" t="s">
        <v>598</v>
      </c>
      <c r="E18" s="2885" t="s">
        <v>599</v>
      </c>
      <c r="F18" s="2885" t="s">
        <v>600</v>
      </c>
      <c r="G18" s="2885" t="s">
        <v>601</v>
      </c>
      <c r="H18" s="610"/>
      <c r="I18" s="2883" t="s">
        <v>598</v>
      </c>
      <c r="J18" s="2885" t="s">
        <v>602</v>
      </c>
      <c r="K18" s="2885" t="s">
        <v>599</v>
      </c>
      <c r="L18" s="2885" t="s">
        <v>603</v>
      </c>
      <c r="M18" s="2885" t="s">
        <v>600</v>
      </c>
      <c r="N18" s="2885" t="s">
        <v>604</v>
      </c>
      <c r="O18" s="2885" t="s">
        <v>601</v>
      </c>
      <c r="P18" s="611"/>
      <c r="Q18" s="613"/>
    </row>
    <row r="19" spans="1:29" ht="27" x14ac:dyDescent="0.25">
      <c r="A19" s="509"/>
      <c r="B19" s="568"/>
      <c r="C19" s="568"/>
      <c r="D19" s="2888" t="s">
        <v>605</v>
      </c>
      <c r="E19" s="2885" t="s">
        <v>606</v>
      </c>
      <c r="F19" s="2885" t="s">
        <v>607</v>
      </c>
      <c r="G19" s="2885" t="s">
        <v>608</v>
      </c>
      <c r="H19" s="610"/>
      <c r="I19" s="2883" t="s">
        <v>605</v>
      </c>
      <c r="J19" s="2885" t="s">
        <v>609</v>
      </c>
      <c r="K19" s="2885" t="s">
        <v>606</v>
      </c>
      <c r="L19" s="2885" t="s">
        <v>553</v>
      </c>
      <c r="M19" s="2885" t="s">
        <v>607</v>
      </c>
      <c r="N19" s="2885" t="s">
        <v>610</v>
      </c>
      <c r="O19" s="2885" t="s">
        <v>608</v>
      </c>
      <c r="P19" s="611"/>
      <c r="Q19" s="613"/>
    </row>
    <row r="20" spans="1:29" ht="27" x14ac:dyDescent="0.25">
      <c r="A20" s="4"/>
      <c r="B20" s="568"/>
      <c r="C20" s="568"/>
      <c r="D20" s="2888" t="s">
        <v>611</v>
      </c>
      <c r="E20" s="2885" t="s">
        <v>612</v>
      </c>
      <c r="F20" s="2885" t="s">
        <v>607</v>
      </c>
      <c r="G20" s="2885" t="s">
        <v>613</v>
      </c>
      <c r="H20" s="610"/>
      <c r="I20" s="2883" t="s">
        <v>611</v>
      </c>
      <c r="J20" s="2885" t="s">
        <v>596</v>
      </c>
      <c r="K20" s="2885" t="s">
        <v>612</v>
      </c>
      <c r="L20" s="2885" t="s">
        <v>614</v>
      </c>
      <c r="M20" s="2885" t="s">
        <v>607</v>
      </c>
      <c r="N20" s="2885" t="s">
        <v>615</v>
      </c>
      <c r="O20" s="2885" t="s">
        <v>613</v>
      </c>
      <c r="P20" s="611"/>
      <c r="Q20" s="613"/>
    </row>
    <row r="21" spans="1:29" x14ac:dyDescent="0.25">
      <c r="A21" s="4"/>
      <c r="B21" s="568"/>
      <c r="C21" s="568"/>
      <c r="D21" s="2888" t="s">
        <v>616</v>
      </c>
      <c r="E21" s="2885" t="s">
        <v>617</v>
      </c>
      <c r="F21" s="2885" t="s">
        <v>584</v>
      </c>
      <c r="G21" s="2885" t="s">
        <v>618</v>
      </c>
      <c r="H21" s="610"/>
      <c r="I21" s="2883" t="s">
        <v>616</v>
      </c>
      <c r="J21" s="2885" t="s">
        <v>619</v>
      </c>
      <c r="K21" s="2885" t="s">
        <v>617</v>
      </c>
      <c r="L21" s="2885" t="s">
        <v>620</v>
      </c>
      <c r="M21" s="2885" t="s">
        <v>584</v>
      </c>
      <c r="N21" s="2885" t="s">
        <v>621</v>
      </c>
      <c r="O21" s="2885" t="s">
        <v>618</v>
      </c>
      <c r="P21" s="611"/>
      <c r="Q21" s="613"/>
    </row>
    <row r="22" spans="1:29" x14ac:dyDescent="0.25">
      <c r="A22" s="4"/>
      <c r="B22" s="568"/>
      <c r="C22" s="568"/>
      <c r="D22" s="2888" t="s">
        <v>622</v>
      </c>
      <c r="E22" s="2885" t="s">
        <v>623</v>
      </c>
      <c r="F22" s="2885" t="s">
        <v>624</v>
      </c>
      <c r="G22" s="2885" t="s">
        <v>625</v>
      </c>
      <c r="H22" s="610"/>
      <c r="I22" s="2883" t="s">
        <v>622</v>
      </c>
      <c r="J22" s="2885" t="s">
        <v>626</v>
      </c>
      <c r="K22" s="2885" t="s">
        <v>623</v>
      </c>
      <c r="L22" s="2885" t="s">
        <v>624</v>
      </c>
      <c r="M22" s="2885" t="s">
        <v>624</v>
      </c>
      <c r="N22" s="2885" t="s">
        <v>610</v>
      </c>
      <c r="O22" s="2885" t="s">
        <v>625</v>
      </c>
      <c r="P22" s="611"/>
      <c r="Q22" s="613"/>
    </row>
    <row r="23" spans="1:29" x14ac:dyDescent="0.25">
      <c r="A23" s="4"/>
      <c r="B23" s="568"/>
      <c r="C23" s="568"/>
      <c r="D23" s="87"/>
      <c r="E23" s="612"/>
      <c r="F23" s="612"/>
      <c r="G23" s="612"/>
      <c r="H23" s="610"/>
      <c r="I23" s="612"/>
      <c r="J23" s="610"/>
      <c r="K23" s="612"/>
      <c r="L23" s="610"/>
      <c r="M23" s="612"/>
      <c r="N23" s="610"/>
      <c r="O23" s="613"/>
      <c r="P23" s="611"/>
      <c r="Q23" s="613"/>
    </row>
    <row r="24" spans="1:29" ht="12.75" customHeight="1" x14ac:dyDescent="0.25">
      <c r="A24" s="509"/>
      <c r="B24" s="568"/>
      <c r="C24" s="568"/>
      <c r="D24" s="87"/>
      <c r="E24" s="612"/>
      <c r="F24" s="612"/>
      <c r="G24" s="612"/>
      <c r="H24" s="572"/>
      <c r="I24" s="87"/>
      <c r="J24" s="614"/>
      <c r="K24" s="87"/>
      <c r="L24" s="572"/>
      <c r="M24" s="88"/>
      <c r="N24" s="572"/>
    </row>
    <row r="25" spans="1:29" x14ac:dyDescent="0.25">
      <c r="A25" s="509">
        <v>7</v>
      </c>
      <c r="B25" s="509" t="s">
        <v>52</v>
      </c>
      <c r="C25" s="509"/>
      <c r="D25" s="4674" t="s">
        <v>533</v>
      </c>
      <c r="E25" s="4675"/>
      <c r="F25" s="4675"/>
      <c r="G25" s="4675"/>
      <c r="H25" s="4675"/>
      <c r="I25" s="4675"/>
      <c r="J25" s="4675"/>
      <c r="K25" s="4675"/>
      <c r="L25" s="4675"/>
      <c r="M25" s="4675"/>
      <c r="N25" s="4675"/>
      <c r="O25" s="4675"/>
      <c r="P25" s="4675"/>
      <c r="Q25" s="4675"/>
      <c r="R25" s="4675"/>
      <c r="S25" s="4675"/>
      <c r="T25" s="4675"/>
      <c r="U25" s="4675"/>
      <c r="V25" s="4675"/>
      <c r="W25" s="4676"/>
      <c r="X25" s="180"/>
    </row>
    <row r="26" spans="1:29" ht="36" customHeight="1" x14ac:dyDescent="0.25">
      <c r="A26" s="509">
        <v>8</v>
      </c>
      <c r="B26" s="546" t="s">
        <v>54</v>
      </c>
      <c r="C26" s="546"/>
      <c r="D26" s="4677" t="s">
        <v>627</v>
      </c>
      <c r="E26" s="4678"/>
      <c r="F26" s="4678"/>
      <c r="G26" s="4678"/>
      <c r="H26" s="4678"/>
      <c r="I26" s="4678"/>
      <c r="J26" s="4678"/>
      <c r="K26" s="4678"/>
      <c r="L26" s="4678"/>
      <c r="M26" s="4678"/>
      <c r="N26" s="4678"/>
      <c r="O26" s="4678"/>
      <c r="P26" s="4678"/>
      <c r="Q26" s="4678"/>
      <c r="R26" s="4678"/>
      <c r="S26" s="4678"/>
      <c r="T26" s="4678"/>
      <c r="U26" s="4678"/>
      <c r="V26" s="4678"/>
      <c r="W26" s="4679"/>
      <c r="X26" s="180"/>
    </row>
    <row r="27" spans="1:29" ht="34.5" customHeight="1" x14ac:dyDescent="0.25">
      <c r="A27" s="509">
        <v>9</v>
      </c>
      <c r="B27" s="546" t="s">
        <v>58</v>
      </c>
      <c r="C27" s="546"/>
      <c r="D27" s="4677" t="s">
        <v>628</v>
      </c>
      <c r="E27" s="4678"/>
      <c r="F27" s="4678"/>
      <c r="G27" s="4678"/>
      <c r="H27" s="4678"/>
      <c r="I27" s="4678"/>
      <c r="J27" s="4678"/>
      <c r="K27" s="4678"/>
      <c r="L27" s="4678"/>
      <c r="M27" s="4678"/>
      <c r="N27" s="4678"/>
      <c r="O27" s="4678"/>
      <c r="P27" s="4678"/>
      <c r="Q27" s="4678"/>
      <c r="R27" s="4678"/>
      <c r="S27" s="4678"/>
      <c r="T27" s="4678"/>
      <c r="U27" s="4678"/>
      <c r="V27" s="4678"/>
      <c r="W27" s="4679"/>
      <c r="X27" s="867"/>
      <c r="AC27" s="34"/>
    </row>
    <row r="28" spans="1:29" ht="13.35" customHeight="1" x14ac:dyDescent="0.25">
      <c r="A28" s="509">
        <v>10</v>
      </c>
      <c r="B28" s="509" t="s">
        <v>56</v>
      </c>
      <c r="C28" s="509"/>
      <c r="D28" s="4674" t="s">
        <v>629</v>
      </c>
      <c r="E28" s="4675"/>
      <c r="F28" s="4675"/>
      <c r="G28" s="4675"/>
      <c r="H28" s="4675"/>
      <c r="I28" s="4675"/>
      <c r="J28" s="4675"/>
      <c r="K28" s="4675"/>
      <c r="L28" s="4675"/>
      <c r="M28" s="4675"/>
      <c r="N28" s="4675"/>
      <c r="O28" s="4675"/>
      <c r="P28" s="4675"/>
      <c r="Q28" s="4675"/>
      <c r="R28" s="4675"/>
      <c r="S28" s="4675"/>
      <c r="T28" s="4675"/>
      <c r="U28" s="4675"/>
      <c r="V28" s="4675"/>
      <c r="W28" s="4676"/>
      <c r="X28" s="180"/>
    </row>
    <row r="29" spans="1:29" x14ac:dyDescent="0.25">
      <c r="D29" s="615"/>
      <c r="L29" s="572"/>
      <c r="M29" s="88"/>
      <c r="N29" s="572"/>
    </row>
    <row r="30" spans="1:29" x14ac:dyDescent="0.25">
      <c r="L30" s="572"/>
      <c r="M30" s="88"/>
      <c r="N30" s="572"/>
    </row>
    <row r="31" spans="1:29" x14ac:dyDescent="0.25">
      <c r="D31" s="68"/>
      <c r="E31" s="88"/>
      <c r="F31" s="88"/>
      <c r="G31" s="88"/>
      <c r="H31" s="572"/>
      <c r="I31" s="88"/>
      <c r="J31" s="572"/>
      <c r="K31" s="68"/>
      <c r="L31" s="572"/>
      <c r="M31" s="88"/>
      <c r="N31" s="572"/>
    </row>
    <row r="33" spans="2:30" x14ac:dyDescent="0.25">
      <c r="L33" s="572"/>
      <c r="N33" s="572"/>
    </row>
    <row r="35" spans="2:30" x14ac:dyDescent="0.25">
      <c r="B35" s="271"/>
      <c r="C35" s="92"/>
      <c r="D35" s="47"/>
      <c r="E35" s="47"/>
      <c r="F35" s="47"/>
      <c r="G35" s="47"/>
      <c r="H35" s="47"/>
      <c r="I35" s="47"/>
      <c r="J35" s="47"/>
      <c r="K35" s="47"/>
      <c r="L35" s="47"/>
      <c r="M35" s="47"/>
      <c r="N35" s="47"/>
      <c r="O35" s="47"/>
      <c r="P35" s="47"/>
      <c r="Q35" s="47"/>
      <c r="R35" s="47"/>
      <c r="S35" s="47"/>
      <c r="T35" s="47"/>
      <c r="U35" s="47"/>
      <c r="V35" s="47"/>
      <c r="W35" s="47"/>
      <c r="X35" s="47"/>
    </row>
    <row r="36" spans="2:30" x14ac:dyDescent="0.25">
      <c r="B36" s="271"/>
      <c r="C36" s="92"/>
      <c r="D36" s="47"/>
      <c r="E36" s="47"/>
      <c r="F36" s="47"/>
      <c r="G36" s="47"/>
      <c r="H36" s="47"/>
      <c r="I36" s="47"/>
      <c r="J36" s="47"/>
      <c r="K36" s="47"/>
      <c r="L36" s="47"/>
      <c r="M36" s="47"/>
      <c r="N36" s="47"/>
      <c r="O36" s="47"/>
      <c r="P36" s="47"/>
      <c r="Q36" s="47"/>
      <c r="R36" s="47"/>
      <c r="S36" s="47"/>
      <c r="T36" s="47"/>
      <c r="U36" s="47"/>
      <c r="V36" s="47"/>
      <c r="W36" s="47"/>
      <c r="X36" s="47"/>
    </row>
    <row r="37" spans="2:30" x14ac:dyDescent="0.25">
      <c r="B37" s="271"/>
      <c r="C37" s="92"/>
      <c r="D37" s="47"/>
      <c r="E37" s="47"/>
      <c r="F37" s="47"/>
      <c r="G37" s="47"/>
      <c r="H37" s="47"/>
      <c r="I37" s="47"/>
      <c r="J37" s="47"/>
      <c r="K37" s="47"/>
      <c r="L37" s="47"/>
      <c r="M37" s="47"/>
      <c r="N37" s="47"/>
      <c r="O37" s="47"/>
      <c r="P37" s="47"/>
      <c r="Q37" s="47"/>
      <c r="R37" s="47"/>
      <c r="S37" s="47"/>
      <c r="T37" s="47"/>
      <c r="U37" s="47"/>
      <c r="V37" s="47"/>
      <c r="W37" s="47"/>
      <c r="X37" s="47"/>
    </row>
    <row r="38" spans="2:30" x14ac:dyDescent="0.25">
      <c r="B38" s="271"/>
      <c r="C38" s="92"/>
      <c r="D38" s="617"/>
      <c r="E38" s="617"/>
      <c r="F38" s="617"/>
      <c r="G38" s="617"/>
      <c r="H38" s="617"/>
      <c r="I38" s="617"/>
      <c r="J38" s="617"/>
      <c r="K38" s="617"/>
      <c r="L38" s="617"/>
      <c r="M38" s="617"/>
      <c r="N38" s="617"/>
      <c r="O38" s="617"/>
      <c r="P38" s="617"/>
      <c r="Q38" s="617"/>
      <c r="R38" s="617"/>
      <c r="S38" s="617"/>
      <c r="T38" s="617"/>
      <c r="U38" s="617"/>
      <c r="V38" s="617"/>
      <c r="W38" s="617"/>
      <c r="X38" s="617"/>
    </row>
    <row r="39" spans="2:30" x14ac:dyDescent="0.25">
      <c r="B39" s="271"/>
      <c r="C39" s="92"/>
      <c r="D39" s="47"/>
      <c r="E39" s="47"/>
      <c r="F39" s="47"/>
      <c r="G39" s="47"/>
      <c r="H39" s="47"/>
      <c r="I39" s="47"/>
      <c r="J39" s="47"/>
      <c r="K39" s="47"/>
      <c r="L39" s="47"/>
      <c r="M39" s="47"/>
      <c r="N39" s="47"/>
      <c r="O39" s="47"/>
      <c r="P39" s="47"/>
      <c r="Q39" s="47"/>
      <c r="R39" s="47"/>
      <c r="S39" s="47"/>
      <c r="T39" s="47"/>
      <c r="U39" s="47"/>
      <c r="V39" s="47"/>
      <c r="W39" s="47"/>
      <c r="X39" s="47"/>
    </row>
    <row r="40" spans="2:30" x14ac:dyDescent="0.25">
      <c r="B40" s="271"/>
      <c r="C40" s="92"/>
      <c r="D40" s="47"/>
      <c r="E40" s="47"/>
      <c r="F40" s="47"/>
      <c r="G40" s="47"/>
      <c r="H40" s="47"/>
      <c r="I40" s="47"/>
      <c r="J40" s="47"/>
      <c r="K40" s="47"/>
      <c r="L40" s="47"/>
      <c r="M40" s="47"/>
      <c r="N40" s="47"/>
      <c r="O40" s="47"/>
      <c r="P40" s="47"/>
      <c r="Q40" s="47"/>
      <c r="R40" s="47"/>
      <c r="S40" s="47"/>
      <c r="T40" s="47"/>
      <c r="U40" s="47"/>
      <c r="V40" s="47"/>
      <c r="W40" s="47"/>
      <c r="X40" s="47"/>
    </row>
    <row r="41" spans="2:30" x14ac:dyDescent="0.25">
      <c r="B41" s="271"/>
      <c r="C41" s="92"/>
      <c r="D41" s="47"/>
      <c r="E41" s="47"/>
      <c r="F41" s="47"/>
      <c r="G41" s="47"/>
      <c r="H41" s="47"/>
      <c r="I41" s="47"/>
      <c r="J41" s="47"/>
      <c r="K41" s="47"/>
      <c r="L41" s="47"/>
      <c r="M41" s="47"/>
      <c r="N41" s="47"/>
      <c r="O41" s="47"/>
      <c r="P41" s="47"/>
      <c r="Q41" s="47"/>
      <c r="R41" s="47"/>
      <c r="S41" s="47"/>
      <c r="T41" s="47"/>
      <c r="U41" s="47"/>
      <c r="V41" s="47"/>
      <c r="W41" s="47"/>
      <c r="X41" s="47"/>
    </row>
    <row r="42" spans="2:30" x14ac:dyDescent="0.25">
      <c r="B42" s="271"/>
      <c r="C42" s="92"/>
      <c r="D42" s="47"/>
      <c r="E42" s="47"/>
      <c r="F42" s="47"/>
      <c r="G42" s="47"/>
      <c r="H42" s="47"/>
      <c r="I42" s="47"/>
      <c r="J42" s="47"/>
      <c r="K42" s="47"/>
      <c r="L42" s="47"/>
      <c r="M42" s="47"/>
      <c r="N42" s="47"/>
      <c r="O42" s="47"/>
      <c r="P42" s="47"/>
      <c r="Q42" s="47"/>
      <c r="R42" s="47"/>
      <c r="S42" s="47"/>
      <c r="T42" s="47"/>
      <c r="U42" s="47"/>
      <c r="V42" s="47"/>
      <c r="W42" s="47"/>
      <c r="X42" s="47"/>
    </row>
    <row r="44" spans="2:30" x14ac:dyDescent="0.25">
      <c r="AD44" s="4" t="s">
        <v>358</v>
      </c>
    </row>
  </sheetData>
  <mergeCells count="12">
    <mergeCell ref="D26:W26"/>
    <mergeCell ref="D27:W27"/>
    <mergeCell ref="D28:W28"/>
    <mergeCell ref="J9:K9"/>
    <mergeCell ref="L9:M9"/>
    <mergeCell ref="N9:O9"/>
    <mergeCell ref="D25:W25"/>
    <mergeCell ref="D2:W2"/>
    <mergeCell ref="D3:W3"/>
    <mergeCell ref="D4:W4"/>
    <mergeCell ref="D5:W5"/>
    <mergeCell ref="D6:W6"/>
  </mergeCells>
  <pageMargins left="0.74803149606299202" right="0.74803149606299202" top="0.98425196850393704" bottom="0.98425196850393704" header="0.511811023622047" footer="0.511811023622047"/>
  <pageSetup paperSize="9" scale="47" orientation="landscape" r:id="rId1"/>
  <headerFooter alignWithMargins="0">
    <oddHeader>&amp;C&amp;"-,Bold"DEVELOPMENT INDICATORS 2017</oddHeader>
    <oddFooter>&amp;LDepartment of Planning, Monitoring and Evaluation (DPME). &amp;CPage &amp;P of &amp;N&amp;R&amp;D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51EF1-47A6-4847-9952-707165CA2D81}">
  <sheetPr>
    <tabColor rgb="FFFFC000"/>
    <pageSetUpPr fitToPage="1"/>
  </sheetPr>
  <dimension ref="A1:Z52"/>
  <sheetViews>
    <sheetView showGridLines="0" view="pageBreakPreview" topLeftCell="B1" zoomScaleNormal="100" zoomScaleSheetLayoutView="100" workbookViewId="0">
      <selection activeCell="C2" sqref="C2"/>
    </sheetView>
  </sheetViews>
  <sheetFormatPr defaultColWidth="9.140625" defaultRowHeight="12" x14ac:dyDescent="0.2"/>
  <cols>
    <col min="1" max="1" width="3.85546875" style="203" customWidth="1"/>
    <col min="2" max="2" width="14.42578125" style="527" customWidth="1"/>
    <col min="3" max="3" width="3.85546875" style="527" customWidth="1"/>
    <col min="4" max="4" width="23.42578125" style="512" customWidth="1"/>
    <col min="5" max="5" width="8.140625" style="512" customWidth="1"/>
    <col min="6" max="10" width="8.140625" style="2399" customWidth="1"/>
    <col min="11" max="14" width="8.140625" style="512" customWidth="1"/>
    <col min="15" max="259" width="9.140625" style="512"/>
    <col min="260" max="260" width="3.85546875" style="512" customWidth="1"/>
    <col min="261" max="261" width="14.42578125" style="512" customWidth="1"/>
    <col min="262" max="262" width="3.85546875" style="512" customWidth="1"/>
    <col min="263" max="263" width="22.140625" style="512" bestFit="1" customWidth="1"/>
    <col min="264" max="273" width="8.140625" style="512" customWidth="1"/>
    <col min="274" max="515" width="9.140625" style="512"/>
    <col min="516" max="516" width="3.85546875" style="512" customWidth="1"/>
    <col min="517" max="517" width="14.42578125" style="512" customWidth="1"/>
    <col min="518" max="518" width="3.85546875" style="512" customWidth="1"/>
    <col min="519" max="519" width="22.140625" style="512" bestFit="1" customWidth="1"/>
    <col min="520" max="529" width="8.140625" style="512" customWidth="1"/>
    <col min="530" max="771" width="9.140625" style="512"/>
    <col min="772" max="772" width="3.85546875" style="512" customWidth="1"/>
    <col min="773" max="773" width="14.42578125" style="512" customWidth="1"/>
    <col min="774" max="774" width="3.85546875" style="512" customWidth="1"/>
    <col min="775" max="775" width="22.140625" style="512" bestFit="1" customWidth="1"/>
    <col min="776" max="785" width="8.140625" style="512" customWidth="1"/>
    <col min="786" max="1027" width="9.140625" style="512"/>
    <col min="1028" max="1028" width="3.85546875" style="512" customWidth="1"/>
    <col min="1029" max="1029" width="14.42578125" style="512" customWidth="1"/>
    <col min="1030" max="1030" width="3.85546875" style="512" customWidth="1"/>
    <col min="1031" max="1031" width="22.140625" style="512" bestFit="1" customWidth="1"/>
    <col min="1032" max="1041" width="8.140625" style="512" customWidth="1"/>
    <col min="1042" max="1283" width="9.140625" style="512"/>
    <col min="1284" max="1284" width="3.85546875" style="512" customWidth="1"/>
    <col min="1285" max="1285" width="14.42578125" style="512" customWidth="1"/>
    <col min="1286" max="1286" width="3.85546875" style="512" customWidth="1"/>
    <col min="1287" max="1287" width="22.140625" style="512" bestFit="1" customWidth="1"/>
    <col min="1288" max="1297" width="8.140625" style="512" customWidth="1"/>
    <col min="1298" max="1539" width="9.140625" style="512"/>
    <col min="1540" max="1540" width="3.85546875" style="512" customWidth="1"/>
    <col min="1541" max="1541" width="14.42578125" style="512" customWidth="1"/>
    <col min="1542" max="1542" width="3.85546875" style="512" customWidth="1"/>
    <col min="1543" max="1543" width="22.140625" style="512" bestFit="1" customWidth="1"/>
    <col min="1544" max="1553" width="8.140625" style="512" customWidth="1"/>
    <col min="1554" max="1795" width="9.140625" style="512"/>
    <col min="1796" max="1796" width="3.85546875" style="512" customWidth="1"/>
    <col min="1797" max="1797" width="14.42578125" style="512" customWidth="1"/>
    <col min="1798" max="1798" width="3.85546875" style="512" customWidth="1"/>
    <col min="1799" max="1799" width="22.140625" style="512" bestFit="1" customWidth="1"/>
    <col min="1800" max="1809" width="8.140625" style="512" customWidth="1"/>
    <col min="1810" max="2051" width="9.140625" style="512"/>
    <col min="2052" max="2052" width="3.85546875" style="512" customWidth="1"/>
    <col min="2053" max="2053" width="14.42578125" style="512" customWidth="1"/>
    <col min="2054" max="2054" width="3.85546875" style="512" customWidth="1"/>
    <col min="2055" max="2055" width="22.140625" style="512" bestFit="1" customWidth="1"/>
    <col min="2056" max="2065" width="8.140625" style="512" customWidth="1"/>
    <col min="2066" max="2307" width="9.140625" style="512"/>
    <col min="2308" max="2308" width="3.85546875" style="512" customWidth="1"/>
    <col min="2309" max="2309" width="14.42578125" style="512" customWidth="1"/>
    <col min="2310" max="2310" width="3.85546875" style="512" customWidth="1"/>
    <col min="2311" max="2311" width="22.140625" style="512" bestFit="1" customWidth="1"/>
    <col min="2312" max="2321" width="8.140625" style="512" customWidth="1"/>
    <col min="2322" max="2563" width="9.140625" style="512"/>
    <col min="2564" max="2564" width="3.85546875" style="512" customWidth="1"/>
    <col min="2565" max="2565" width="14.42578125" style="512" customWidth="1"/>
    <col min="2566" max="2566" width="3.85546875" style="512" customWidth="1"/>
    <col min="2567" max="2567" width="22.140625" style="512" bestFit="1" customWidth="1"/>
    <col min="2568" max="2577" width="8.140625" style="512" customWidth="1"/>
    <col min="2578" max="2819" width="9.140625" style="512"/>
    <col min="2820" max="2820" width="3.85546875" style="512" customWidth="1"/>
    <col min="2821" max="2821" width="14.42578125" style="512" customWidth="1"/>
    <col min="2822" max="2822" width="3.85546875" style="512" customWidth="1"/>
    <col min="2823" max="2823" width="22.140625" style="512" bestFit="1" customWidth="1"/>
    <col min="2824" max="2833" width="8.140625" style="512" customWidth="1"/>
    <col min="2834" max="3075" width="9.140625" style="512"/>
    <col min="3076" max="3076" width="3.85546875" style="512" customWidth="1"/>
    <col min="3077" max="3077" width="14.42578125" style="512" customWidth="1"/>
    <col min="3078" max="3078" width="3.85546875" style="512" customWidth="1"/>
    <col min="3079" max="3079" width="22.140625" style="512" bestFit="1" customWidth="1"/>
    <col min="3080" max="3089" width="8.140625" style="512" customWidth="1"/>
    <col min="3090" max="3331" width="9.140625" style="512"/>
    <col min="3332" max="3332" width="3.85546875" style="512" customWidth="1"/>
    <col min="3333" max="3333" width="14.42578125" style="512" customWidth="1"/>
    <col min="3334" max="3334" width="3.85546875" style="512" customWidth="1"/>
    <col min="3335" max="3335" width="22.140625" style="512" bestFit="1" customWidth="1"/>
    <col min="3336" max="3345" width="8.140625" style="512" customWidth="1"/>
    <col min="3346" max="3587" width="9.140625" style="512"/>
    <col min="3588" max="3588" width="3.85546875" style="512" customWidth="1"/>
    <col min="3589" max="3589" width="14.42578125" style="512" customWidth="1"/>
    <col min="3590" max="3590" width="3.85546875" style="512" customWidth="1"/>
    <col min="3591" max="3591" width="22.140625" style="512" bestFit="1" customWidth="1"/>
    <col min="3592" max="3601" width="8.140625" style="512" customWidth="1"/>
    <col min="3602" max="3843" width="9.140625" style="512"/>
    <col min="3844" max="3844" width="3.85546875" style="512" customWidth="1"/>
    <col min="3845" max="3845" width="14.42578125" style="512" customWidth="1"/>
    <col min="3846" max="3846" width="3.85546875" style="512" customWidth="1"/>
    <col min="3847" max="3847" width="22.140625" style="512" bestFit="1" customWidth="1"/>
    <col min="3848" max="3857" width="8.140625" style="512" customWidth="1"/>
    <col min="3858" max="4099" width="9.140625" style="512"/>
    <col min="4100" max="4100" width="3.85546875" style="512" customWidth="1"/>
    <col min="4101" max="4101" width="14.42578125" style="512" customWidth="1"/>
    <col min="4102" max="4102" width="3.85546875" style="512" customWidth="1"/>
    <col min="4103" max="4103" width="22.140625" style="512" bestFit="1" customWidth="1"/>
    <col min="4104" max="4113" width="8.140625" style="512" customWidth="1"/>
    <col min="4114" max="4355" width="9.140625" style="512"/>
    <col min="4356" max="4356" width="3.85546875" style="512" customWidth="1"/>
    <col min="4357" max="4357" width="14.42578125" style="512" customWidth="1"/>
    <col min="4358" max="4358" width="3.85546875" style="512" customWidth="1"/>
    <col min="4359" max="4359" width="22.140625" style="512" bestFit="1" customWidth="1"/>
    <col min="4360" max="4369" width="8.140625" style="512" customWidth="1"/>
    <col min="4370" max="4611" width="9.140625" style="512"/>
    <col min="4612" max="4612" width="3.85546875" style="512" customWidth="1"/>
    <col min="4613" max="4613" width="14.42578125" style="512" customWidth="1"/>
    <col min="4614" max="4614" width="3.85546875" style="512" customWidth="1"/>
    <col min="4615" max="4615" width="22.140625" style="512" bestFit="1" customWidth="1"/>
    <col min="4616" max="4625" width="8.140625" style="512" customWidth="1"/>
    <col min="4626" max="4867" width="9.140625" style="512"/>
    <col min="4868" max="4868" width="3.85546875" style="512" customWidth="1"/>
    <col min="4869" max="4869" width="14.42578125" style="512" customWidth="1"/>
    <col min="4870" max="4870" width="3.85546875" style="512" customWidth="1"/>
    <col min="4871" max="4871" width="22.140625" style="512" bestFit="1" customWidth="1"/>
    <col min="4872" max="4881" width="8.140625" style="512" customWidth="1"/>
    <col min="4882" max="5123" width="9.140625" style="512"/>
    <col min="5124" max="5124" width="3.85546875" style="512" customWidth="1"/>
    <col min="5125" max="5125" width="14.42578125" style="512" customWidth="1"/>
    <col min="5126" max="5126" width="3.85546875" style="512" customWidth="1"/>
    <col min="5127" max="5127" width="22.140625" style="512" bestFit="1" customWidth="1"/>
    <col min="5128" max="5137" width="8.140625" style="512" customWidth="1"/>
    <col min="5138" max="5379" width="9.140625" style="512"/>
    <col min="5380" max="5380" width="3.85546875" style="512" customWidth="1"/>
    <col min="5381" max="5381" width="14.42578125" style="512" customWidth="1"/>
    <col min="5382" max="5382" width="3.85546875" style="512" customWidth="1"/>
    <col min="5383" max="5383" width="22.140625" style="512" bestFit="1" customWidth="1"/>
    <col min="5384" max="5393" width="8.140625" style="512" customWidth="1"/>
    <col min="5394" max="5635" width="9.140625" style="512"/>
    <col min="5636" max="5636" width="3.85546875" style="512" customWidth="1"/>
    <col min="5637" max="5637" width="14.42578125" style="512" customWidth="1"/>
    <col min="5638" max="5638" width="3.85546875" style="512" customWidth="1"/>
    <col min="5639" max="5639" width="22.140625" style="512" bestFit="1" customWidth="1"/>
    <col min="5640" max="5649" width="8.140625" style="512" customWidth="1"/>
    <col min="5650" max="5891" width="9.140625" style="512"/>
    <col min="5892" max="5892" width="3.85546875" style="512" customWidth="1"/>
    <col min="5893" max="5893" width="14.42578125" style="512" customWidth="1"/>
    <col min="5894" max="5894" width="3.85546875" style="512" customWidth="1"/>
    <col min="5895" max="5895" width="22.140625" style="512" bestFit="1" customWidth="1"/>
    <col min="5896" max="5905" width="8.140625" style="512" customWidth="1"/>
    <col min="5906" max="6147" width="9.140625" style="512"/>
    <col min="6148" max="6148" width="3.85546875" style="512" customWidth="1"/>
    <col min="6149" max="6149" width="14.42578125" style="512" customWidth="1"/>
    <col min="6150" max="6150" width="3.85546875" style="512" customWidth="1"/>
    <col min="6151" max="6151" width="22.140625" style="512" bestFit="1" customWidth="1"/>
    <col min="6152" max="6161" width="8.140625" style="512" customWidth="1"/>
    <col min="6162" max="6403" width="9.140625" style="512"/>
    <col min="6404" max="6404" width="3.85546875" style="512" customWidth="1"/>
    <col min="6405" max="6405" width="14.42578125" style="512" customWidth="1"/>
    <col min="6406" max="6406" width="3.85546875" style="512" customWidth="1"/>
    <col min="6407" max="6407" width="22.140625" style="512" bestFit="1" customWidth="1"/>
    <col min="6408" max="6417" width="8.140625" style="512" customWidth="1"/>
    <col min="6418" max="6659" width="9.140625" style="512"/>
    <col min="6660" max="6660" width="3.85546875" style="512" customWidth="1"/>
    <col min="6661" max="6661" width="14.42578125" style="512" customWidth="1"/>
    <col min="6662" max="6662" width="3.85546875" style="512" customWidth="1"/>
    <col min="6663" max="6663" width="22.140625" style="512" bestFit="1" customWidth="1"/>
    <col min="6664" max="6673" width="8.140625" style="512" customWidth="1"/>
    <col min="6674" max="6915" width="9.140625" style="512"/>
    <col min="6916" max="6916" width="3.85546875" style="512" customWidth="1"/>
    <col min="6917" max="6917" width="14.42578125" style="512" customWidth="1"/>
    <col min="6918" max="6918" width="3.85546875" style="512" customWidth="1"/>
    <col min="6919" max="6919" width="22.140625" style="512" bestFit="1" customWidth="1"/>
    <col min="6920" max="6929" width="8.140625" style="512" customWidth="1"/>
    <col min="6930" max="7171" width="9.140625" style="512"/>
    <col min="7172" max="7172" width="3.85546875" style="512" customWidth="1"/>
    <col min="7173" max="7173" width="14.42578125" style="512" customWidth="1"/>
    <col min="7174" max="7174" width="3.85546875" style="512" customWidth="1"/>
    <col min="7175" max="7175" width="22.140625" style="512" bestFit="1" customWidth="1"/>
    <col min="7176" max="7185" width="8.140625" style="512" customWidth="1"/>
    <col min="7186" max="7427" width="9.140625" style="512"/>
    <col min="7428" max="7428" width="3.85546875" style="512" customWidth="1"/>
    <col min="7429" max="7429" width="14.42578125" style="512" customWidth="1"/>
    <col min="7430" max="7430" width="3.85546875" style="512" customWidth="1"/>
    <col min="7431" max="7431" width="22.140625" style="512" bestFit="1" customWidth="1"/>
    <col min="7432" max="7441" width="8.140625" style="512" customWidth="1"/>
    <col min="7442" max="7683" width="9.140625" style="512"/>
    <col min="7684" max="7684" width="3.85546875" style="512" customWidth="1"/>
    <col min="7685" max="7685" width="14.42578125" style="512" customWidth="1"/>
    <col min="7686" max="7686" width="3.85546875" style="512" customWidth="1"/>
    <col min="7687" max="7687" width="22.140625" style="512" bestFit="1" customWidth="1"/>
    <col min="7688" max="7697" width="8.140625" style="512" customWidth="1"/>
    <col min="7698" max="7939" width="9.140625" style="512"/>
    <col min="7940" max="7940" width="3.85546875" style="512" customWidth="1"/>
    <col min="7941" max="7941" width="14.42578125" style="512" customWidth="1"/>
    <col min="7942" max="7942" width="3.85546875" style="512" customWidth="1"/>
    <col min="7943" max="7943" width="22.140625" style="512" bestFit="1" customWidth="1"/>
    <col min="7944" max="7953" width="8.140625" style="512" customWidth="1"/>
    <col min="7954" max="8195" width="9.140625" style="512"/>
    <col min="8196" max="8196" width="3.85546875" style="512" customWidth="1"/>
    <col min="8197" max="8197" width="14.42578125" style="512" customWidth="1"/>
    <col min="8198" max="8198" width="3.85546875" style="512" customWidth="1"/>
    <col min="8199" max="8199" width="22.140625" style="512" bestFit="1" customWidth="1"/>
    <col min="8200" max="8209" width="8.140625" style="512" customWidth="1"/>
    <col min="8210" max="8451" width="9.140625" style="512"/>
    <col min="8452" max="8452" width="3.85546875" style="512" customWidth="1"/>
    <col min="8453" max="8453" width="14.42578125" style="512" customWidth="1"/>
    <col min="8454" max="8454" width="3.85546875" style="512" customWidth="1"/>
    <col min="8455" max="8455" width="22.140625" style="512" bestFit="1" customWidth="1"/>
    <col min="8456" max="8465" width="8.140625" style="512" customWidth="1"/>
    <col min="8466" max="8707" width="9.140625" style="512"/>
    <col min="8708" max="8708" width="3.85546875" style="512" customWidth="1"/>
    <col min="8709" max="8709" width="14.42578125" style="512" customWidth="1"/>
    <col min="8710" max="8710" width="3.85546875" style="512" customWidth="1"/>
    <col min="8711" max="8711" width="22.140625" style="512" bestFit="1" customWidth="1"/>
    <col min="8712" max="8721" width="8.140625" style="512" customWidth="1"/>
    <col min="8722" max="8963" width="9.140625" style="512"/>
    <col min="8964" max="8964" width="3.85546875" style="512" customWidth="1"/>
    <col min="8965" max="8965" width="14.42578125" style="512" customWidth="1"/>
    <col min="8966" max="8966" width="3.85546875" style="512" customWidth="1"/>
    <col min="8967" max="8967" width="22.140625" style="512" bestFit="1" customWidth="1"/>
    <col min="8968" max="8977" width="8.140625" style="512" customWidth="1"/>
    <col min="8978" max="9219" width="9.140625" style="512"/>
    <col min="9220" max="9220" width="3.85546875" style="512" customWidth="1"/>
    <col min="9221" max="9221" width="14.42578125" style="512" customWidth="1"/>
    <col min="9222" max="9222" width="3.85546875" style="512" customWidth="1"/>
    <col min="9223" max="9223" width="22.140625" style="512" bestFit="1" customWidth="1"/>
    <col min="9224" max="9233" width="8.140625" style="512" customWidth="1"/>
    <col min="9234" max="9475" width="9.140625" style="512"/>
    <col min="9476" max="9476" width="3.85546875" style="512" customWidth="1"/>
    <col min="9477" max="9477" width="14.42578125" style="512" customWidth="1"/>
    <col min="9478" max="9478" width="3.85546875" style="512" customWidth="1"/>
    <col min="9479" max="9479" width="22.140625" style="512" bestFit="1" customWidth="1"/>
    <col min="9480" max="9489" width="8.140625" style="512" customWidth="1"/>
    <col min="9490" max="9731" width="9.140625" style="512"/>
    <col min="9732" max="9732" width="3.85546875" style="512" customWidth="1"/>
    <col min="9733" max="9733" width="14.42578125" style="512" customWidth="1"/>
    <col min="9734" max="9734" width="3.85546875" style="512" customWidth="1"/>
    <col min="9735" max="9735" width="22.140625" style="512" bestFit="1" customWidth="1"/>
    <col min="9736" max="9745" width="8.140625" style="512" customWidth="1"/>
    <col min="9746" max="9987" width="9.140625" style="512"/>
    <col min="9988" max="9988" width="3.85546875" style="512" customWidth="1"/>
    <col min="9989" max="9989" width="14.42578125" style="512" customWidth="1"/>
    <col min="9990" max="9990" width="3.85546875" style="512" customWidth="1"/>
    <col min="9991" max="9991" width="22.140625" style="512" bestFit="1" customWidth="1"/>
    <col min="9992" max="10001" width="8.140625" style="512" customWidth="1"/>
    <col min="10002" max="10243" width="9.140625" style="512"/>
    <col min="10244" max="10244" width="3.85546875" style="512" customWidth="1"/>
    <col min="10245" max="10245" width="14.42578125" style="512" customWidth="1"/>
    <col min="10246" max="10246" width="3.85546875" style="512" customWidth="1"/>
    <col min="10247" max="10247" width="22.140625" style="512" bestFit="1" customWidth="1"/>
    <col min="10248" max="10257" width="8.140625" style="512" customWidth="1"/>
    <col min="10258" max="10499" width="9.140625" style="512"/>
    <col min="10500" max="10500" width="3.85546875" style="512" customWidth="1"/>
    <col min="10501" max="10501" width="14.42578125" style="512" customWidth="1"/>
    <col min="10502" max="10502" width="3.85546875" style="512" customWidth="1"/>
    <col min="10503" max="10503" width="22.140625" style="512" bestFit="1" customWidth="1"/>
    <col min="10504" max="10513" width="8.140625" style="512" customWidth="1"/>
    <col min="10514" max="10755" width="9.140625" style="512"/>
    <col min="10756" max="10756" width="3.85546875" style="512" customWidth="1"/>
    <col min="10757" max="10757" width="14.42578125" style="512" customWidth="1"/>
    <col min="10758" max="10758" width="3.85546875" style="512" customWidth="1"/>
    <col min="10759" max="10759" width="22.140625" style="512" bestFit="1" customWidth="1"/>
    <col min="10760" max="10769" width="8.140625" style="512" customWidth="1"/>
    <col min="10770" max="11011" width="9.140625" style="512"/>
    <col min="11012" max="11012" width="3.85546875" style="512" customWidth="1"/>
    <col min="11013" max="11013" width="14.42578125" style="512" customWidth="1"/>
    <col min="11014" max="11014" width="3.85546875" style="512" customWidth="1"/>
    <col min="11015" max="11015" width="22.140625" style="512" bestFit="1" customWidth="1"/>
    <col min="11016" max="11025" width="8.140625" style="512" customWidth="1"/>
    <col min="11026" max="11267" width="9.140625" style="512"/>
    <col min="11268" max="11268" width="3.85546875" style="512" customWidth="1"/>
    <col min="11269" max="11269" width="14.42578125" style="512" customWidth="1"/>
    <col min="11270" max="11270" width="3.85546875" style="512" customWidth="1"/>
    <col min="11271" max="11271" width="22.140625" style="512" bestFit="1" customWidth="1"/>
    <col min="11272" max="11281" width="8.140625" style="512" customWidth="1"/>
    <col min="11282" max="11523" width="9.140625" style="512"/>
    <col min="11524" max="11524" width="3.85546875" style="512" customWidth="1"/>
    <col min="11525" max="11525" width="14.42578125" style="512" customWidth="1"/>
    <col min="11526" max="11526" width="3.85546875" style="512" customWidth="1"/>
    <col min="11527" max="11527" width="22.140625" style="512" bestFit="1" customWidth="1"/>
    <col min="11528" max="11537" width="8.140625" style="512" customWidth="1"/>
    <col min="11538" max="11779" width="9.140625" style="512"/>
    <col min="11780" max="11780" width="3.85546875" style="512" customWidth="1"/>
    <col min="11781" max="11781" width="14.42578125" style="512" customWidth="1"/>
    <col min="11782" max="11782" width="3.85546875" style="512" customWidth="1"/>
    <col min="11783" max="11783" width="22.140625" style="512" bestFit="1" customWidth="1"/>
    <col min="11784" max="11793" width="8.140625" style="512" customWidth="1"/>
    <col min="11794" max="12035" width="9.140625" style="512"/>
    <col min="12036" max="12036" width="3.85546875" style="512" customWidth="1"/>
    <col min="12037" max="12037" width="14.42578125" style="512" customWidth="1"/>
    <col min="12038" max="12038" width="3.85546875" style="512" customWidth="1"/>
    <col min="12039" max="12039" width="22.140625" style="512" bestFit="1" customWidth="1"/>
    <col min="12040" max="12049" width="8.140625" style="512" customWidth="1"/>
    <col min="12050" max="12291" width="9.140625" style="512"/>
    <col min="12292" max="12292" width="3.85546875" style="512" customWidth="1"/>
    <col min="12293" max="12293" width="14.42578125" style="512" customWidth="1"/>
    <col min="12294" max="12294" width="3.85546875" style="512" customWidth="1"/>
    <col min="12295" max="12295" width="22.140625" style="512" bestFit="1" customWidth="1"/>
    <col min="12296" max="12305" width="8.140625" style="512" customWidth="1"/>
    <col min="12306" max="12547" width="9.140625" style="512"/>
    <col min="12548" max="12548" width="3.85546875" style="512" customWidth="1"/>
    <col min="12549" max="12549" width="14.42578125" style="512" customWidth="1"/>
    <col min="12550" max="12550" width="3.85546875" style="512" customWidth="1"/>
    <col min="12551" max="12551" width="22.140625" style="512" bestFit="1" customWidth="1"/>
    <col min="12552" max="12561" width="8.140625" style="512" customWidth="1"/>
    <col min="12562" max="12803" width="9.140625" style="512"/>
    <col min="12804" max="12804" width="3.85546875" style="512" customWidth="1"/>
    <col min="12805" max="12805" width="14.42578125" style="512" customWidth="1"/>
    <col min="12806" max="12806" width="3.85546875" style="512" customWidth="1"/>
    <col min="12807" max="12807" width="22.140625" style="512" bestFit="1" customWidth="1"/>
    <col min="12808" max="12817" width="8.140625" style="512" customWidth="1"/>
    <col min="12818" max="13059" width="9.140625" style="512"/>
    <col min="13060" max="13060" width="3.85546875" style="512" customWidth="1"/>
    <col min="13061" max="13061" width="14.42578125" style="512" customWidth="1"/>
    <col min="13062" max="13062" width="3.85546875" style="512" customWidth="1"/>
    <col min="13063" max="13063" width="22.140625" style="512" bestFit="1" customWidth="1"/>
    <col min="13064" max="13073" width="8.140625" style="512" customWidth="1"/>
    <col min="13074" max="13315" width="9.140625" style="512"/>
    <col min="13316" max="13316" width="3.85546875" style="512" customWidth="1"/>
    <col min="13317" max="13317" width="14.42578125" style="512" customWidth="1"/>
    <col min="13318" max="13318" width="3.85546875" style="512" customWidth="1"/>
    <col min="13319" max="13319" width="22.140625" style="512" bestFit="1" customWidth="1"/>
    <col min="13320" max="13329" width="8.140625" style="512" customWidth="1"/>
    <col min="13330" max="13571" width="9.140625" style="512"/>
    <col min="13572" max="13572" width="3.85546875" style="512" customWidth="1"/>
    <col min="13573" max="13573" width="14.42578125" style="512" customWidth="1"/>
    <col min="13574" max="13574" width="3.85546875" style="512" customWidth="1"/>
    <col min="13575" max="13575" width="22.140625" style="512" bestFit="1" customWidth="1"/>
    <col min="13576" max="13585" width="8.140625" style="512" customWidth="1"/>
    <col min="13586" max="13827" width="9.140625" style="512"/>
    <col min="13828" max="13828" width="3.85546875" style="512" customWidth="1"/>
    <col min="13829" max="13829" width="14.42578125" style="512" customWidth="1"/>
    <col min="13830" max="13830" width="3.85546875" style="512" customWidth="1"/>
    <col min="13831" max="13831" width="22.140625" style="512" bestFit="1" customWidth="1"/>
    <col min="13832" max="13841" width="8.140625" style="512" customWidth="1"/>
    <col min="13842" max="14083" width="9.140625" style="512"/>
    <col min="14084" max="14084" width="3.85546875" style="512" customWidth="1"/>
    <col min="14085" max="14085" width="14.42578125" style="512" customWidth="1"/>
    <col min="14086" max="14086" width="3.85546875" style="512" customWidth="1"/>
    <col min="14087" max="14087" width="22.140625" style="512" bestFit="1" customWidth="1"/>
    <col min="14088" max="14097" width="8.140625" style="512" customWidth="1"/>
    <col min="14098" max="14339" width="9.140625" style="512"/>
    <col min="14340" max="14340" width="3.85546875" style="512" customWidth="1"/>
    <col min="14341" max="14341" width="14.42578125" style="512" customWidth="1"/>
    <col min="14342" max="14342" width="3.85546875" style="512" customWidth="1"/>
    <col min="14343" max="14343" width="22.140625" style="512" bestFit="1" customWidth="1"/>
    <col min="14344" max="14353" width="8.140625" style="512" customWidth="1"/>
    <col min="14354" max="14595" width="9.140625" style="512"/>
    <col min="14596" max="14596" width="3.85546875" style="512" customWidth="1"/>
    <col min="14597" max="14597" width="14.42578125" style="512" customWidth="1"/>
    <col min="14598" max="14598" width="3.85546875" style="512" customWidth="1"/>
    <col min="14599" max="14599" width="22.140625" style="512" bestFit="1" customWidth="1"/>
    <col min="14600" max="14609" width="8.140625" style="512" customWidth="1"/>
    <col min="14610" max="14851" width="9.140625" style="512"/>
    <col min="14852" max="14852" width="3.85546875" style="512" customWidth="1"/>
    <col min="14853" max="14853" width="14.42578125" style="512" customWidth="1"/>
    <col min="14854" max="14854" width="3.85546875" style="512" customWidth="1"/>
    <col min="14855" max="14855" width="22.140625" style="512" bestFit="1" customWidth="1"/>
    <col min="14856" max="14865" width="8.140625" style="512" customWidth="1"/>
    <col min="14866" max="15107" width="9.140625" style="512"/>
    <col min="15108" max="15108" width="3.85546875" style="512" customWidth="1"/>
    <col min="15109" max="15109" width="14.42578125" style="512" customWidth="1"/>
    <col min="15110" max="15110" width="3.85546875" style="512" customWidth="1"/>
    <col min="15111" max="15111" width="22.140625" style="512" bestFit="1" customWidth="1"/>
    <col min="15112" max="15121" width="8.140625" style="512" customWidth="1"/>
    <col min="15122" max="15363" width="9.140625" style="512"/>
    <col min="15364" max="15364" width="3.85546875" style="512" customWidth="1"/>
    <col min="15365" max="15365" width="14.42578125" style="512" customWidth="1"/>
    <col min="15366" max="15366" width="3.85546875" style="512" customWidth="1"/>
    <col min="15367" max="15367" width="22.140625" style="512" bestFit="1" customWidth="1"/>
    <col min="15368" max="15377" width="8.140625" style="512" customWidth="1"/>
    <col min="15378" max="15619" width="9.140625" style="512"/>
    <col min="15620" max="15620" width="3.85546875" style="512" customWidth="1"/>
    <col min="15621" max="15621" width="14.42578125" style="512" customWidth="1"/>
    <col min="15622" max="15622" width="3.85546875" style="512" customWidth="1"/>
    <col min="15623" max="15623" width="22.140625" style="512" bestFit="1" customWidth="1"/>
    <col min="15624" max="15633" width="8.140625" style="512" customWidth="1"/>
    <col min="15634" max="15875" width="9.140625" style="512"/>
    <col min="15876" max="15876" width="3.85546875" style="512" customWidth="1"/>
    <col min="15877" max="15877" width="14.42578125" style="512" customWidth="1"/>
    <col min="15878" max="15878" width="3.85546875" style="512" customWidth="1"/>
    <col min="15879" max="15879" width="22.140625" style="512" bestFit="1" customWidth="1"/>
    <col min="15880" max="15889" width="8.140625" style="512" customWidth="1"/>
    <col min="15890" max="16131" width="9.140625" style="512"/>
    <col min="16132" max="16132" width="3.85546875" style="512" customWidth="1"/>
    <col min="16133" max="16133" width="14.42578125" style="512" customWidth="1"/>
    <col min="16134" max="16134" width="3.85546875" style="512" customWidth="1"/>
    <col min="16135" max="16135" width="22.140625" style="512" bestFit="1" customWidth="1"/>
    <col min="16136" max="16145" width="8.140625" style="512" customWidth="1"/>
    <col min="16146" max="16384" width="9.140625" style="512"/>
  </cols>
  <sheetData>
    <row r="1" spans="1:26" s="508" customFormat="1" ht="15" x14ac:dyDescent="0.2">
      <c r="A1" s="506"/>
      <c r="B1" s="507"/>
      <c r="C1" s="507"/>
      <c r="F1" s="1214"/>
      <c r="G1" s="1214"/>
      <c r="H1" s="1214"/>
      <c r="I1" s="1214"/>
      <c r="J1" s="1214"/>
    </row>
    <row r="2" spans="1:26" s="508" customFormat="1" ht="15" customHeight="1" x14ac:dyDescent="0.2">
      <c r="A2" s="509">
        <v>1</v>
      </c>
      <c r="B2" s="509" t="s">
        <v>0</v>
      </c>
      <c r="C2" s="509">
        <v>2</v>
      </c>
      <c r="D2" s="4603" t="s">
        <v>60</v>
      </c>
      <c r="E2" s="4604"/>
      <c r="F2" s="4604"/>
      <c r="G2" s="4604"/>
      <c r="H2" s="4604"/>
      <c r="I2" s="4604"/>
      <c r="J2" s="4604"/>
      <c r="K2" s="4604"/>
      <c r="L2" s="4604"/>
      <c r="M2" s="4604"/>
      <c r="N2" s="4604"/>
      <c r="O2" s="4604"/>
      <c r="P2" s="4604"/>
      <c r="Q2" s="4604"/>
      <c r="R2" s="4604"/>
      <c r="S2" s="4604"/>
      <c r="T2" s="4604"/>
      <c r="U2" s="4604"/>
      <c r="V2" s="4605"/>
    </row>
    <row r="3" spans="1:26" s="508" customFormat="1" ht="14.25" customHeight="1" x14ac:dyDescent="0.2">
      <c r="A3" s="509">
        <v>2</v>
      </c>
      <c r="B3" s="509" t="s">
        <v>2</v>
      </c>
      <c r="C3" s="509"/>
      <c r="D3" s="4603" t="s">
        <v>3</v>
      </c>
      <c r="E3" s="4604"/>
      <c r="F3" s="4604"/>
      <c r="G3" s="4604"/>
      <c r="H3" s="4604"/>
      <c r="I3" s="4604"/>
      <c r="J3" s="4604"/>
      <c r="K3" s="4604"/>
      <c r="L3" s="4604"/>
      <c r="M3" s="4604"/>
      <c r="N3" s="4604"/>
      <c r="O3" s="4604"/>
      <c r="P3" s="4604"/>
      <c r="Q3" s="4604"/>
      <c r="R3" s="4604"/>
      <c r="S3" s="4604"/>
      <c r="T3" s="4604"/>
      <c r="U3" s="4604"/>
      <c r="V3" s="4605"/>
    </row>
    <row r="4" spans="1:26" s="508" customFormat="1" ht="14.25" customHeight="1" x14ac:dyDescent="0.2">
      <c r="A4" s="509">
        <v>3</v>
      </c>
      <c r="B4" s="509" t="s">
        <v>4</v>
      </c>
      <c r="C4" s="509"/>
      <c r="D4" s="4603" t="s">
        <v>61</v>
      </c>
      <c r="E4" s="4604"/>
      <c r="F4" s="4604"/>
      <c r="G4" s="4604"/>
      <c r="H4" s="4604"/>
      <c r="I4" s="4604"/>
      <c r="J4" s="4604"/>
      <c r="K4" s="4604"/>
      <c r="L4" s="4604"/>
      <c r="M4" s="4604"/>
      <c r="N4" s="4604"/>
      <c r="O4" s="4604"/>
      <c r="P4" s="4604"/>
      <c r="Q4" s="4604"/>
      <c r="R4" s="4604"/>
      <c r="S4" s="4604"/>
      <c r="T4" s="4604"/>
      <c r="U4" s="4604"/>
      <c r="V4" s="4605"/>
    </row>
    <row r="5" spans="1:26" s="508" customFormat="1" ht="14.25" x14ac:dyDescent="0.2">
      <c r="A5" s="509"/>
      <c r="B5" s="509"/>
      <c r="C5" s="509"/>
      <c r="D5" s="4618"/>
      <c r="E5" s="4619"/>
      <c r="F5" s="4619"/>
      <c r="G5" s="4619"/>
      <c r="H5" s="4619"/>
      <c r="I5" s="4619"/>
      <c r="J5" s="4619"/>
      <c r="K5" s="4619"/>
      <c r="L5" s="4619"/>
      <c r="M5" s="4619"/>
      <c r="N5" s="4619"/>
      <c r="O5" s="4619"/>
      <c r="P5" s="4619"/>
      <c r="Q5" s="4619"/>
      <c r="R5" s="4619"/>
      <c r="S5" s="4619"/>
      <c r="T5" s="4619"/>
      <c r="U5" s="4619"/>
      <c r="V5" s="4620"/>
    </row>
    <row r="6" spans="1:26" s="88" customFormat="1" ht="15.75" customHeight="1" x14ac:dyDescent="0.2">
      <c r="A6" s="509">
        <v>4</v>
      </c>
      <c r="B6" s="509" t="s">
        <v>6</v>
      </c>
      <c r="C6" s="836"/>
      <c r="D6" s="72" t="s">
        <v>7</v>
      </c>
      <c r="E6" s="72" t="s">
        <v>63</v>
      </c>
      <c r="F6" s="916"/>
      <c r="G6" s="2400"/>
      <c r="H6" s="916"/>
      <c r="I6" s="916"/>
      <c r="J6" s="413"/>
    </row>
    <row r="7" spans="1:26" s="88" customFormat="1" ht="15.75" customHeight="1" x14ac:dyDescent="0.2">
      <c r="A7" s="860"/>
      <c r="B7" s="836"/>
      <c r="C7" s="836"/>
      <c r="D7" s="824" t="s">
        <v>64</v>
      </c>
      <c r="E7" s="2401" t="s">
        <v>13</v>
      </c>
      <c r="F7" s="4168" t="s">
        <v>14</v>
      </c>
      <c r="G7" s="4168" t="s">
        <v>15</v>
      </c>
      <c r="H7" s="4168" t="s">
        <v>16</v>
      </c>
      <c r="I7" s="4168" t="s">
        <v>17</v>
      </c>
      <c r="J7" s="4168" t="s">
        <v>18</v>
      </c>
      <c r="K7" s="4168" t="s">
        <v>19</v>
      </c>
      <c r="L7" s="4168" t="s">
        <v>20</v>
      </c>
      <c r="M7" s="4168" t="s">
        <v>21</v>
      </c>
      <c r="N7" s="2402" t="s">
        <v>22</v>
      </c>
      <c r="O7" s="2401" t="s">
        <v>23</v>
      </c>
      <c r="P7" s="2401" t="s">
        <v>24</v>
      </c>
      <c r="Q7" s="2401" t="s">
        <v>25</v>
      </c>
      <c r="R7" s="2401" t="s">
        <v>26</v>
      </c>
      <c r="S7" s="2401" t="s">
        <v>27</v>
      </c>
      <c r="T7" s="2401" t="s">
        <v>28</v>
      </c>
      <c r="U7" s="2401" t="s">
        <v>29</v>
      </c>
      <c r="V7" s="2401" t="s">
        <v>30</v>
      </c>
      <c r="W7" s="2401" t="s">
        <v>31</v>
      </c>
      <c r="X7" s="2403" t="s">
        <v>32</v>
      </c>
      <c r="Y7" s="2403" t="s">
        <v>33</v>
      </c>
      <c r="Z7" s="2403" t="s">
        <v>59</v>
      </c>
    </row>
    <row r="8" spans="1:26" s="88" customFormat="1" ht="15.75" customHeight="1" x14ac:dyDescent="0.2">
      <c r="A8" s="860"/>
      <c r="B8" s="836"/>
      <c r="C8" s="836"/>
      <c r="D8" s="181" t="s">
        <v>65</v>
      </c>
      <c r="E8" s="1373">
        <v>36</v>
      </c>
      <c r="F8" s="1373">
        <v>36</v>
      </c>
      <c r="G8" s="1373">
        <v>36</v>
      </c>
      <c r="H8" s="1373">
        <v>34</v>
      </c>
      <c r="I8" s="1373">
        <v>34</v>
      </c>
      <c r="J8" s="1373">
        <v>34</v>
      </c>
      <c r="K8" s="1373">
        <v>31</v>
      </c>
      <c r="L8" s="1373">
        <v>31</v>
      </c>
      <c r="M8" s="1373">
        <v>34</v>
      </c>
      <c r="N8" s="1373">
        <v>34</v>
      </c>
      <c r="O8" s="1373">
        <v>39</v>
      </c>
      <c r="P8" s="1373">
        <v>40</v>
      </c>
      <c r="Q8" s="1373">
        <v>40</v>
      </c>
      <c r="R8" s="1373">
        <v>41</v>
      </c>
      <c r="S8" s="1373">
        <v>43</v>
      </c>
      <c r="T8" s="1373">
        <v>42</v>
      </c>
      <c r="U8" s="4246">
        <v>46</v>
      </c>
      <c r="V8" s="4246">
        <v>46</v>
      </c>
      <c r="W8" s="4246">
        <v>46</v>
      </c>
      <c r="X8" s="2404">
        <v>46</v>
      </c>
      <c r="Y8" s="2404">
        <v>41</v>
      </c>
      <c r="Z8" s="462">
        <v>40</v>
      </c>
    </row>
    <row r="9" spans="1:26" s="88" customFormat="1" ht="15.75" customHeight="1" x14ac:dyDescent="0.2">
      <c r="A9" s="860"/>
      <c r="B9" s="836"/>
      <c r="C9" s="836"/>
      <c r="D9" s="181" t="s">
        <v>66</v>
      </c>
      <c r="E9" s="2405">
        <v>7</v>
      </c>
      <c r="F9" s="2405">
        <v>8</v>
      </c>
      <c r="G9" s="2405">
        <v>8</v>
      </c>
      <c r="H9" s="2405">
        <v>11</v>
      </c>
      <c r="I9" s="2405">
        <v>7</v>
      </c>
      <c r="J9" s="2405">
        <v>11</v>
      </c>
      <c r="K9" s="2405">
        <v>12</v>
      </c>
      <c r="L9" s="2405">
        <v>12</v>
      </c>
      <c r="M9" s="2405">
        <f>'[1]AGSA Data - 2008-09 Gen Report'!I18</f>
        <v>12</v>
      </c>
      <c r="N9" s="2405">
        <v>11</v>
      </c>
      <c r="O9" s="2405">
        <v>10</v>
      </c>
      <c r="P9" s="2405">
        <v>7</v>
      </c>
      <c r="Q9" s="2405">
        <v>6</v>
      </c>
      <c r="R9" s="2405">
        <v>7</v>
      </c>
      <c r="S9" s="2405">
        <v>6</v>
      </c>
      <c r="T9" s="2405">
        <v>3</v>
      </c>
      <c r="U9" s="4260">
        <v>9</v>
      </c>
      <c r="V9" s="4260">
        <v>10</v>
      </c>
      <c r="W9" s="4260">
        <v>12</v>
      </c>
      <c r="X9" s="2404">
        <v>9</v>
      </c>
      <c r="Y9" s="2404">
        <v>6</v>
      </c>
      <c r="Z9" s="462">
        <v>6</v>
      </c>
    </row>
    <row r="10" spans="1:26" s="2410" customFormat="1" ht="15.75" customHeight="1" x14ac:dyDescent="0.2">
      <c r="A10" s="2407"/>
      <c r="B10" s="2408"/>
      <c r="C10" s="2408"/>
      <c r="D10" s="323" t="s">
        <v>67</v>
      </c>
      <c r="E10" s="2409">
        <f t="shared" ref="E10:W10" si="0">E9/E8</f>
        <v>0.19444444444444445</v>
      </c>
      <c r="F10" s="2409">
        <f t="shared" si="0"/>
        <v>0.22222222222222221</v>
      </c>
      <c r="G10" s="2409">
        <f t="shared" si="0"/>
        <v>0.22222222222222221</v>
      </c>
      <c r="H10" s="2409">
        <f t="shared" si="0"/>
        <v>0.3235294117647059</v>
      </c>
      <c r="I10" s="2409">
        <f t="shared" si="0"/>
        <v>0.20588235294117646</v>
      </c>
      <c r="J10" s="2409">
        <f t="shared" si="0"/>
        <v>0.3235294117647059</v>
      </c>
      <c r="K10" s="2409">
        <f t="shared" si="0"/>
        <v>0.38709677419354838</v>
      </c>
      <c r="L10" s="2409">
        <f t="shared" si="0"/>
        <v>0.38709677419354838</v>
      </c>
      <c r="M10" s="2409">
        <f t="shared" si="0"/>
        <v>0.35294117647058826</v>
      </c>
      <c r="N10" s="2409">
        <f t="shared" si="0"/>
        <v>0.3235294117647059</v>
      </c>
      <c r="O10" s="2409">
        <f t="shared" si="0"/>
        <v>0.25641025641025639</v>
      </c>
      <c r="P10" s="2409">
        <f t="shared" si="0"/>
        <v>0.17499999999999999</v>
      </c>
      <c r="Q10" s="2409">
        <f t="shared" si="0"/>
        <v>0.15</v>
      </c>
      <c r="R10" s="2409">
        <f t="shared" si="0"/>
        <v>0.17073170731707318</v>
      </c>
      <c r="S10" s="2409">
        <f t="shared" si="0"/>
        <v>0.13953488372093023</v>
      </c>
      <c r="T10" s="2409">
        <f t="shared" si="0"/>
        <v>7.1428571428571425E-2</v>
      </c>
      <c r="U10" s="4261">
        <f t="shared" si="0"/>
        <v>0.19565217391304349</v>
      </c>
      <c r="V10" s="4261">
        <f t="shared" si="0"/>
        <v>0.21739130434782608</v>
      </c>
      <c r="W10" s="4261">
        <f t="shared" si="0"/>
        <v>0.2608695652173913</v>
      </c>
      <c r="X10" s="4262">
        <f>X9/X8</f>
        <v>0.19565217391304349</v>
      </c>
      <c r="Y10" s="4262">
        <f>Y9/Y8</f>
        <v>0.14634146341463414</v>
      </c>
      <c r="Z10" s="4262">
        <f>Z9/Z8</f>
        <v>0.15</v>
      </c>
    </row>
    <row r="11" spans="1:26" s="88" customFormat="1" ht="15.75" customHeight="1" x14ac:dyDescent="0.2">
      <c r="A11" s="860"/>
      <c r="B11" s="836"/>
      <c r="C11" s="836"/>
      <c r="D11" s="324" t="s">
        <v>68</v>
      </c>
      <c r="E11" s="2411"/>
      <c r="F11" s="1651"/>
      <c r="G11" s="1651"/>
      <c r="H11" s="1651"/>
      <c r="I11" s="1651"/>
      <c r="J11" s="1651"/>
      <c r="K11" s="1651"/>
      <c r="L11" s="1651"/>
      <c r="M11" s="1651"/>
      <c r="N11" s="1651"/>
      <c r="O11" s="1651"/>
      <c r="P11" s="1651"/>
      <c r="Q11" s="1651"/>
      <c r="R11" s="1651"/>
      <c r="S11" s="1651"/>
      <c r="T11" s="1651"/>
      <c r="U11" s="4263"/>
      <c r="V11" s="4263"/>
      <c r="W11" s="4263"/>
      <c r="X11" s="2404"/>
      <c r="Y11" s="4264"/>
      <c r="Z11" s="462"/>
    </row>
    <row r="12" spans="1:26" s="88" customFormat="1" ht="15.75" customHeight="1" x14ac:dyDescent="0.2">
      <c r="A12" s="860"/>
      <c r="B12" s="836"/>
      <c r="C12" s="836"/>
      <c r="D12" s="181" t="s">
        <v>69</v>
      </c>
      <c r="E12" s="1482">
        <v>117</v>
      </c>
      <c r="F12" s="1373">
        <v>116</v>
      </c>
      <c r="G12" s="1373">
        <v>116</v>
      </c>
      <c r="H12" s="1373">
        <v>115</v>
      </c>
      <c r="I12" s="1373">
        <v>117</v>
      </c>
      <c r="J12" s="1373">
        <v>117</v>
      </c>
      <c r="K12" s="1373">
        <v>105</v>
      </c>
      <c r="L12" s="1373">
        <v>111</v>
      </c>
      <c r="M12" s="1373">
        <v>121</v>
      </c>
      <c r="N12" s="1373">
        <v>123</v>
      </c>
      <c r="O12" s="1373">
        <v>121</v>
      </c>
      <c r="P12" s="1373">
        <v>121</v>
      </c>
      <c r="Q12" s="1373">
        <v>123</v>
      </c>
      <c r="R12" s="1373">
        <v>124</v>
      </c>
      <c r="S12" s="1373">
        <v>124</v>
      </c>
      <c r="T12" s="1373">
        <v>123</v>
      </c>
      <c r="U12" s="4246">
        <v>123</v>
      </c>
      <c r="V12" s="4246">
        <v>123</v>
      </c>
      <c r="W12" s="4246">
        <v>123</v>
      </c>
      <c r="X12" s="2404">
        <v>122</v>
      </c>
      <c r="Y12" s="2404">
        <v>122</v>
      </c>
      <c r="Z12" s="462">
        <v>120</v>
      </c>
    </row>
    <row r="13" spans="1:26" s="88" customFormat="1" ht="15.75" customHeight="1" x14ac:dyDescent="0.2">
      <c r="A13" s="860"/>
      <c r="B13" s="836"/>
      <c r="C13" s="836"/>
      <c r="D13" s="181" t="s">
        <v>66</v>
      </c>
      <c r="E13" s="2412">
        <v>95</v>
      </c>
      <c r="F13" s="2405">
        <v>62</v>
      </c>
      <c r="G13" s="2405">
        <v>36</v>
      </c>
      <c r="H13" s="2405">
        <v>36</v>
      </c>
      <c r="I13" s="2405">
        <v>46</v>
      </c>
      <c r="J13" s="2405">
        <v>50</v>
      </c>
      <c r="K13" s="2405">
        <v>57</v>
      </c>
      <c r="L13" s="2405">
        <v>44</v>
      </c>
      <c r="M13" s="2405">
        <v>37</v>
      </c>
      <c r="N13" s="2405">
        <v>34</v>
      </c>
      <c r="O13" s="2405">
        <v>36</v>
      </c>
      <c r="P13" s="2405">
        <v>39</v>
      </c>
      <c r="Q13" s="2405">
        <v>33</v>
      </c>
      <c r="R13" s="2405">
        <v>28</v>
      </c>
      <c r="S13" s="2405">
        <v>24</v>
      </c>
      <c r="T13" s="2405">
        <v>26</v>
      </c>
      <c r="U13" s="4260">
        <v>30</v>
      </c>
      <c r="V13" s="4260">
        <v>32</v>
      </c>
      <c r="W13" s="4260">
        <v>39</v>
      </c>
      <c r="X13" s="2404">
        <v>26</v>
      </c>
      <c r="Y13" s="2404">
        <v>27</v>
      </c>
      <c r="Z13" s="462">
        <v>25</v>
      </c>
    </row>
    <row r="14" spans="1:26" s="2410" customFormat="1" ht="15.75" customHeight="1" x14ac:dyDescent="0.2">
      <c r="A14" s="2407"/>
      <c r="B14" s="2408"/>
      <c r="C14" s="2408"/>
      <c r="D14" s="323" t="s">
        <v>67</v>
      </c>
      <c r="E14" s="2413">
        <f t="shared" ref="E14:W14" si="1">E13/E12</f>
        <v>0.81196581196581197</v>
      </c>
      <c r="F14" s="2413">
        <f t="shared" si="1"/>
        <v>0.53448275862068961</v>
      </c>
      <c r="G14" s="2413">
        <f t="shared" si="1"/>
        <v>0.31034482758620691</v>
      </c>
      <c r="H14" s="2413">
        <f t="shared" si="1"/>
        <v>0.31304347826086959</v>
      </c>
      <c r="I14" s="2413">
        <f t="shared" si="1"/>
        <v>0.39316239316239315</v>
      </c>
      <c r="J14" s="2413">
        <f t="shared" si="1"/>
        <v>0.42735042735042733</v>
      </c>
      <c r="K14" s="2413">
        <f t="shared" si="1"/>
        <v>0.54285714285714282</v>
      </c>
      <c r="L14" s="2413">
        <f t="shared" si="1"/>
        <v>0.3963963963963964</v>
      </c>
      <c r="M14" s="2413">
        <f t="shared" si="1"/>
        <v>0.30578512396694213</v>
      </c>
      <c r="N14" s="2413">
        <f t="shared" si="1"/>
        <v>0.27642276422764228</v>
      </c>
      <c r="O14" s="2413">
        <f t="shared" si="1"/>
        <v>0.2975206611570248</v>
      </c>
      <c r="P14" s="2413">
        <f t="shared" si="1"/>
        <v>0.32231404958677684</v>
      </c>
      <c r="Q14" s="2409">
        <f t="shared" si="1"/>
        <v>0.26829268292682928</v>
      </c>
      <c r="R14" s="2409">
        <f t="shared" si="1"/>
        <v>0.22580645161290322</v>
      </c>
      <c r="S14" s="2409">
        <f t="shared" si="1"/>
        <v>0.19354838709677419</v>
      </c>
      <c r="T14" s="2409">
        <f t="shared" si="1"/>
        <v>0.21138211382113822</v>
      </c>
      <c r="U14" s="4261">
        <f t="shared" si="1"/>
        <v>0.24390243902439024</v>
      </c>
      <c r="V14" s="4261">
        <f t="shared" si="1"/>
        <v>0.26016260162601629</v>
      </c>
      <c r="W14" s="4261">
        <f t="shared" si="1"/>
        <v>0.31707317073170732</v>
      </c>
      <c r="X14" s="4262">
        <f>X13/X12</f>
        <v>0.21311475409836064</v>
      </c>
      <c r="Y14" s="4262">
        <f>Y13/Y12</f>
        <v>0.22131147540983606</v>
      </c>
      <c r="Z14" s="4262">
        <f>Z13/Z12</f>
        <v>0.20833333333333334</v>
      </c>
    </row>
    <row r="15" spans="1:26" s="88" customFormat="1" ht="15.75" customHeight="1" x14ac:dyDescent="0.2">
      <c r="A15" s="860"/>
      <c r="B15" s="836"/>
      <c r="C15" s="836"/>
      <c r="D15" s="324" t="s">
        <v>70</v>
      </c>
      <c r="E15" s="2414"/>
      <c r="F15" s="2415"/>
      <c r="G15" s="2415"/>
      <c r="H15" s="2415"/>
      <c r="I15" s="2415"/>
      <c r="J15" s="2415"/>
      <c r="K15" s="2415"/>
      <c r="L15" s="2415"/>
      <c r="M15" s="2415"/>
      <c r="N15" s="2415"/>
      <c r="O15" s="2415"/>
      <c r="P15" s="2415"/>
      <c r="Q15" s="2415"/>
      <c r="R15" s="2415"/>
      <c r="S15" s="2415"/>
      <c r="T15" s="2415"/>
      <c r="U15" s="4265"/>
      <c r="V15" s="4265"/>
      <c r="W15" s="4265"/>
      <c r="X15" s="2404"/>
      <c r="Y15" s="4264"/>
      <c r="Z15" s="462"/>
    </row>
    <row r="16" spans="1:26" s="88" customFormat="1" ht="15.75" customHeight="1" x14ac:dyDescent="0.2">
      <c r="A16" s="860"/>
      <c r="B16" s="836"/>
      <c r="C16" s="836"/>
      <c r="D16" s="181" t="s">
        <v>71</v>
      </c>
      <c r="E16" s="1373">
        <v>543</v>
      </c>
      <c r="F16" s="1373">
        <v>175</v>
      </c>
      <c r="G16" s="1373">
        <v>128</v>
      </c>
      <c r="H16" s="1373">
        <v>95</v>
      </c>
      <c r="I16" s="1373">
        <v>126</v>
      </c>
      <c r="J16" s="1482">
        <v>270</v>
      </c>
      <c r="K16" s="1482">
        <v>280</v>
      </c>
      <c r="L16" s="1482">
        <v>283</v>
      </c>
      <c r="M16" s="1482">
        <v>283</v>
      </c>
      <c r="N16" s="1482">
        <v>283</v>
      </c>
      <c r="O16" s="1482">
        <v>283</v>
      </c>
      <c r="P16" s="1482">
        <v>278</v>
      </c>
      <c r="Q16" s="1482">
        <v>278</v>
      </c>
      <c r="R16" s="1482">
        <v>278</v>
      </c>
      <c r="S16" s="1482">
        <v>275</v>
      </c>
      <c r="T16" s="1482">
        <v>263</v>
      </c>
      <c r="U16" s="4266">
        <v>257</v>
      </c>
      <c r="V16" s="4266">
        <v>257</v>
      </c>
      <c r="W16" s="4266">
        <v>257</v>
      </c>
      <c r="X16" s="2404">
        <v>257</v>
      </c>
      <c r="Y16" s="4267">
        <v>254</v>
      </c>
      <c r="Z16" s="462">
        <v>241</v>
      </c>
    </row>
    <row r="17" spans="1:26" s="88" customFormat="1" ht="15.75" customHeight="1" x14ac:dyDescent="0.2">
      <c r="A17" s="860"/>
      <c r="B17" s="836"/>
      <c r="C17" s="836"/>
      <c r="D17" s="181" t="s">
        <v>66</v>
      </c>
      <c r="E17" s="2405">
        <v>414</v>
      </c>
      <c r="F17" s="2405">
        <v>131</v>
      </c>
      <c r="G17" s="2405">
        <v>77</v>
      </c>
      <c r="H17" s="2405">
        <v>58</v>
      </c>
      <c r="I17" s="2405">
        <v>72</v>
      </c>
      <c r="J17" s="2416">
        <v>225</v>
      </c>
      <c r="K17" s="2416">
        <v>223</v>
      </c>
      <c r="L17" s="2416">
        <v>187</v>
      </c>
      <c r="M17" s="2416">
        <v>166</v>
      </c>
      <c r="N17" s="2416">
        <v>153</v>
      </c>
      <c r="O17" s="2416">
        <v>151</v>
      </c>
      <c r="P17" s="2416">
        <v>161</v>
      </c>
      <c r="Q17" s="2416">
        <v>157</v>
      </c>
      <c r="R17" s="2416">
        <v>128</v>
      </c>
      <c r="S17" s="2416">
        <v>111</v>
      </c>
      <c r="T17" s="2416">
        <v>92</v>
      </c>
      <c r="U17" s="4268">
        <v>110</v>
      </c>
      <c r="V17" s="4268">
        <v>133</v>
      </c>
      <c r="W17" s="4268">
        <v>143</v>
      </c>
      <c r="X17" s="2404">
        <v>129</v>
      </c>
      <c r="Y17" s="4267">
        <v>113</v>
      </c>
      <c r="Z17" s="462">
        <v>99</v>
      </c>
    </row>
    <row r="18" spans="1:26" s="88" customFormat="1" ht="15.75" customHeight="1" x14ac:dyDescent="0.2">
      <c r="A18" s="860"/>
      <c r="B18" s="836"/>
      <c r="C18" s="836"/>
      <c r="D18" s="323" t="s">
        <v>67</v>
      </c>
      <c r="E18" s="2409">
        <f t="shared" ref="E18:Q18" si="2">E17/E16</f>
        <v>0.76243093922651939</v>
      </c>
      <c r="F18" s="2409">
        <f t="shared" si="2"/>
        <v>0.74857142857142855</v>
      </c>
      <c r="G18" s="2409">
        <f t="shared" si="2"/>
        <v>0.6015625</v>
      </c>
      <c r="H18" s="2409">
        <f t="shared" si="2"/>
        <v>0.61052631578947369</v>
      </c>
      <c r="I18" s="2409">
        <f t="shared" si="2"/>
        <v>0.5714285714285714</v>
      </c>
      <c r="J18" s="2409">
        <f t="shared" si="2"/>
        <v>0.83333333333333337</v>
      </c>
      <c r="K18" s="2409">
        <f t="shared" si="2"/>
        <v>0.79642857142857137</v>
      </c>
      <c r="L18" s="2409">
        <f t="shared" si="2"/>
        <v>0.66077738515901063</v>
      </c>
      <c r="M18" s="2409">
        <f t="shared" si="2"/>
        <v>0.58657243816254412</v>
      </c>
      <c r="N18" s="2409">
        <f t="shared" si="2"/>
        <v>0.54063604240282681</v>
      </c>
      <c r="O18" s="2409">
        <f t="shared" si="2"/>
        <v>0.53356890459363959</v>
      </c>
      <c r="P18" s="2409">
        <f t="shared" si="2"/>
        <v>0.57913669064748197</v>
      </c>
      <c r="Q18" s="2409">
        <f t="shared" si="2"/>
        <v>0.56474820143884896</v>
      </c>
      <c r="R18" s="2409">
        <v>0.46</v>
      </c>
      <c r="S18" s="2409">
        <v>0.40400000000000003</v>
      </c>
      <c r="T18" s="2409">
        <v>0.33100000000000002</v>
      </c>
      <c r="U18" s="4261">
        <f>U17/U16</f>
        <v>0.42801556420233461</v>
      </c>
      <c r="V18" s="4261">
        <f>V17/V16</f>
        <v>0.51750972762645919</v>
      </c>
      <c r="W18" s="4261">
        <f>W17/W16</f>
        <v>0.55642023346303504</v>
      </c>
      <c r="X18" s="4262">
        <f>X17/X16</f>
        <v>0.50194552529182879</v>
      </c>
      <c r="Y18" s="4262">
        <f t="shared" ref="Y18:Z18" si="3">Y17/Y16</f>
        <v>0.44488188976377951</v>
      </c>
      <c r="Z18" s="4262">
        <f t="shared" si="3"/>
        <v>0.41078838174273857</v>
      </c>
    </row>
    <row r="19" spans="1:26" s="88" customFormat="1" ht="15" customHeight="1" x14ac:dyDescent="0.2">
      <c r="A19" s="860"/>
      <c r="B19" s="836"/>
      <c r="C19" s="836"/>
      <c r="D19" s="324" t="s">
        <v>72</v>
      </c>
      <c r="E19" s="2414"/>
      <c r="F19" s="2415"/>
      <c r="G19" s="2415"/>
      <c r="H19" s="2415"/>
      <c r="I19" s="2415"/>
      <c r="J19" s="2415"/>
      <c r="K19" s="2415"/>
      <c r="L19" s="2415"/>
      <c r="M19" s="2415"/>
      <c r="N19" s="2415"/>
      <c r="O19" s="2415"/>
      <c r="P19" s="2415"/>
      <c r="Q19" s="2415"/>
      <c r="R19" s="2415"/>
      <c r="S19" s="2415"/>
      <c r="T19" s="2415"/>
      <c r="U19" s="4265"/>
      <c r="V19" s="4265"/>
      <c r="W19" s="4265"/>
      <c r="X19" s="2404"/>
      <c r="Y19" s="4264"/>
      <c r="Z19" s="462"/>
    </row>
    <row r="20" spans="1:26" s="88" customFormat="1" ht="15.75" customHeight="1" x14ac:dyDescent="0.2">
      <c r="A20" s="860"/>
      <c r="B20" s="836"/>
      <c r="C20" s="836"/>
      <c r="D20" s="181" t="s">
        <v>73</v>
      </c>
      <c r="E20" s="2417"/>
      <c r="F20" s="1373">
        <v>136</v>
      </c>
      <c r="G20" s="1373">
        <v>136</v>
      </c>
      <c r="H20" s="1373">
        <v>186</v>
      </c>
      <c r="I20" s="1373">
        <v>158</v>
      </c>
      <c r="J20" s="1373">
        <v>177</v>
      </c>
      <c r="K20" s="1373">
        <v>292</v>
      </c>
      <c r="L20" s="1373">
        <v>315</v>
      </c>
      <c r="M20" s="1373">
        <v>345</v>
      </c>
      <c r="N20" s="1373">
        <v>359</v>
      </c>
      <c r="O20" s="1373">
        <v>367</v>
      </c>
      <c r="P20" s="1373">
        <v>368</v>
      </c>
      <c r="Q20" s="1373">
        <v>307</v>
      </c>
      <c r="R20" s="1373">
        <v>301</v>
      </c>
      <c r="S20" s="1373">
        <v>291</v>
      </c>
      <c r="T20" s="1373">
        <v>292</v>
      </c>
      <c r="U20" s="4246">
        <v>260</v>
      </c>
      <c r="V20" s="4246">
        <v>265</v>
      </c>
      <c r="W20" s="4246">
        <v>260</v>
      </c>
      <c r="X20" s="2404">
        <v>260</v>
      </c>
      <c r="Y20" s="2404">
        <v>262</v>
      </c>
      <c r="Z20" s="462">
        <v>238</v>
      </c>
    </row>
    <row r="21" spans="1:26" s="88" customFormat="1" ht="15.75" customHeight="1" x14ac:dyDescent="0.2">
      <c r="A21" s="860"/>
      <c r="B21" s="836"/>
      <c r="C21" s="836"/>
      <c r="D21" s="181" t="s">
        <v>66</v>
      </c>
      <c r="E21" s="2418"/>
      <c r="F21" s="2405">
        <v>63</v>
      </c>
      <c r="G21" s="2405">
        <v>53</v>
      </c>
      <c r="H21" s="2405">
        <v>56</v>
      </c>
      <c r="I21" s="2405">
        <v>20</v>
      </c>
      <c r="J21" s="2405">
        <v>47</v>
      </c>
      <c r="K21" s="2405">
        <v>84</v>
      </c>
      <c r="L21" s="2405">
        <v>71</v>
      </c>
      <c r="M21" s="2405">
        <v>78</v>
      </c>
      <c r="N21" s="2405">
        <v>58</v>
      </c>
      <c r="O21" s="2405">
        <v>57</v>
      </c>
      <c r="P21" s="2405">
        <v>61</v>
      </c>
      <c r="Q21" s="2405">
        <v>64</v>
      </c>
      <c r="R21" s="2405">
        <v>66</v>
      </c>
      <c r="S21" s="2405">
        <v>62</v>
      </c>
      <c r="T21" s="2405">
        <v>62</v>
      </c>
      <c r="U21" s="4260">
        <v>72</v>
      </c>
      <c r="V21" s="4260">
        <v>86</v>
      </c>
      <c r="W21" s="4260">
        <v>84</v>
      </c>
      <c r="X21" s="2404">
        <v>82</v>
      </c>
      <c r="Y21" s="2404">
        <v>53</v>
      </c>
      <c r="Z21" s="462">
        <v>55</v>
      </c>
    </row>
    <row r="22" spans="1:26" s="88" customFormat="1" ht="15.75" customHeight="1" x14ac:dyDescent="0.2">
      <c r="A22" s="860"/>
      <c r="B22" s="836" t="s">
        <v>74</v>
      </c>
      <c r="C22" s="836"/>
      <c r="D22" s="246" t="s">
        <v>67</v>
      </c>
      <c r="E22" s="2419"/>
      <c r="F22" s="2420">
        <f t="shared" ref="F22:W22" si="4">F21/F20</f>
        <v>0.46323529411764708</v>
      </c>
      <c r="G22" s="2420">
        <f t="shared" si="4"/>
        <v>0.38970588235294118</v>
      </c>
      <c r="H22" s="2420">
        <f t="shared" si="4"/>
        <v>0.30107526881720431</v>
      </c>
      <c r="I22" s="2420">
        <f t="shared" si="4"/>
        <v>0.12658227848101267</v>
      </c>
      <c r="J22" s="2420">
        <f t="shared" si="4"/>
        <v>0.2655367231638418</v>
      </c>
      <c r="K22" s="2420">
        <f t="shared" si="4"/>
        <v>0.28767123287671231</v>
      </c>
      <c r="L22" s="2420">
        <f t="shared" si="4"/>
        <v>0.2253968253968254</v>
      </c>
      <c r="M22" s="2420">
        <f t="shared" si="4"/>
        <v>0.22608695652173913</v>
      </c>
      <c r="N22" s="2420">
        <f t="shared" si="4"/>
        <v>0.16155988857938719</v>
      </c>
      <c r="O22" s="2420">
        <f t="shared" si="4"/>
        <v>0.15531335149863759</v>
      </c>
      <c r="P22" s="2420">
        <f t="shared" si="4"/>
        <v>0.16576086956521738</v>
      </c>
      <c r="Q22" s="2420">
        <f t="shared" si="4"/>
        <v>0.20846905537459284</v>
      </c>
      <c r="R22" s="2420">
        <f t="shared" si="4"/>
        <v>0.21926910299003322</v>
      </c>
      <c r="S22" s="2420">
        <f t="shared" si="4"/>
        <v>0.21305841924398625</v>
      </c>
      <c r="T22" s="2420">
        <f t="shared" si="4"/>
        <v>0.21232876712328766</v>
      </c>
      <c r="U22" s="4269">
        <f t="shared" si="4"/>
        <v>0.27692307692307694</v>
      </c>
      <c r="V22" s="4269">
        <f t="shared" si="4"/>
        <v>0.32452830188679244</v>
      </c>
      <c r="W22" s="4269">
        <f t="shared" si="4"/>
        <v>0.32307692307692309</v>
      </c>
      <c r="X22" s="4270">
        <f>X21/X20</f>
        <v>0.31538461538461537</v>
      </c>
      <c r="Y22" s="4262">
        <f>Y21/Y20</f>
        <v>0.20229007633587787</v>
      </c>
      <c r="Z22" s="4262">
        <f>Z21/Z20</f>
        <v>0.23109243697478993</v>
      </c>
    </row>
    <row r="23" spans="1:26" s="88" customFormat="1" ht="15.75" customHeight="1" x14ac:dyDescent="0.2">
      <c r="A23" s="860"/>
      <c r="B23" s="836"/>
      <c r="C23" s="836"/>
      <c r="E23" s="2421"/>
      <c r="F23" s="1230"/>
      <c r="G23" s="1230"/>
      <c r="H23" s="1230"/>
      <c r="I23" s="1230"/>
      <c r="J23" s="1230"/>
      <c r="K23" s="1230"/>
      <c r="L23" s="1230"/>
      <c r="M23" s="1230"/>
      <c r="N23" s="1230"/>
      <c r="O23" s="1230"/>
      <c r="P23" s="1230"/>
      <c r="Q23" s="1230"/>
      <c r="R23" s="2422"/>
      <c r="S23" s="2422"/>
      <c r="U23" s="462"/>
      <c r="V23" s="462"/>
      <c r="W23" s="462"/>
      <c r="X23" s="462"/>
      <c r="Y23" s="462"/>
      <c r="Z23" s="462"/>
    </row>
    <row r="24" spans="1:26" s="88" customFormat="1" ht="15.75" customHeight="1" x14ac:dyDescent="0.2">
      <c r="A24" s="860"/>
      <c r="B24" s="836"/>
      <c r="C24" s="836"/>
      <c r="E24" s="2421"/>
      <c r="F24" s="1230"/>
      <c r="G24" s="1230"/>
      <c r="H24" s="1230"/>
      <c r="I24" s="1230"/>
      <c r="J24" s="1230"/>
      <c r="K24" s="1230"/>
      <c r="L24" s="1230"/>
      <c r="M24" s="1230"/>
      <c r="U24" s="462"/>
      <c r="V24" s="462"/>
      <c r="W24" s="462"/>
      <c r="X24" s="462"/>
      <c r="Y24" s="462"/>
      <c r="Z24" s="462"/>
    </row>
    <row r="25" spans="1:26" s="88" customFormat="1" ht="15.75" customHeight="1" x14ac:dyDescent="0.2">
      <c r="A25" s="860"/>
      <c r="B25" s="836"/>
      <c r="C25" s="836"/>
      <c r="E25" s="2421"/>
      <c r="F25" s="1230"/>
      <c r="G25" s="1230"/>
      <c r="H25" s="1230"/>
      <c r="I25" s="1230"/>
      <c r="J25" s="1230"/>
      <c r="K25" s="1230"/>
      <c r="L25" s="1230"/>
      <c r="M25" s="1230"/>
    </row>
    <row r="26" spans="1:26" s="88" customFormat="1" ht="15.75" customHeight="1" x14ac:dyDescent="0.2">
      <c r="A26" s="860"/>
      <c r="B26" s="836"/>
      <c r="C26" s="836"/>
      <c r="E26" s="2421"/>
      <c r="F26" s="1230"/>
      <c r="G26" s="1230"/>
      <c r="H26" s="1230"/>
      <c r="I26" s="1230"/>
      <c r="J26" s="1230"/>
      <c r="K26" s="1230"/>
      <c r="L26" s="1230"/>
      <c r="M26" s="1230"/>
    </row>
    <row r="27" spans="1:26" s="88" customFormat="1" ht="15.75" customHeight="1" x14ac:dyDescent="0.2">
      <c r="A27" s="860"/>
      <c r="B27" s="836"/>
      <c r="C27" s="836"/>
      <c r="E27" s="2421"/>
      <c r="F27" s="1230"/>
      <c r="G27" s="1230"/>
      <c r="H27" s="1230"/>
      <c r="I27" s="1230"/>
      <c r="J27" s="1230"/>
      <c r="K27" s="1230"/>
      <c r="L27" s="1230"/>
      <c r="M27" s="1230"/>
    </row>
    <row r="28" spans="1:26" s="88" customFormat="1" ht="15.75" customHeight="1" x14ac:dyDescent="0.2">
      <c r="A28" s="860"/>
      <c r="B28" s="836"/>
      <c r="C28" s="836"/>
      <c r="E28" s="2421"/>
      <c r="F28" s="1230"/>
      <c r="G28" s="1230"/>
      <c r="H28" s="1230"/>
      <c r="I28" s="1230"/>
      <c r="J28" s="1230"/>
      <c r="K28" s="1230"/>
      <c r="L28" s="1230"/>
      <c r="M28" s="1230"/>
    </row>
    <row r="29" spans="1:26" s="88" customFormat="1" ht="15.75" customHeight="1" x14ac:dyDescent="0.2">
      <c r="A29" s="860"/>
      <c r="B29" s="836"/>
      <c r="C29" s="836"/>
      <c r="E29" s="2421"/>
      <c r="F29" s="1230"/>
      <c r="G29" s="1230"/>
      <c r="H29" s="1230"/>
      <c r="I29" s="1230"/>
      <c r="J29" s="1230"/>
      <c r="K29" s="1230"/>
      <c r="L29" s="1230"/>
      <c r="M29" s="1230"/>
    </row>
    <row r="30" spans="1:26" s="88" customFormat="1" ht="15.75" customHeight="1" x14ac:dyDescent="0.2">
      <c r="A30" s="860"/>
      <c r="B30" s="836"/>
      <c r="C30" s="836"/>
      <c r="E30" s="2421"/>
      <c r="F30" s="1230"/>
      <c r="G30" s="1230"/>
      <c r="H30" s="1230"/>
      <c r="I30" s="1230"/>
      <c r="J30" s="1230"/>
      <c r="K30" s="1230"/>
      <c r="L30" s="1230"/>
      <c r="M30" s="1230"/>
    </row>
    <row r="31" spans="1:26" s="88" customFormat="1" ht="15.75" customHeight="1" x14ac:dyDescent="0.2">
      <c r="A31" s="860"/>
      <c r="B31" s="836"/>
      <c r="C31" s="836"/>
      <c r="E31" s="2421"/>
      <c r="F31" s="1230"/>
      <c r="G31" s="1230"/>
      <c r="H31" s="1230"/>
      <c r="I31" s="1230"/>
      <c r="J31" s="1230"/>
      <c r="K31" s="1230"/>
      <c r="L31" s="1230"/>
      <c r="M31" s="1230"/>
    </row>
    <row r="32" spans="1:26" s="88" customFormat="1" ht="15.75" customHeight="1" x14ac:dyDescent="0.2">
      <c r="A32" s="860"/>
      <c r="B32" s="836"/>
      <c r="C32" s="836"/>
      <c r="E32" s="2421"/>
      <c r="F32" s="1230"/>
      <c r="G32" s="1230"/>
      <c r="H32" s="1230"/>
      <c r="I32" s="1230"/>
      <c r="J32" s="1230"/>
      <c r="K32" s="1230"/>
      <c r="L32" s="1230"/>
      <c r="M32" s="1230"/>
    </row>
    <row r="33" spans="1:22" s="88" customFormat="1" ht="15.75" customHeight="1" x14ac:dyDescent="0.2">
      <c r="A33" s="860"/>
      <c r="B33" s="836"/>
      <c r="C33" s="836"/>
      <c r="E33" s="2421"/>
      <c r="F33" s="1230"/>
      <c r="G33" s="1230"/>
      <c r="H33" s="1230"/>
      <c r="I33" s="1230"/>
      <c r="J33" s="1230"/>
      <c r="K33" s="1230"/>
      <c r="L33" s="1230"/>
      <c r="M33" s="1230"/>
    </row>
    <row r="34" spans="1:22" s="88" customFormat="1" ht="15.75" customHeight="1" x14ac:dyDescent="0.2">
      <c r="A34" s="860"/>
      <c r="B34" s="836"/>
      <c r="C34" s="836"/>
      <c r="E34" s="2421"/>
      <c r="F34" s="1230"/>
      <c r="G34" s="1230"/>
      <c r="H34" s="1230"/>
      <c r="I34" s="1230"/>
      <c r="J34" s="1230"/>
      <c r="K34" s="1230"/>
      <c r="L34" s="1230"/>
      <c r="M34" s="1230"/>
    </row>
    <row r="35" spans="1:22" s="88" customFormat="1" ht="15.75" customHeight="1" x14ac:dyDescent="0.2">
      <c r="A35" s="860"/>
      <c r="B35" s="836"/>
      <c r="C35" s="836"/>
      <c r="E35" s="2421"/>
      <c r="F35" s="1230"/>
      <c r="G35" s="1230"/>
      <c r="H35" s="1230"/>
      <c r="I35" s="1230"/>
      <c r="J35" s="1230"/>
      <c r="K35" s="1230"/>
      <c r="L35" s="1230"/>
      <c r="M35" s="1230"/>
    </row>
    <row r="36" spans="1:22" ht="11.25" customHeight="1" x14ac:dyDescent="0.2">
      <c r="D36" s="88"/>
      <c r="E36" s="2421"/>
      <c r="F36" s="1230"/>
      <c r="G36" s="1230"/>
      <c r="H36" s="1230"/>
      <c r="I36" s="1230"/>
      <c r="J36" s="1230"/>
      <c r="K36" s="2423"/>
      <c r="L36" s="2423"/>
      <c r="M36" s="2423"/>
    </row>
    <row r="37" spans="1:22" s="508" customFormat="1" ht="14.25" x14ac:dyDescent="0.2">
      <c r="A37" s="509"/>
      <c r="B37" s="509"/>
      <c r="C37" s="509"/>
      <c r="D37" s="285"/>
      <c r="E37" s="510"/>
      <c r="F37" s="859"/>
      <c r="G37" s="859"/>
      <c r="H37" s="859"/>
      <c r="I37" s="859"/>
      <c r="J37" s="859"/>
      <c r="K37" s="510"/>
      <c r="L37" s="510"/>
      <c r="M37" s="510"/>
      <c r="N37" s="510"/>
    </row>
    <row r="38" spans="1:22" s="508" customFormat="1" ht="14.25" x14ac:dyDescent="0.2">
      <c r="A38" s="509"/>
      <c r="B38" s="509"/>
      <c r="C38" s="509"/>
      <c r="D38" s="285"/>
      <c r="E38" s="510"/>
      <c r="F38" s="859"/>
      <c r="G38" s="859"/>
      <c r="H38" s="859"/>
      <c r="I38" s="859"/>
      <c r="J38" s="859"/>
      <c r="K38" s="510"/>
      <c r="L38" s="510"/>
      <c r="M38" s="510"/>
      <c r="N38" s="510"/>
    </row>
    <row r="39" spans="1:22" s="508" customFormat="1" ht="15" customHeight="1" x14ac:dyDescent="0.2">
      <c r="A39" s="509">
        <v>5</v>
      </c>
      <c r="B39" s="509" t="s">
        <v>52</v>
      </c>
      <c r="C39" s="509"/>
      <c r="D39" s="4603" t="s">
        <v>75</v>
      </c>
      <c r="E39" s="4604"/>
      <c r="F39" s="4604"/>
      <c r="G39" s="4604"/>
      <c r="H39" s="4604"/>
      <c r="I39" s="4604"/>
      <c r="J39" s="4604"/>
      <c r="K39" s="4604"/>
      <c r="L39" s="4604"/>
      <c r="M39" s="4604"/>
      <c r="N39" s="4604"/>
      <c r="O39" s="4604"/>
      <c r="P39" s="4604"/>
      <c r="Q39" s="4604"/>
      <c r="R39" s="4604"/>
      <c r="S39" s="4604"/>
      <c r="T39" s="4604"/>
      <c r="U39" s="4604"/>
      <c r="V39" s="4605"/>
    </row>
    <row r="40" spans="1:22" s="508" customFormat="1" ht="123.75" customHeight="1" x14ac:dyDescent="0.2">
      <c r="A40" s="546">
        <v>6</v>
      </c>
      <c r="B40" s="546" t="s">
        <v>54</v>
      </c>
      <c r="C40" s="546"/>
      <c r="D40" s="4621" t="s">
        <v>2185</v>
      </c>
      <c r="E40" s="4622"/>
      <c r="F40" s="4622"/>
      <c r="G40" s="4622"/>
      <c r="H40" s="4622"/>
      <c r="I40" s="4622"/>
      <c r="J40" s="4622"/>
      <c r="K40" s="4622"/>
      <c r="L40" s="4622"/>
      <c r="M40" s="4622"/>
      <c r="N40" s="4622"/>
      <c r="O40" s="4622"/>
      <c r="P40" s="4622"/>
      <c r="Q40" s="4622"/>
      <c r="R40" s="4622"/>
      <c r="S40" s="4622"/>
      <c r="T40" s="4622"/>
      <c r="U40" s="4622"/>
      <c r="V40" s="4623"/>
    </row>
    <row r="41" spans="1:22" s="508" customFormat="1" ht="14.25" customHeight="1" x14ac:dyDescent="0.2">
      <c r="A41" s="509">
        <v>7</v>
      </c>
      <c r="B41" s="509" t="s">
        <v>56</v>
      </c>
      <c r="C41" s="509"/>
      <c r="D41" s="4603" t="s">
        <v>76</v>
      </c>
      <c r="E41" s="4604"/>
      <c r="F41" s="4604"/>
      <c r="G41" s="4604"/>
      <c r="H41" s="4604"/>
      <c r="I41" s="4604"/>
      <c r="J41" s="4604"/>
      <c r="K41" s="4604"/>
      <c r="L41" s="4604"/>
      <c r="M41" s="4604"/>
      <c r="N41" s="4604"/>
      <c r="O41" s="4604"/>
      <c r="P41" s="4604"/>
      <c r="Q41" s="4604"/>
      <c r="R41" s="4604"/>
      <c r="S41" s="4604"/>
      <c r="T41" s="4604"/>
      <c r="U41" s="4604"/>
      <c r="V41" s="4605"/>
    </row>
    <row r="42" spans="1:22" s="508" customFormat="1" ht="15" customHeight="1" x14ac:dyDescent="0.2">
      <c r="A42" s="509"/>
    </row>
    <row r="43" spans="1:22" x14ac:dyDescent="0.2">
      <c r="A43" s="193"/>
    </row>
    <row r="44" spans="1:22" x14ac:dyDescent="0.2">
      <c r="A44" s="193"/>
    </row>
    <row r="46" spans="1:22" ht="12.75" x14ac:dyDescent="0.2">
      <c r="D46" s="72"/>
      <c r="E46" s="72"/>
      <c r="F46" s="916"/>
      <c r="G46" s="2400"/>
      <c r="H46" s="916"/>
      <c r="I46" s="916"/>
      <c r="J46" s="413"/>
      <c r="K46" s="88"/>
      <c r="L46" s="88"/>
      <c r="M46" s="88"/>
    </row>
    <row r="47" spans="1:22" x14ac:dyDescent="0.2">
      <c r="D47" s="71"/>
      <c r="E47" s="71"/>
      <c r="F47" s="312"/>
      <c r="G47" s="312"/>
      <c r="H47" s="312"/>
      <c r="I47" s="312"/>
      <c r="J47" s="4259"/>
      <c r="K47" s="4259"/>
      <c r="L47" s="4259"/>
      <c r="M47" s="4259"/>
    </row>
    <row r="48" spans="1:22" x14ac:dyDescent="0.2">
      <c r="D48" s="3118"/>
      <c r="E48" s="3352"/>
      <c r="F48" s="3353"/>
      <c r="G48" s="3353"/>
      <c r="H48" s="3353"/>
      <c r="I48" s="3353"/>
      <c r="J48" s="3353"/>
      <c r="K48" s="3353"/>
      <c r="L48" s="3353"/>
      <c r="M48" s="3353"/>
    </row>
    <row r="49" spans="4:16" x14ac:dyDescent="0.2">
      <c r="D49" s="3118"/>
      <c r="E49" s="3354"/>
      <c r="F49" s="3353"/>
      <c r="G49" s="3353"/>
      <c r="H49" s="3353"/>
      <c r="I49" s="3353"/>
      <c r="J49" s="3353"/>
      <c r="K49" s="3353"/>
      <c r="L49" s="3353"/>
      <c r="M49" s="3353"/>
    </row>
    <row r="50" spans="4:16" x14ac:dyDescent="0.2">
      <c r="D50" s="3118"/>
      <c r="E50" s="3353"/>
      <c r="F50" s="3353"/>
      <c r="G50" s="3353"/>
      <c r="H50" s="3353"/>
      <c r="I50" s="3353"/>
      <c r="J50" s="3353"/>
      <c r="K50" s="3353"/>
      <c r="L50" s="3353"/>
      <c r="M50" s="3353"/>
    </row>
    <row r="51" spans="4:16" x14ac:dyDescent="0.2">
      <c r="D51" s="95"/>
      <c r="E51" s="2425"/>
      <c r="F51" s="978"/>
      <c r="G51" s="978"/>
      <c r="H51" s="978"/>
      <c r="I51" s="978"/>
      <c r="J51" s="978"/>
      <c r="K51" s="978"/>
      <c r="L51" s="978"/>
      <c r="M51" s="978"/>
    </row>
    <row r="52" spans="4:16" x14ac:dyDescent="0.2">
      <c r="O52" s="2426"/>
      <c r="P52" s="2426"/>
    </row>
  </sheetData>
  <mergeCells count="7">
    <mergeCell ref="D41:V41"/>
    <mergeCell ref="D2:V2"/>
    <mergeCell ref="D3:V3"/>
    <mergeCell ref="D4:V4"/>
    <mergeCell ref="D5:V5"/>
    <mergeCell ref="D39:V39"/>
    <mergeCell ref="D40:V40"/>
  </mergeCells>
  <pageMargins left="0.74803149606299213" right="0.74803149606299213" top="0.98425196850393704" bottom="0.98425196850393704" header="0.51181102362204722" footer="0.51181102362204722"/>
  <pageSetup paperSize="9" scale="5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827BB-1345-48EE-B3CD-7DFA965ED5A2}">
  <sheetPr>
    <tabColor rgb="FF00FFFF"/>
    <pageSetUpPr fitToPage="1"/>
  </sheetPr>
  <dimension ref="A2:Z106"/>
  <sheetViews>
    <sheetView showGridLines="0" view="pageBreakPreview" topLeftCell="A37" zoomScaleNormal="100" zoomScaleSheetLayoutView="100" workbookViewId="0">
      <selection activeCell="B86" sqref="B86:Y107"/>
    </sheetView>
  </sheetViews>
  <sheetFormatPr defaultColWidth="9.140625" defaultRowHeight="12.75" x14ac:dyDescent="0.2"/>
  <cols>
    <col min="1" max="1" width="3.85546875" style="630" customWidth="1"/>
    <col min="2" max="2" width="14.42578125" style="631" customWidth="1"/>
    <col min="3" max="3" width="3.85546875" style="631" customWidth="1"/>
    <col min="4" max="4" width="25.140625" style="632" customWidth="1"/>
    <col min="5" max="21" width="9.140625" style="632" customWidth="1"/>
    <col min="22" max="23" width="9.140625" style="632"/>
    <col min="24" max="25" width="8.140625" style="632" customWidth="1"/>
    <col min="26" max="26" width="7.42578125" style="632" customWidth="1"/>
    <col min="27" max="16384" width="9.140625" style="632"/>
  </cols>
  <sheetData>
    <row r="2" spans="1:26" ht="12.75" customHeight="1" x14ac:dyDescent="0.2">
      <c r="A2" s="630">
        <v>1</v>
      </c>
      <c r="B2" s="630" t="s">
        <v>0</v>
      </c>
      <c r="C2" s="630">
        <v>21</v>
      </c>
      <c r="D2" s="4725" t="s">
        <v>651</v>
      </c>
      <c r="E2" s="4726"/>
      <c r="F2" s="4726"/>
      <c r="G2" s="4726"/>
      <c r="H2" s="4726"/>
      <c r="I2" s="4726"/>
      <c r="J2" s="4726"/>
      <c r="K2" s="4726"/>
      <c r="L2" s="4726"/>
      <c r="M2" s="4726"/>
      <c r="N2" s="4726"/>
      <c r="O2" s="4726"/>
      <c r="P2" s="4726"/>
      <c r="Q2" s="4726"/>
      <c r="R2" s="4726"/>
      <c r="S2" s="4726"/>
      <c r="T2" s="4726"/>
      <c r="U2" s="4726"/>
      <c r="V2" s="4726"/>
      <c r="W2" s="4726"/>
      <c r="X2" s="4727"/>
      <c r="Y2" s="721"/>
      <c r="Z2" s="721"/>
    </row>
    <row r="3" spans="1:26" ht="15" customHeight="1" x14ac:dyDescent="0.2">
      <c r="A3" s="630">
        <v>2</v>
      </c>
      <c r="B3" s="630" t="s">
        <v>2</v>
      </c>
      <c r="C3" s="630"/>
      <c r="D3" s="4725" t="s">
        <v>630</v>
      </c>
      <c r="E3" s="4726"/>
      <c r="F3" s="4726"/>
      <c r="G3" s="4726"/>
      <c r="H3" s="4726"/>
      <c r="I3" s="4726"/>
      <c r="J3" s="4726"/>
      <c r="K3" s="4726"/>
      <c r="L3" s="4726"/>
      <c r="M3" s="4726"/>
      <c r="N3" s="4726"/>
      <c r="O3" s="4726"/>
      <c r="P3" s="4726"/>
      <c r="Q3" s="4726"/>
      <c r="R3" s="4726"/>
      <c r="S3" s="4726"/>
      <c r="T3" s="4726"/>
      <c r="U3" s="4726"/>
      <c r="V3" s="4726"/>
      <c r="W3" s="4726"/>
      <c r="X3" s="4727"/>
      <c r="Y3" s="721"/>
      <c r="Z3" s="721"/>
    </row>
    <row r="4" spans="1:26" ht="12.75" customHeight="1" x14ac:dyDescent="0.2">
      <c r="A4" s="630">
        <v>3</v>
      </c>
      <c r="B4" s="630" t="s">
        <v>4</v>
      </c>
      <c r="C4" s="630"/>
      <c r="D4" s="4725" t="s">
        <v>2177</v>
      </c>
      <c r="E4" s="4726"/>
      <c r="F4" s="4726"/>
      <c r="G4" s="4726"/>
      <c r="H4" s="4726"/>
      <c r="I4" s="4726"/>
      <c r="J4" s="4726"/>
      <c r="K4" s="4726"/>
      <c r="L4" s="4726"/>
      <c r="M4" s="4726"/>
      <c r="N4" s="4726"/>
      <c r="O4" s="4726"/>
      <c r="P4" s="4726"/>
      <c r="Q4" s="4726"/>
      <c r="R4" s="4726"/>
      <c r="S4" s="4726"/>
      <c r="T4" s="4726"/>
      <c r="U4" s="4726"/>
      <c r="V4" s="4726"/>
      <c r="W4" s="4726"/>
      <c r="X4" s="4727"/>
      <c r="Y4" s="721"/>
      <c r="Z4" s="721"/>
    </row>
    <row r="5" spans="1:26" ht="12.75" customHeight="1" x14ac:dyDescent="0.2">
      <c r="B5" s="630"/>
      <c r="C5" s="630"/>
      <c r="D5" s="4725"/>
      <c r="E5" s="4726"/>
      <c r="F5" s="4726"/>
      <c r="G5" s="4726"/>
      <c r="H5" s="4726"/>
      <c r="I5" s="4726"/>
      <c r="J5" s="4726"/>
      <c r="K5" s="4726"/>
      <c r="L5" s="4726"/>
      <c r="M5" s="4726"/>
      <c r="N5" s="4726"/>
      <c r="O5" s="4726"/>
      <c r="P5" s="4726"/>
      <c r="Q5" s="4726"/>
      <c r="R5" s="4726"/>
      <c r="S5" s="4726"/>
      <c r="T5" s="4726"/>
      <c r="U5" s="4726"/>
      <c r="V5" s="4726"/>
      <c r="W5" s="4726"/>
      <c r="X5" s="4727"/>
      <c r="Y5" s="721"/>
      <c r="Z5" s="721"/>
    </row>
    <row r="6" spans="1:26" ht="12.75" customHeight="1" x14ac:dyDescent="0.2">
      <c r="B6" s="630"/>
      <c r="C6" s="630"/>
      <c r="D6" s="721"/>
      <c r="E6" s="721"/>
      <c r="F6" s="721"/>
      <c r="G6" s="721"/>
      <c r="H6" s="721"/>
      <c r="I6" s="721"/>
      <c r="J6" s="721"/>
      <c r="K6" s="721"/>
      <c r="L6" s="721"/>
      <c r="M6" s="721"/>
      <c r="N6" s="721"/>
      <c r="O6" s="721"/>
      <c r="P6" s="721"/>
      <c r="Q6" s="721"/>
      <c r="R6" s="721"/>
      <c r="S6" s="721"/>
      <c r="T6" s="721"/>
      <c r="U6" s="721"/>
      <c r="V6" s="721"/>
      <c r="W6" s="721"/>
    </row>
    <row r="7" spans="1:26" ht="15" x14ac:dyDescent="0.25">
      <c r="A7" s="630">
        <v>4</v>
      </c>
      <c r="B7" s="630" t="s">
        <v>6</v>
      </c>
      <c r="C7" s="630"/>
      <c r="L7" s="15"/>
    </row>
    <row r="8" spans="1:26" ht="15" x14ac:dyDescent="0.25">
      <c r="D8" s="722" t="s">
        <v>80</v>
      </c>
      <c r="E8" s="722" t="s">
        <v>651</v>
      </c>
      <c r="F8" s="722"/>
      <c r="G8" s="722"/>
      <c r="H8" s="722"/>
      <c r="I8" s="15"/>
      <c r="J8" s="15"/>
      <c r="K8" s="15"/>
      <c r="L8" s="15"/>
      <c r="O8" s="723"/>
    </row>
    <row r="9" spans="1:26" x14ac:dyDescent="0.2">
      <c r="D9" s="3902"/>
      <c r="E9" s="724">
        <v>2001</v>
      </c>
      <c r="F9" s="724">
        <v>2002</v>
      </c>
      <c r="G9" s="724">
        <v>2003</v>
      </c>
      <c r="H9" s="724">
        <v>2004</v>
      </c>
      <c r="I9" s="724">
        <v>2005</v>
      </c>
      <c r="J9" s="724">
        <v>2006</v>
      </c>
      <c r="K9" s="725">
        <v>2007</v>
      </c>
      <c r="L9" s="724">
        <v>2008</v>
      </c>
      <c r="M9" s="724">
        <v>2009</v>
      </c>
      <c r="N9" s="724">
        <v>2010</v>
      </c>
      <c r="O9" s="724">
        <v>2011</v>
      </c>
      <c r="P9" s="724">
        <v>2012</v>
      </c>
      <c r="Q9" s="724">
        <v>2013</v>
      </c>
      <c r="R9" s="724">
        <v>2014</v>
      </c>
      <c r="S9" s="724">
        <v>2015</v>
      </c>
      <c r="T9" s="724">
        <v>2016</v>
      </c>
      <c r="U9" s="724">
        <v>2017</v>
      </c>
      <c r="V9" s="724">
        <v>2018</v>
      </c>
      <c r="W9" s="724">
        <v>2019</v>
      </c>
      <c r="X9" s="724">
        <v>2020</v>
      </c>
      <c r="Y9" s="724">
        <v>2021</v>
      </c>
      <c r="Z9" s="724">
        <v>2022</v>
      </c>
    </row>
    <row r="10" spans="1:26" ht="13.35" customHeight="1" x14ac:dyDescent="0.2">
      <c r="D10" s="652" t="s">
        <v>652</v>
      </c>
      <c r="E10" s="726">
        <v>25.370740413489695</v>
      </c>
      <c r="F10" s="726">
        <v>27.18050850150826</v>
      </c>
      <c r="G10" s="726">
        <v>27.11576670202453</v>
      </c>
      <c r="H10" s="726">
        <v>24.7</v>
      </c>
      <c r="I10" s="726">
        <v>23.8</v>
      </c>
      <c r="J10" s="726">
        <v>22.6</v>
      </c>
      <c r="K10" s="726">
        <v>22.3</v>
      </c>
      <c r="L10" s="726">
        <v>22.5</v>
      </c>
      <c r="M10" s="726">
        <v>23.7</v>
      </c>
      <c r="N10" s="726">
        <v>24.9</v>
      </c>
      <c r="O10" s="726">
        <v>24.8</v>
      </c>
      <c r="P10" s="726">
        <v>24.9</v>
      </c>
      <c r="Q10" s="726">
        <v>24.7</v>
      </c>
      <c r="R10" s="726">
        <v>25.1</v>
      </c>
      <c r="S10" s="726">
        <v>25.3</v>
      </c>
      <c r="T10" s="726">
        <v>26.7</v>
      </c>
      <c r="U10" s="726">
        <v>27.5</v>
      </c>
      <c r="V10" s="726">
        <v>27.1</v>
      </c>
      <c r="W10" s="726">
        <v>28.7</v>
      </c>
      <c r="X10" s="726">
        <v>29.2</v>
      </c>
      <c r="Y10" s="726">
        <v>34.299999999999997</v>
      </c>
      <c r="Z10" s="726">
        <v>33.509154273274703</v>
      </c>
    </row>
    <row r="11" spans="1:26" x14ac:dyDescent="0.2">
      <c r="D11" s="727" t="s">
        <v>653</v>
      </c>
      <c r="E11" s="728">
        <v>36.109673419085098</v>
      </c>
      <c r="F11" s="728">
        <v>38.371714052141307</v>
      </c>
      <c r="G11" s="728">
        <v>39.851131873400583</v>
      </c>
      <c r="H11" s="728">
        <v>39.037150298905452</v>
      </c>
      <c r="I11" s="728">
        <v>36.915376875247134</v>
      </c>
      <c r="J11" s="728">
        <v>35.025767928507051</v>
      </c>
      <c r="K11" s="728">
        <v>35.29933054501911</v>
      </c>
      <c r="L11" s="728">
        <v>29.660461123966297</v>
      </c>
      <c r="M11" s="728">
        <v>32.4</v>
      </c>
      <c r="N11" s="728">
        <v>35.4</v>
      </c>
      <c r="O11" s="728">
        <v>35.6</v>
      </c>
      <c r="P11" s="728">
        <v>35.6</v>
      </c>
      <c r="Q11" s="728">
        <v>35.299999999999997</v>
      </c>
      <c r="R11" s="728">
        <v>35.299999999999997</v>
      </c>
      <c r="S11" s="728">
        <v>34.799999999999997</v>
      </c>
      <c r="T11" s="728">
        <v>36.1</v>
      </c>
      <c r="U11" s="728">
        <v>36.5</v>
      </c>
      <c r="V11" s="729">
        <v>37</v>
      </c>
      <c r="W11" s="729">
        <v>38.5</v>
      </c>
      <c r="X11" s="729">
        <v>41.8</v>
      </c>
      <c r="Y11" s="729">
        <v>45.124712751837073</v>
      </c>
      <c r="Z11" s="729">
        <v>43.825178516974148</v>
      </c>
    </row>
    <row r="12" spans="1:26" x14ac:dyDescent="0.2">
      <c r="D12" s="637"/>
      <c r="E12" s="730"/>
      <c r="F12" s="731"/>
      <c r="G12" s="730"/>
      <c r="H12" s="730"/>
      <c r="I12" s="732"/>
      <c r="J12" s="732"/>
      <c r="K12" s="733"/>
      <c r="L12" s="3903"/>
      <c r="M12" s="3903"/>
      <c r="N12" s="733"/>
    </row>
    <row r="13" spans="1:26" x14ac:dyDescent="0.2">
      <c r="B13" s="630"/>
      <c r="C13" s="630"/>
      <c r="D13" s="636" t="s">
        <v>267</v>
      </c>
      <c r="E13" s="636" t="s">
        <v>654</v>
      </c>
      <c r="F13" s="731"/>
      <c r="G13" s="730"/>
      <c r="H13" s="734"/>
      <c r="I13" s="734"/>
      <c r="J13" s="734"/>
      <c r="K13" s="734"/>
      <c r="L13" s="730"/>
      <c r="M13" s="735"/>
      <c r="N13" s="735"/>
      <c r="O13" s="723"/>
    </row>
    <row r="14" spans="1:26" x14ac:dyDescent="0.2">
      <c r="D14" s="3902"/>
      <c r="E14" s="724">
        <v>2001</v>
      </c>
      <c r="F14" s="724">
        <v>2002</v>
      </c>
      <c r="G14" s="724">
        <v>2003</v>
      </c>
      <c r="H14" s="724">
        <v>2004</v>
      </c>
      <c r="I14" s="724">
        <v>2005</v>
      </c>
      <c r="J14" s="724">
        <v>2006</v>
      </c>
      <c r="K14" s="725">
        <v>2007</v>
      </c>
      <c r="L14" s="724">
        <v>2008</v>
      </c>
      <c r="M14" s="724">
        <v>2009</v>
      </c>
      <c r="N14" s="724">
        <v>2010</v>
      </c>
      <c r="O14" s="724">
        <v>2011</v>
      </c>
      <c r="P14" s="724">
        <v>2012</v>
      </c>
      <c r="Q14" s="724">
        <v>2013</v>
      </c>
      <c r="R14" s="724">
        <v>2014</v>
      </c>
      <c r="S14" s="724">
        <v>2015</v>
      </c>
      <c r="T14" s="724">
        <v>2016</v>
      </c>
      <c r="U14" s="724">
        <v>2017</v>
      </c>
      <c r="V14" s="724">
        <v>2018</v>
      </c>
      <c r="W14" s="724">
        <v>2019</v>
      </c>
      <c r="X14" s="724">
        <v>2020</v>
      </c>
      <c r="Y14" s="724">
        <v>2021</v>
      </c>
      <c r="Z14" s="724">
        <v>2022</v>
      </c>
    </row>
    <row r="15" spans="1:26" x14ac:dyDescent="0.2">
      <c r="D15" s="636" t="s">
        <v>655</v>
      </c>
      <c r="E15" s="736"/>
      <c r="F15" s="737"/>
      <c r="G15" s="736"/>
      <c r="H15" s="736"/>
      <c r="I15" s="738"/>
      <c r="J15" s="738"/>
      <c r="K15" s="739"/>
      <c r="L15" s="738"/>
      <c r="M15" s="738"/>
      <c r="N15" s="738"/>
      <c r="O15" s="738"/>
      <c r="P15" s="738"/>
      <c r="Q15" s="738"/>
      <c r="R15" s="738"/>
      <c r="S15" s="738"/>
      <c r="T15" s="738"/>
      <c r="U15" s="738"/>
      <c r="V15" s="738"/>
      <c r="W15" s="738"/>
      <c r="X15" s="738"/>
      <c r="Y15" s="726"/>
      <c r="Z15" s="726"/>
    </row>
    <row r="16" spans="1:26" x14ac:dyDescent="0.2">
      <c r="D16" s="637" t="s">
        <v>284</v>
      </c>
      <c r="E16" s="726">
        <v>20.421721305015698</v>
      </c>
      <c r="F16" s="726">
        <v>21.440093725358981</v>
      </c>
      <c r="G16" s="726">
        <v>21.870334912843795</v>
      </c>
      <c r="H16" s="726">
        <v>20.119035393924058</v>
      </c>
      <c r="I16" s="726">
        <v>20.388248729984809</v>
      </c>
      <c r="J16" s="726">
        <v>17.592022016917625</v>
      </c>
      <c r="K16" s="726">
        <v>18.774264382034378</v>
      </c>
      <c r="L16" s="726">
        <v>17.867740516716722</v>
      </c>
      <c r="M16" s="726">
        <v>20.399999999999999</v>
      </c>
      <c r="N16" s="726">
        <v>21.4</v>
      </c>
      <c r="O16" s="726">
        <v>21.8</v>
      </c>
      <c r="P16" s="726">
        <v>23.4</v>
      </c>
      <c r="Q16" s="726">
        <v>22.7</v>
      </c>
      <c r="R16" s="726">
        <v>22.7</v>
      </c>
      <c r="S16" s="726">
        <v>20.67328519543479</v>
      </c>
      <c r="T16" s="726">
        <v>21.3</v>
      </c>
      <c r="U16" s="726">
        <v>20.9</v>
      </c>
      <c r="V16" s="726">
        <v>20.009115674995527</v>
      </c>
      <c r="W16" s="726">
        <v>20.588852399940947</v>
      </c>
      <c r="X16" s="726">
        <v>20.5</v>
      </c>
      <c r="Y16" s="726">
        <v>26</v>
      </c>
      <c r="Z16" s="726">
        <v>24.910796983587414</v>
      </c>
    </row>
    <row r="17" spans="1:26" x14ac:dyDescent="0.2">
      <c r="D17" s="637" t="s">
        <v>276</v>
      </c>
      <c r="E17" s="726">
        <v>30.017800711599207</v>
      </c>
      <c r="F17" s="726">
        <v>29.269471621251874</v>
      </c>
      <c r="G17" s="726">
        <v>31.930099963409038</v>
      </c>
      <c r="H17" s="726">
        <v>31.845863621412363</v>
      </c>
      <c r="I17" s="726">
        <v>28.287244551431247</v>
      </c>
      <c r="J17" s="726">
        <v>26.537371075316418</v>
      </c>
      <c r="K17" s="726">
        <v>26.78131321465133</v>
      </c>
      <c r="L17" s="726">
        <v>26.301489319020988</v>
      </c>
      <c r="M17" s="726">
        <v>27.4</v>
      </c>
      <c r="N17" s="726">
        <v>27</v>
      </c>
      <c r="O17" s="726">
        <v>27.2</v>
      </c>
      <c r="P17" s="726">
        <v>28.7</v>
      </c>
      <c r="Q17" s="726">
        <v>29.6</v>
      </c>
      <c r="R17" s="726">
        <v>29.6</v>
      </c>
      <c r="S17" s="726">
        <v>28.843039967611343</v>
      </c>
      <c r="T17" s="726">
        <v>28.4</v>
      </c>
      <c r="U17" s="726">
        <v>34.299999999999997</v>
      </c>
      <c r="V17" s="726">
        <v>35.386621288037183</v>
      </c>
      <c r="W17" s="726">
        <v>37.224911910228727</v>
      </c>
      <c r="X17" s="726">
        <v>43.1</v>
      </c>
      <c r="Y17" s="726">
        <v>45.8</v>
      </c>
      <c r="Z17" s="726">
        <v>42.810842835375922</v>
      </c>
    </row>
    <row r="18" spans="1:26" x14ac:dyDescent="0.2">
      <c r="D18" s="652" t="s">
        <v>283</v>
      </c>
      <c r="E18" s="726">
        <v>21.33447654957601</v>
      </c>
      <c r="F18" s="726">
        <v>22.144211213283548</v>
      </c>
      <c r="G18" s="726">
        <v>23.168922495717922</v>
      </c>
      <c r="H18" s="726">
        <v>19.740232744233531</v>
      </c>
      <c r="I18" s="726">
        <v>23.239900584024596</v>
      </c>
      <c r="J18" s="726">
        <v>22.165417560034872</v>
      </c>
      <c r="K18" s="726">
        <v>22.810249280613967</v>
      </c>
      <c r="L18" s="726">
        <v>22.833632476514122</v>
      </c>
      <c r="M18" s="726">
        <v>26.6</v>
      </c>
      <c r="N18" s="726">
        <v>26.4</v>
      </c>
      <c r="O18" s="726">
        <v>28.4</v>
      </c>
      <c r="P18" s="726">
        <v>28.3</v>
      </c>
      <c r="Q18" s="726">
        <v>27.9</v>
      </c>
      <c r="R18" s="726">
        <v>29.9</v>
      </c>
      <c r="S18" s="726">
        <v>31.96754499323718</v>
      </c>
      <c r="T18" s="726">
        <v>29.2</v>
      </c>
      <c r="U18" s="726">
        <v>29.5</v>
      </c>
      <c r="V18" s="726">
        <v>27.629968977781783</v>
      </c>
      <c r="W18" s="726">
        <v>28.021436104843715</v>
      </c>
      <c r="X18" s="726">
        <v>26.1</v>
      </c>
      <c r="Y18" s="726">
        <v>25.3</v>
      </c>
      <c r="Z18" s="726">
        <v>24.307277457859204</v>
      </c>
    </row>
    <row r="19" spans="1:26" x14ac:dyDescent="0.2">
      <c r="D19" s="652" t="s">
        <v>277</v>
      </c>
      <c r="E19" s="726">
        <v>23.880766105909334</v>
      </c>
      <c r="F19" s="726">
        <v>26.21938576147399</v>
      </c>
      <c r="G19" s="726">
        <v>25.513622917857496</v>
      </c>
      <c r="H19" s="726">
        <v>23.855804532201113</v>
      </c>
      <c r="I19" s="726">
        <v>27.188403482298479</v>
      </c>
      <c r="J19" s="726">
        <v>23.653566959737816</v>
      </c>
      <c r="K19" s="726">
        <v>22.484505475660139</v>
      </c>
      <c r="L19" s="726">
        <v>23.645774949514102</v>
      </c>
      <c r="M19" s="726">
        <v>26</v>
      </c>
      <c r="N19" s="726">
        <v>27.8</v>
      </c>
      <c r="O19" s="726">
        <v>27.5</v>
      </c>
      <c r="P19" s="726">
        <v>32.200000000000003</v>
      </c>
      <c r="Q19" s="726">
        <v>32.700000000000003</v>
      </c>
      <c r="R19" s="726">
        <v>34.1</v>
      </c>
      <c r="S19" s="726">
        <v>30.793872941347146</v>
      </c>
      <c r="T19" s="726">
        <v>33.700000000000003</v>
      </c>
      <c r="U19" s="726">
        <v>33.6</v>
      </c>
      <c r="V19" s="726">
        <v>34.111971672220704</v>
      </c>
      <c r="W19" s="726">
        <v>34.690597512827672</v>
      </c>
      <c r="X19" s="726">
        <v>33.799999999999997</v>
      </c>
      <c r="Y19" s="726">
        <v>36.700000000000003</v>
      </c>
      <c r="Z19" s="726">
        <v>32.98099969575901</v>
      </c>
    </row>
    <row r="20" spans="1:26" x14ac:dyDescent="0.2">
      <c r="D20" s="652" t="s">
        <v>641</v>
      </c>
      <c r="E20" s="726">
        <v>22.527274871789412</v>
      </c>
      <c r="F20" s="726">
        <v>27.168131696003272</v>
      </c>
      <c r="G20" s="726">
        <v>25.906291478652999</v>
      </c>
      <c r="H20" s="726">
        <v>23.345840723796108</v>
      </c>
      <c r="I20" s="726">
        <v>24.355061594576114</v>
      </c>
      <c r="J20" s="726">
        <v>20.562587050497136</v>
      </c>
      <c r="K20" s="726">
        <v>22.43773479970644</v>
      </c>
      <c r="L20" s="726">
        <v>21.658956111840201</v>
      </c>
      <c r="M20" s="726">
        <v>19.600000000000001</v>
      </c>
      <c r="N20" s="726">
        <v>19.7</v>
      </c>
      <c r="O20" s="726">
        <v>19.3</v>
      </c>
      <c r="P20" s="726">
        <v>20.399999999999999</v>
      </c>
      <c r="Q20" s="726">
        <v>20.8</v>
      </c>
      <c r="R20" s="726">
        <v>22.3</v>
      </c>
      <c r="S20" s="726">
        <v>21.252057747888546</v>
      </c>
      <c r="T20" s="726">
        <v>23.3</v>
      </c>
      <c r="U20" s="726">
        <v>24.6</v>
      </c>
      <c r="V20" s="726">
        <v>23.210998175217526</v>
      </c>
      <c r="W20" s="726">
        <v>25.538562926091018</v>
      </c>
      <c r="X20" s="726">
        <v>25.8</v>
      </c>
      <c r="Y20" s="726">
        <v>31.1</v>
      </c>
      <c r="Z20" s="726">
        <v>31.961234268268701</v>
      </c>
    </row>
    <row r="21" spans="1:26" x14ac:dyDescent="0.2">
      <c r="D21" s="637" t="s">
        <v>282</v>
      </c>
      <c r="E21" s="726">
        <v>26.728532449998038</v>
      </c>
      <c r="F21" s="726">
        <v>28.329689187703337</v>
      </c>
      <c r="G21" s="726">
        <v>29.074987774980148</v>
      </c>
      <c r="H21" s="726">
        <v>26.085838037708601</v>
      </c>
      <c r="I21" s="726">
        <v>24.868350437718238</v>
      </c>
      <c r="J21" s="726">
        <v>28.110135035906058</v>
      </c>
      <c r="K21" s="726">
        <v>26.094088050294488</v>
      </c>
      <c r="L21" s="726">
        <v>24.294980772399384</v>
      </c>
      <c r="M21" s="726">
        <v>27.2</v>
      </c>
      <c r="N21" s="726">
        <v>26.5</v>
      </c>
      <c r="O21" s="726">
        <v>26.2</v>
      </c>
      <c r="P21" s="726">
        <v>25.1</v>
      </c>
      <c r="Q21" s="726">
        <v>26.7</v>
      </c>
      <c r="R21" s="726">
        <v>26.4</v>
      </c>
      <c r="S21" s="726">
        <v>25.708502684373634</v>
      </c>
      <c r="T21" s="726">
        <v>28.1</v>
      </c>
      <c r="U21" s="726">
        <v>26</v>
      </c>
      <c r="V21" s="726">
        <v>26.652831222751395</v>
      </c>
      <c r="W21" s="726">
        <v>29.69025504991474</v>
      </c>
      <c r="X21" s="726">
        <v>29.6</v>
      </c>
      <c r="Y21" s="726">
        <v>34.200000000000003</v>
      </c>
      <c r="Z21" s="726">
        <v>34.661550873730754</v>
      </c>
    </row>
    <row r="22" spans="1:26" x14ac:dyDescent="0.2">
      <c r="D22" s="637" t="s">
        <v>278</v>
      </c>
      <c r="E22" s="726">
        <v>27.621300603565491</v>
      </c>
      <c r="F22" s="726">
        <v>28.295779386048459</v>
      </c>
      <c r="G22" s="726">
        <v>28.078724755625377</v>
      </c>
      <c r="H22" s="726">
        <v>25.546043968628069</v>
      </c>
      <c r="I22" s="726">
        <v>21.485874862568384</v>
      </c>
      <c r="J22" s="726">
        <v>21.355758472246094</v>
      </c>
      <c r="K22" s="726">
        <v>20.15830974298839</v>
      </c>
      <c r="L22" s="726">
        <v>21.512580043616502</v>
      </c>
      <c r="M22" s="726">
        <v>23.9</v>
      </c>
      <c r="N22" s="726">
        <v>27.1</v>
      </c>
      <c r="O22" s="726">
        <v>27.1</v>
      </c>
      <c r="P22" s="726">
        <v>24.9</v>
      </c>
      <c r="Q22" s="726">
        <v>24.9</v>
      </c>
      <c r="R22" s="726">
        <v>24.9</v>
      </c>
      <c r="S22" s="726">
        <v>27.847666210831555</v>
      </c>
      <c r="T22" s="726">
        <v>29.3</v>
      </c>
      <c r="U22" s="726">
        <v>29.6</v>
      </c>
      <c r="V22" s="726">
        <v>29.252663482162433</v>
      </c>
      <c r="W22" s="726">
        <v>30.473907105701308</v>
      </c>
      <c r="X22" s="726">
        <v>31.6</v>
      </c>
      <c r="Y22" s="726">
        <v>35.799999999999997</v>
      </c>
      <c r="Z22" s="726">
        <v>34.678528393079638</v>
      </c>
    </row>
    <row r="23" spans="1:26" x14ac:dyDescent="0.2">
      <c r="D23" s="652" t="s">
        <v>281</v>
      </c>
      <c r="E23" s="726">
        <v>20.052437427817154</v>
      </c>
      <c r="F23" s="726">
        <v>22.010400221283046</v>
      </c>
      <c r="G23" s="726">
        <v>20.642756006316414</v>
      </c>
      <c r="H23" s="726">
        <v>19.269546843422695</v>
      </c>
      <c r="I23" s="726">
        <v>21.038404472868422</v>
      </c>
      <c r="J23" s="726">
        <v>23.526339542152407</v>
      </c>
      <c r="K23" s="726">
        <v>19.619436561664685</v>
      </c>
      <c r="L23" s="726">
        <v>23.395494907430482</v>
      </c>
      <c r="M23" s="726">
        <v>25.5</v>
      </c>
      <c r="N23" s="726">
        <v>28.2</v>
      </c>
      <c r="O23" s="726">
        <v>29.2</v>
      </c>
      <c r="P23" s="726">
        <v>29.5</v>
      </c>
      <c r="Q23" s="726">
        <v>28</v>
      </c>
      <c r="R23" s="726">
        <v>29</v>
      </c>
      <c r="S23" s="726">
        <v>26.896005477495059</v>
      </c>
      <c r="T23" s="726">
        <v>30</v>
      </c>
      <c r="U23" s="726">
        <v>30.9</v>
      </c>
      <c r="V23" s="726">
        <v>32.530004808037255</v>
      </c>
      <c r="W23" s="726">
        <v>34.43947485008691</v>
      </c>
      <c r="X23" s="726">
        <v>27.9</v>
      </c>
      <c r="Y23" s="726">
        <v>36.5</v>
      </c>
      <c r="Z23" s="726">
        <v>36.465484550787515</v>
      </c>
    </row>
    <row r="24" spans="1:26" x14ac:dyDescent="0.2">
      <c r="D24" s="650" t="s">
        <v>280</v>
      </c>
      <c r="E24" s="728">
        <v>31.835921346879857</v>
      </c>
      <c r="F24" s="728">
        <v>35.542727787459761</v>
      </c>
      <c r="G24" s="728">
        <v>36.106334167147836</v>
      </c>
      <c r="H24" s="728">
        <v>28.976578220133298</v>
      </c>
      <c r="I24" s="728">
        <v>30.323285024804029</v>
      </c>
      <c r="J24" s="728">
        <v>29.615023093936287</v>
      </c>
      <c r="K24" s="728">
        <v>29.522431411776463</v>
      </c>
      <c r="L24" s="728">
        <v>29.720413064372174</v>
      </c>
      <c r="M24" s="728">
        <v>25.9</v>
      </c>
      <c r="N24" s="728">
        <v>22.5</v>
      </c>
      <c r="O24" s="728">
        <v>19.600000000000001</v>
      </c>
      <c r="P24" s="728">
        <v>20.5</v>
      </c>
      <c r="Q24" s="728">
        <v>18</v>
      </c>
      <c r="R24" s="728">
        <v>16.5</v>
      </c>
      <c r="S24" s="728">
        <v>19.399380393630334</v>
      </c>
      <c r="T24" s="728">
        <v>20</v>
      </c>
      <c r="U24" s="728">
        <v>20.3</v>
      </c>
      <c r="V24" s="728">
        <v>18.678378850991969</v>
      </c>
      <c r="W24" s="728">
        <v>20.856291988597661</v>
      </c>
      <c r="X24" s="728">
        <v>24.9</v>
      </c>
      <c r="Y24" s="728">
        <v>31.5</v>
      </c>
      <c r="Z24" s="728">
        <v>33.744485077239425</v>
      </c>
    </row>
    <row r="25" spans="1:26" x14ac:dyDescent="0.2">
      <c r="D25" s="740" t="s">
        <v>103</v>
      </c>
      <c r="E25" s="741">
        <v>25.370740413489667</v>
      </c>
      <c r="F25" s="741">
        <v>27.180508501508349</v>
      </c>
      <c r="G25" s="741">
        <v>27.11576670202464</v>
      </c>
      <c r="H25" s="741">
        <v>24.672790326915823</v>
      </c>
      <c r="I25" s="741">
        <v>23.839990494289875</v>
      </c>
      <c r="J25" s="741">
        <v>22.615760539777636</v>
      </c>
      <c r="K25" s="741">
        <v>22.326519139844482</v>
      </c>
      <c r="L25" s="741">
        <v>22.548772782676849</v>
      </c>
      <c r="M25" s="741">
        <v>23.7</v>
      </c>
      <c r="N25" s="741">
        <v>24.9</v>
      </c>
      <c r="O25" s="741">
        <v>24.8</v>
      </c>
      <c r="P25" s="741">
        <v>24.9</v>
      </c>
      <c r="Q25" s="741">
        <v>24.7</v>
      </c>
      <c r="R25" s="741">
        <v>25.1</v>
      </c>
      <c r="S25" s="741">
        <v>25.345096563891712</v>
      </c>
      <c r="T25" s="741">
        <v>26.7</v>
      </c>
      <c r="U25" s="741">
        <v>27.5</v>
      </c>
      <c r="V25" s="741">
        <v>27.128272766190562</v>
      </c>
      <c r="W25" s="741">
        <v>28.693050573151289</v>
      </c>
      <c r="X25" s="741">
        <v>29.4</v>
      </c>
      <c r="Y25" s="741">
        <v>34.299999999999997</v>
      </c>
      <c r="Z25" s="741">
        <v>33.509154273274518</v>
      </c>
    </row>
    <row r="26" spans="1:26" x14ac:dyDescent="0.2">
      <c r="D26" s="3901"/>
      <c r="E26" s="3900"/>
      <c r="F26" s="3900"/>
      <c r="G26" s="3900"/>
      <c r="H26" s="3900"/>
      <c r="I26" s="3900"/>
      <c r="J26" s="3900"/>
      <c r="K26" s="3900"/>
      <c r="L26" s="742"/>
      <c r="M26" s="742"/>
      <c r="N26" s="742"/>
      <c r="O26" s="742"/>
      <c r="P26" s="743"/>
    </row>
    <row r="27" spans="1:26" s="751" customFormat="1" x14ac:dyDescent="0.2">
      <c r="A27" s="668"/>
      <c r="B27" s="669"/>
      <c r="C27" s="669"/>
      <c r="D27" s="744" t="s">
        <v>656</v>
      </c>
      <c r="E27" s="744" t="s">
        <v>657</v>
      </c>
      <c r="F27" s="745"/>
      <c r="G27" s="746"/>
      <c r="H27" s="746"/>
      <c r="I27" s="747"/>
      <c r="J27" s="748"/>
      <c r="K27" s="748"/>
      <c r="L27" s="748"/>
      <c r="M27" s="748"/>
      <c r="N27" s="748"/>
      <c r="O27" s="749"/>
      <c r="P27" s="748"/>
      <c r="Q27" s="750"/>
      <c r="R27" s="750"/>
      <c r="S27" s="750"/>
      <c r="T27" s="750"/>
      <c r="U27" s="750"/>
    </row>
    <row r="28" spans="1:26" ht="12.75" customHeight="1" x14ac:dyDescent="0.2">
      <c r="D28" s="656"/>
      <c r="E28" s="752">
        <v>2001</v>
      </c>
      <c r="F28" s="752">
        <v>2002</v>
      </c>
      <c r="G28" s="752">
        <v>2003</v>
      </c>
      <c r="H28" s="752">
        <v>2004</v>
      </c>
      <c r="I28" s="752">
        <v>2005</v>
      </c>
      <c r="J28" s="752">
        <v>2006</v>
      </c>
      <c r="K28" s="752">
        <v>2007</v>
      </c>
      <c r="L28" s="753">
        <v>2008</v>
      </c>
      <c r="M28" s="753">
        <v>2009</v>
      </c>
      <c r="N28" s="753">
        <v>2010</v>
      </c>
      <c r="O28" s="753">
        <v>2011</v>
      </c>
      <c r="P28" s="753">
        <v>2012</v>
      </c>
      <c r="Q28" s="753">
        <v>2013</v>
      </c>
      <c r="R28" s="753">
        <v>2014</v>
      </c>
      <c r="S28" s="753">
        <v>2015</v>
      </c>
      <c r="T28" s="753">
        <v>2016</v>
      </c>
      <c r="U28" s="753">
        <v>2017</v>
      </c>
      <c r="V28" s="754">
        <v>2018</v>
      </c>
      <c r="W28" s="754">
        <v>2019</v>
      </c>
      <c r="X28" s="754">
        <v>2020</v>
      </c>
      <c r="Y28" s="754">
        <v>2021</v>
      </c>
      <c r="Z28" s="754">
        <v>2022</v>
      </c>
    </row>
    <row r="29" spans="1:26" s="760" customFormat="1" x14ac:dyDescent="0.2">
      <c r="A29" s="755"/>
      <c r="B29" s="756"/>
      <c r="C29" s="756"/>
      <c r="D29" s="757" t="s">
        <v>658</v>
      </c>
      <c r="E29" s="758">
        <v>49.556608498903657</v>
      </c>
      <c r="F29" s="758">
        <v>52.365488698625505</v>
      </c>
      <c r="G29" s="758">
        <v>54.827733170732408</v>
      </c>
      <c r="H29" s="758">
        <v>51.047144480847152</v>
      </c>
      <c r="I29" s="758">
        <v>48.313051977952036</v>
      </c>
      <c r="J29" s="758">
        <v>46.662747889266548</v>
      </c>
      <c r="K29" s="758">
        <v>46.483378566700999</v>
      </c>
      <c r="L29" s="758">
        <v>45.61432465079168</v>
      </c>
      <c r="M29" s="758">
        <v>48.335652094750827</v>
      </c>
      <c r="N29" s="758">
        <v>51.211586095188466</v>
      </c>
      <c r="O29" s="758">
        <v>50.281651701226124</v>
      </c>
      <c r="P29" s="758">
        <v>51.698207753618561</v>
      </c>
      <c r="Q29" s="758">
        <v>51.425685294707677</v>
      </c>
      <c r="R29" s="758">
        <v>51.290864961635428</v>
      </c>
      <c r="S29" s="758">
        <v>50.130442400407723</v>
      </c>
      <c r="T29" s="758">
        <v>53.348435626122793</v>
      </c>
      <c r="U29" s="758">
        <v>53.393903405785714</v>
      </c>
      <c r="V29" s="759">
        <v>53.4</v>
      </c>
      <c r="W29" s="759">
        <v>57.011983750759796</v>
      </c>
      <c r="X29" s="759">
        <v>59.3</v>
      </c>
      <c r="Y29" s="759">
        <v>65.2</v>
      </c>
      <c r="Z29" s="759">
        <v>61.461355083924666</v>
      </c>
    </row>
    <row r="30" spans="1:26" s="760" customFormat="1" x14ac:dyDescent="0.2">
      <c r="A30" s="755"/>
      <c r="B30" s="756"/>
      <c r="C30" s="756"/>
      <c r="D30" s="761" t="s">
        <v>659</v>
      </c>
      <c r="E30" s="758">
        <v>30.006583046640955</v>
      </c>
      <c r="F30" s="758">
        <v>31.279821135541802</v>
      </c>
      <c r="G30" s="758">
        <v>31.050283981445975</v>
      </c>
      <c r="H30" s="758">
        <v>28.60780720592475</v>
      </c>
      <c r="I30" s="758">
        <v>28.082964613263144</v>
      </c>
      <c r="J30" s="758">
        <v>25.955049151476818</v>
      </c>
      <c r="K30" s="758">
        <v>26.009564159105924</v>
      </c>
      <c r="L30" s="758">
        <v>25.840552427776831</v>
      </c>
      <c r="M30" s="758">
        <v>28.082684668804671</v>
      </c>
      <c r="N30" s="758">
        <v>29.261616346284651</v>
      </c>
      <c r="O30" s="758">
        <v>29.899373983783157</v>
      </c>
      <c r="P30" s="758">
        <v>29.565182557813518</v>
      </c>
      <c r="Q30" s="758">
        <v>29.111088787376804</v>
      </c>
      <c r="R30" s="758">
        <v>30.077564142101188</v>
      </c>
      <c r="S30" s="758">
        <v>30.186378438074414</v>
      </c>
      <c r="T30" s="758">
        <v>31.664757250929309</v>
      </c>
      <c r="U30" s="758">
        <v>33.056109109497648</v>
      </c>
      <c r="V30" s="759">
        <v>33.4</v>
      </c>
      <c r="W30" s="759">
        <v>35.39398411184245</v>
      </c>
      <c r="X30" s="759">
        <v>36.700000000000003</v>
      </c>
      <c r="Y30" s="759">
        <v>42.9</v>
      </c>
      <c r="Z30" s="759">
        <v>40.90832381900011</v>
      </c>
    </row>
    <row r="31" spans="1:26" s="751" customFormat="1" x14ac:dyDescent="0.2">
      <c r="A31" s="668"/>
      <c r="B31" s="669"/>
      <c r="C31" s="669"/>
      <c r="D31" s="761" t="s">
        <v>660</v>
      </c>
      <c r="E31" s="758">
        <v>15.348552168548469</v>
      </c>
      <c r="F31" s="758">
        <v>16.727720869361381</v>
      </c>
      <c r="G31" s="758">
        <v>16.436128287012679</v>
      </c>
      <c r="H31" s="758">
        <v>15.309559486335328</v>
      </c>
      <c r="I31" s="758">
        <v>14.705728618206923</v>
      </c>
      <c r="J31" s="758">
        <v>14.734966545056366</v>
      </c>
      <c r="K31" s="758">
        <v>13.512775447998388</v>
      </c>
      <c r="L31" s="758">
        <v>15.955901048925055</v>
      </c>
      <c r="M31" s="758">
        <v>16.584563029049672</v>
      </c>
      <c r="N31" s="758">
        <v>17.693728516011891</v>
      </c>
      <c r="O31" s="758">
        <v>18.090229302861054</v>
      </c>
      <c r="P31" s="758">
        <v>18.187009451508718</v>
      </c>
      <c r="Q31" s="758">
        <v>18.588248762915565</v>
      </c>
      <c r="R31" s="758">
        <v>19.094579058322445</v>
      </c>
      <c r="S31" s="758">
        <v>19.518242457226449</v>
      </c>
      <c r="T31" s="758">
        <v>21.140483132434824</v>
      </c>
      <c r="U31" s="758">
        <v>21.985828119422994</v>
      </c>
      <c r="V31" s="759">
        <v>21.5</v>
      </c>
      <c r="W31" s="759">
        <v>22.748197409294306</v>
      </c>
      <c r="X31" s="759">
        <v>24.4</v>
      </c>
      <c r="Y31" s="759">
        <v>28.9</v>
      </c>
      <c r="Z31" s="759">
        <v>28.45797709184054</v>
      </c>
    </row>
    <row r="32" spans="1:26" s="751" customFormat="1" x14ac:dyDescent="0.2">
      <c r="A32" s="668"/>
      <c r="B32" s="669"/>
      <c r="C32" s="669"/>
      <c r="D32" s="757" t="s">
        <v>661</v>
      </c>
      <c r="E32" s="758">
        <v>11.413586942521773</v>
      </c>
      <c r="F32" s="758">
        <v>13.255828788899427</v>
      </c>
      <c r="G32" s="758">
        <v>12.562898806553372</v>
      </c>
      <c r="H32" s="758">
        <v>10.643161935657966</v>
      </c>
      <c r="I32" s="758">
        <v>10.560847323939962</v>
      </c>
      <c r="J32" s="758">
        <v>9.9807886244265802</v>
      </c>
      <c r="K32" s="758">
        <v>10.378274219367707</v>
      </c>
      <c r="L32" s="758">
        <v>10.262524243664069</v>
      </c>
      <c r="M32" s="758">
        <v>11.216521355769235</v>
      </c>
      <c r="N32" s="758">
        <v>12.601007273356682</v>
      </c>
      <c r="O32" s="758">
        <v>12.601867539017034</v>
      </c>
      <c r="P32" s="758">
        <v>12.80590961334333</v>
      </c>
      <c r="Q32" s="758">
        <v>12.769495079856002</v>
      </c>
      <c r="R32" s="758">
        <v>13.374628573906866</v>
      </c>
      <c r="S32" s="758">
        <v>14.07522840397036</v>
      </c>
      <c r="T32" s="758">
        <v>14.843637471922699</v>
      </c>
      <c r="U32" s="758">
        <v>15.920460816512314</v>
      </c>
      <c r="V32" s="759">
        <v>15.8</v>
      </c>
      <c r="W32" s="759">
        <v>16.889222397049497</v>
      </c>
      <c r="X32" s="759">
        <v>17.600000000000001</v>
      </c>
      <c r="Y32" s="759">
        <v>21.4</v>
      </c>
      <c r="Z32" s="759">
        <v>20.984941250172326</v>
      </c>
    </row>
    <row r="33" spans="1:26" s="751" customFormat="1" x14ac:dyDescent="0.2">
      <c r="A33" s="668"/>
      <c r="B33" s="669"/>
      <c r="C33" s="669"/>
      <c r="D33" s="761" t="s">
        <v>662</v>
      </c>
      <c r="E33" s="758">
        <v>8.3886179986402318</v>
      </c>
      <c r="F33" s="758">
        <v>9.2104286438743177</v>
      </c>
      <c r="G33" s="758">
        <v>8.3836251103396613</v>
      </c>
      <c r="H33" s="758">
        <v>6.458066643082133</v>
      </c>
      <c r="I33" s="758">
        <v>6.9382843179818439</v>
      </c>
      <c r="J33" s="758">
        <v>5.1909668005062457</v>
      </c>
      <c r="K33" s="758">
        <v>5.6456566792137934</v>
      </c>
      <c r="L33" s="758">
        <v>6.7434230431741833</v>
      </c>
      <c r="M33" s="758">
        <v>6.248783077057853</v>
      </c>
      <c r="N33" s="758">
        <v>7.5805969331481302</v>
      </c>
      <c r="O33" s="758">
        <v>6.209235517416734</v>
      </c>
      <c r="P33" s="758">
        <v>7.0401361858174418</v>
      </c>
      <c r="Q33" s="758">
        <v>7.6987400495165517</v>
      </c>
      <c r="R33" s="758">
        <v>7.6526536126624354</v>
      </c>
      <c r="S33" s="758">
        <v>8.694483992374046</v>
      </c>
      <c r="T33" s="758">
        <v>9.0434368930705578</v>
      </c>
      <c r="U33" s="758">
        <v>9.4892141374650567</v>
      </c>
      <c r="V33" s="759">
        <v>9.6</v>
      </c>
      <c r="W33" s="759">
        <v>9.9234650301271792</v>
      </c>
      <c r="X33" s="759">
        <v>11.1</v>
      </c>
      <c r="Y33" s="759">
        <v>12.4</v>
      </c>
      <c r="Z33" s="759">
        <v>12.920408885309786</v>
      </c>
    </row>
    <row r="34" spans="1:26" s="751" customFormat="1" x14ac:dyDescent="0.2">
      <c r="A34" s="668"/>
      <c r="B34" s="669"/>
      <c r="C34" s="669"/>
      <c r="D34" s="762" t="s">
        <v>50</v>
      </c>
      <c r="E34" s="763">
        <v>25.370740413489695</v>
      </c>
      <c r="F34" s="763">
        <v>27.180508501508378</v>
      </c>
      <c r="G34" s="763">
        <v>27.115766702024597</v>
      </c>
      <c r="H34" s="763">
        <v>24.672790326915951</v>
      </c>
      <c r="I34" s="763">
        <v>23.839990494289712</v>
      </c>
      <c r="J34" s="763">
        <v>22.615760539777558</v>
      </c>
      <c r="K34" s="763">
        <v>22.326519139844354</v>
      </c>
      <c r="L34" s="763">
        <v>22.548772782676899</v>
      </c>
      <c r="M34" s="763">
        <v>23.676036911890659</v>
      </c>
      <c r="N34" s="763">
        <v>24.870199929044048</v>
      </c>
      <c r="O34" s="763">
        <v>24.784677973271108</v>
      </c>
      <c r="P34" s="763">
        <v>24.870194505395812</v>
      </c>
      <c r="Q34" s="764">
        <v>24.73737697547622</v>
      </c>
      <c r="R34" s="764">
        <v>25.079268765127839</v>
      </c>
      <c r="S34" s="764">
        <v>25.345096563891889</v>
      </c>
      <c r="T34" s="764">
        <v>26.715305376306265</v>
      </c>
      <c r="U34" s="764">
        <v>27.459008795167733</v>
      </c>
      <c r="V34" s="765">
        <v>27.1</v>
      </c>
      <c r="W34" s="765">
        <v>28.693050573151314</v>
      </c>
      <c r="X34" s="765">
        <v>29.4</v>
      </c>
      <c r="Y34" s="765">
        <v>34.299999999999997</v>
      </c>
      <c r="Z34" s="765">
        <v>33.509154273274262</v>
      </c>
    </row>
    <row r="35" spans="1:26" s="751" customFormat="1" x14ac:dyDescent="0.2">
      <c r="A35" s="668"/>
      <c r="B35" s="669"/>
      <c r="C35" s="669"/>
      <c r="D35" s="766"/>
      <c r="E35" s="767"/>
      <c r="F35" s="767"/>
      <c r="G35" s="767"/>
      <c r="H35" s="767"/>
      <c r="I35" s="767"/>
      <c r="J35" s="767"/>
      <c r="K35" s="767"/>
      <c r="L35" s="768"/>
      <c r="M35" s="769"/>
      <c r="N35" s="769"/>
      <c r="O35" s="770"/>
      <c r="P35" s="771"/>
    </row>
    <row r="36" spans="1:26" s="751" customFormat="1" x14ac:dyDescent="0.2">
      <c r="A36" s="668"/>
      <c r="B36" s="669"/>
      <c r="C36" s="669"/>
      <c r="D36" s="766"/>
      <c r="E36" s="772"/>
      <c r="F36" s="772"/>
      <c r="G36" s="772"/>
      <c r="H36" s="772"/>
      <c r="I36" s="772"/>
      <c r="J36" s="772"/>
      <c r="K36" s="772"/>
      <c r="L36" s="768"/>
      <c r="M36" s="769"/>
      <c r="N36" s="769"/>
      <c r="O36" s="769"/>
      <c r="P36" s="771"/>
    </row>
    <row r="37" spans="1:26" s="751" customFormat="1" x14ac:dyDescent="0.2">
      <c r="A37" s="668"/>
      <c r="B37" s="669"/>
      <c r="C37" s="669"/>
      <c r="D37" s="656" t="s">
        <v>663</v>
      </c>
      <c r="E37" s="656" t="s">
        <v>664</v>
      </c>
      <c r="F37" s="773"/>
      <c r="G37" s="769"/>
      <c r="H37" s="769"/>
      <c r="I37" s="774"/>
      <c r="L37" s="473"/>
    </row>
    <row r="38" spans="1:26" ht="12.75" customHeight="1" x14ac:dyDescent="0.2">
      <c r="D38" s="640" t="s">
        <v>632</v>
      </c>
      <c r="E38" s="775">
        <v>2001</v>
      </c>
      <c r="F38" s="775">
        <v>2002</v>
      </c>
      <c r="G38" s="775">
        <v>2003</v>
      </c>
      <c r="H38" s="775">
        <v>2004</v>
      </c>
      <c r="I38" s="775">
        <v>2005</v>
      </c>
      <c r="J38" s="775">
        <v>2006</v>
      </c>
      <c r="K38" s="776">
        <v>2007</v>
      </c>
      <c r="L38" s="776">
        <v>2008</v>
      </c>
      <c r="M38" s="776">
        <v>2009</v>
      </c>
      <c r="N38" s="776">
        <v>2010</v>
      </c>
      <c r="O38" s="776">
        <v>2011</v>
      </c>
      <c r="P38" s="776">
        <v>2012</v>
      </c>
      <c r="Q38" s="776">
        <v>2013</v>
      </c>
      <c r="R38" s="776">
        <v>2014</v>
      </c>
      <c r="S38" s="776">
        <v>2015</v>
      </c>
      <c r="T38" s="776">
        <v>2016</v>
      </c>
      <c r="U38" s="776">
        <v>2017</v>
      </c>
      <c r="V38" s="776">
        <v>2018</v>
      </c>
      <c r="W38" s="776">
        <v>2019</v>
      </c>
      <c r="X38" s="776">
        <v>2020</v>
      </c>
      <c r="Y38" s="776">
        <v>2021</v>
      </c>
      <c r="Z38" s="776">
        <v>2022</v>
      </c>
    </row>
    <row r="39" spans="1:26" s="751" customFormat="1" ht="15.6" customHeight="1" x14ac:dyDescent="0.2">
      <c r="A39" s="668"/>
      <c r="B39" s="669"/>
      <c r="C39" s="669"/>
      <c r="D39" s="777" t="s">
        <v>665</v>
      </c>
      <c r="E39" s="778">
        <v>2692.385094696147</v>
      </c>
      <c r="F39" s="778">
        <v>2962.5228781799028</v>
      </c>
      <c r="G39" s="778">
        <v>2917.668295400129</v>
      </c>
      <c r="H39" s="778">
        <v>2594.8891498175822</v>
      </c>
      <c r="I39" s="778">
        <v>2549.4298279339969</v>
      </c>
      <c r="J39" s="778">
        <v>2347.0741601438644</v>
      </c>
      <c r="K39" s="778">
        <v>2117.0194927719394</v>
      </c>
      <c r="L39" s="778">
        <v>2517.9270945163021</v>
      </c>
      <c r="M39" s="778">
        <v>2653</v>
      </c>
      <c r="N39" s="778">
        <v>2998</v>
      </c>
      <c r="O39" s="778">
        <v>3180</v>
      </c>
      <c r="P39" s="778">
        <v>3242</v>
      </c>
      <c r="Q39" s="778">
        <v>3226</v>
      </c>
      <c r="R39" s="779">
        <v>3341</v>
      </c>
      <c r="S39" s="779">
        <v>3481</v>
      </c>
      <c r="T39" s="779">
        <v>3832</v>
      </c>
      <c r="U39" s="779">
        <v>4111</v>
      </c>
      <c r="V39" s="779">
        <v>4229.3469412353343</v>
      </c>
      <c r="W39" s="779">
        <v>4684.846434113274</v>
      </c>
      <c r="X39" s="779">
        <v>4421.0097221734859</v>
      </c>
      <c r="Y39" s="779">
        <v>5943.5222585683869</v>
      </c>
      <c r="Z39" s="779">
        <v>6126.5504424510682</v>
      </c>
    </row>
    <row r="40" spans="1:26" s="751" customFormat="1" x14ac:dyDescent="0.2">
      <c r="A40" s="668"/>
      <c r="B40" s="669"/>
      <c r="C40" s="669"/>
      <c r="D40" s="672" t="s">
        <v>666</v>
      </c>
      <c r="E40" s="778">
        <v>1413.0918876439198</v>
      </c>
      <c r="F40" s="778">
        <v>1503.5328967929859</v>
      </c>
      <c r="G40" s="778">
        <v>1477.0145416398291</v>
      </c>
      <c r="H40" s="778">
        <v>1349.9679419328634</v>
      </c>
      <c r="I40" s="778">
        <v>1447.5427591877558</v>
      </c>
      <c r="J40" s="778">
        <v>1574.6098059406816</v>
      </c>
      <c r="K40" s="778">
        <v>1754.0192880630011</v>
      </c>
      <c r="L40" s="778">
        <v>1728.2382589264012</v>
      </c>
      <c r="M40" s="778">
        <v>1750</v>
      </c>
      <c r="N40" s="778">
        <v>1566</v>
      </c>
      <c r="O40" s="778">
        <v>1456</v>
      </c>
      <c r="P40" s="778">
        <v>1533</v>
      </c>
      <c r="Q40" s="778">
        <v>1660</v>
      </c>
      <c r="R40" s="779">
        <v>1729</v>
      </c>
      <c r="S40" s="779">
        <v>1863</v>
      </c>
      <c r="T40" s="779">
        <v>1921</v>
      </c>
      <c r="U40" s="779">
        <v>2009</v>
      </c>
      <c r="V40" s="779">
        <v>1873.5414319242948</v>
      </c>
      <c r="W40" s="779">
        <v>1894.1365843886051</v>
      </c>
      <c r="X40" s="779">
        <v>1861.6913738862584</v>
      </c>
      <c r="Y40" s="779">
        <v>1714.6966663155856</v>
      </c>
      <c r="Z40" s="779">
        <v>1707.0990305828268</v>
      </c>
    </row>
    <row r="41" spans="1:26" s="751" customFormat="1" x14ac:dyDescent="0.2">
      <c r="A41" s="668"/>
      <c r="B41" s="669"/>
      <c r="C41" s="669"/>
      <c r="D41" s="780" t="s">
        <v>667</v>
      </c>
      <c r="E41" s="781">
        <v>4105.4769823400666</v>
      </c>
      <c r="F41" s="781">
        <v>4466.0557749728887</v>
      </c>
      <c r="G41" s="781">
        <v>4394.682837039958</v>
      </c>
      <c r="H41" s="781">
        <v>3944.8570917504458</v>
      </c>
      <c r="I41" s="781">
        <v>3996.9725871217524</v>
      </c>
      <c r="J41" s="781">
        <v>3921.6839660845462</v>
      </c>
      <c r="K41" s="781">
        <v>3871.0387808349406</v>
      </c>
      <c r="L41" s="781">
        <v>4246.1653534427032</v>
      </c>
      <c r="M41" s="781">
        <v>4403</v>
      </c>
      <c r="N41" s="781">
        <v>4564</v>
      </c>
      <c r="O41" s="781">
        <v>4636</v>
      </c>
      <c r="P41" s="781">
        <v>4775</v>
      </c>
      <c r="Q41" s="781">
        <v>4886</v>
      </c>
      <c r="R41" s="782">
        <v>5070</v>
      </c>
      <c r="S41" s="782">
        <v>5344</v>
      </c>
      <c r="T41" s="782">
        <v>5753</v>
      </c>
      <c r="U41" s="782">
        <v>6120</v>
      </c>
      <c r="V41" s="782">
        <v>6102.8883731596288</v>
      </c>
      <c r="W41" s="782">
        <v>6578.9830185018791</v>
      </c>
      <c r="X41" s="782">
        <v>6282.7010960597445</v>
      </c>
      <c r="Y41" s="782">
        <v>7658.2189248839722</v>
      </c>
      <c r="Z41" s="782">
        <v>7833.6494730338945</v>
      </c>
    </row>
    <row r="42" spans="1:26" s="751" customFormat="1" ht="22.5" x14ac:dyDescent="0.2">
      <c r="A42" s="668"/>
      <c r="B42" s="669"/>
      <c r="C42" s="669"/>
      <c r="D42" s="783" t="s">
        <v>668</v>
      </c>
      <c r="E42" s="784">
        <f t="shared" ref="E42:S42" si="0">E39/E41*100</f>
        <v>65.580323706053861</v>
      </c>
      <c r="F42" s="784">
        <f t="shared" si="0"/>
        <v>66.334211381358912</v>
      </c>
      <c r="G42" s="784">
        <f t="shared" si="0"/>
        <v>66.39087287048288</v>
      </c>
      <c r="H42" s="784">
        <f t="shared" si="0"/>
        <v>65.779040646214028</v>
      </c>
      <c r="I42" s="784">
        <f t="shared" si="0"/>
        <v>63.784020839879183</v>
      </c>
      <c r="J42" s="784">
        <f t="shared" si="0"/>
        <v>59.848630854546137</v>
      </c>
      <c r="K42" s="784">
        <f t="shared" si="0"/>
        <v>54.688666599080719</v>
      </c>
      <c r="L42" s="784">
        <f t="shared" si="0"/>
        <v>59.298846957875028</v>
      </c>
      <c r="M42" s="784">
        <f t="shared" si="0"/>
        <v>60.254372019077906</v>
      </c>
      <c r="N42" s="784">
        <f t="shared" si="0"/>
        <v>65.687992988606482</v>
      </c>
      <c r="O42" s="784">
        <f t="shared" si="0"/>
        <v>68.593615185504746</v>
      </c>
      <c r="P42" s="784">
        <f t="shared" si="0"/>
        <v>67.895287958115176</v>
      </c>
      <c r="Q42" s="784">
        <f t="shared" si="0"/>
        <v>66.025378632828492</v>
      </c>
      <c r="R42" s="784">
        <f t="shared" si="0"/>
        <v>65.897435897435898</v>
      </c>
      <c r="S42" s="784">
        <f t="shared" si="0"/>
        <v>65.138473053892227</v>
      </c>
      <c r="T42" s="784">
        <v>66.599999999999994</v>
      </c>
      <c r="U42" s="784">
        <v>67.2</v>
      </c>
      <c r="V42" s="784">
        <f>V39/V41*100</f>
        <v>69.300742249127651</v>
      </c>
      <c r="W42" s="784">
        <f>W39/W41*100</f>
        <v>71.209279928800839</v>
      </c>
      <c r="X42" s="784">
        <f>X39/X41*100</f>
        <v>70.36797795372064</v>
      </c>
      <c r="Y42" s="784">
        <v>72.209279928800797</v>
      </c>
      <c r="Z42" s="784">
        <v>78.208125900204678</v>
      </c>
    </row>
    <row r="43" spans="1:26" x14ac:dyDescent="0.2">
      <c r="D43" s="785"/>
      <c r="E43" s="786"/>
      <c r="F43" s="786"/>
      <c r="G43" s="786"/>
      <c r="H43" s="786"/>
      <c r="I43" s="786"/>
      <c r="J43" s="786"/>
      <c r="K43" s="786"/>
      <c r="L43" s="786"/>
      <c r="M43" s="786"/>
      <c r="N43" s="786"/>
      <c r="O43" s="786"/>
      <c r="P43" s="786"/>
      <c r="Q43" s="786"/>
      <c r="R43" s="786"/>
      <c r="S43" s="786"/>
      <c r="T43" s="786"/>
      <c r="U43" s="786"/>
    </row>
    <row r="44" spans="1:26" x14ac:dyDescent="0.2">
      <c r="B44" s="630"/>
      <c r="D44" s="785"/>
      <c r="E44" s="786"/>
      <c r="F44" s="786"/>
      <c r="G44" s="786"/>
      <c r="H44" s="786"/>
      <c r="I44" s="786"/>
      <c r="J44" s="786"/>
      <c r="K44" s="786"/>
      <c r="L44" s="787"/>
      <c r="M44" s="788"/>
      <c r="N44" s="785"/>
    </row>
    <row r="45" spans="1:26" x14ac:dyDescent="0.2">
      <c r="D45" s="785"/>
      <c r="E45" s="786"/>
      <c r="F45" s="786"/>
      <c r="G45" s="786"/>
      <c r="H45" s="786"/>
      <c r="I45" s="786"/>
      <c r="J45" s="786"/>
      <c r="K45" s="786"/>
      <c r="L45" s="787"/>
      <c r="M45" s="788"/>
      <c r="N45" s="785"/>
    </row>
    <row r="46" spans="1:26" x14ac:dyDescent="0.2">
      <c r="D46" s="785"/>
      <c r="E46" s="786"/>
      <c r="F46" s="786"/>
      <c r="G46" s="786"/>
      <c r="H46" s="786"/>
      <c r="I46" s="786"/>
      <c r="J46" s="786"/>
      <c r="K46" s="786"/>
      <c r="L46" s="787"/>
      <c r="M46" s="788"/>
      <c r="N46" s="785"/>
    </row>
    <row r="47" spans="1:26" x14ac:dyDescent="0.2">
      <c r="D47" s="785"/>
      <c r="E47" s="786"/>
      <c r="F47" s="786"/>
      <c r="G47" s="786"/>
      <c r="H47" s="786"/>
      <c r="I47" s="786"/>
      <c r="J47" s="786"/>
      <c r="K47" s="786"/>
      <c r="L47" s="787"/>
      <c r="M47" s="788"/>
      <c r="N47" s="785"/>
    </row>
    <row r="48" spans="1:26" x14ac:dyDescent="0.2">
      <c r="D48" s="785"/>
      <c r="E48" s="786"/>
      <c r="F48" s="786"/>
      <c r="G48" s="786"/>
      <c r="H48" s="786"/>
      <c r="I48" s="786"/>
      <c r="J48" s="786"/>
      <c r="K48" s="786"/>
      <c r="L48" s="787"/>
      <c r="M48" s="788"/>
      <c r="N48" s="785"/>
    </row>
    <row r="49" spans="4:14" x14ac:dyDescent="0.2">
      <c r="D49" s="785"/>
      <c r="E49" s="786"/>
      <c r="F49" s="786"/>
      <c r="G49" s="786"/>
      <c r="H49" s="786"/>
      <c r="I49" s="786"/>
      <c r="J49" s="786"/>
      <c r="K49" s="786"/>
      <c r="L49" s="787"/>
      <c r="M49" s="788"/>
      <c r="N49" s="785"/>
    </row>
    <row r="50" spans="4:14" x14ac:dyDescent="0.2">
      <c r="D50" s="785"/>
      <c r="E50" s="786"/>
      <c r="F50" s="786"/>
      <c r="G50" s="786"/>
      <c r="H50" s="786"/>
      <c r="I50" s="786"/>
      <c r="J50" s="786"/>
      <c r="K50" s="786"/>
      <c r="L50" s="787"/>
      <c r="M50" s="788"/>
      <c r="N50" s="785"/>
    </row>
    <row r="51" spans="4:14" x14ac:dyDescent="0.2">
      <c r="D51" s="785"/>
      <c r="E51" s="786"/>
      <c r="F51" s="786"/>
      <c r="G51" s="786"/>
      <c r="H51" s="786"/>
      <c r="I51" s="786"/>
      <c r="J51" s="786"/>
      <c r="K51" s="786"/>
      <c r="L51" s="787"/>
      <c r="M51" s="788"/>
      <c r="N51" s="785"/>
    </row>
    <row r="52" spans="4:14" x14ac:dyDescent="0.2">
      <c r="D52" s="785"/>
      <c r="E52" s="786"/>
      <c r="F52" s="786"/>
      <c r="G52" s="786"/>
      <c r="H52" s="786"/>
      <c r="I52" s="786"/>
      <c r="J52" s="786"/>
      <c r="K52" s="786"/>
      <c r="L52" s="787"/>
      <c r="M52" s="788"/>
      <c r="N52" s="785"/>
    </row>
    <row r="53" spans="4:14" x14ac:dyDescent="0.2">
      <c r="D53" s="785"/>
      <c r="E53" s="786"/>
      <c r="F53" s="786"/>
      <c r="G53" s="786"/>
      <c r="H53" s="786"/>
      <c r="I53" s="786"/>
      <c r="J53" s="786"/>
      <c r="K53" s="786"/>
      <c r="L53" s="787"/>
      <c r="M53" s="788"/>
      <c r="N53" s="785"/>
    </row>
    <row r="54" spans="4:14" x14ac:dyDescent="0.2">
      <c r="D54" s="785"/>
      <c r="E54" s="786"/>
      <c r="F54" s="786"/>
      <c r="G54" s="786"/>
      <c r="H54" s="786"/>
      <c r="I54" s="786"/>
      <c r="J54" s="786"/>
      <c r="K54" s="786"/>
      <c r="L54" s="787"/>
      <c r="M54" s="788"/>
      <c r="N54" s="785"/>
    </row>
    <row r="55" spans="4:14" x14ac:dyDescent="0.2">
      <c r="D55" s="785"/>
      <c r="E55" s="786"/>
      <c r="F55" s="786"/>
      <c r="G55" s="786"/>
      <c r="H55" s="786"/>
      <c r="I55" s="786"/>
      <c r="J55" s="786"/>
      <c r="K55" s="786"/>
      <c r="L55" s="787"/>
      <c r="M55" s="788"/>
      <c r="N55" s="785"/>
    </row>
    <row r="56" spans="4:14" x14ac:dyDescent="0.2">
      <c r="D56" s="785"/>
      <c r="E56" s="786"/>
      <c r="F56" s="786"/>
      <c r="G56" s="786"/>
      <c r="H56" s="786"/>
      <c r="I56" s="786"/>
      <c r="J56" s="786"/>
      <c r="K56" s="786"/>
      <c r="L56" s="787"/>
      <c r="M56" s="788"/>
      <c r="N56" s="785"/>
    </row>
    <row r="57" spans="4:14" x14ac:dyDescent="0.2">
      <c r="D57" s="785"/>
      <c r="E57" s="786"/>
      <c r="F57" s="786"/>
      <c r="G57" s="786"/>
      <c r="H57" s="786"/>
      <c r="I57" s="786"/>
      <c r="J57" s="786"/>
      <c r="K57" s="786"/>
      <c r="L57" s="787"/>
      <c r="M57" s="788"/>
      <c r="N57" s="785"/>
    </row>
    <row r="58" spans="4:14" x14ac:dyDescent="0.2">
      <c r="D58" s="785"/>
      <c r="E58" s="786"/>
      <c r="F58" s="786"/>
      <c r="G58" s="786"/>
      <c r="H58" s="786"/>
      <c r="I58" s="786"/>
      <c r="J58" s="786"/>
      <c r="K58" s="786"/>
      <c r="L58" s="787"/>
      <c r="M58" s="788"/>
      <c r="N58" s="785"/>
    </row>
    <row r="59" spans="4:14" x14ac:dyDescent="0.2">
      <c r="D59" s="785"/>
      <c r="E59" s="786"/>
      <c r="F59" s="786"/>
      <c r="G59" s="786"/>
      <c r="H59" s="786"/>
      <c r="I59" s="786"/>
      <c r="J59" s="786"/>
      <c r="K59" s="786"/>
      <c r="L59" s="787"/>
      <c r="M59" s="788"/>
      <c r="N59" s="785"/>
    </row>
    <row r="60" spans="4:14" x14ac:dyDescent="0.2">
      <c r="D60" s="785"/>
      <c r="E60" s="786"/>
      <c r="F60" s="786"/>
      <c r="G60" s="786"/>
      <c r="H60" s="786"/>
      <c r="I60" s="786"/>
      <c r="J60" s="786"/>
      <c r="K60" s="786"/>
      <c r="L60" s="787"/>
      <c r="M60" s="788"/>
      <c r="N60" s="785"/>
    </row>
    <row r="61" spans="4:14" x14ac:dyDescent="0.2">
      <c r="D61" s="785"/>
      <c r="E61" s="786"/>
      <c r="F61" s="786"/>
      <c r="G61" s="786"/>
      <c r="H61" s="786"/>
      <c r="I61" s="786"/>
      <c r="J61" s="786"/>
      <c r="K61" s="786"/>
      <c r="L61" s="787"/>
      <c r="M61" s="788"/>
      <c r="N61" s="785"/>
    </row>
    <row r="62" spans="4:14" x14ac:dyDescent="0.2">
      <c r="D62" s="785"/>
      <c r="E62" s="786"/>
      <c r="F62" s="786"/>
      <c r="G62" s="786"/>
      <c r="H62" s="786"/>
      <c r="I62" s="786"/>
      <c r="J62" s="786"/>
      <c r="K62" s="786"/>
      <c r="L62" s="787"/>
      <c r="M62" s="788"/>
      <c r="N62" s="785"/>
    </row>
    <row r="63" spans="4:14" x14ac:dyDescent="0.2">
      <c r="D63" s="785"/>
      <c r="E63" s="786"/>
      <c r="F63" s="786"/>
      <c r="G63" s="786"/>
      <c r="H63" s="786"/>
      <c r="I63" s="786"/>
      <c r="J63" s="786"/>
      <c r="K63" s="786"/>
      <c r="L63" s="787"/>
      <c r="M63" s="788"/>
      <c r="N63" s="785"/>
    </row>
    <row r="64" spans="4:14" x14ac:dyDescent="0.2">
      <c r="D64" s="785"/>
      <c r="E64" s="786"/>
      <c r="F64" s="786"/>
      <c r="G64" s="786"/>
      <c r="H64" s="786"/>
      <c r="I64" s="786"/>
      <c r="J64" s="786"/>
      <c r="K64" s="786"/>
      <c r="L64" s="787"/>
      <c r="M64" s="788"/>
      <c r="N64" s="785"/>
    </row>
    <row r="65" spans="1:26" x14ac:dyDescent="0.2">
      <c r="D65" s="785"/>
      <c r="E65" s="786"/>
      <c r="F65" s="786"/>
      <c r="G65" s="786"/>
      <c r="H65" s="786"/>
      <c r="I65" s="786"/>
      <c r="J65" s="786"/>
      <c r="K65" s="786"/>
      <c r="L65" s="787"/>
      <c r="M65" s="788"/>
      <c r="N65" s="785"/>
    </row>
    <row r="66" spans="1:26" x14ac:dyDescent="0.2">
      <c r="D66" s="785"/>
      <c r="E66" s="786"/>
      <c r="F66" s="786"/>
      <c r="G66" s="786"/>
      <c r="H66" s="786"/>
      <c r="I66" s="786"/>
      <c r="J66" s="786"/>
      <c r="K66" s="786"/>
      <c r="L66" s="787"/>
      <c r="M66" s="788"/>
      <c r="N66" s="785"/>
    </row>
    <row r="67" spans="1:26" ht="15" customHeight="1" x14ac:dyDescent="0.2">
      <c r="A67" s="630">
        <v>6</v>
      </c>
      <c r="B67" s="630" t="s">
        <v>52</v>
      </c>
      <c r="C67" s="630"/>
      <c r="D67" s="4725" t="s">
        <v>669</v>
      </c>
      <c r="E67" s="4726"/>
      <c r="F67" s="4726"/>
      <c r="G67" s="4726"/>
      <c r="H67" s="4726"/>
      <c r="I67" s="4726"/>
      <c r="J67" s="4726"/>
      <c r="K67" s="4726"/>
      <c r="L67" s="4726"/>
      <c r="M67" s="4726"/>
      <c r="N67" s="4726"/>
      <c r="O67" s="4726"/>
      <c r="P67" s="4726"/>
      <c r="Q67" s="4726"/>
      <c r="R67" s="4726"/>
      <c r="S67" s="4726"/>
      <c r="T67" s="4726"/>
      <c r="U67" s="4726"/>
      <c r="V67" s="4727"/>
      <c r="W67" s="721"/>
    </row>
    <row r="68" spans="1:26" ht="35.85" customHeight="1" x14ac:dyDescent="0.2">
      <c r="A68" s="667">
        <v>7</v>
      </c>
      <c r="B68" s="667" t="s">
        <v>54</v>
      </c>
      <c r="C68" s="667"/>
      <c r="D68" s="4728" t="s">
        <v>670</v>
      </c>
      <c r="E68" s="4729"/>
      <c r="F68" s="4729"/>
      <c r="G68" s="4729"/>
      <c r="H68" s="4729"/>
      <c r="I68" s="4729"/>
      <c r="J68" s="4729"/>
      <c r="K68" s="4729"/>
      <c r="L68" s="4729"/>
      <c r="M68" s="4729"/>
      <c r="N68" s="4729"/>
      <c r="O68" s="4729"/>
      <c r="P68" s="4729"/>
      <c r="Q68" s="4729"/>
      <c r="R68" s="4729"/>
      <c r="S68" s="4729"/>
      <c r="T68" s="4729"/>
      <c r="U68" s="4729"/>
      <c r="V68" s="4730"/>
      <c r="W68" s="888"/>
    </row>
    <row r="69" spans="1:26" ht="15" customHeight="1" x14ac:dyDescent="0.2">
      <c r="A69" s="630">
        <v>8</v>
      </c>
      <c r="B69" s="630" t="s">
        <v>56</v>
      </c>
      <c r="C69" s="630"/>
      <c r="D69" s="4725" t="s">
        <v>2152</v>
      </c>
      <c r="E69" s="4726"/>
      <c r="F69" s="4726"/>
      <c r="G69" s="4726"/>
      <c r="H69" s="4726"/>
      <c r="I69" s="4726"/>
      <c r="J69" s="4726"/>
      <c r="K69" s="4726"/>
      <c r="L69" s="4726"/>
      <c r="M69" s="4726"/>
      <c r="N69" s="4726"/>
      <c r="O69" s="4726"/>
      <c r="P69" s="4726"/>
      <c r="Q69" s="4726"/>
      <c r="R69" s="4726"/>
      <c r="S69" s="4726"/>
      <c r="T69" s="4726"/>
      <c r="U69" s="4726"/>
      <c r="V69" s="4727"/>
      <c r="W69" s="721"/>
    </row>
    <row r="70" spans="1:26" s="633" customFormat="1" ht="32.25" customHeight="1" x14ac:dyDescent="0.2">
      <c r="A70" s="630">
        <v>9</v>
      </c>
      <c r="B70" s="630" t="s">
        <v>58</v>
      </c>
      <c r="C70" s="630"/>
      <c r="D70" s="4728" t="s">
        <v>671</v>
      </c>
      <c r="E70" s="4729"/>
      <c r="F70" s="4729"/>
      <c r="G70" s="4729"/>
      <c r="H70" s="4729"/>
      <c r="I70" s="4729"/>
      <c r="J70" s="4729"/>
      <c r="K70" s="4729"/>
      <c r="L70" s="4729"/>
      <c r="M70" s="4729"/>
      <c r="N70" s="4729"/>
      <c r="O70" s="4729"/>
      <c r="P70" s="4729"/>
      <c r="Q70" s="4729"/>
      <c r="R70" s="4729"/>
      <c r="S70" s="4729"/>
      <c r="T70" s="4729"/>
      <c r="U70" s="4729"/>
      <c r="V70" s="4730"/>
      <c r="W70" s="888"/>
    </row>
    <row r="77" spans="1:26" x14ac:dyDescent="0.2">
      <c r="D77" s="636" t="s">
        <v>365</v>
      </c>
      <c r="E77" s="636" t="s">
        <v>672</v>
      </c>
      <c r="F77" s="731"/>
      <c r="G77" s="730"/>
      <c r="H77" s="730"/>
      <c r="I77" s="732"/>
      <c r="J77" s="732"/>
      <c r="K77" s="733"/>
      <c r="L77" s="733"/>
      <c r="M77" s="789"/>
      <c r="N77" s="733"/>
      <c r="O77" s="723"/>
    </row>
    <row r="78" spans="1:26" x14ac:dyDescent="0.2">
      <c r="D78" s="790" t="s">
        <v>389</v>
      </c>
      <c r="E78" s="791">
        <v>2001</v>
      </c>
      <c r="F78" s="791">
        <v>2002</v>
      </c>
      <c r="G78" s="791">
        <v>2003</v>
      </c>
      <c r="H78" s="791">
        <v>2004</v>
      </c>
      <c r="I78" s="791">
        <v>2005</v>
      </c>
      <c r="J78" s="792">
        <v>2006</v>
      </c>
      <c r="K78" s="793">
        <v>2007</v>
      </c>
      <c r="L78" s="794">
        <v>2008</v>
      </c>
      <c r="M78" s="794">
        <v>2009</v>
      </c>
      <c r="N78" s="794">
        <v>2010</v>
      </c>
      <c r="O78" s="794">
        <v>2011</v>
      </c>
      <c r="P78" s="794">
        <v>2012</v>
      </c>
      <c r="Q78" s="795">
        <v>2013</v>
      </c>
      <c r="R78" s="795">
        <v>2014</v>
      </c>
      <c r="S78" s="795">
        <v>2015</v>
      </c>
      <c r="T78" s="795">
        <v>2016</v>
      </c>
      <c r="U78" s="795">
        <v>2017</v>
      </c>
      <c r="V78" s="795">
        <v>2018</v>
      </c>
      <c r="W78" s="795">
        <v>2019</v>
      </c>
      <c r="X78" s="795">
        <v>2020</v>
      </c>
      <c r="Y78" s="795">
        <v>2021</v>
      </c>
      <c r="Z78" s="795">
        <v>2022</v>
      </c>
    </row>
    <row r="79" spans="1:26" x14ac:dyDescent="0.2">
      <c r="D79" s="796" t="s">
        <v>673</v>
      </c>
      <c r="E79" s="797">
        <v>49.556608498903657</v>
      </c>
      <c r="F79" s="797">
        <v>52.365488698625505</v>
      </c>
      <c r="G79" s="797">
        <v>54.827733170732408</v>
      </c>
      <c r="H79" s="797">
        <v>51.047144480847152</v>
      </c>
      <c r="I79" s="797">
        <v>48.313051977952036</v>
      </c>
      <c r="J79" s="797">
        <v>46.662747889266548</v>
      </c>
      <c r="K79" s="797">
        <v>46.483378566700999</v>
      </c>
      <c r="L79" s="797">
        <v>45.61432465079168</v>
      </c>
      <c r="M79" s="797">
        <v>48.335652094750827</v>
      </c>
      <c r="N79" s="797">
        <v>51.211586095188466</v>
      </c>
      <c r="O79" s="797">
        <v>50.281651701226124</v>
      </c>
      <c r="P79" s="797">
        <v>51.698207753618561</v>
      </c>
      <c r="Q79" s="797">
        <v>51.425685294707677</v>
      </c>
      <c r="R79" s="797">
        <v>51.290864961635428</v>
      </c>
      <c r="S79" s="797">
        <v>50.130442400407723</v>
      </c>
      <c r="T79" s="797">
        <v>53.348435626122793</v>
      </c>
      <c r="U79" s="797">
        <v>53.393903405785714</v>
      </c>
      <c r="V79" s="797">
        <v>53.4</v>
      </c>
      <c r="W79" s="797">
        <v>57.011983750759796</v>
      </c>
      <c r="X79" s="797">
        <v>59.3</v>
      </c>
      <c r="Y79" s="797">
        <v>65.2</v>
      </c>
      <c r="Z79" s="797">
        <v>61.461355083924666</v>
      </c>
    </row>
    <row r="80" spans="1:26" x14ac:dyDescent="0.2">
      <c r="D80" s="790" t="s">
        <v>674</v>
      </c>
      <c r="E80" s="797">
        <v>30.006583046640955</v>
      </c>
      <c r="F80" s="797">
        <v>31.279821135541802</v>
      </c>
      <c r="G80" s="797">
        <v>31.050283981445975</v>
      </c>
      <c r="H80" s="797">
        <v>28.60780720592475</v>
      </c>
      <c r="I80" s="797">
        <v>28.082964613263144</v>
      </c>
      <c r="J80" s="797">
        <v>25.955049151476818</v>
      </c>
      <c r="K80" s="797">
        <v>26.009564159105924</v>
      </c>
      <c r="L80" s="797">
        <v>25.840552427776831</v>
      </c>
      <c r="M80" s="797">
        <v>28.082684668804671</v>
      </c>
      <c r="N80" s="797">
        <v>29.261616346284651</v>
      </c>
      <c r="O80" s="797">
        <v>29.899373983783157</v>
      </c>
      <c r="P80" s="797">
        <v>29.565182557813518</v>
      </c>
      <c r="Q80" s="797">
        <v>29.111088787376804</v>
      </c>
      <c r="R80" s="797">
        <v>30.077564142101188</v>
      </c>
      <c r="S80" s="797">
        <v>30.186378438074414</v>
      </c>
      <c r="T80" s="797">
        <v>31.664757250929309</v>
      </c>
      <c r="U80" s="797">
        <v>33.056109109497648</v>
      </c>
      <c r="V80" s="797">
        <v>33.4</v>
      </c>
      <c r="W80" s="797">
        <v>35.39398411184245</v>
      </c>
      <c r="X80" s="797">
        <v>36.700000000000003</v>
      </c>
      <c r="Y80" s="797">
        <v>42.9</v>
      </c>
      <c r="Z80" s="797">
        <v>40.90832381900011</v>
      </c>
    </row>
    <row r="81" spans="1:26" x14ac:dyDescent="0.2">
      <c r="D81" s="796" t="s">
        <v>675</v>
      </c>
      <c r="E81" s="797">
        <v>15.348552168548469</v>
      </c>
      <c r="F81" s="797">
        <v>16.727720869361381</v>
      </c>
      <c r="G81" s="797">
        <v>16.436128287012679</v>
      </c>
      <c r="H81" s="797">
        <v>15.309559486335328</v>
      </c>
      <c r="I81" s="797">
        <v>14.705728618206923</v>
      </c>
      <c r="J81" s="797">
        <v>14.734966545056366</v>
      </c>
      <c r="K81" s="797">
        <v>13.512775447998388</v>
      </c>
      <c r="L81" s="797">
        <v>15.955901048925055</v>
      </c>
      <c r="M81" s="797">
        <v>16.584563029049672</v>
      </c>
      <c r="N81" s="797">
        <v>17.693728516011891</v>
      </c>
      <c r="O81" s="797">
        <v>18.090229302861054</v>
      </c>
      <c r="P81" s="797">
        <v>18.187009451508718</v>
      </c>
      <c r="Q81" s="797">
        <v>18.588248762915565</v>
      </c>
      <c r="R81" s="797">
        <v>19.094579058322445</v>
      </c>
      <c r="S81" s="797">
        <v>19.518242457226449</v>
      </c>
      <c r="T81" s="797">
        <v>21.140483132434824</v>
      </c>
      <c r="U81" s="797">
        <v>21.985828119422994</v>
      </c>
      <c r="V81" s="797">
        <v>21.5</v>
      </c>
      <c r="W81" s="797">
        <v>22.748197409294306</v>
      </c>
      <c r="X81" s="797">
        <v>24.4</v>
      </c>
      <c r="Y81" s="797">
        <v>28.9</v>
      </c>
      <c r="Z81" s="797">
        <v>28.45797709184054</v>
      </c>
    </row>
    <row r="82" spans="1:26" x14ac:dyDescent="0.2">
      <c r="D82" s="790" t="s">
        <v>676</v>
      </c>
      <c r="E82" s="797">
        <v>11.413586942521773</v>
      </c>
      <c r="F82" s="797">
        <v>13.255828788899427</v>
      </c>
      <c r="G82" s="797">
        <v>12.562898806553372</v>
      </c>
      <c r="H82" s="797">
        <v>10.643161935657966</v>
      </c>
      <c r="I82" s="797">
        <v>10.560847323939962</v>
      </c>
      <c r="J82" s="797">
        <v>9.9807886244265802</v>
      </c>
      <c r="K82" s="797">
        <v>10.378274219367707</v>
      </c>
      <c r="L82" s="797">
        <v>10.262524243664069</v>
      </c>
      <c r="M82" s="797">
        <v>11.216521355769235</v>
      </c>
      <c r="N82" s="797">
        <v>12.601007273356682</v>
      </c>
      <c r="O82" s="797">
        <v>12.601867539017034</v>
      </c>
      <c r="P82" s="797">
        <v>12.80590961334333</v>
      </c>
      <c r="Q82" s="797">
        <v>12.769495079856002</v>
      </c>
      <c r="R82" s="797">
        <v>13.374628573906866</v>
      </c>
      <c r="S82" s="797">
        <v>14.07522840397036</v>
      </c>
      <c r="T82" s="797">
        <v>14.843637471922699</v>
      </c>
      <c r="U82" s="797">
        <v>15.920460816512314</v>
      </c>
      <c r="V82" s="797">
        <v>15.8</v>
      </c>
      <c r="W82" s="797">
        <v>16.889222397049497</v>
      </c>
      <c r="X82" s="797">
        <v>17.600000000000001</v>
      </c>
      <c r="Y82" s="797">
        <v>21.4</v>
      </c>
      <c r="Z82" s="797">
        <v>20.984941250172326</v>
      </c>
    </row>
    <row r="83" spans="1:26" x14ac:dyDescent="0.2">
      <c r="D83" s="796" t="s">
        <v>677</v>
      </c>
      <c r="E83" s="797">
        <v>8.3886179986402318</v>
      </c>
      <c r="F83" s="797">
        <v>9.2104286438743177</v>
      </c>
      <c r="G83" s="797">
        <v>8.3836251103396613</v>
      </c>
      <c r="H83" s="797">
        <v>6.458066643082133</v>
      </c>
      <c r="I83" s="797">
        <v>6.9382843179818439</v>
      </c>
      <c r="J83" s="797">
        <v>5.1909668005062457</v>
      </c>
      <c r="K83" s="797">
        <v>5.6456566792137934</v>
      </c>
      <c r="L83" s="797">
        <v>6.7434230431741833</v>
      </c>
      <c r="M83" s="797">
        <v>6.248783077057853</v>
      </c>
      <c r="N83" s="797">
        <v>7.5805969331481302</v>
      </c>
      <c r="O83" s="797">
        <v>6.209235517416734</v>
      </c>
      <c r="P83" s="797">
        <v>7.0401361858174418</v>
      </c>
      <c r="Q83" s="797">
        <v>7.6987400495165517</v>
      </c>
      <c r="R83" s="797">
        <v>7.6526536126624354</v>
      </c>
      <c r="S83" s="797">
        <v>8.694483992374046</v>
      </c>
      <c r="T83" s="797">
        <v>9.0434368930705578</v>
      </c>
      <c r="U83" s="797">
        <v>9.4892141374650567</v>
      </c>
      <c r="V83" s="797">
        <v>9.6</v>
      </c>
      <c r="W83" s="797">
        <v>9.9234650301271792</v>
      </c>
      <c r="X83" s="797">
        <v>11.1</v>
      </c>
      <c r="Y83" s="797">
        <v>12.4</v>
      </c>
      <c r="Z83" s="797">
        <v>12.920408885309786</v>
      </c>
    </row>
    <row r="84" spans="1:26" x14ac:dyDescent="0.2">
      <c r="D84" s="798" t="s">
        <v>50</v>
      </c>
      <c r="E84" s="799">
        <v>25.370740413489695</v>
      </c>
      <c r="F84" s="799">
        <v>27.180508501508378</v>
      </c>
      <c r="G84" s="799">
        <v>27.115766702024597</v>
      </c>
      <c r="H84" s="799">
        <v>24.672790326915951</v>
      </c>
      <c r="I84" s="799">
        <v>23.839990494289712</v>
      </c>
      <c r="J84" s="799">
        <v>22.615760539777558</v>
      </c>
      <c r="K84" s="799">
        <v>22.326519139844354</v>
      </c>
      <c r="L84" s="799">
        <v>22.548772782676899</v>
      </c>
      <c r="M84" s="800">
        <v>23.676036911890659</v>
      </c>
      <c r="N84" s="801">
        <v>24.870199929044048</v>
      </c>
      <c r="O84" s="802">
        <v>24.784677973271108</v>
      </c>
      <c r="P84" s="802">
        <v>24.870194505395812</v>
      </c>
      <c r="Q84" s="802">
        <v>24.73737697547622</v>
      </c>
      <c r="R84" s="802">
        <v>25.079268765127839</v>
      </c>
      <c r="S84" s="802">
        <v>25.345096563891889</v>
      </c>
      <c r="T84" s="802">
        <v>26.715305376306265</v>
      </c>
      <c r="U84" s="802">
        <v>27.459008795167733</v>
      </c>
      <c r="V84" s="803">
        <v>27.1</v>
      </c>
      <c r="W84" s="803">
        <v>28.693050573151314</v>
      </c>
      <c r="X84" s="803">
        <v>29.4</v>
      </c>
      <c r="Y84" s="803">
        <v>34.299999999999997</v>
      </c>
      <c r="Z84" s="803">
        <v>33.509154273274262</v>
      </c>
    </row>
    <row r="85" spans="1:26" ht="15" x14ac:dyDescent="0.25">
      <c r="D85" s="652"/>
      <c r="E85" s="15"/>
      <c r="F85" s="15"/>
      <c r="G85" s="15"/>
      <c r="H85" s="15"/>
      <c r="I85" s="15"/>
      <c r="J85" s="15"/>
      <c r="K85" s="15"/>
      <c r="L85" s="15"/>
      <c r="M85" s="735"/>
      <c r="N85" s="804"/>
      <c r="O85" s="805"/>
      <c r="P85" s="805"/>
      <c r="Q85" s="805"/>
      <c r="R85" s="805"/>
      <c r="S85" s="805"/>
      <c r="T85" s="805"/>
      <c r="U85" s="805"/>
      <c r="V85"/>
      <c r="W85"/>
    </row>
    <row r="86" spans="1:26" x14ac:dyDescent="0.2">
      <c r="D86" s="744" t="s">
        <v>365</v>
      </c>
      <c r="E86" s="744" t="s">
        <v>678</v>
      </c>
      <c r="F86" s="745"/>
      <c r="G86" s="746"/>
      <c r="H86" s="746"/>
      <c r="I86" s="747"/>
      <c r="J86" s="748"/>
      <c r="K86" s="748"/>
      <c r="L86" s="748"/>
      <c r="M86" s="748"/>
      <c r="N86" s="748"/>
      <c r="O86" s="744"/>
      <c r="P86" s="744"/>
    </row>
    <row r="87" spans="1:26" x14ac:dyDescent="0.2">
      <c r="D87" s="790" t="s">
        <v>389</v>
      </c>
      <c r="E87" s="806">
        <v>2001</v>
      </c>
      <c r="F87" s="806">
        <v>2002</v>
      </c>
      <c r="G87" s="806">
        <v>2003</v>
      </c>
      <c r="H87" s="806">
        <v>2004</v>
      </c>
      <c r="I87" s="806">
        <v>2005</v>
      </c>
      <c r="J87" s="806">
        <v>2006</v>
      </c>
      <c r="K87" s="807">
        <v>2007</v>
      </c>
      <c r="L87" s="808">
        <v>2008</v>
      </c>
      <c r="M87" s="809">
        <v>2009</v>
      </c>
      <c r="N87" s="809">
        <v>2010</v>
      </c>
      <c r="O87" s="808">
        <v>2011</v>
      </c>
      <c r="P87" s="808">
        <v>2012</v>
      </c>
      <c r="Q87" s="795">
        <v>2013</v>
      </c>
      <c r="R87" s="795">
        <v>2014</v>
      </c>
      <c r="S87" s="795">
        <v>2015</v>
      </c>
      <c r="T87" s="795">
        <v>2016</v>
      </c>
      <c r="U87" s="795">
        <v>2017</v>
      </c>
      <c r="V87" s="795">
        <v>2018</v>
      </c>
      <c r="W87" s="795">
        <v>2019</v>
      </c>
      <c r="X87" s="795">
        <v>2020</v>
      </c>
      <c r="Y87" s="2879"/>
      <c r="Z87" s="2879"/>
    </row>
    <row r="88" spans="1:26" x14ac:dyDescent="0.2">
      <c r="D88" s="796" t="s">
        <v>647</v>
      </c>
      <c r="E88" s="797">
        <v>31.061938532111572</v>
      </c>
      <c r="F88" s="797">
        <v>31.864263655863994</v>
      </c>
      <c r="G88" s="797">
        <v>33.055538339113888</v>
      </c>
      <c r="H88" s="797">
        <v>31.872513996023187</v>
      </c>
      <c r="I88" s="797">
        <v>29.575236517451074</v>
      </c>
      <c r="J88" s="797">
        <v>27.838520416339374</v>
      </c>
      <c r="K88" s="797">
        <v>28.533113506970487</v>
      </c>
      <c r="L88" s="797">
        <v>24.994817227609968</v>
      </c>
      <c r="M88" s="797">
        <v>28.685799015767472</v>
      </c>
      <c r="N88" s="797">
        <v>31.33266771788341</v>
      </c>
      <c r="O88" s="797">
        <v>31.55274111631612</v>
      </c>
      <c r="P88" s="797">
        <v>31.706819420719668</v>
      </c>
      <c r="Q88" s="810">
        <v>31.935113742329126</v>
      </c>
      <c r="R88" s="810">
        <v>32.086379323231377</v>
      </c>
      <c r="S88" s="810">
        <v>31.135104550716797</v>
      </c>
      <c r="T88" s="810">
        <v>32.568726929277133</v>
      </c>
      <c r="U88" s="811">
        <v>33.187237060241387</v>
      </c>
      <c r="V88" s="812">
        <v>33.513619337724002</v>
      </c>
      <c r="W88" s="812">
        <v>35.337113517729222</v>
      </c>
      <c r="X88" s="812">
        <v>38.639768411729214</v>
      </c>
      <c r="Y88" s="2880"/>
      <c r="Z88" s="2880"/>
    </row>
    <row r="89" spans="1:26" x14ac:dyDescent="0.2">
      <c r="D89" s="790" t="s">
        <v>648</v>
      </c>
      <c r="E89" s="797">
        <v>41.214651698670131</v>
      </c>
      <c r="F89" s="797">
        <v>44.937792426047523</v>
      </c>
      <c r="G89" s="797">
        <v>46.685360216092043</v>
      </c>
      <c r="H89" s="797">
        <v>46.32668229814044</v>
      </c>
      <c r="I89" s="797">
        <v>44.337683609573645</v>
      </c>
      <c r="J89" s="797">
        <v>42.273767042478994</v>
      </c>
      <c r="K89" s="797">
        <v>42.222185927840393</v>
      </c>
      <c r="L89" s="797">
        <v>35.010744759558641</v>
      </c>
      <c r="M89" s="797">
        <v>36.613854064026832</v>
      </c>
      <c r="N89" s="797">
        <v>40.00870501156836</v>
      </c>
      <c r="O89" s="797">
        <v>40.194481047916483</v>
      </c>
      <c r="P89" s="797">
        <v>39.992109864634465</v>
      </c>
      <c r="Q89" s="810">
        <v>39.074963665073867</v>
      </c>
      <c r="R89" s="810">
        <v>38.956371190264534</v>
      </c>
      <c r="S89" s="810">
        <v>38.977943005685226</v>
      </c>
      <c r="T89" s="810">
        <v>40.226993952701918</v>
      </c>
      <c r="U89" s="811">
        <v>40.342312882241174</v>
      </c>
      <c r="V89" s="812">
        <v>41.029143522744107</v>
      </c>
      <c r="W89" s="812">
        <v>42.023229820384465</v>
      </c>
      <c r="X89" s="812">
        <v>45.502255990358044</v>
      </c>
      <c r="Y89" s="2880"/>
      <c r="Z89" s="2880"/>
    </row>
    <row r="90" spans="1:26" s="815" customFormat="1" x14ac:dyDescent="0.2">
      <c r="A90" s="630"/>
      <c r="B90" s="662"/>
      <c r="C90" s="662"/>
      <c r="D90" s="798" t="s">
        <v>50</v>
      </c>
      <c r="E90" s="803">
        <v>36.1</v>
      </c>
      <c r="F90" s="803">
        <v>38.4</v>
      </c>
      <c r="G90" s="803">
        <v>39.9</v>
      </c>
      <c r="H90" s="803">
        <v>39</v>
      </c>
      <c r="I90" s="803">
        <v>36.9</v>
      </c>
      <c r="J90" s="803">
        <v>35</v>
      </c>
      <c r="K90" s="803">
        <v>35.299999999999997</v>
      </c>
      <c r="L90" s="803">
        <v>29.7</v>
      </c>
      <c r="M90" s="803">
        <v>32.4</v>
      </c>
      <c r="N90" s="803">
        <v>35.4</v>
      </c>
      <c r="O90" s="803">
        <v>35.6</v>
      </c>
      <c r="P90" s="803">
        <v>35.6</v>
      </c>
      <c r="Q90" s="802">
        <v>35.299999999999997</v>
      </c>
      <c r="R90" s="802">
        <v>35.299999999999997</v>
      </c>
      <c r="S90" s="802">
        <v>34.799999999999997</v>
      </c>
      <c r="T90" s="802">
        <v>36.1</v>
      </c>
      <c r="U90" s="813">
        <v>36.5</v>
      </c>
      <c r="V90" s="814">
        <v>37</v>
      </c>
      <c r="W90" s="814">
        <v>38.460914354823608</v>
      </c>
      <c r="X90" s="814">
        <v>41.849271127524005</v>
      </c>
      <c r="Y90" s="2881"/>
      <c r="Z90" s="2881"/>
    </row>
    <row r="91" spans="1:26" s="815" customFormat="1" x14ac:dyDescent="0.2">
      <c r="A91" s="630"/>
      <c r="B91" s="662"/>
      <c r="C91" s="662"/>
      <c r="D91" s="785"/>
      <c r="E91" s="816"/>
      <c r="F91" s="816"/>
      <c r="G91" s="816"/>
      <c r="H91" s="816"/>
      <c r="I91" s="816"/>
      <c r="J91" s="816"/>
      <c r="K91" s="816"/>
      <c r="L91" s="816"/>
      <c r="M91" s="816"/>
      <c r="N91" s="816"/>
      <c r="O91" s="816"/>
      <c r="P91" s="816"/>
      <c r="Q91" s="786"/>
      <c r="R91" s="786"/>
      <c r="S91" s="786"/>
      <c r="T91" s="786"/>
      <c r="U91" s="817"/>
      <c r="V91" s="817"/>
      <c r="W91" s="817"/>
    </row>
    <row r="92" spans="1:26" x14ac:dyDescent="0.2">
      <c r="E92" s="636" t="s">
        <v>679</v>
      </c>
    </row>
    <row r="93" spans="1:26" x14ac:dyDescent="0.2">
      <c r="D93" s="790" t="s">
        <v>389</v>
      </c>
      <c r="E93" s="791">
        <v>2001</v>
      </c>
      <c r="F93" s="791">
        <v>2002</v>
      </c>
      <c r="G93" s="791">
        <v>2003</v>
      </c>
      <c r="H93" s="791">
        <v>2004</v>
      </c>
      <c r="I93" s="791">
        <v>2005</v>
      </c>
      <c r="J93" s="792">
        <v>2006</v>
      </c>
      <c r="K93" s="793">
        <v>2007</v>
      </c>
      <c r="L93" s="794">
        <v>2008</v>
      </c>
      <c r="M93" s="794">
        <v>2009</v>
      </c>
      <c r="N93" s="794">
        <v>2010</v>
      </c>
      <c r="O93" s="794">
        <v>2011</v>
      </c>
      <c r="P93" s="794">
        <v>2012</v>
      </c>
      <c r="Q93" s="795">
        <v>2013</v>
      </c>
      <c r="R93" s="795">
        <v>2014</v>
      </c>
      <c r="S93" s="795">
        <v>2015</v>
      </c>
      <c r="T93" s="795">
        <v>2016</v>
      </c>
      <c r="U93" s="795">
        <v>2017</v>
      </c>
      <c r="V93" s="795">
        <v>2018</v>
      </c>
      <c r="W93" s="795">
        <v>2019</v>
      </c>
      <c r="X93" s="795">
        <v>2020</v>
      </c>
      <c r="Y93" s="2879"/>
      <c r="Z93" s="2879"/>
    </row>
    <row r="94" spans="1:26" x14ac:dyDescent="0.2">
      <c r="D94" s="796" t="s">
        <v>673</v>
      </c>
      <c r="E94" s="797">
        <v>63.2</v>
      </c>
      <c r="F94" s="797">
        <v>65.5</v>
      </c>
      <c r="G94" s="797">
        <v>69.3</v>
      </c>
      <c r="H94" s="797">
        <v>67.8</v>
      </c>
      <c r="I94" s="797">
        <v>64.5</v>
      </c>
      <c r="J94" s="797">
        <v>62.1</v>
      </c>
      <c r="K94" s="797">
        <v>62.6</v>
      </c>
      <c r="L94" s="797">
        <v>55.4</v>
      </c>
      <c r="M94" s="797">
        <v>60.1</v>
      </c>
      <c r="N94" s="797">
        <v>65</v>
      </c>
      <c r="O94" s="797">
        <v>65</v>
      </c>
      <c r="P94" s="797">
        <v>65.900000000000006</v>
      </c>
      <c r="Q94" s="797">
        <v>65.5</v>
      </c>
      <c r="R94" s="797">
        <v>65</v>
      </c>
      <c r="S94" s="797">
        <v>62.8</v>
      </c>
      <c r="T94" s="797">
        <v>65.7</v>
      </c>
      <c r="U94" s="797">
        <v>65.400000000000006</v>
      </c>
      <c r="V94" s="797">
        <v>66.599999999999994</v>
      </c>
      <c r="W94" s="797">
        <v>69.229183038017553</v>
      </c>
      <c r="X94" s="797">
        <v>72.654102933266117</v>
      </c>
      <c r="Y94" s="769"/>
      <c r="Z94" s="769"/>
    </row>
    <row r="95" spans="1:26" x14ac:dyDescent="0.2">
      <c r="D95" s="790" t="s">
        <v>674</v>
      </c>
      <c r="E95" s="797">
        <v>40</v>
      </c>
      <c r="F95" s="797">
        <v>41.9</v>
      </c>
      <c r="G95" s="797">
        <v>43.2</v>
      </c>
      <c r="H95" s="797">
        <v>42.7</v>
      </c>
      <c r="I95" s="797">
        <v>40.700000000000003</v>
      </c>
      <c r="J95" s="797">
        <v>38.1</v>
      </c>
      <c r="K95" s="797">
        <v>38.5</v>
      </c>
      <c r="L95" s="797">
        <v>32.6</v>
      </c>
      <c r="M95" s="797">
        <v>36.299999999999997</v>
      </c>
      <c r="N95" s="797">
        <v>39</v>
      </c>
      <c r="O95" s="797">
        <v>40</v>
      </c>
      <c r="P95" s="797">
        <v>39.5</v>
      </c>
      <c r="Q95" s="797">
        <v>39.200000000000003</v>
      </c>
      <c r="R95" s="797">
        <v>39.799999999999997</v>
      </c>
      <c r="S95" s="797">
        <v>39.4</v>
      </c>
      <c r="T95" s="797">
        <v>40.700000000000003</v>
      </c>
      <c r="U95" s="797">
        <v>42</v>
      </c>
      <c r="V95" s="797">
        <v>43</v>
      </c>
      <c r="W95" s="797">
        <v>44.85979239826333</v>
      </c>
      <c r="X95" s="797">
        <v>49.00664798256139</v>
      </c>
      <c r="Y95" s="769"/>
      <c r="Z95" s="769"/>
    </row>
    <row r="96" spans="1:26" x14ac:dyDescent="0.2">
      <c r="D96" s="796" t="s">
        <v>675</v>
      </c>
      <c r="E96" s="797">
        <v>23</v>
      </c>
      <c r="F96" s="797">
        <v>24.8</v>
      </c>
      <c r="G96" s="797">
        <v>25.6</v>
      </c>
      <c r="H96" s="797">
        <v>26.2</v>
      </c>
      <c r="I96" s="797">
        <v>24.7</v>
      </c>
      <c r="J96" s="797">
        <v>24.4</v>
      </c>
      <c r="K96" s="797">
        <v>23.5</v>
      </c>
      <c r="L96" s="797">
        <v>21.3</v>
      </c>
      <c r="M96" s="797">
        <v>23.3</v>
      </c>
      <c r="N96" s="797">
        <v>25.7</v>
      </c>
      <c r="O96" s="797">
        <v>26.3</v>
      </c>
      <c r="P96" s="797">
        <v>26.3</v>
      </c>
      <c r="Q96" s="797">
        <v>26.3</v>
      </c>
      <c r="R96" s="797">
        <v>26.6</v>
      </c>
      <c r="S96" s="797">
        <v>26.7</v>
      </c>
      <c r="T96" s="797">
        <v>28</v>
      </c>
      <c r="U96" s="797">
        <v>28.5</v>
      </c>
      <c r="V96" s="797">
        <v>28.8</v>
      </c>
      <c r="W96" s="797">
        <v>29.967771352840511</v>
      </c>
      <c r="X96" s="797">
        <v>34.932450118486777</v>
      </c>
      <c r="Y96" s="769"/>
      <c r="Z96" s="769"/>
    </row>
    <row r="97" spans="1:26" x14ac:dyDescent="0.2">
      <c r="D97" s="790" t="s">
        <v>676</v>
      </c>
      <c r="E97" s="797">
        <v>18.899999999999999</v>
      </c>
      <c r="F97" s="797">
        <v>21.2</v>
      </c>
      <c r="G97" s="797">
        <v>21.3</v>
      </c>
      <c r="H97" s="797">
        <v>19.899999999999999</v>
      </c>
      <c r="I97" s="797">
        <v>19</v>
      </c>
      <c r="J97" s="797">
        <v>18</v>
      </c>
      <c r="K97" s="797">
        <v>19.600000000000001</v>
      </c>
      <c r="L97" s="797">
        <v>15.3</v>
      </c>
      <c r="M97" s="797">
        <v>17.2</v>
      </c>
      <c r="N97" s="797">
        <v>20.2</v>
      </c>
      <c r="O97" s="797">
        <v>20</v>
      </c>
      <c r="P97" s="797">
        <v>20.6</v>
      </c>
      <c r="Q97" s="797">
        <v>20.6</v>
      </c>
      <c r="R97" s="797">
        <v>21.2</v>
      </c>
      <c r="S97" s="797">
        <v>21.1</v>
      </c>
      <c r="T97" s="797">
        <v>22.2</v>
      </c>
      <c r="U97" s="797">
        <v>23.1</v>
      </c>
      <c r="V97" s="797">
        <v>23.7</v>
      </c>
      <c r="W97" s="797">
        <v>24.757500152702239</v>
      </c>
      <c r="X97" s="797">
        <v>27.794458593182647</v>
      </c>
      <c r="Y97" s="769"/>
      <c r="Z97" s="769"/>
    </row>
    <row r="98" spans="1:26" x14ac:dyDescent="0.2">
      <c r="D98" s="796" t="s">
        <v>677</v>
      </c>
      <c r="E98" s="797">
        <v>14.6</v>
      </c>
      <c r="F98" s="797">
        <v>17.3</v>
      </c>
      <c r="G98" s="797">
        <v>16.5</v>
      </c>
      <c r="H98" s="797">
        <v>14.6</v>
      </c>
      <c r="I98" s="797">
        <v>14.1</v>
      </c>
      <c r="J98" s="797">
        <v>12.1</v>
      </c>
      <c r="K98" s="797">
        <v>13.8</v>
      </c>
      <c r="L98" s="797">
        <v>11.6</v>
      </c>
      <c r="M98" s="797">
        <v>11.9</v>
      </c>
      <c r="N98" s="797">
        <v>14.7</v>
      </c>
      <c r="O98" s="797">
        <v>12.9</v>
      </c>
      <c r="P98" s="797">
        <v>14.5</v>
      </c>
      <c r="Q98" s="797">
        <v>14.5</v>
      </c>
      <c r="R98" s="797">
        <v>15</v>
      </c>
      <c r="S98" s="797">
        <v>15.4</v>
      </c>
      <c r="T98" s="797">
        <v>16.399999999999999</v>
      </c>
      <c r="U98" s="797">
        <v>16.5</v>
      </c>
      <c r="V98" s="797">
        <v>16.8</v>
      </c>
      <c r="W98" s="797">
        <v>17.540014983658782</v>
      </c>
      <c r="X98" s="797">
        <v>21.410254941419193</v>
      </c>
      <c r="Y98" s="769"/>
      <c r="Z98" s="769"/>
    </row>
    <row r="99" spans="1:26" s="815" customFormat="1" x14ac:dyDescent="0.2">
      <c r="A99" s="630"/>
      <c r="B99" s="662"/>
      <c r="C99" s="662"/>
      <c r="D99" s="818" t="s">
        <v>50</v>
      </c>
      <c r="E99" s="803">
        <v>36.1</v>
      </c>
      <c r="F99" s="803">
        <v>38.4</v>
      </c>
      <c r="G99" s="803">
        <v>39.9</v>
      </c>
      <c r="H99" s="803">
        <v>39</v>
      </c>
      <c r="I99" s="803">
        <v>36.9</v>
      </c>
      <c r="J99" s="803">
        <v>35</v>
      </c>
      <c r="K99" s="803">
        <v>35.299999999999997</v>
      </c>
      <c r="L99" s="803">
        <v>29.7</v>
      </c>
      <c r="M99" s="803">
        <v>32.4</v>
      </c>
      <c r="N99" s="803">
        <v>35.4</v>
      </c>
      <c r="O99" s="803">
        <v>35.6</v>
      </c>
      <c r="P99" s="803">
        <v>35.6</v>
      </c>
      <c r="Q99" s="803">
        <v>35.299999999999997</v>
      </c>
      <c r="R99" s="803">
        <v>35.299999999999997</v>
      </c>
      <c r="S99" s="803">
        <v>34.799999999999997</v>
      </c>
      <c r="T99" s="803">
        <v>36.1</v>
      </c>
      <c r="U99" s="803">
        <v>36.5</v>
      </c>
      <c r="V99" s="803">
        <v>37</v>
      </c>
      <c r="W99" s="803">
        <v>38.46091435482375</v>
      </c>
      <c r="X99" s="803">
        <v>41.849271127523807</v>
      </c>
      <c r="Y99" s="816"/>
      <c r="Z99" s="816"/>
    </row>
    <row r="100" spans="1:26" s="815" customFormat="1" x14ac:dyDescent="0.2">
      <c r="A100" s="630"/>
      <c r="B100" s="662"/>
      <c r="C100" s="662"/>
      <c r="E100" s="816"/>
      <c r="F100" s="816"/>
      <c r="G100" s="816"/>
      <c r="H100" s="816"/>
      <c r="I100" s="816"/>
      <c r="J100" s="816"/>
      <c r="K100" s="816"/>
      <c r="L100" s="816"/>
      <c r="M100" s="816"/>
      <c r="N100" s="816"/>
      <c r="O100" s="816"/>
      <c r="P100" s="816"/>
      <c r="Q100" s="816"/>
      <c r="R100" s="816"/>
      <c r="S100" s="816"/>
      <c r="T100" s="816"/>
      <c r="U100" s="816"/>
      <c r="V100" s="816"/>
      <c r="W100" s="816"/>
    </row>
    <row r="101" spans="1:26" s="815" customFormat="1" x14ac:dyDescent="0.2">
      <c r="A101" s="630"/>
      <c r="B101" s="662"/>
      <c r="C101" s="662"/>
      <c r="E101" s="816"/>
      <c r="F101" s="816"/>
      <c r="G101" s="816"/>
      <c r="H101" s="816"/>
      <c r="I101" s="816"/>
      <c r="J101" s="816"/>
      <c r="K101" s="816"/>
      <c r="L101" s="816"/>
      <c r="M101" s="816"/>
      <c r="N101" s="816"/>
      <c r="O101" s="816"/>
      <c r="P101" s="816"/>
      <c r="Q101" s="816"/>
      <c r="R101" s="816"/>
      <c r="S101" s="816"/>
      <c r="T101" s="816"/>
      <c r="U101" s="816"/>
      <c r="V101" s="816"/>
      <c r="W101" s="816"/>
    </row>
    <row r="102" spans="1:26" x14ac:dyDescent="0.2">
      <c r="D102" s="744" t="s">
        <v>365</v>
      </c>
      <c r="E102" s="744" t="s">
        <v>680</v>
      </c>
      <c r="F102" s="745"/>
      <c r="G102" s="746"/>
      <c r="H102" s="746"/>
      <c r="I102" s="747"/>
    </row>
    <row r="103" spans="1:26" x14ac:dyDescent="0.2">
      <c r="D103" s="790" t="s">
        <v>389</v>
      </c>
      <c r="E103" s="791">
        <v>2001</v>
      </c>
      <c r="F103" s="791">
        <v>2002</v>
      </c>
      <c r="G103" s="791">
        <v>2003</v>
      </c>
      <c r="H103" s="791">
        <v>2004</v>
      </c>
      <c r="I103" s="791">
        <v>2005</v>
      </c>
      <c r="J103" s="792">
        <v>2006</v>
      </c>
      <c r="K103" s="793">
        <v>2007</v>
      </c>
      <c r="L103" s="794">
        <v>2008</v>
      </c>
      <c r="M103" s="794">
        <v>2009</v>
      </c>
      <c r="N103" s="794">
        <v>2010</v>
      </c>
      <c r="O103" s="794">
        <v>2011</v>
      </c>
      <c r="P103" s="794">
        <v>2012</v>
      </c>
      <c r="Q103" s="795">
        <v>2013</v>
      </c>
      <c r="R103" s="795">
        <v>2014</v>
      </c>
      <c r="S103" s="795">
        <v>2015</v>
      </c>
      <c r="T103" s="795">
        <v>2016</v>
      </c>
      <c r="U103" s="795">
        <v>2017</v>
      </c>
      <c r="V103" s="795">
        <v>2018</v>
      </c>
      <c r="W103" s="795">
        <v>2019</v>
      </c>
      <c r="X103" s="819">
        <v>2020</v>
      </c>
      <c r="Y103" s="2882"/>
      <c r="Z103" s="2882"/>
    </row>
    <row r="104" spans="1:26" x14ac:dyDescent="0.2">
      <c r="D104" s="796" t="s">
        <v>647</v>
      </c>
      <c r="E104" s="797">
        <v>23.1</v>
      </c>
      <c r="F104" s="797">
        <v>23.5</v>
      </c>
      <c r="G104" s="797">
        <v>23.7</v>
      </c>
      <c r="H104" s="797">
        <v>21.2</v>
      </c>
      <c r="I104" s="797">
        <v>20</v>
      </c>
      <c r="J104" s="797">
        <v>18.600000000000001</v>
      </c>
      <c r="K104" s="797">
        <v>18.8</v>
      </c>
      <c r="L104" s="797">
        <v>19.8</v>
      </c>
      <c r="M104" s="797">
        <v>22</v>
      </c>
      <c r="N104" s="797">
        <v>23</v>
      </c>
      <c r="O104" s="797">
        <v>22.7</v>
      </c>
      <c r="P104" s="797">
        <v>23</v>
      </c>
      <c r="Q104" s="797">
        <v>23.1</v>
      </c>
      <c r="R104" s="797">
        <v>23.3</v>
      </c>
      <c r="S104" s="797">
        <v>23.4</v>
      </c>
      <c r="T104" s="797">
        <v>24.7</v>
      </c>
      <c r="U104" s="797">
        <v>25.7</v>
      </c>
      <c r="V104" s="797">
        <v>25.3</v>
      </c>
      <c r="W104" s="797">
        <v>27</v>
      </c>
      <c r="X104" s="797">
        <v>28</v>
      </c>
      <c r="Y104" s="769"/>
      <c r="Z104" s="769"/>
    </row>
    <row r="105" spans="1:26" x14ac:dyDescent="0.2">
      <c r="D105" s="790" t="s">
        <v>648</v>
      </c>
      <c r="E105" s="797">
        <v>27.9</v>
      </c>
      <c r="F105" s="797">
        <v>31.3</v>
      </c>
      <c r="G105" s="797">
        <v>31.1</v>
      </c>
      <c r="H105" s="797">
        <v>28.7</v>
      </c>
      <c r="I105" s="797">
        <v>28.2</v>
      </c>
      <c r="J105" s="797">
        <v>27.1</v>
      </c>
      <c r="K105" s="797">
        <v>26.4</v>
      </c>
      <c r="L105" s="797">
        <v>25.9</v>
      </c>
      <c r="M105" s="797">
        <v>25.7</v>
      </c>
      <c r="N105" s="797">
        <v>27.2</v>
      </c>
      <c r="O105" s="797">
        <v>27.3</v>
      </c>
      <c r="P105" s="797">
        <v>27.2</v>
      </c>
      <c r="Q105" s="797">
        <v>26.7</v>
      </c>
      <c r="R105" s="797">
        <v>27.2</v>
      </c>
      <c r="S105" s="797">
        <v>27.7</v>
      </c>
      <c r="T105" s="797">
        <v>29.1</v>
      </c>
      <c r="U105" s="797">
        <v>29.6</v>
      </c>
      <c r="V105" s="797">
        <v>29.3</v>
      </c>
      <c r="W105" s="797">
        <v>30.7</v>
      </c>
      <c r="X105" s="797">
        <v>31.2</v>
      </c>
      <c r="Y105" s="769"/>
      <c r="Z105" s="769"/>
    </row>
    <row r="106" spans="1:26" x14ac:dyDescent="0.2">
      <c r="D106" s="798" t="s">
        <v>50</v>
      </c>
      <c r="E106" s="797">
        <v>25.4</v>
      </c>
      <c r="F106" s="797">
        <v>27.2</v>
      </c>
      <c r="G106" s="797">
        <v>27.1</v>
      </c>
      <c r="H106" s="797">
        <v>24.7</v>
      </c>
      <c r="I106" s="797">
        <v>23.8</v>
      </c>
      <c r="J106" s="797">
        <v>22.6</v>
      </c>
      <c r="K106" s="797">
        <v>22.3</v>
      </c>
      <c r="L106" s="797">
        <v>22.5</v>
      </c>
      <c r="M106" s="797">
        <v>23.7</v>
      </c>
      <c r="N106" s="797">
        <v>24.9</v>
      </c>
      <c r="O106" s="797">
        <v>24.8</v>
      </c>
      <c r="P106" s="797">
        <v>24.9</v>
      </c>
      <c r="Q106" s="797">
        <v>24.7</v>
      </c>
      <c r="R106" s="797">
        <v>25.1</v>
      </c>
      <c r="S106" s="797">
        <v>25.3</v>
      </c>
      <c r="T106" s="797">
        <v>26.7</v>
      </c>
      <c r="U106" s="797">
        <v>27.5</v>
      </c>
      <c r="V106" s="797">
        <v>27.1</v>
      </c>
      <c r="W106" s="797">
        <v>28.7</v>
      </c>
      <c r="X106" s="797">
        <v>29.4</v>
      </c>
      <c r="Y106" s="769"/>
      <c r="Z106" s="769"/>
    </row>
  </sheetData>
  <sheetProtection selectLockedCells="1"/>
  <mergeCells count="8">
    <mergeCell ref="D69:V69"/>
    <mergeCell ref="D70:V70"/>
    <mergeCell ref="D2:X2"/>
    <mergeCell ref="D3:X3"/>
    <mergeCell ref="D4:X4"/>
    <mergeCell ref="D5:X5"/>
    <mergeCell ref="D67:V67"/>
    <mergeCell ref="D68:V68"/>
  </mergeCells>
  <pageMargins left="0.74803149606299213" right="0.74803149606299213" top="0.98425196850393704" bottom="0.98425196850393704" header="0.51181102362204722" footer="0.51181102362204722"/>
  <pageSetup paperSize="9" scale="48"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7215E-98F1-4295-A5A8-506737455954}">
  <sheetPr>
    <tabColor rgb="FF00FFFF"/>
    <pageSetUpPr fitToPage="1"/>
  </sheetPr>
  <dimension ref="A1:AE117"/>
  <sheetViews>
    <sheetView showGridLines="0" view="pageBreakPreview" topLeftCell="A13" zoomScaleNormal="100" zoomScaleSheetLayoutView="100" workbookViewId="0">
      <selection activeCell="AD40" sqref="AD40"/>
    </sheetView>
  </sheetViews>
  <sheetFormatPr defaultColWidth="9.140625" defaultRowHeight="12.75" x14ac:dyDescent="0.2"/>
  <cols>
    <col min="1" max="1" width="3.85546875" style="630" customWidth="1"/>
    <col min="2" max="2" width="14.42578125" style="631" customWidth="1"/>
    <col min="3" max="3" width="3.85546875" style="631" customWidth="1"/>
    <col min="4" max="4" width="29.5703125" style="633" customWidth="1"/>
    <col min="5" max="9" width="9.140625" style="633" hidden="1" customWidth="1"/>
    <col min="10" max="10" width="7.85546875" style="633" bestFit="1" customWidth="1"/>
    <col min="11" max="21" width="9.140625" style="633" customWidth="1"/>
    <col min="22" max="25" width="9.140625" style="633"/>
    <col min="26" max="26" width="8.42578125" style="3904" customWidth="1"/>
    <col min="27" max="16384" width="9.140625" style="633"/>
  </cols>
  <sheetData>
    <row r="1" spans="1:28" x14ac:dyDescent="0.2">
      <c r="D1" s="632"/>
      <c r="E1" s="632"/>
      <c r="F1" s="632"/>
      <c r="G1" s="632"/>
      <c r="H1" s="632"/>
      <c r="I1" s="632"/>
      <c r="J1" s="632"/>
      <c r="K1" s="632"/>
    </row>
    <row r="2" spans="1:28" ht="15" customHeight="1" x14ac:dyDescent="0.2">
      <c r="A2" s="630">
        <v>1</v>
      </c>
      <c r="B2" s="630" t="s">
        <v>0</v>
      </c>
      <c r="C2" s="630">
        <v>21</v>
      </c>
      <c r="D2" s="4728" t="s">
        <v>630</v>
      </c>
      <c r="E2" s="4729"/>
      <c r="F2" s="4729"/>
      <c r="G2" s="4729"/>
      <c r="H2" s="4729"/>
      <c r="I2" s="4729"/>
      <c r="J2" s="4729"/>
      <c r="K2" s="4729"/>
      <c r="L2" s="4729"/>
      <c r="M2" s="4729"/>
      <c r="N2" s="4729"/>
      <c r="O2" s="4729"/>
      <c r="P2" s="4729"/>
      <c r="Q2" s="4729"/>
      <c r="R2" s="4729"/>
      <c r="S2" s="4729"/>
      <c r="T2" s="4729"/>
      <c r="U2" s="4729"/>
      <c r="V2" s="4729"/>
      <c r="W2" s="4729"/>
      <c r="X2" s="4730"/>
      <c r="Y2" s="888"/>
      <c r="Z2" s="3916"/>
    </row>
    <row r="3" spans="1:28" ht="15" customHeight="1" x14ac:dyDescent="0.2">
      <c r="A3" s="630">
        <v>2</v>
      </c>
      <c r="B3" s="630" t="s">
        <v>2</v>
      </c>
      <c r="C3" s="630"/>
      <c r="D3" s="4728" t="s">
        <v>630</v>
      </c>
      <c r="E3" s="4729"/>
      <c r="F3" s="4729"/>
      <c r="G3" s="4729"/>
      <c r="H3" s="4729"/>
      <c r="I3" s="4729"/>
      <c r="J3" s="4729"/>
      <c r="K3" s="4729"/>
      <c r="L3" s="4729"/>
      <c r="M3" s="4729"/>
      <c r="N3" s="4729"/>
      <c r="O3" s="4729"/>
      <c r="P3" s="4729"/>
      <c r="Q3" s="4729"/>
      <c r="R3" s="4729"/>
      <c r="S3" s="4729"/>
      <c r="T3" s="4729"/>
      <c r="U3" s="4729"/>
      <c r="V3" s="4729"/>
      <c r="W3" s="4729"/>
      <c r="X3" s="4730"/>
      <c r="Y3" s="888"/>
      <c r="Z3" s="3916"/>
    </row>
    <row r="4" spans="1:28" ht="12.75" customHeight="1" x14ac:dyDescent="0.2">
      <c r="A4" s="630">
        <v>3</v>
      </c>
      <c r="B4" s="630" t="s">
        <v>4</v>
      </c>
      <c r="C4" s="630"/>
      <c r="D4" s="4728" t="s">
        <v>631</v>
      </c>
      <c r="E4" s="4729"/>
      <c r="F4" s="4729"/>
      <c r="G4" s="4729"/>
      <c r="H4" s="4729"/>
      <c r="I4" s="4729"/>
      <c r="J4" s="4729"/>
      <c r="K4" s="4729"/>
      <c r="L4" s="4729"/>
      <c r="M4" s="4729"/>
      <c r="N4" s="4729"/>
      <c r="O4" s="4729"/>
      <c r="P4" s="4729"/>
      <c r="Q4" s="4729"/>
      <c r="R4" s="4729"/>
      <c r="S4" s="4729"/>
      <c r="T4" s="4729"/>
      <c r="U4" s="4729"/>
      <c r="V4" s="4729"/>
      <c r="W4" s="4729"/>
      <c r="X4" s="4730"/>
      <c r="Y4" s="888"/>
      <c r="Z4" s="3916"/>
    </row>
    <row r="5" spans="1:28" ht="14.45" customHeight="1" x14ac:dyDescent="0.2">
      <c r="B5" s="630"/>
      <c r="C5" s="630"/>
      <c r="D5" s="4728"/>
      <c r="E5" s="4729"/>
      <c r="F5" s="4729"/>
      <c r="G5" s="4729"/>
      <c r="H5" s="4729"/>
      <c r="I5" s="4729"/>
      <c r="J5" s="4729"/>
      <c r="K5" s="4729"/>
      <c r="L5" s="4729"/>
      <c r="M5" s="4729"/>
      <c r="N5" s="4729"/>
      <c r="O5" s="4729"/>
      <c r="P5" s="4729"/>
      <c r="Q5" s="4729"/>
      <c r="R5" s="4729"/>
      <c r="S5" s="4729"/>
      <c r="T5" s="4729"/>
      <c r="U5" s="4729"/>
      <c r="V5" s="4729"/>
      <c r="W5" s="4729"/>
      <c r="X5" s="4730"/>
      <c r="Y5" s="888"/>
      <c r="Z5" s="3916"/>
    </row>
    <row r="6" spans="1:28" x14ac:dyDescent="0.2">
      <c r="C6" s="630"/>
      <c r="K6" s="634"/>
      <c r="L6" s="635"/>
      <c r="M6" s="635"/>
      <c r="N6" s="635"/>
      <c r="O6" s="635"/>
      <c r="P6" s="635"/>
      <c r="Q6" s="635"/>
      <c r="R6" s="635"/>
      <c r="S6" s="635"/>
      <c r="T6" s="635"/>
      <c r="U6" s="635"/>
    </row>
    <row r="7" spans="1:28" x14ac:dyDescent="0.2">
      <c r="A7" s="630">
        <v>4</v>
      </c>
      <c r="B7" s="630" t="s">
        <v>6</v>
      </c>
      <c r="D7" s="636" t="s">
        <v>7</v>
      </c>
      <c r="E7" s="636" t="s">
        <v>630</v>
      </c>
      <c r="F7" s="636"/>
      <c r="G7" s="636"/>
      <c r="H7" s="636"/>
      <c r="I7" s="632"/>
      <c r="J7" s="632"/>
      <c r="K7" s="637"/>
      <c r="L7" s="635"/>
      <c r="M7" s="638"/>
      <c r="N7" s="638"/>
      <c r="O7" s="638"/>
      <c r="P7" s="638"/>
      <c r="Q7" s="638"/>
      <c r="R7" s="638"/>
      <c r="S7" s="638"/>
      <c r="T7" s="638"/>
      <c r="U7" s="638"/>
    </row>
    <row r="8" spans="1:28" ht="14.85" customHeight="1" x14ac:dyDescent="0.2">
      <c r="D8" s="3906"/>
      <c r="E8" s="639">
        <v>2001</v>
      </c>
      <c r="F8" s="639">
        <v>2002</v>
      </c>
      <c r="G8" s="639">
        <v>2003</v>
      </c>
      <c r="H8" s="639">
        <v>2004</v>
      </c>
      <c r="I8" s="639">
        <v>2005</v>
      </c>
      <c r="J8" s="639">
        <v>2006</v>
      </c>
      <c r="K8" s="639">
        <v>2007</v>
      </c>
      <c r="L8" s="639">
        <v>2008</v>
      </c>
      <c r="M8" s="639">
        <v>2009</v>
      </c>
      <c r="N8" s="639">
        <v>2010</v>
      </c>
      <c r="O8" s="639">
        <v>2011</v>
      </c>
      <c r="P8" s="639">
        <v>2012</v>
      </c>
      <c r="Q8" s="639">
        <v>2013</v>
      </c>
      <c r="R8" s="639">
        <v>2014</v>
      </c>
      <c r="S8" s="639">
        <v>2015</v>
      </c>
      <c r="T8" s="639">
        <v>2016</v>
      </c>
      <c r="U8" s="639">
        <v>2017</v>
      </c>
      <c r="V8" s="639">
        <v>2018</v>
      </c>
      <c r="W8" s="639">
        <v>2019</v>
      </c>
      <c r="X8" s="639">
        <v>2020</v>
      </c>
      <c r="Y8" s="639">
        <v>2021</v>
      </c>
      <c r="Z8" s="639">
        <v>2022</v>
      </c>
    </row>
    <row r="9" spans="1:28" x14ac:dyDescent="0.2">
      <c r="D9" s="640" t="s">
        <v>632</v>
      </c>
      <c r="E9" s="641"/>
      <c r="F9" s="641"/>
      <c r="G9" s="641"/>
      <c r="H9" s="641"/>
      <c r="I9" s="641"/>
      <c r="J9" s="641"/>
      <c r="K9" s="641"/>
      <c r="L9" s="641"/>
      <c r="M9" s="641"/>
      <c r="N9" s="641"/>
      <c r="O9" s="641"/>
      <c r="P9" s="641"/>
      <c r="Q9" s="641"/>
      <c r="R9" s="641"/>
      <c r="S9" s="641"/>
      <c r="T9" s="641"/>
      <c r="U9" s="641"/>
      <c r="V9" s="641"/>
      <c r="W9" s="641"/>
      <c r="X9" s="641"/>
      <c r="Y9" s="661"/>
      <c r="Z9" s="661"/>
    </row>
    <row r="10" spans="1:28" ht="15" x14ac:dyDescent="0.25">
      <c r="D10" s="642" t="s">
        <v>633</v>
      </c>
      <c r="E10" s="643">
        <v>2129</v>
      </c>
      <c r="F10" s="643">
        <v>2177.5</v>
      </c>
      <c r="G10" s="643">
        <v>2006</v>
      </c>
      <c r="H10" s="643">
        <v>1998</v>
      </c>
      <c r="I10" s="643">
        <v>2440.5</v>
      </c>
      <c r="J10" s="643">
        <v>2573</v>
      </c>
      <c r="K10" s="643">
        <v>2325</v>
      </c>
      <c r="L10" s="643">
        <v>2379.9844079402401</v>
      </c>
      <c r="M10" s="643">
        <v>2220.9082455121093</v>
      </c>
      <c r="N10" s="643">
        <v>2258.5948090345109</v>
      </c>
      <c r="O10" s="643">
        <v>2269.9426425158872</v>
      </c>
      <c r="P10" s="643">
        <v>2274.6988455800774</v>
      </c>
      <c r="Q10" s="643">
        <v>2365.6091728737533</v>
      </c>
      <c r="R10" s="643">
        <v>2392.6113034777945</v>
      </c>
      <c r="S10" s="643">
        <v>2637</v>
      </c>
      <c r="T10" s="643">
        <v>2602</v>
      </c>
      <c r="U10" s="643">
        <v>2735</v>
      </c>
      <c r="V10" s="643">
        <v>2937</v>
      </c>
      <c r="W10" s="643">
        <v>2973.4868872338693</v>
      </c>
      <c r="X10" s="643">
        <v>2544.5438866924846</v>
      </c>
      <c r="Y10" s="643">
        <v>2632.2558159957634</v>
      </c>
      <c r="Z10" s="643">
        <v>2927.2938841996929</v>
      </c>
      <c r="AA10"/>
      <c r="AB10"/>
    </row>
    <row r="11" spans="1:28" ht="15.75" customHeight="1" x14ac:dyDescent="0.25">
      <c r="D11" s="642" t="s">
        <v>634</v>
      </c>
      <c r="E11" s="643">
        <v>7404</v>
      </c>
      <c r="F11" s="643">
        <v>7410</v>
      </c>
      <c r="G11" s="643">
        <v>7725</v>
      </c>
      <c r="H11" s="643">
        <v>8039</v>
      </c>
      <c r="I11" s="643">
        <v>8336.5</v>
      </c>
      <c r="J11" s="643">
        <v>8675.5</v>
      </c>
      <c r="K11" s="643">
        <v>9146.5</v>
      </c>
      <c r="L11" s="643">
        <v>10083.17665144513</v>
      </c>
      <c r="M11" s="643">
        <v>9966.943254108277</v>
      </c>
      <c r="N11" s="643">
        <v>9626.6474084566908</v>
      </c>
      <c r="O11" s="643">
        <v>9942.385411183106</v>
      </c>
      <c r="P11" s="643">
        <v>10222.218489834988</v>
      </c>
      <c r="Q11" s="643">
        <v>10524.415223359194</v>
      </c>
      <c r="R11" s="643">
        <v>10822.210861710188</v>
      </c>
      <c r="S11" s="643">
        <v>10935</v>
      </c>
      <c r="T11" s="643">
        <v>11021</v>
      </c>
      <c r="U11" s="643">
        <v>11288</v>
      </c>
      <c r="V11" s="643">
        <v>11319</v>
      </c>
      <c r="W11" s="643">
        <v>11234.282909197042</v>
      </c>
      <c r="X11" s="643">
        <v>10536</v>
      </c>
      <c r="Y11" s="643">
        <v>10043</v>
      </c>
      <c r="Z11" s="643">
        <v>10647.637695276508</v>
      </c>
      <c r="AA11"/>
      <c r="AB11"/>
    </row>
    <row r="12" spans="1:28" ht="15" x14ac:dyDescent="0.25">
      <c r="D12" s="644" t="s">
        <v>551</v>
      </c>
      <c r="E12" s="643">
        <v>861</v>
      </c>
      <c r="F12" s="643">
        <v>1116.5</v>
      </c>
      <c r="G12" s="643">
        <v>851</v>
      </c>
      <c r="H12" s="643">
        <v>800.5</v>
      </c>
      <c r="I12" s="643">
        <v>740</v>
      </c>
      <c r="J12" s="643">
        <v>859.5</v>
      </c>
      <c r="K12" s="643">
        <v>736.5</v>
      </c>
      <c r="L12" s="643">
        <v>818.61495003769858</v>
      </c>
      <c r="M12" s="643">
        <v>714.6480947219294</v>
      </c>
      <c r="N12" s="643">
        <v>665.29209048298367</v>
      </c>
      <c r="O12" s="643">
        <v>644.1343415675841</v>
      </c>
      <c r="P12" s="643">
        <v>696.24244234158959</v>
      </c>
      <c r="Q12" s="643">
        <v>739.95601888918736</v>
      </c>
      <c r="R12" s="643">
        <v>701.50574996723083</v>
      </c>
      <c r="S12" s="643">
        <v>880</v>
      </c>
      <c r="T12" s="643">
        <v>874</v>
      </c>
      <c r="U12" s="643">
        <v>843</v>
      </c>
      <c r="V12" s="643">
        <v>845</v>
      </c>
      <c r="W12" s="643">
        <v>861.0405655408083</v>
      </c>
      <c r="X12" s="643">
        <v>820.45544325263791</v>
      </c>
      <c r="Y12" s="643">
        <v>837.70370927317754</v>
      </c>
      <c r="Z12" s="643">
        <v>862.76514785401412</v>
      </c>
      <c r="AA12"/>
      <c r="AB12"/>
    </row>
    <row r="13" spans="1:28" ht="15" x14ac:dyDescent="0.25">
      <c r="C13" s="630"/>
      <c r="D13" s="3388" t="s">
        <v>635</v>
      </c>
      <c r="E13" s="3541">
        <v>1267</v>
      </c>
      <c r="F13" s="3541">
        <v>1260.5</v>
      </c>
      <c r="G13" s="3541">
        <v>1230.5</v>
      </c>
      <c r="H13" s="3541">
        <v>1206.5</v>
      </c>
      <c r="I13" s="3541">
        <v>1251.5</v>
      </c>
      <c r="J13" s="3541">
        <v>1311</v>
      </c>
      <c r="K13" s="3541">
        <v>1258.5</v>
      </c>
      <c r="L13" s="3541">
        <v>1303.0850276473977</v>
      </c>
      <c r="M13" s="3541">
        <v>1291.3246197177054</v>
      </c>
      <c r="N13" s="3541">
        <v>1237.4418465182118</v>
      </c>
      <c r="O13" s="3541">
        <v>1213.5877452405825</v>
      </c>
      <c r="P13" s="3541">
        <v>1231.7294365782625</v>
      </c>
      <c r="Q13" s="3541">
        <v>1235.6474196773265</v>
      </c>
      <c r="R13" s="3541">
        <v>1229.9756276517362</v>
      </c>
      <c r="S13" s="3541">
        <v>1288</v>
      </c>
      <c r="T13" s="3541">
        <v>1283</v>
      </c>
      <c r="U13" s="3541">
        <v>1303</v>
      </c>
      <c r="V13" s="3541">
        <v>1292</v>
      </c>
      <c r="W13" s="3541">
        <v>1281.0443941266335</v>
      </c>
      <c r="X13" s="3541">
        <v>1159.5799736945341</v>
      </c>
      <c r="Y13" s="3541">
        <v>1177.3413294841591</v>
      </c>
      <c r="Z13" s="3541">
        <v>1106.2938592708604</v>
      </c>
      <c r="AA13"/>
      <c r="AB13"/>
    </row>
    <row r="14" spans="1:28" ht="15" x14ac:dyDescent="0.25">
      <c r="D14" s="645" t="s">
        <v>636</v>
      </c>
      <c r="E14" s="646">
        <v>11659.564736131906</v>
      </c>
      <c r="F14" s="646">
        <v>11965.041438403612</v>
      </c>
      <c r="G14" s="646">
        <v>11812.429745588339</v>
      </c>
      <c r="H14" s="646">
        <v>12043.837496420887</v>
      </c>
      <c r="I14" s="646">
        <v>12768.858708318956</v>
      </c>
      <c r="J14" s="646">
        <v>13418.80723334651</v>
      </c>
      <c r="K14" s="646">
        <v>13467.260828648677</v>
      </c>
      <c r="L14" s="646">
        <v>14584.861037070465</v>
      </c>
      <c r="M14" s="646">
        <v>14193.824214060021</v>
      </c>
      <c r="N14" s="646">
        <v>13787.976154492397</v>
      </c>
      <c r="O14" s="646">
        <v>14070.050140507159</v>
      </c>
      <c r="P14" s="646">
        <v>14424.889214334915</v>
      </c>
      <c r="Q14" s="646">
        <v>14865.627834799463</v>
      </c>
      <c r="R14" s="646">
        <v>15146.303542806947</v>
      </c>
      <c r="S14" s="647">
        <v>15741</v>
      </c>
      <c r="T14" s="647">
        <v>15780</v>
      </c>
      <c r="U14" s="647">
        <v>16169</v>
      </c>
      <c r="V14" s="647">
        <v>16394</v>
      </c>
      <c r="W14" s="647">
        <v>16349.854756098353</v>
      </c>
      <c r="X14" s="647">
        <v>15061.297810745009</v>
      </c>
      <c r="Y14" s="647">
        <v>14690.76393927246</v>
      </c>
      <c r="Z14" s="647">
        <v>15543.990586601074</v>
      </c>
      <c r="AA14" s="2877"/>
      <c r="AB14" s="2878"/>
    </row>
    <row r="15" spans="1:28" ht="15" customHeight="1" x14ac:dyDescent="0.2">
      <c r="D15" s="3659" t="s">
        <v>637</v>
      </c>
      <c r="E15" s="648"/>
      <c r="F15" s="3915"/>
      <c r="G15" s="3915"/>
      <c r="H15" s="3915"/>
      <c r="I15" s="3915"/>
      <c r="J15" s="3915"/>
      <c r="K15" s="648"/>
      <c r="L15" s="649"/>
      <c r="M15" s="3914"/>
      <c r="N15" s="3914"/>
      <c r="O15" s="3913"/>
      <c r="P15" s="3913"/>
      <c r="Q15" s="3912"/>
      <c r="R15" s="3912"/>
      <c r="S15" s="3912"/>
      <c r="T15" s="3912"/>
      <c r="U15" s="3912"/>
      <c r="Z15" s="3911"/>
    </row>
    <row r="16" spans="1:28" ht="13.5" customHeight="1" x14ac:dyDescent="0.2">
      <c r="D16" s="3660" t="s">
        <v>638</v>
      </c>
      <c r="E16" s="3661">
        <v>45.8</v>
      </c>
      <c r="F16" s="3661">
        <v>43.1</v>
      </c>
      <c r="G16" s="3661">
        <v>41.2</v>
      </c>
      <c r="H16" s="3661">
        <v>41</v>
      </c>
      <c r="I16" s="3661">
        <v>42.6</v>
      </c>
      <c r="J16" s="3661">
        <v>44.4</v>
      </c>
      <c r="K16" s="3661">
        <v>44.1</v>
      </c>
      <c r="L16" s="3661">
        <v>46</v>
      </c>
      <c r="M16" s="3661">
        <v>44.5</v>
      </c>
      <c r="N16" s="3661">
        <v>42</v>
      </c>
      <c r="O16" s="3661">
        <v>41.6</v>
      </c>
      <c r="P16" s="3661">
        <v>42.2</v>
      </c>
      <c r="Q16" s="3661">
        <v>42.7</v>
      </c>
      <c r="R16" s="3661">
        <v>42.8</v>
      </c>
      <c r="S16" s="3661">
        <v>43.7</v>
      </c>
      <c r="T16" s="3661">
        <v>43</v>
      </c>
      <c r="U16" s="3661">
        <v>43.4</v>
      </c>
      <c r="V16" s="3661">
        <v>43.2</v>
      </c>
      <c r="W16" s="3661">
        <v>42.5</v>
      </c>
      <c r="X16" s="3661">
        <v>38.52652945144829</v>
      </c>
      <c r="Y16" s="3661">
        <v>37.030601305223534</v>
      </c>
      <c r="Z16" s="3661">
        <v>38.620083089406286</v>
      </c>
    </row>
    <row r="17" spans="1:31" ht="13.5" customHeight="1" x14ac:dyDescent="0.2">
      <c r="D17" s="650" t="s">
        <v>639</v>
      </c>
      <c r="E17" s="651">
        <v>60.8</v>
      </c>
      <c r="F17" s="651">
        <v>59.7</v>
      </c>
      <c r="G17" s="651">
        <v>58.3</v>
      </c>
      <c r="H17" s="651">
        <v>55.7</v>
      </c>
      <c r="I17" s="651">
        <v>56.3</v>
      </c>
      <c r="J17" s="651">
        <v>57.8</v>
      </c>
      <c r="K17" s="651">
        <v>57.7</v>
      </c>
      <c r="L17" s="651">
        <v>59.5</v>
      </c>
      <c r="M17" s="651">
        <v>57.9</v>
      </c>
      <c r="N17" s="651">
        <v>56.1</v>
      </c>
      <c r="O17" s="651">
        <v>55.9</v>
      </c>
      <c r="P17" s="651">
        <v>56.2</v>
      </c>
      <c r="Q17" s="651">
        <v>56.8</v>
      </c>
      <c r="R17" s="651">
        <v>57.1</v>
      </c>
      <c r="S17" s="651">
        <v>58.5</v>
      </c>
      <c r="T17" s="651">
        <v>58.7</v>
      </c>
      <c r="U17" s="651">
        <v>59.8</v>
      </c>
      <c r="V17" s="651">
        <v>59.3</v>
      </c>
      <c r="W17" s="651">
        <v>59.5</v>
      </c>
      <c r="X17" s="651">
        <v>54.597566081459561</v>
      </c>
      <c r="Y17" s="651">
        <v>56.334461396350996</v>
      </c>
      <c r="Z17" s="651">
        <v>58.083308562705426</v>
      </c>
    </row>
    <row r="18" spans="1:31" ht="13.5" customHeight="1" x14ac:dyDescent="0.2">
      <c r="D18" s="652"/>
      <c r="E18" s="653"/>
      <c r="F18" s="653"/>
      <c r="G18" s="653"/>
      <c r="H18" s="653"/>
      <c r="I18" s="653"/>
      <c r="J18" s="653"/>
      <c r="K18" s="653"/>
      <c r="L18" s="654"/>
      <c r="M18" s="654"/>
      <c r="N18" s="654"/>
      <c r="O18" s="655"/>
      <c r="P18" s="655"/>
      <c r="Z18" s="3911"/>
    </row>
    <row r="19" spans="1:31" ht="13.5" customHeight="1" x14ac:dyDescent="0.2">
      <c r="D19" s="636" t="s">
        <v>365</v>
      </c>
      <c r="E19" s="656" t="s">
        <v>640</v>
      </c>
      <c r="F19" s="653"/>
      <c r="G19" s="653"/>
      <c r="H19" s="653"/>
      <c r="I19" s="653"/>
      <c r="J19" s="653"/>
      <c r="K19" s="653"/>
      <c r="L19" s="657"/>
      <c r="M19" s="657"/>
      <c r="N19" s="657"/>
      <c r="O19" s="658"/>
      <c r="P19" s="658"/>
      <c r="Q19" s="659"/>
      <c r="R19" s="659"/>
      <c r="S19" s="659"/>
      <c r="T19" s="659"/>
      <c r="U19" s="659"/>
      <c r="Z19" s="3911"/>
    </row>
    <row r="20" spans="1:31" ht="13.5" customHeight="1" x14ac:dyDescent="0.2">
      <c r="D20" s="3906"/>
      <c r="E20" s="639">
        <v>2001</v>
      </c>
      <c r="F20" s="639">
        <v>2002</v>
      </c>
      <c r="G20" s="639">
        <v>2003</v>
      </c>
      <c r="H20" s="639">
        <v>2004</v>
      </c>
      <c r="I20" s="639">
        <v>2005</v>
      </c>
      <c r="J20" s="639">
        <v>2006</v>
      </c>
      <c r="K20" s="639">
        <v>2007</v>
      </c>
      <c r="L20" s="639">
        <v>2008</v>
      </c>
      <c r="M20" s="639">
        <v>2009</v>
      </c>
      <c r="N20" s="639">
        <v>2010</v>
      </c>
      <c r="O20" s="639">
        <v>2011</v>
      </c>
      <c r="P20" s="639">
        <v>2012</v>
      </c>
      <c r="Q20" s="639">
        <v>2013</v>
      </c>
      <c r="R20" s="639">
        <v>2014</v>
      </c>
      <c r="S20" s="639">
        <v>2015</v>
      </c>
      <c r="T20" s="639">
        <v>2016</v>
      </c>
      <c r="U20" s="639">
        <v>2017</v>
      </c>
      <c r="V20" s="639">
        <v>2018</v>
      </c>
      <c r="W20" s="639">
        <v>2019</v>
      </c>
      <c r="X20" s="639">
        <v>2020</v>
      </c>
      <c r="Y20" s="639">
        <v>2021</v>
      </c>
      <c r="Z20" s="639">
        <v>2022</v>
      </c>
    </row>
    <row r="21" spans="1:31" ht="13.5" customHeight="1" x14ac:dyDescent="0.2">
      <c r="D21" s="660" t="s">
        <v>284</v>
      </c>
      <c r="E21" s="661">
        <v>31.756281049710992</v>
      </c>
      <c r="F21" s="661">
        <v>35.43249249356613</v>
      </c>
      <c r="G21" s="661">
        <v>30.136307155246108</v>
      </c>
      <c r="H21" s="661">
        <v>28.770622196134873</v>
      </c>
      <c r="I21" s="661">
        <v>33.969438150414064</v>
      </c>
      <c r="J21" s="661">
        <v>37.002732376839717</v>
      </c>
      <c r="K21" s="661">
        <v>33.089802916964068</v>
      </c>
      <c r="L21" s="661">
        <v>55.357592625292291</v>
      </c>
      <c r="M21" s="661">
        <v>54.734771226159026</v>
      </c>
      <c r="N21" s="661">
        <v>52.827080856504722</v>
      </c>
      <c r="O21" s="661">
        <v>52.597569564881354</v>
      </c>
      <c r="P21" s="661">
        <v>52.187546959623788</v>
      </c>
      <c r="Q21" s="661">
        <v>52.253103496242204</v>
      </c>
      <c r="R21" s="661">
        <v>52.420076534080252</v>
      </c>
      <c r="S21" s="661">
        <v>53.8</v>
      </c>
      <c r="T21" s="661">
        <v>53.3</v>
      </c>
      <c r="U21" s="661">
        <v>54.2</v>
      </c>
      <c r="V21" s="661">
        <v>54.92536195077745</v>
      </c>
      <c r="W21" s="661">
        <v>53.883920762034244</v>
      </c>
      <c r="X21" s="661">
        <v>48.708829999999999</v>
      </c>
      <c r="Y21" s="661">
        <v>46.881720000000001</v>
      </c>
      <c r="Z21" s="661">
        <v>49.223752079974922</v>
      </c>
    </row>
    <row r="22" spans="1:31" ht="13.5" customHeight="1" x14ac:dyDescent="0.2">
      <c r="D22" s="660" t="s">
        <v>276</v>
      </c>
      <c r="E22" s="661">
        <v>48.118986816943426</v>
      </c>
      <c r="F22" s="661">
        <v>46.957257464035337</v>
      </c>
      <c r="G22" s="661">
        <v>46.827743982924439</v>
      </c>
      <c r="H22" s="661">
        <v>45.574803488252464</v>
      </c>
      <c r="I22" s="661">
        <v>44.506987053543853</v>
      </c>
      <c r="J22" s="661">
        <v>43.966376783882851</v>
      </c>
      <c r="K22" s="661">
        <v>45.187549606072579</v>
      </c>
      <c r="L22" s="661">
        <v>36.076712667771332</v>
      </c>
      <c r="M22" s="661">
        <v>34.312294153866802</v>
      </c>
      <c r="N22" s="661">
        <v>32.921125528464493</v>
      </c>
      <c r="O22" s="661">
        <v>32.608633294489302</v>
      </c>
      <c r="P22" s="661">
        <v>31.313589373415507</v>
      </c>
      <c r="Q22" s="661">
        <v>32</v>
      </c>
      <c r="R22" s="661">
        <v>33.1</v>
      </c>
      <c r="S22" s="661">
        <v>33.5</v>
      </c>
      <c r="T22" s="661">
        <v>33.799999999999997</v>
      </c>
      <c r="U22" s="661">
        <v>33.799999999999997</v>
      </c>
      <c r="V22" s="661">
        <v>32.75805581950997</v>
      </c>
      <c r="W22" s="661">
        <v>31.907378236813649</v>
      </c>
      <c r="X22" s="661">
        <v>28.766729999999999</v>
      </c>
      <c r="Y22" s="661">
        <v>28.47165</v>
      </c>
      <c r="Z22" s="661">
        <v>30.218014462633548</v>
      </c>
    </row>
    <row r="23" spans="1:31" ht="13.5" customHeight="1" x14ac:dyDescent="0.2">
      <c r="D23" s="660" t="s">
        <v>283</v>
      </c>
      <c r="E23" s="661">
        <v>52.146434149121035</v>
      </c>
      <c r="F23" s="661">
        <v>51.363396371286235</v>
      </c>
      <c r="G23" s="661">
        <v>50.688894562453441</v>
      </c>
      <c r="H23" s="661">
        <v>51.945681228477355</v>
      </c>
      <c r="I23" s="661">
        <v>55.653331725658894</v>
      </c>
      <c r="J23" s="661">
        <v>56.63234431213921</v>
      </c>
      <c r="K23" s="661">
        <v>56.750446157612728</v>
      </c>
      <c r="L23" s="661">
        <v>44.835318802074795</v>
      </c>
      <c r="M23" s="661">
        <v>40.237470817564521</v>
      </c>
      <c r="N23" s="661">
        <v>39.053352141657605</v>
      </c>
      <c r="O23" s="661">
        <v>38.612926530474425</v>
      </c>
      <c r="P23" s="661">
        <v>40.159138048603552</v>
      </c>
      <c r="Q23" s="661">
        <v>41.51464292508112</v>
      </c>
      <c r="R23" s="661">
        <v>40.519908465462024</v>
      </c>
      <c r="S23" s="661">
        <v>39.700000000000003</v>
      </c>
      <c r="T23" s="661">
        <v>39.299999999999997</v>
      </c>
      <c r="U23" s="661">
        <v>38.799999999999997</v>
      </c>
      <c r="V23" s="661">
        <v>40.346393012149456</v>
      </c>
      <c r="W23" s="661">
        <v>39.809240831403905</v>
      </c>
      <c r="X23" s="661">
        <v>36.523510000000002</v>
      </c>
      <c r="Y23" s="661">
        <v>33.88926</v>
      </c>
      <c r="Z23" s="661">
        <v>39.312035388741165</v>
      </c>
    </row>
    <row r="24" spans="1:31" ht="13.5" customHeight="1" x14ac:dyDescent="0.2">
      <c r="D24" s="660" t="s">
        <v>277</v>
      </c>
      <c r="E24" s="661">
        <v>37.84026634307228</v>
      </c>
      <c r="F24" s="661">
        <v>39.650391495348266</v>
      </c>
      <c r="G24" s="661">
        <v>38.55608012857013</v>
      </c>
      <c r="H24" s="661">
        <v>37.953896252788667</v>
      </c>
      <c r="I24" s="661">
        <v>39.145001543319552</v>
      </c>
      <c r="J24" s="661">
        <v>41.884000698801046</v>
      </c>
      <c r="K24" s="661">
        <v>40.648125503875114</v>
      </c>
      <c r="L24" s="661">
        <v>46.259960967314186</v>
      </c>
      <c r="M24" s="661">
        <v>43.370560560041454</v>
      </c>
      <c r="N24" s="661">
        <v>42.493113913762208</v>
      </c>
      <c r="O24" s="661">
        <v>42.627430205625508</v>
      </c>
      <c r="P24" s="661">
        <v>39.797085637587955</v>
      </c>
      <c r="Q24" s="661">
        <v>40.59486098934692</v>
      </c>
      <c r="R24" s="661">
        <v>40.33378683985886</v>
      </c>
      <c r="S24" s="661">
        <v>43</v>
      </c>
      <c r="T24" s="661">
        <v>41.5</v>
      </c>
      <c r="U24" s="661">
        <v>42</v>
      </c>
      <c r="V24" s="661">
        <v>41.909273864218797</v>
      </c>
      <c r="W24" s="661">
        <v>41.838103035648047</v>
      </c>
      <c r="X24" s="661">
        <v>37.378630000000001</v>
      </c>
      <c r="Y24" s="661">
        <v>37.388080000000002</v>
      </c>
      <c r="Z24" s="661">
        <v>41.233554609449371</v>
      </c>
      <c r="AD24" s="3909"/>
      <c r="AE24" s="3910"/>
    </row>
    <row r="25" spans="1:31" ht="13.5" customHeight="1" x14ac:dyDescent="0.2">
      <c r="D25" s="660" t="s">
        <v>641</v>
      </c>
      <c r="E25" s="661">
        <v>29.66547048021247</v>
      </c>
      <c r="F25" s="661">
        <v>29.008284216250146</v>
      </c>
      <c r="G25" s="661">
        <v>27.39046632847014</v>
      </c>
      <c r="H25" s="661">
        <v>29.2355170313513</v>
      </c>
      <c r="I25" s="661">
        <v>28.547980818177294</v>
      </c>
      <c r="J25" s="661">
        <v>28.041642076381422</v>
      </c>
      <c r="K25" s="661">
        <v>29.912676109281428</v>
      </c>
      <c r="L25" s="661">
        <v>42.340741467452318</v>
      </c>
      <c r="M25" s="661">
        <v>39.740398793954242</v>
      </c>
      <c r="N25" s="661">
        <v>37.594927570092402</v>
      </c>
      <c r="O25" s="661">
        <v>38.053899242808754</v>
      </c>
      <c r="P25" s="661">
        <v>37.744007954394768</v>
      </c>
      <c r="Q25" s="661">
        <v>38.22127571640268</v>
      </c>
      <c r="R25" s="661">
        <v>37.633076187065654</v>
      </c>
      <c r="S25" s="661">
        <v>38.1</v>
      </c>
      <c r="T25" s="661">
        <v>36.9</v>
      </c>
      <c r="U25" s="661">
        <v>36.9</v>
      </c>
      <c r="V25" s="661">
        <v>37.48527489783369</v>
      </c>
      <c r="W25" s="661">
        <v>37.107144157836217</v>
      </c>
      <c r="X25" s="661">
        <v>33.941780000000001</v>
      </c>
      <c r="Y25" s="661">
        <v>32.642769999999999</v>
      </c>
      <c r="Z25" s="661">
        <v>33.384640559730428</v>
      </c>
    </row>
    <row r="26" spans="1:31" ht="13.5" customHeight="1" x14ac:dyDescent="0.2">
      <c r="D26" s="660" t="s">
        <v>282</v>
      </c>
      <c r="E26" s="661">
        <v>40.929994905922378</v>
      </c>
      <c r="F26" s="661">
        <v>41.342464175175635</v>
      </c>
      <c r="G26" s="661">
        <v>41.047497216286835</v>
      </c>
      <c r="H26" s="661">
        <v>41.009779526760113</v>
      </c>
      <c r="I26" s="661">
        <v>41.117690100945417</v>
      </c>
      <c r="J26" s="661">
        <v>42.524456603313482</v>
      </c>
      <c r="K26" s="661">
        <v>42.979141009662492</v>
      </c>
      <c r="L26" s="661">
        <v>42.198658810393695</v>
      </c>
      <c r="M26" s="661">
        <v>38.861365321401635</v>
      </c>
      <c r="N26" s="661">
        <v>36.532931475532138</v>
      </c>
      <c r="O26" s="661">
        <v>34.773477252342254</v>
      </c>
      <c r="P26" s="661">
        <v>35.571194971079393</v>
      </c>
      <c r="Q26" s="661">
        <v>36.299999999999997</v>
      </c>
      <c r="R26" s="661">
        <v>37.938704259310029</v>
      </c>
      <c r="S26" s="661">
        <v>38.5</v>
      </c>
      <c r="T26" s="661">
        <v>37.4</v>
      </c>
      <c r="U26" s="661">
        <v>39.1</v>
      </c>
      <c r="V26" s="661">
        <v>38.274880509852778</v>
      </c>
      <c r="W26" s="661">
        <v>36.863633057128681</v>
      </c>
      <c r="X26" s="661">
        <v>35.13053</v>
      </c>
      <c r="Y26" s="661">
        <v>33.694749999999999</v>
      </c>
      <c r="Z26" s="661">
        <v>32.821064170973862</v>
      </c>
    </row>
    <row r="27" spans="1:31" ht="13.5" customHeight="1" x14ac:dyDescent="0.2">
      <c r="D27" s="660" t="s">
        <v>278</v>
      </c>
      <c r="E27" s="661">
        <v>36.579526202896787</v>
      </c>
      <c r="F27" s="661">
        <v>37.698776845275788</v>
      </c>
      <c r="G27" s="661">
        <v>35.878175548593717</v>
      </c>
      <c r="H27" s="661">
        <v>37.143136712459516</v>
      </c>
      <c r="I27" s="661">
        <v>40.090768969994727</v>
      </c>
      <c r="J27" s="661">
        <v>39.405559710359753</v>
      </c>
      <c r="K27" s="661">
        <v>39.934393024234069</v>
      </c>
      <c r="L27" s="661">
        <v>57.600698240728605</v>
      </c>
      <c r="M27" s="661">
        <v>54.465065341165477</v>
      </c>
      <c r="N27" s="661">
        <v>51.442640658544228</v>
      </c>
      <c r="O27" s="661">
        <v>51.632854370450275</v>
      </c>
      <c r="P27" s="661">
        <v>52.645299237483364</v>
      </c>
      <c r="Q27" s="661">
        <v>52.469354894865276</v>
      </c>
      <c r="R27" s="661">
        <v>51.699735538642386</v>
      </c>
      <c r="S27" s="661">
        <v>52.3</v>
      </c>
      <c r="T27" s="661">
        <v>51.2</v>
      </c>
      <c r="U27" s="661">
        <v>50.8</v>
      </c>
      <c r="V27" s="661">
        <v>49.987648159748005</v>
      </c>
      <c r="W27" s="661">
        <v>49.079053226271967</v>
      </c>
      <c r="X27" s="661">
        <v>44.162149999999997</v>
      </c>
      <c r="Y27" s="661">
        <v>42.336239999999997</v>
      </c>
      <c r="Z27" s="661">
        <v>43.830225927262937</v>
      </c>
    </row>
    <row r="28" spans="1:31" ht="13.5" customHeight="1" x14ac:dyDescent="0.2">
      <c r="D28" s="660" t="s">
        <v>281</v>
      </c>
      <c r="E28" s="661">
        <v>46.439078334423655</v>
      </c>
      <c r="F28" s="661">
        <v>48.151308918118247</v>
      </c>
      <c r="G28" s="661">
        <v>46.500448351222161</v>
      </c>
      <c r="H28" s="661">
        <v>44.9244010462305</v>
      </c>
      <c r="I28" s="661">
        <v>41.569521739447126</v>
      </c>
      <c r="J28" s="661">
        <v>44.957282631949141</v>
      </c>
      <c r="K28" s="661">
        <v>44.288761888488338</v>
      </c>
      <c r="L28" s="661">
        <v>42.703224644637942</v>
      </c>
      <c r="M28" s="661">
        <v>41.543210943839583</v>
      </c>
      <c r="N28" s="661">
        <v>39.029207354418162</v>
      </c>
      <c r="O28" s="661">
        <v>39.00176365509482</v>
      </c>
      <c r="P28" s="661">
        <v>40.144686143569061</v>
      </c>
      <c r="Q28" s="661">
        <v>42.405584759613625</v>
      </c>
      <c r="R28" s="661">
        <v>41.875781452544615</v>
      </c>
      <c r="S28" s="661">
        <v>42.7</v>
      </c>
      <c r="T28" s="661">
        <v>41.5</v>
      </c>
      <c r="U28" s="661">
        <v>42.6</v>
      </c>
      <c r="V28" s="661">
        <v>42.016785103354252</v>
      </c>
      <c r="W28" s="661">
        <v>41.751701033628521</v>
      </c>
      <c r="X28" s="661">
        <v>38.930230000000002</v>
      </c>
      <c r="Y28" s="661">
        <v>36.643169999999998</v>
      </c>
      <c r="Z28" s="661">
        <v>37.554507660485349</v>
      </c>
      <c r="AD28" s="3909"/>
    </row>
    <row r="29" spans="1:31" ht="13.5" customHeight="1" x14ac:dyDescent="0.2">
      <c r="D29" s="3389" t="s">
        <v>280</v>
      </c>
      <c r="E29" s="3542">
        <v>54.627211637990555</v>
      </c>
      <c r="F29" s="3542">
        <v>52.717945664570912</v>
      </c>
      <c r="G29" s="3542">
        <v>53.547606020872365</v>
      </c>
      <c r="H29" s="3542">
        <v>52.900933297850607</v>
      </c>
      <c r="I29" s="3542">
        <v>52.857809310955346</v>
      </c>
      <c r="J29" s="3542">
        <v>55.451761485237647</v>
      </c>
      <c r="K29" s="3542">
        <v>55.09392751546099</v>
      </c>
      <c r="L29" s="3542">
        <v>29.849987055280184</v>
      </c>
      <c r="M29" s="3542">
        <v>30.422230394348638</v>
      </c>
      <c r="N29" s="3542">
        <v>29.428922963203796</v>
      </c>
      <c r="O29" s="3542">
        <v>30.16726620524032</v>
      </c>
      <c r="P29" s="3542">
        <v>32.128848030470451</v>
      </c>
      <c r="Q29" s="3542">
        <v>32.760004435444145</v>
      </c>
      <c r="R29" s="3542">
        <v>34.17533411739273</v>
      </c>
      <c r="S29" s="3542">
        <v>36.200000000000003</v>
      </c>
      <c r="T29" s="3542">
        <v>37.5</v>
      </c>
      <c r="U29" s="3542">
        <v>38.1</v>
      </c>
      <c r="V29" s="3542">
        <v>39.00925353383095</v>
      </c>
      <c r="W29" s="3542">
        <v>37.584671952649721</v>
      </c>
      <c r="X29" s="3542">
        <v>33.124690000000001</v>
      </c>
      <c r="Y29" s="3542">
        <v>31.117989999999999</v>
      </c>
      <c r="Z29" s="3542">
        <v>33.713751994071146</v>
      </c>
    </row>
    <row r="30" spans="1:31" s="665" customFormat="1" ht="13.5" customHeight="1" x14ac:dyDescent="0.2">
      <c r="A30" s="630"/>
      <c r="B30" s="662"/>
      <c r="C30" s="662"/>
      <c r="D30" s="663" t="s">
        <v>103</v>
      </c>
      <c r="E30" s="664">
        <v>42.354965011895132</v>
      </c>
      <c r="F30" s="664">
        <v>42.835676155122613</v>
      </c>
      <c r="G30" s="664">
        <v>41.509571594326673</v>
      </c>
      <c r="H30" s="664">
        <v>41.590244863339571</v>
      </c>
      <c r="I30" s="664">
        <v>43.373047458502697</v>
      </c>
      <c r="J30" s="664">
        <v>44.893965416879325</v>
      </c>
      <c r="K30" s="664">
        <v>44.429330064917863</v>
      </c>
      <c r="L30" s="664">
        <v>45.914560268885651</v>
      </c>
      <c r="M30" s="664">
        <v>43.868181939782929</v>
      </c>
      <c r="N30" s="664">
        <v>41.836006429942699</v>
      </c>
      <c r="O30" s="664">
        <v>41.919411185819413</v>
      </c>
      <c r="P30" s="664">
        <v>42.208199263417832</v>
      </c>
      <c r="Q30" s="664">
        <v>42.727179824361301</v>
      </c>
      <c r="R30" s="664">
        <v>42.773691749481927</v>
      </c>
      <c r="S30" s="664">
        <v>43.7</v>
      </c>
      <c r="T30" s="664">
        <v>43</v>
      </c>
      <c r="U30" s="664">
        <v>43.4</v>
      </c>
      <c r="V30" s="664">
        <v>43.246534740421055</v>
      </c>
      <c r="W30" s="664">
        <v>42.460107390735018</v>
      </c>
      <c r="X30" s="664">
        <v>38.526530000000001</v>
      </c>
      <c r="Y30" s="664">
        <v>37.0306</v>
      </c>
      <c r="Z30" s="664">
        <v>38.620083089406343</v>
      </c>
    </row>
    <row r="32" spans="1:31" x14ac:dyDescent="0.2">
      <c r="D32" s="632"/>
      <c r="E32" s="637"/>
      <c r="F32" s="637"/>
      <c r="G32" s="637"/>
      <c r="H32" s="637"/>
      <c r="I32" s="666"/>
      <c r="J32" s="637"/>
      <c r="K32" s="637"/>
    </row>
    <row r="33" spans="1:11" x14ac:dyDescent="0.2">
      <c r="A33" s="630">
        <v>5</v>
      </c>
      <c r="B33" s="630" t="s">
        <v>51</v>
      </c>
      <c r="D33" s="632"/>
      <c r="E33" s="637"/>
      <c r="F33" s="637"/>
      <c r="G33" s="637"/>
      <c r="H33" s="637"/>
      <c r="I33" s="666"/>
      <c r="J33" s="637"/>
      <c r="K33" s="637"/>
    </row>
    <row r="34" spans="1:11" x14ac:dyDescent="0.2">
      <c r="D34" s="632"/>
      <c r="E34" s="637"/>
      <c r="F34" s="637"/>
      <c r="G34" s="637"/>
      <c r="H34" s="637"/>
      <c r="I34" s="637"/>
      <c r="J34" s="637"/>
      <c r="K34" s="637"/>
    </row>
    <row r="35" spans="1:11" x14ac:dyDescent="0.2">
      <c r="D35" s="632"/>
      <c r="E35" s="637"/>
      <c r="F35" s="637"/>
      <c r="G35" s="637"/>
      <c r="H35" s="637"/>
      <c r="I35" s="637"/>
      <c r="J35" s="637"/>
      <c r="K35" s="637"/>
    </row>
    <row r="36" spans="1:11" x14ac:dyDescent="0.2">
      <c r="D36" s="632"/>
      <c r="E36" s="637"/>
      <c r="F36" s="637"/>
      <c r="G36" s="637"/>
      <c r="H36" s="637"/>
      <c r="I36" s="637"/>
      <c r="J36" s="637"/>
      <c r="K36" s="637"/>
    </row>
    <row r="37" spans="1:11" x14ac:dyDescent="0.2">
      <c r="D37" s="632"/>
      <c r="E37" s="637"/>
      <c r="F37" s="637"/>
      <c r="G37" s="637"/>
      <c r="H37" s="637"/>
      <c r="I37" s="637"/>
      <c r="J37" s="637"/>
      <c r="K37" s="637"/>
    </row>
    <row r="38" spans="1:11" x14ac:dyDescent="0.2">
      <c r="D38" s="632"/>
      <c r="E38" s="637"/>
      <c r="F38" s="637"/>
      <c r="G38" s="637"/>
      <c r="H38" s="637"/>
      <c r="I38" s="637"/>
      <c r="J38" s="637"/>
      <c r="K38" s="637"/>
    </row>
    <row r="39" spans="1:11" x14ac:dyDescent="0.2">
      <c r="D39" s="632"/>
      <c r="E39" s="637"/>
      <c r="F39" s="637"/>
      <c r="G39" s="637"/>
      <c r="H39" s="637"/>
      <c r="I39" s="637"/>
      <c r="J39" s="637"/>
      <c r="K39" s="637"/>
    </row>
    <row r="40" spans="1:11" x14ac:dyDescent="0.2">
      <c r="D40" s="632"/>
      <c r="E40" s="637"/>
      <c r="F40" s="637"/>
      <c r="G40" s="637"/>
      <c r="H40" s="637"/>
      <c r="I40" s="637"/>
      <c r="J40" s="637"/>
      <c r="K40" s="637"/>
    </row>
    <row r="41" spans="1:11" x14ac:dyDescent="0.2">
      <c r="D41" s="632"/>
      <c r="E41" s="637"/>
      <c r="F41" s="637"/>
      <c r="G41" s="637"/>
      <c r="H41" s="637"/>
      <c r="I41" s="637"/>
      <c r="J41" s="637"/>
      <c r="K41" s="637"/>
    </row>
    <row r="42" spans="1:11" x14ac:dyDescent="0.2">
      <c r="D42" s="632"/>
      <c r="E42" s="637"/>
      <c r="F42" s="637"/>
      <c r="G42" s="637"/>
      <c r="H42" s="637"/>
      <c r="I42" s="637"/>
      <c r="J42" s="637"/>
      <c r="K42" s="637"/>
    </row>
    <row r="43" spans="1:11" x14ac:dyDescent="0.2">
      <c r="D43" s="632"/>
      <c r="E43" s="637"/>
      <c r="F43" s="637"/>
      <c r="G43" s="637"/>
      <c r="H43" s="637"/>
      <c r="I43" s="637"/>
      <c r="J43" s="637"/>
      <c r="K43" s="637"/>
    </row>
    <row r="44" spans="1:11" x14ac:dyDescent="0.2">
      <c r="D44" s="632"/>
      <c r="E44" s="632"/>
      <c r="F44" s="632"/>
      <c r="G44" s="632"/>
      <c r="H44" s="632"/>
      <c r="I44" s="632"/>
      <c r="J44" s="632"/>
      <c r="K44" s="632"/>
    </row>
    <row r="45" spans="1:11" x14ac:dyDescent="0.2">
      <c r="D45" s="632"/>
      <c r="E45" s="632"/>
      <c r="F45" s="632"/>
      <c r="G45" s="632"/>
      <c r="H45" s="632"/>
      <c r="I45" s="632"/>
      <c r="J45" s="632"/>
      <c r="K45" s="632"/>
    </row>
    <row r="46" spans="1:11" x14ac:dyDescent="0.2">
      <c r="D46" s="632"/>
      <c r="E46" s="632"/>
      <c r="F46" s="632"/>
      <c r="G46" s="632"/>
      <c r="H46" s="632"/>
      <c r="I46" s="632"/>
      <c r="J46" s="632"/>
      <c r="K46" s="632"/>
    </row>
    <row r="47" spans="1:11" x14ac:dyDescent="0.2">
      <c r="D47" s="632"/>
      <c r="E47" s="632"/>
      <c r="F47" s="632"/>
      <c r="G47" s="632"/>
      <c r="H47" s="632"/>
      <c r="I47" s="632"/>
      <c r="J47" s="632"/>
      <c r="K47" s="632"/>
    </row>
    <row r="48" spans="1:11" x14ac:dyDescent="0.2">
      <c r="D48" s="632"/>
      <c r="E48" s="632"/>
      <c r="F48" s="632"/>
      <c r="G48" s="632"/>
      <c r="H48" s="632"/>
      <c r="I48" s="632"/>
      <c r="J48" s="632"/>
      <c r="K48" s="632"/>
    </row>
    <row r="49" spans="1:26" x14ac:dyDescent="0.2">
      <c r="D49" s="632"/>
      <c r="E49" s="632"/>
      <c r="F49" s="632"/>
      <c r="G49" s="632"/>
      <c r="H49" s="632"/>
      <c r="I49" s="632"/>
      <c r="J49" s="632"/>
      <c r="K49" s="632"/>
    </row>
    <row r="50" spans="1:26" x14ac:dyDescent="0.2">
      <c r="D50" s="632"/>
      <c r="E50" s="632"/>
      <c r="F50" s="632"/>
      <c r="G50" s="632"/>
      <c r="H50" s="632"/>
      <c r="I50" s="632"/>
      <c r="J50" s="632"/>
      <c r="K50" s="632"/>
    </row>
    <row r="51" spans="1:26" x14ac:dyDescent="0.2">
      <c r="D51" s="632"/>
      <c r="E51" s="632"/>
      <c r="F51" s="632"/>
      <c r="G51" s="632"/>
      <c r="H51" s="632"/>
      <c r="I51" s="632"/>
      <c r="J51" s="632"/>
      <c r="K51" s="632"/>
    </row>
    <row r="52" spans="1:26" x14ac:dyDescent="0.2">
      <c r="D52" s="632"/>
      <c r="E52" s="632"/>
      <c r="F52" s="632"/>
      <c r="G52" s="632"/>
      <c r="H52" s="632"/>
      <c r="I52" s="632"/>
      <c r="J52" s="632"/>
      <c r="K52" s="632"/>
    </row>
    <row r="53" spans="1:26" ht="15" customHeight="1" x14ac:dyDescent="0.2">
      <c r="A53" s="630">
        <v>6</v>
      </c>
      <c r="B53" s="630" t="s">
        <v>52</v>
      </c>
      <c r="C53" s="630"/>
      <c r="D53" s="4728" t="s">
        <v>642</v>
      </c>
      <c r="E53" s="4729"/>
      <c r="F53" s="4729"/>
      <c r="G53" s="4729"/>
      <c r="H53" s="4729"/>
      <c r="I53" s="4729"/>
      <c r="J53" s="4729"/>
      <c r="K53" s="4729"/>
      <c r="L53" s="4729"/>
      <c r="M53" s="4729"/>
      <c r="N53" s="4729"/>
      <c r="O53" s="4729"/>
      <c r="P53" s="4729"/>
      <c r="Q53" s="4729"/>
      <c r="R53" s="4729"/>
      <c r="S53" s="4729"/>
      <c r="T53" s="4729"/>
      <c r="U53" s="4729"/>
      <c r="V53" s="4730"/>
      <c r="W53" s="888"/>
    </row>
    <row r="54" spans="1:26" ht="72.599999999999994" customHeight="1" x14ac:dyDescent="0.2">
      <c r="A54" s="667">
        <v>7</v>
      </c>
      <c r="B54" s="667" t="s">
        <v>54</v>
      </c>
      <c r="C54" s="667"/>
      <c r="D54" s="4728" t="s">
        <v>643</v>
      </c>
      <c r="E54" s="4729"/>
      <c r="F54" s="4729"/>
      <c r="G54" s="4729"/>
      <c r="H54" s="4729"/>
      <c r="I54" s="4729"/>
      <c r="J54" s="4729"/>
      <c r="K54" s="4729"/>
      <c r="L54" s="4729"/>
      <c r="M54" s="4729"/>
      <c r="N54" s="4729"/>
      <c r="O54" s="4729"/>
      <c r="P54" s="4729"/>
      <c r="Q54" s="4729"/>
      <c r="R54" s="4729"/>
      <c r="S54" s="4729"/>
      <c r="T54" s="4729"/>
      <c r="U54" s="4729"/>
      <c r="V54" s="4730"/>
      <c r="W54" s="888"/>
    </row>
    <row r="55" spans="1:26" ht="17.850000000000001" customHeight="1" x14ac:dyDescent="0.2">
      <c r="A55" s="630">
        <v>8</v>
      </c>
      <c r="B55" s="630" t="s">
        <v>56</v>
      </c>
      <c r="C55" s="630"/>
      <c r="D55" s="4728" t="s">
        <v>2153</v>
      </c>
      <c r="E55" s="4729"/>
      <c r="F55" s="4729"/>
      <c r="G55" s="4729"/>
      <c r="H55" s="4729"/>
      <c r="I55" s="4729"/>
      <c r="J55" s="4729"/>
      <c r="K55" s="4729"/>
      <c r="L55" s="4729"/>
      <c r="M55" s="4729"/>
      <c r="N55" s="4729"/>
      <c r="O55" s="4729"/>
      <c r="P55" s="4729"/>
      <c r="Q55" s="4729"/>
      <c r="R55" s="4729"/>
      <c r="S55" s="4729"/>
      <c r="T55" s="4729"/>
      <c r="U55" s="4729"/>
      <c r="V55" s="4730"/>
      <c r="W55" s="888"/>
    </row>
    <row r="56" spans="1:26" ht="20.100000000000001" customHeight="1" x14ac:dyDescent="0.2">
      <c r="A56" s="630">
        <v>9</v>
      </c>
      <c r="B56" s="630" t="s">
        <v>58</v>
      </c>
      <c r="C56" s="630"/>
      <c r="D56" s="4728" t="s">
        <v>644</v>
      </c>
      <c r="E56" s="4729"/>
      <c r="F56" s="4729"/>
      <c r="G56" s="4729"/>
      <c r="H56" s="4729"/>
      <c r="I56" s="4729"/>
      <c r="J56" s="4729"/>
      <c r="K56" s="4729"/>
      <c r="L56" s="4729"/>
      <c r="M56" s="4729"/>
      <c r="N56" s="4729"/>
      <c r="O56" s="4729"/>
      <c r="P56" s="4729"/>
      <c r="Q56" s="4729"/>
      <c r="R56" s="4729"/>
      <c r="S56" s="4729"/>
      <c r="T56" s="4729"/>
      <c r="U56" s="4729"/>
      <c r="V56" s="4730"/>
      <c r="W56" s="888"/>
    </row>
    <row r="58" spans="1:26" s="655" customFormat="1" hidden="1" x14ac:dyDescent="0.2">
      <c r="A58" s="668"/>
      <c r="B58" s="669"/>
      <c r="C58" s="669"/>
      <c r="D58" s="670" t="s">
        <v>365</v>
      </c>
      <c r="E58" s="670" t="s">
        <v>645</v>
      </c>
      <c r="F58" s="671"/>
      <c r="G58" s="671"/>
      <c r="H58" s="671"/>
      <c r="I58" s="671"/>
      <c r="J58" s="671"/>
      <c r="K58" s="671"/>
      <c r="L58" s="672"/>
      <c r="M58" s="671"/>
      <c r="Z58" s="3907"/>
    </row>
    <row r="59" spans="1:26" s="655" customFormat="1" hidden="1" x14ac:dyDescent="0.2">
      <c r="A59" s="668"/>
      <c r="B59" s="669"/>
      <c r="C59" s="669"/>
      <c r="D59" s="3908"/>
      <c r="E59" s="639">
        <v>2001</v>
      </c>
      <c r="F59" s="639">
        <v>2002</v>
      </c>
      <c r="G59" s="639">
        <v>2003</v>
      </c>
      <c r="H59" s="639">
        <v>2004</v>
      </c>
      <c r="I59" s="639">
        <v>2005</v>
      </c>
      <c r="J59" s="639">
        <v>2006</v>
      </c>
      <c r="K59" s="639">
        <v>2007</v>
      </c>
      <c r="L59" s="639">
        <v>2008</v>
      </c>
      <c r="M59" s="639">
        <v>2009</v>
      </c>
      <c r="N59" s="639">
        <v>2010</v>
      </c>
      <c r="O59" s="639">
        <v>2011</v>
      </c>
      <c r="P59" s="639">
        <v>2012</v>
      </c>
      <c r="Q59" s="639">
        <v>2013</v>
      </c>
      <c r="R59" s="639">
        <v>2014</v>
      </c>
      <c r="S59" s="639">
        <v>2015</v>
      </c>
      <c r="T59" s="639"/>
      <c r="U59" s="639">
        <v>2015</v>
      </c>
      <c r="Z59" s="3907"/>
    </row>
    <row r="60" spans="1:26" s="655" customFormat="1" hidden="1" x14ac:dyDescent="0.2">
      <c r="A60" s="668"/>
      <c r="B60" s="669"/>
      <c r="C60" s="669"/>
      <c r="D60" s="673"/>
      <c r="E60" s="641"/>
      <c r="F60" s="641"/>
      <c r="G60" s="641"/>
      <c r="H60" s="641"/>
      <c r="I60" s="641"/>
      <c r="J60" s="641"/>
      <c r="K60" s="641"/>
      <c r="L60" s="641"/>
      <c r="M60" s="641"/>
      <c r="N60" s="641"/>
      <c r="O60" s="641"/>
      <c r="P60" s="641"/>
      <c r="Q60" s="641"/>
      <c r="R60" s="641"/>
      <c r="S60" s="641"/>
      <c r="T60" s="641"/>
      <c r="U60" s="641"/>
      <c r="Z60" s="3907"/>
    </row>
    <row r="61" spans="1:26" s="655" customFormat="1" hidden="1" x14ac:dyDescent="0.2">
      <c r="A61" s="668"/>
      <c r="B61" s="669"/>
      <c r="C61" s="669"/>
      <c r="D61" s="660"/>
      <c r="E61" s="674"/>
      <c r="F61" s="674"/>
      <c r="G61" s="674"/>
      <c r="H61" s="674"/>
      <c r="I61" s="674"/>
      <c r="J61" s="674"/>
      <c r="K61" s="674"/>
      <c r="L61" s="674"/>
      <c r="M61" s="674"/>
      <c r="N61" s="674"/>
      <c r="O61" s="674"/>
      <c r="P61" s="674"/>
      <c r="Q61" s="674"/>
      <c r="R61" s="674"/>
      <c r="S61" s="674"/>
      <c r="T61" s="674"/>
      <c r="U61" s="674"/>
      <c r="Z61" s="3907"/>
    </row>
    <row r="62" spans="1:26" s="655" customFormat="1" hidden="1" x14ac:dyDescent="0.2">
      <c r="A62" s="668"/>
      <c r="B62" s="669"/>
      <c r="C62" s="669"/>
      <c r="D62" s="660" t="s">
        <v>284</v>
      </c>
      <c r="E62" s="661">
        <v>31.756281049710992</v>
      </c>
      <c r="F62" s="661">
        <v>35.43249249356613</v>
      </c>
      <c r="G62" s="661">
        <v>30.136307155246108</v>
      </c>
      <c r="H62" s="661">
        <v>28.770622196134873</v>
      </c>
      <c r="I62" s="661">
        <v>33.969438150414064</v>
      </c>
      <c r="J62" s="661">
        <v>37.002732376839717</v>
      </c>
      <c r="K62" s="661">
        <v>33.089802916964068</v>
      </c>
      <c r="L62" s="661">
        <v>67.402334420097162</v>
      </c>
      <c r="M62" s="661">
        <v>68.71309365932602</v>
      </c>
      <c r="N62" s="661">
        <v>67.181331381611528</v>
      </c>
      <c r="O62" s="661">
        <v>67.268438124564341</v>
      </c>
      <c r="P62" s="661">
        <v>68.133064522252837</v>
      </c>
      <c r="Q62" s="661">
        <v>67.5710171210428</v>
      </c>
      <c r="R62" s="661">
        <v>67.849999999999994</v>
      </c>
      <c r="S62" s="661">
        <v>67.849999999999994</v>
      </c>
      <c r="T62" s="661"/>
      <c r="U62" s="661">
        <v>67.849999999999994</v>
      </c>
      <c r="Z62" s="3907"/>
    </row>
    <row r="63" spans="1:26" s="655" customFormat="1" hidden="1" x14ac:dyDescent="0.2">
      <c r="A63" s="668"/>
      <c r="B63" s="669"/>
      <c r="C63" s="669"/>
      <c r="D63" s="660" t="s">
        <v>276</v>
      </c>
      <c r="E63" s="661">
        <v>48.118986816943426</v>
      </c>
      <c r="F63" s="661">
        <v>46.957257464035337</v>
      </c>
      <c r="G63" s="661">
        <v>46.827743982924439</v>
      </c>
      <c r="H63" s="661">
        <v>45.574803488252464</v>
      </c>
      <c r="I63" s="661">
        <v>44.506987053543853</v>
      </c>
      <c r="J63" s="661">
        <v>43.966376783882851</v>
      </c>
      <c r="K63" s="661">
        <v>45.187549606072579</v>
      </c>
      <c r="L63" s="661">
        <v>47.081367823634537</v>
      </c>
      <c r="M63" s="661">
        <v>45.79748647809906</v>
      </c>
      <c r="N63" s="661">
        <v>44.136744911398822</v>
      </c>
      <c r="O63" s="661">
        <v>44.271779811641132</v>
      </c>
      <c r="P63" s="661">
        <v>43.899267479668282</v>
      </c>
      <c r="Q63" s="661">
        <v>45.459701462787912</v>
      </c>
      <c r="R63" s="661">
        <v>47.024999999999999</v>
      </c>
      <c r="S63" s="661">
        <v>47.075000000000003</v>
      </c>
      <c r="T63" s="661"/>
      <c r="U63" s="661">
        <v>47.075000000000003</v>
      </c>
      <c r="Z63" s="3907"/>
    </row>
    <row r="64" spans="1:26" s="655" customFormat="1" hidden="1" x14ac:dyDescent="0.2">
      <c r="A64" s="668"/>
      <c r="B64" s="669"/>
      <c r="C64" s="669"/>
      <c r="D64" s="660" t="s">
        <v>283</v>
      </c>
      <c r="E64" s="661">
        <v>52.146434149121035</v>
      </c>
      <c r="F64" s="661">
        <v>51.363396371286235</v>
      </c>
      <c r="G64" s="661">
        <v>50.688894562453441</v>
      </c>
      <c r="H64" s="661">
        <v>51.945681228477355</v>
      </c>
      <c r="I64" s="661">
        <v>55.653331725658894</v>
      </c>
      <c r="J64" s="661">
        <v>56.63234431213921</v>
      </c>
      <c r="K64" s="661">
        <v>56.750446157612728</v>
      </c>
      <c r="L64" s="661">
        <v>58.105532134282548</v>
      </c>
      <c r="M64" s="661">
        <v>54.787157000735576</v>
      </c>
      <c r="N64" s="661">
        <v>53.089707151141681</v>
      </c>
      <c r="O64" s="661">
        <v>53.967248891981811</v>
      </c>
      <c r="P64" s="661">
        <v>56.00434808136383</v>
      </c>
      <c r="Q64" s="661">
        <v>57.564949089607296</v>
      </c>
      <c r="R64" s="661">
        <v>57.85</v>
      </c>
      <c r="S64" s="661">
        <v>58.349999999999994</v>
      </c>
      <c r="T64" s="661"/>
      <c r="U64" s="661">
        <v>58.349999999999994</v>
      </c>
      <c r="Z64" s="3907"/>
    </row>
    <row r="65" spans="1:26" s="655" customFormat="1" hidden="1" x14ac:dyDescent="0.2">
      <c r="A65" s="668"/>
      <c r="B65" s="669"/>
      <c r="C65" s="669"/>
      <c r="D65" s="660" t="s">
        <v>277</v>
      </c>
      <c r="E65" s="661">
        <v>37.84026634307228</v>
      </c>
      <c r="F65" s="661">
        <v>39.650391495348266</v>
      </c>
      <c r="G65" s="661">
        <v>38.55608012857013</v>
      </c>
      <c r="H65" s="661">
        <v>37.953896252788667</v>
      </c>
      <c r="I65" s="661">
        <v>39.145001543319552</v>
      </c>
      <c r="J65" s="661">
        <v>41.884000698801046</v>
      </c>
      <c r="K65" s="661">
        <v>40.648125503875114</v>
      </c>
      <c r="L65" s="661">
        <v>60.587454841631043</v>
      </c>
      <c r="M65" s="661">
        <v>58.616953159557525</v>
      </c>
      <c r="N65" s="661">
        <v>58.858286858247077</v>
      </c>
      <c r="O65" s="661">
        <v>58.783585537164079</v>
      </c>
      <c r="P65" s="661">
        <v>58.720660619177458</v>
      </c>
      <c r="Q65" s="661">
        <v>60.276779482107699</v>
      </c>
      <c r="R65" s="661">
        <v>61.199999999999996</v>
      </c>
      <c r="S65" s="661">
        <v>62.2</v>
      </c>
      <c r="T65" s="661"/>
      <c r="U65" s="661">
        <v>62.2</v>
      </c>
      <c r="Z65" s="3907"/>
    </row>
    <row r="66" spans="1:26" s="655" customFormat="1" hidden="1" x14ac:dyDescent="0.2">
      <c r="A66" s="668"/>
      <c r="B66" s="669"/>
      <c r="C66" s="669"/>
      <c r="D66" s="660" t="s">
        <v>641</v>
      </c>
      <c r="E66" s="661">
        <v>29.66547048021247</v>
      </c>
      <c r="F66" s="661">
        <v>29.008284216250146</v>
      </c>
      <c r="G66" s="661">
        <v>27.39046632847014</v>
      </c>
      <c r="H66" s="661">
        <v>29.2355170313513</v>
      </c>
      <c r="I66" s="661">
        <v>28.547980818177294</v>
      </c>
      <c r="J66" s="661">
        <v>28.041642076381422</v>
      </c>
      <c r="K66" s="661">
        <v>29.912676109281428</v>
      </c>
      <c r="L66" s="661">
        <v>54.048818956118303</v>
      </c>
      <c r="M66" s="661">
        <v>49.430295200031111</v>
      </c>
      <c r="N66" s="661">
        <v>46.792543708363787</v>
      </c>
      <c r="O66" s="661">
        <v>47.183343604032075</v>
      </c>
      <c r="P66" s="661">
        <v>47.436524626204005</v>
      </c>
      <c r="Q66" s="661">
        <v>48.25520582701089</v>
      </c>
      <c r="R66" s="661">
        <v>48.45</v>
      </c>
      <c r="S66" s="661">
        <v>48.325000000000003</v>
      </c>
      <c r="T66" s="661"/>
      <c r="U66" s="661">
        <v>48.325000000000003</v>
      </c>
      <c r="Z66" s="3907"/>
    </row>
    <row r="67" spans="1:26" s="655" customFormat="1" hidden="1" x14ac:dyDescent="0.2">
      <c r="A67" s="668"/>
      <c r="B67" s="669"/>
      <c r="C67" s="669"/>
      <c r="D67" s="660" t="s">
        <v>282</v>
      </c>
      <c r="E67" s="661">
        <v>40.929994905922378</v>
      </c>
      <c r="F67" s="661">
        <v>41.342464175175635</v>
      </c>
      <c r="G67" s="661">
        <v>41.047497216286835</v>
      </c>
      <c r="H67" s="661">
        <v>41.009779526760113</v>
      </c>
      <c r="I67" s="661">
        <v>41.117690100945417</v>
      </c>
      <c r="J67" s="661">
        <v>42.524456603313482</v>
      </c>
      <c r="K67" s="661">
        <v>42.979141009662492</v>
      </c>
      <c r="L67" s="661">
        <v>55.735171620413055</v>
      </c>
      <c r="M67" s="661">
        <v>53.40959874334353</v>
      </c>
      <c r="N67" s="661">
        <v>49.673576483168198</v>
      </c>
      <c r="O67" s="661">
        <v>47.137520254371054</v>
      </c>
      <c r="P67" s="661">
        <v>47.489980766126294</v>
      </c>
      <c r="Q67" s="661">
        <v>49.435493960628463</v>
      </c>
      <c r="R67" s="661">
        <v>51.55</v>
      </c>
      <c r="S67" s="661">
        <v>51.9</v>
      </c>
      <c r="T67" s="661"/>
      <c r="U67" s="661">
        <v>51.9</v>
      </c>
      <c r="Z67" s="3907"/>
    </row>
    <row r="68" spans="1:26" s="655" customFormat="1" hidden="1" x14ac:dyDescent="0.2">
      <c r="A68" s="668"/>
      <c r="B68" s="669"/>
      <c r="C68" s="669"/>
      <c r="D68" s="660" t="s">
        <v>278</v>
      </c>
      <c r="E68" s="661">
        <v>36.579526202896787</v>
      </c>
      <c r="F68" s="661">
        <v>37.698776845275788</v>
      </c>
      <c r="G68" s="661">
        <v>35.878175548593717</v>
      </c>
      <c r="H68" s="661">
        <v>37.143136712459516</v>
      </c>
      <c r="I68" s="661">
        <v>40.090768969994727</v>
      </c>
      <c r="J68" s="661">
        <v>39.405559710359753</v>
      </c>
      <c r="K68" s="661">
        <v>39.934393024234069</v>
      </c>
      <c r="L68" s="661">
        <v>73.392508774971361</v>
      </c>
      <c r="M68" s="661">
        <v>71.556116454128556</v>
      </c>
      <c r="N68" s="661">
        <v>70.570018644927956</v>
      </c>
      <c r="O68" s="661">
        <v>70.815583560683365</v>
      </c>
      <c r="P68" s="661">
        <v>70.14305864277928</v>
      </c>
      <c r="Q68" s="661">
        <v>69.8824688933435</v>
      </c>
      <c r="R68" s="661">
        <v>68.850000000000009</v>
      </c>
      <c r="S68" s="661">
        <v>72.474999999999994</v>
      </c>
      <c r="T68" s="661"/>
      <c r="U68" s="661">
        <v>72.474999999999994</v>
      </c>
      <c r="Z68" s="3907"/>
    </row>
    <row r="69" spans="1:26" s="655" customFormat="1" hidden="1" x14ac:dyDescent="0.2">
      <c r="A69" s="668"/>
      <c r="B69" s="669"/>
      <c r="C69" s="669"/>
      <c r="D69" s="660" t="s">
        <v>281</v>
      </c>
      <c r="E69" s="661">
        <v>46.439078334423655</v>
      </c>
      <c r="F69" s="661">
        <v>48.151308918118247</v>
      </c>
      <c r="G69" s="661">
        <v>46.500448351222161</v>
      </c>
      <c r="H69" s="661">
        <v>44.9244010462305</v>
      </c>
      <c r="I69" s="661">
        <v>41.569521739447126</v>
      </c>
      <c r="J69" s="661">
        <v>44.957282631949141</v>
      </c>
      <c r="K69" s="661">
        <v>44.288761888488338</v>
      </c>
      <c r="L69" s="661">
        <v>55.747256729499959</v>
      </c>
      <c r="M69" s="661">
        <v>55.739634143491365</v>
      </c>
      <c r="N69" s="661">
        <v>54.366991964327262</v>
      </c>
      <c r="O69" s="661">
        <v>55.115238141098018</v>
      </c>
      <c r="P69" s="661">
        <v>56.913954577713284</v>
      </c>
      <c r="Q69" s="661">
        <v>58.865436022511339</v>
      </c>
      <c r="R69" s="661">
        <v>58.975000000000001</v>
      </c>
      <c r="S69" s="661">
        <v>58.45</v>
      </c>
      <c r="T69" s="661"/>
      <c r="U69" s="661">
        <v>58.45</v>
      </c>
      <c r="Z69" s="3907"/>
    </row>
    <row r="70" spans="1:26" s="655" customFormat="1" hidden="1" x14ac:dyDescent="0.2">
      <c r="A70" s="668"/>
      <c r="B70" s="669"/>
      <c r="C70" s="669"/>
      <c r="D70" s="660" t="s">
        <v>280</v>
      </c>
      <c r="E70" s="661">
        <v>54.627211637990555</v>
      </c>
      <c r="F70" s="661">
        <v>52.717945664570912</v>
      </c>
      <c r="G70" s="661">
        <v>53.547606020872365</v>
      </c>
      <c r="H70" s="661">
        <v>52.900933297850607</v>
      </c>
      <c r="I70" s="661">
        <v>52.857809310955346</v>
      </c>
      <c r="J70" s="661">
        <v>55.451761485237647</v>
      </c>
      <c r="K70" s="661">
        <v>55.09392751546099</v>
      </c>
      <c r="L70" s="661">
        <v>42.477564972253234</v>
      </c>
      <c r="M70" s="661">
        <v>41.068008902965502</v>
      </c>
      <c r="N70" s="661">
        <v>37.985657210378477</v>
      </c>
      <c r="O70" s="661">
        <v>37.531726069560555</v>
      </c>
      <c r="P70" s="661">
        <v>40.402616924759705</v>
      </c>
      <c r="Q70" s="661">
        <v>39.945110444803397</v>
      </c>
      <c r="R70" s="661">
        <v>40.924999999999997</v>
      </c>
      <c r="S70" s="661">
        <v>44.924999999999997</v>
      </c>
      <c r="T70" s="661"/>
      <c r="U70" s="661">
        <v>44.924999999999997</v>
      </c>
      <c r="Z70" s="3907"/>
    </row>
    <row r="71" spans="1:26" s="655" customFormat="1" hidden="1" x14ac:dyDescent="0.2">
      <c r="A71" s="668"/>
      <c r="B71" s="669"/>
      <c r="C71" s="669"/>
      <c r="D71" s="675" t="s">
        <v>103</v>
      </c>
      <c r="E71" s="676">
        <v>42.354965011895132</v>
      </c>
      <c r="F71" s="676">
        <v>42.835676155122613</v>
      </c>
      <c r="G71" s="676">
        <v>41.509571594326673</v>
      </c>
      <c r="H71" s="676">
        <v>41.590244863339571</v>
      </c>
      <c r="I71" s="676">
        <v>43.373047458502697</v>
      </c>
      <c r="J71" s="676">
        <v>44.893965416879325</v>
      </c>
      <c r="K71" s="676">
        <v>44.429330064917863</v>
      </c>
      <c r="L71" s="676">
        <v>59.284120220350218</v>
      </c>
      <c r="M71" s="676">
        <v>57.474348716026704</v>
      </c>
      <c r="N71" s="676">
        <v>55.686260729101676</v>
      </c>
      <c r="O71" s="676">
        <v>55.734168268463293</v>
      </c>
      <c r="P71" s="676">
        <v>56.180874434130402</v>
      </c>
      <c r="Q71" s="676">
        <v>56.772236332336774</v>
      </c>
      <c r="R71" s="676">
        <v>57.1</v>
      </c>
      <c r="S71" s="676">
        <v>58.5</v>
      </c>
      <c r="T71" s="676"/>
      <c r="U71" s="676">
        <v>58.5</v>
      </c>
      <c r="Z71" s="3907"/>
    </row>
    <row r="72" spans="1:26" s="655" customFormat="1" hidden="1" x14ac:dyDescent="0.2">
      <c r="A72" s="668"/>
      <c r="B72" s="669"/>
      <c r="C72" s="669"/>
      <c r="L72" s="677"/>
      <c r="Z72" s="3907"/>
    </row>
    <row r="73" spans="1:26" s="655" customFormat="1" hidden="1" x14ac:dyDescent="0.2">
      <c r="A73" s="668"/>
      <c r="B73" s="669"/>
      <c r="C73" s="669"/>
      <c r="D73" s="670" t="s">
        <v>365</v>
      </c>
      <c r="E73" s="670" t="s">
        <v>646</v>
      </c>
      <c r="F73" s="671"/>
      <c r="G73" s="671"/>
      <c r="H73" s="671"/>
      <c r="I73" s="671"/>
      <c r="J73" s="671"/>
      <c r="K73" s="671"/>
      <c r="L73" s="672"/>
      <c r="M73" s="671"/>
      <c r="Z73" s="3907"/>
    </row>
    <row r="74" spans="1:26" s="655" customFormat="1" hidden="1" x14ac:dyDescent="0.2">
      <c r="A74" s="668"/>
      <c r="B74" s="669"/>
      <c r="C74" s="669"/>
      <c r="D74" s="3908"/>
      <c r="E74" s="639">
        <v>2001</v>
      </c>
      <c r="F74" s="639">
        <v>2002</v>
      </c>
      <c r="G74" s="639">
        <v>2003</v>
      </c>
      <c r="H74" s="639">
        <v>2004</v>
      </c>
      <c r="I74" s="639">
        <v>2005</v>
      </c>
      <c r="J74" s="639">
        <v>2006</v>
      </c>
      <c r="K74" s="639">
        <v>2007</v>
      </c>
      <c r="L74" s="639">
        <v>2008</v>
      </c>
      <c r="M74" s="639">
        <v>2009</v>
      </c>
      <c r="N74" s="639">
        <v>2010</v>
      </c>
      <c r="O74" s="639">
        <v>2011</v>
      </c>
      <c r="P74" s="639">
        <v>2012</v>
      </c>
      <c r="Q74" s="639">
        <v>2013</v>
      </c>
      <c r="R74" s="639">
        <v>2014</v>
      </c>
      <c r="S74" s="639">
        <v>2015</v>
      </c>
      <c r="T74" s="639"/>
      <c r="U74" s="639">
        <v>2015</v>
      </c>
      <c r="Z74" s="3907"/>
    </row>
    <row r="75" spans="1:26" s="655" customFormat="1" hidden="1" x14ac:dyDescent="0.2">
      <c r="A75" s="668"/>
      <c r="B75" s="669"/>
      <c r="C75" s="669"/>
      <c r="D75" s="673"/>
      <c r="E75" s="641"/>
      <c r="F75" s="641"/>
      <c r="G75" s="641"/>
      <c r="H75" s="641"/>
      <c r="I75" s="641"/>
      <c r="J75" s="641"/>
      <c r="K75" s="641"/>
      <c r="L75" s="641"/>
      <c r="M75" s="641"/>
      <c r="N75" s="641"/>
      <c r="O75" s="641"/>
      <c r="P75" s="641"/>
      <c r="Q75" s="641"/>
      <c r="R75" s="641"/>
      <c r="S75" s="641"/>
      <c r="T75" s="641"/>
      <c r="U75" s="641"/>
      <c r="Z75" s="3907"/>
    </row>
    <row r="76" spans="1:26" s="655" customFormat="1" hidden="1" x14ac:dyDescent="0.2">
      <c r="A76" s="668"/>
      <c r="B76" s="669"/>
      <c r="C76" s="669"/>
      <c r="D76" s="660"/>
      <c r="E76" s="661"/>
      <c r="F76" s="661"/>
      <c r="G76" s="661"/>
      <c r="H76" s="661"/>
      <c r="I76" s="661"/>
      <c r="J76" s="661"/>
      <c r="K76" s="661"/>
      <c r="L76" s="661"/>
      <c r="M76" s="661"/>
      <c r="N76" s="661"/>
      <c r="O76" s="661"/>
      <c r="P76" s="661"/>
      <c r="Q76" s="661"/>
      <c r="R76" s="661"/>
      <c r="S76" s="661"/>
      <c r="T76" s="661"/>
      <c r="U76" s="661"/>
      <c r="Z76" s="3907"/>
    </row>
    <row r="77" spans="1:26" s="655" customFormat="1" hidden="1" x14ac:dyDescent="0.2">
      <c r="A77" s="668"/>
      <c r="B77" s="669"/>
      <c r="C77" s="669"/>
      <c r="D77" s="660" t="s">
        <v>647</v>
      </c>
      <c r="E77" s="661">
        <v>64.634882591007894</v>
      </c>
      <c r="F77" s="661">
        <v>65.881555094493478</v>
      </c>
      <c r="G77" s="661">
        <v>64.222196856013809</v>
      </c>
      <c r="H77" s="661">
        <v>62.90828400072138</v>
      </c>
      <c r="I77" s="661">
        <v>64.269517733194078</v>
      </c>
      <c r="J77" s="661">
        <v>64.819535832597623</v>
      </c>
      <c r="K77" s="661">
        <v>64.289810349309136</v>
      </c>
      <c r="L77" s="661">
        <v>67.139957670086019</v>
      </c>
      <c r="M77" s="661">
        <v>65.1807105856943</v>
      </c>
      <c r="N77" s="661">
        <v>63.29066644762019</v>
      </c>
      <c r="O77" s="661">
        <v>62.751425987964531</v>
      </c>
      <c r="P77" s="661">
        <v>63.264202089679777</v>
      </c>
      <c r="Q77" s="661">
        <v>63.4</v>
      </c>
      <c r="R77" s="661">
        <v>63.7</v>
      </c>
      <c r="S77" s="661">
        <v>65.099999999999994</v>
      </c>
      <c r="T77" s="661"/>
      <c r="U77" s="661">
        <v>65.099999999999994</v>
      </c>
      <c r="Z77" s="3907"/>
    </row>
    <row r="78" spans="1:26" s="655" customFormat="1" hidden="1" x14ac:dyDescent="0.2">
      <c r="A78" s="668"/>
      <c r="B78" s="669"/>
      <c r="C78" s="669"/>
      <c r="D78" s="660" t="s">
        <v>648</v>
      </c>
      <c r="E78" s="678">
        <v>50.863602910453288</v>
      </c>
      <c r="F78" s="678">
        <v>52.522343788908231</v>
      </c>
      <c r="G78" s="678">
        <v>50.456671538930962</v>
      </c>
      <c r="H78" s="678">
        <v>48.313009661265255</v>
      </c>
      <c r="I78" s="678">
        <v>50.362207992727534</v>
      </c>
      <c r="J78" s="678">
        <v>51.872240541787932</v>
      </c>
      <c r="K78" s="678">
        <v>50.783509209581993</v>
      </c>
      <c r="L78" s="678">
        <v>51.861720551692891</v>
      </c>
      <c r="M78" s="678">
        <v>50.15960471751044</v>
      </c>
      <c r="N78" s="678">
        <v>48.435273610623248</v>
      </c>
      <c r="O78" s="678">
        <v>49.014293685902487</v>
      </c>
      <c r="P78" s="678">
        <v>49.369475219699751</v>
      </c>
      <c r="Q78" s="678">
        <v>50.4</v>
      </c>
      <c r="R78" s="678">
        <v>50.7</v>
      </c>
      <c r="S78" s="678">
        <v>52.1</v>
      </c>
      <c r="T78" s="678"/>
      <c r="U78" s="678">
        <v>52.1</v>
      </c>
      <c r="Z78" s="3907"/>
    </row>
    <row r="79" spans="1:26" s="655" customFormat="1" hidden="1" x14ac:dyDescent="0.2">
      <c r="A79" s="668"/>
      <c r="B79" s="669"/>
      <c r="C79" s="669"/>
      <c r="D79" s="675" t="s">
        <v>50</v>
      </c>
      <c r="E79" s="679">
        <v>57.356284207845135</v>
      </c>
      <c r="F79" s="679">
        <v>58.826644319925983</v>
      </c>
      <c r="G79" s="679">
        <v>56.960750812611295</v>
      </c>
      <c r="H79" s="679">
        <v>55.218047341957032</v>
      </c>
      <c r="I79" s="679">
        <v>56.950978913340322</v>
      </c>
      <c r="J79" s="679">
        <v>58.015775618251745</v>
      </c>
      <c r="K79" s="679">
        <v>57.203361484734934</v>
      </c>
      <c r="L79" s="679">
        <v>57.844721106008087</v>
      </c>
      <c r="M79" s="679">
        <v>55.851479746204291</v>
      </c>
      <c r="N79" s="679">
        <v>54.274999999999999</v>
      </c>
      <c r="O79" s="679">
        <v>54.375</v>
      </c>
      <c r="P79" s="679">
        <v>54.824999999999996</v>
      </c>
      <c r="Q79" s="679">
        <v>56.8</v>
      </c>
      <c r="R79" s="679">
        <v>57.1</v>
      </c>
      <c r="S79" s="679">
        <v>58.5</v>
      </c>
      <c r="T79" s="679"/>
      <c r="U79" s="679">
        <v>58.5</v>
      </c>
      <c r="Z79" s="3907"/>
    </row>
    <row r="80" spans="1:26" s="655" customFormat="1" hidden="1" x14ac:dyDescent="0.2">
      <c r="A80" s="668"/>
      <c r="B80" s="669"/>
      <c r="C80" s="669"/>
      <c r="L80" s="677"/>
      <c r="Z80" s="3907"/>
    </row>
    <row r="81" spans="1:26" s="655" customFormat="1" hidden="1" x14ac:dyDescent="0.2">
      <c r="A81" s="668"/>
      <c r="B81" s="669"/>
      <c r="C81" s="669"/>
      <c r="D81" s="670" t="s">
        <v>365</v>
      </c>
      <c r="E81" s="670" t="s">
        <v>649</v>
      </c>
      <c r="F81" s="671"/>
      <c r="G81" s="671"/>
      <c r="H81" s="671"/>
      <c r="I81" s="671"/>
      <c r="J81" s="671"/>
      <c r="K81" s="671"/>
      <c r="L81" s="672"/>
      <c r="M81" s="671"/>
      <c r="Z81" s="3907"/>
    </row>
    <row r="82" spans="1:26" s="655" customFormat="1" hidden="1" x14ac:dyDescent="0.2">
      <c r="A82" s="668"/>
      <c r="B82" s="669"/>
      <c r="C82" s="669"/>
      <c r="D82" s="3908"/>
      <c r="E82" s="639">
        <v>2001</v>
      </c>
      <c r="F82" s="639">
        <v>2002</v>
      </c>
      <c r="G82" s="639">
        <v>2003</v>
      </c>
      <c r="H82" s="639">
        <v>2004</v>
      </c>
      <c r="I82" s="639">
        <v>2005</v>
      </c>
      <c r="J82" s="639">
        <v>2006</v>
      </c>
      <c r="K82" s="639">
        <v>2007</v>
      </c>
      <c r="L82" s="639">
        <v>2008</v>
      </c>
      <c r="M82" s="639">
        <v>2009</v>
      </c>
      <c r="N82" s="639">
        <v>2010</v>
      </c>
      <c r="O82" s="639">
        <v>2011</v>
      </c>
      <c r="P82" s="639">
        <v>2012</v>
      </c>
      <c r="Q82" s="639">
        <v>2013</v>
      </c>
      <c r="R82" s="639">
        <v>2014</v>
      </c>
      <c r="S82" s="639">
        <v>2015</v>
      </c>
      <c r="T82" s="639"/>
      <c r="U82" s="639">
        <v>2015</v>
      </c>
      <c r="Z82" s="3907"/>
    </row>
    <row r="83" spans="1:26" s="655" customFormat="1" hidden="1" x14ac:dyDescent="0.2">
      <c r="A83" s="668"/>
      <c r="B83" s="669"/>
      <c r="C83" s="669"/>
      <c r="D83" s="673"/>
      <c r="E83" s="641"/>
      <c r="F83" s="641"/>
      <c r="G83" s="641"/>
      <c r="H83" s="641"/>
      <c r="I83" s="641"/>
      <c r="J83" s="641"/>
      <c r="K83" s="641"/>
      <c r="L83" s="641"/>
      <c r="M83" s="641"/>
      <c r="N83" s="641"/>
      <c r="O83" s="641"/>
      <c r="P83" s="641"/>
      <c r="Q83" s="641"/>
      <c r="R83" s="641"/>
      <c r="S83" s="641"/>
      <c r="T83" s="641"/>
      <c r="U83" s="641"/>
      <c r="Z83" s="3907"/>
    </row>
    <row r="84" spans="1:26" s="655" customFormat="1" hidden="1" x14ac:dyDescent="0.2">
      <c r="A84" s="668"/>
      <c r="B84" s="669"/>
      <c r="C84" s="669"/>
      <c r="D84" s="660"/>
      <c r="E84" s="661"/>
      <c r="F84" s="661"/>
      <c r="G84" s="661"/>
      <c r="H84" s="661"/>
      <c r="I84" s="661"/>
      <c r="J84" s="661"/>
      <c r="K84" s="661"/>
      <c r="L84" s="661"/>
      <c r="M84" s="661"/>
      <c r="N84" s="661"/>
      <c r="O84" s="661"/>
      <c r="P84" s="661"/>
      <c r="Q84" s="661"/>
      <c r="R84" s="661"/>
      <c r="S84" s="661"/>
      <c r="T84" s="661"/>
      <c r="U84" s="661"/>
      <c r="Z84" s="3907"/>
    </row>
    <row r="85" spans="1:26" s="655" customFormat="1" hidden="1" x14ac:dyDescent="0.2">
      <c r="A85" s="668"/>
      <c r="B85" s="669"/>
      <c r="C85" s="669"/>
      <c r="D85" s="660" t="s">
        <v>647</v>
      </c>
      <c r="E85" s="661">
        <v>49.606207108573123</v>
      </c>
      <c r="F85" s="661">
        <v>50.401527470003458</v>
      </c>
      <c r="G85" s="661">
        <v>49.027663411262964</v>
      </c>
      <c r="H85" s="661">
        <v>49.545315257937595</v>
      </c>
      <c r="I85" s="661">
        <v>51.38563234543367</v>
      </c>
      <c r="J85" s="661">
        <v>52.759333827456722</v>
      </c>
      <c r="K85" s="661">
        <v>52.215789906638648</v>
      </c>
      <c r="L85" s="661">
        <v>53.833932272650983</v>
      </c>
      <c r="M85" s="661">
        <v>50.814126444390496</v>
      </c>
      <c r="N85" s="661">
        <v>48.723896886955586</v>
      </c>
      <c r="O85" s="661">
        <v>48.508201688170104</v>
      </c>
      <c r="P85" s="661">
        <v>48.711927975809793</v>
      </c>
      <c r="Q85" s="661">
        <v>48.7</v>
      </c>
      <c r="R85" s="661">
        <v>48.9</v>
      </c>
      <c r="S85" s="661">
        <v>49.9</v>
      </c>
      <c r="T85" s="661"/>
      <c r="U85" s="661">
        <v>49.9</v>
      </c>
      <c r="Z85" s="3907"/>
    </row>
    <row r="86" spans="1:26" s="655" customFormat="1" hidden="1" x14ac:dyDescent="0.2">
      <c r="A86" s="668"/>
      <c r="B86" s="669"/>
      <c r="C86" s="669"/>
      <c r="D86" s="660" t="s">
        <v>648</v>
      </c>
      <c r="E86" s="678">
        <v>35.886686166771682</v>
      </c>
      <c r="F86" s="678">
        <v>36.074717402600719</v>
      </c>
      <c r="G86" s="678">
        <v>34.775731393866749</v>
      </c>
      <c r="H86" s="678">
        <v>34.447517775213868</v>
      </c>
      <c r="I86" s="678">
        <v>36.159352757809472</v>
      </c>
      <c r="J86" s="678">
        <v>37.791675161772957</v>
      </c>
      <c r="K86" s="678">
        <v>37.375718793690574</v>
      </c>
      <c r="L86" s="678">
        <v>38.43212045613128</v>
      </c>
      <c r="M86" s="678">
        <v>37.275527749134227</v>
      </c>
      <c r="N86" s="678">
        <v>35.268155185829563</v>
      </c>
      <c r="O86" s="678">
        <v>35.609978504611377</v>
      </c>
      <c r="P86" s="678">
        <v>35.954082398788827</v>
      </c>
      <c r="Q86" s="678">
        <v>37</v>
      </c>
      <c r="R86" s="678">
        <v>36.9</v>
      </c>
      <c r="S86" s="678">
        <v>37.700000000000003</v>
      </c>
      <c r="T86" s="678"/>
      <c r="U86" s="678">
        <v>37.700000000000003</v>
      </c>
      <c r="Z86" s="3907"/>
    </row>
    <row r="87" spans="1:26" s="655" customFormat="1" hidden="1" x14ac:dyDescent="0.2">
      <c r="A87" s="668"/>
      <c r="B87" s="669"/>
      <c r="C87" s="669"/>
      <c r="D87" s="675" t="s">
        <v>50</v>
      </c>
      <c r="E87" s="679">
        <v>42.354965011895125</v>
      </c>
      <c r="F87" s="679">
        <v>42.835676155122592</v>
      </c>
      <c r="G87" s="679">
        <v>41.509571594326594</v>
      </c>
      <c r="H87" s="679">
        <v>41.590244863339606</v>
      </c>
      <c r="I87" s="679">
        <v>43.373047458502704</v>
      </c>
      <c r="J87" s="679">
        <v>44.893965416879368</v>
      </c>
      <c r="K87" s="679">
        <v>44.42933006491787</v>
      </c>
      <c r="L87" s="679">
        <v>44.591633791139799</v>
      </c>
      <c r="M87" s="679">
        <v>42.464870064073523</v>
      </c>
      <c r="N87" s="679">
        <v>40.75</v>
      </c>
      <c r="O87" s="679">
        <v>40.825000000000003</v>
      </c>
      <c r="P87" s="679">
        <v>41.024999999999999</v>
      </c>
      <c r="Q87" s="679">
        <v>42.7</v>
      </c>
      <c r="R87" s="679">
        <v>42.8</v>
      </c>
      <c r="S87" s="679">
        <v>43.7</v>
      </c>
      <c r="T87" s="679"/>
      <c r="U87" s="679">
        <v>43.7</v>
      </c>
      <c r="Z87" s="3907"/>
    </row>
    <row r="88" spans="1:26" hidden="1" x14ac:dyDescent="0.2">
      <c r="D88" s="680" t="s">
        <v>365</v>
      </c>
      <c r="E88" s="680" t="s">
        <v>649</v>
      </c>
      <c r="F88" s="637"/>
      <c r="G88" s="637"/>
      <c r="H88" s="637"/>
      <c r="I88" s="637"/>
      <c r="J88" s="637"/>
      <c r="K88" s="637"/>
      <c r="L88" s="637"/>
      <c r="M88" s="637"/>
    </row>
    <row r="89" spans="1:26" ht="12.75" hidden="1" customHeight="1" x14ac:dyDescent="0.2">
      <c r="D89" s="3906"/>
      <c r="E89" s="681">
        <v>2001</v>
      </c>
      <c r="F89" s="3905"/>
      <c r="G89" s="3905"/>
      <c r="H89" s="3905"/>
      <c r="I89" s="3905"/>
      <c r="J89" s="3905"/>
      <c r="K89" s="682"/>
      <c r="L89" s="683"/>
      <c r="M89" s="684"/>
      <c r="N89" s="685"/>
      <c r="O89" s="686"/>
    </row>
    <row r="90" spans="1:26" hidden="1" x14ac:dyDescent="0.2">
      <c r="D90" s="640"/>
      <c r="E90" s="687" t="s">
        <v>650</v>
      </c>
      <c r="F90" s="688"/>
      <c r="G90" s="688"/>
      <c r="H90" s="688"/>
      <c r="I90" s="688"/>
      <c r="J90" s="688"/>
      <c r="K90" s="688"/>
      <c r="L90" s="689"/>
      <c r="M90" s="690"/>
      <c r="N90" s="691"/>
      <c r="O90" s="640"/>
    </row>
    <row r="91" spans="1:26" hidden="1" x14ac:dyDescent="0.2">
      <c r="D91" s="642"/>
      <c r="E91" s="692"/>
      <c r="F91" s="693"/>
      <c r="G91" s="693"/>
      <c r="H91" s="693"/>
      <c r="I91" s="693"/>
      <c r="J91" s="693"/>
      <c r="K91" s="693"/>
      <c r="L91" s="694"/>
      <c r="M91" s="695"/>
      <c r="N91" s="696"/>
    </row>
    <row r="92" spans="1:26" hidden="1" x14ac:dyDescent="0.2">
      <c r="D92" s="642" t="s">
        <v>647</v>
      </c>
      <c r="E92" s="692">
        <v>49.606207108573123</v>
      </c>
      <c r="F92" s="693"/>
      <c r="G92" s="693"/>
      <c r="H92" s="693"/>
      <c r="I92" s="693"/>
      <c r="J92" s="693"/>
      <c r="K92" s="693"/>
      <c r="L92" s="694"/>
      <c r="M92" s="695"/>
      <c r="N92" s="696"/>
      <c r="O92" s="634"/>
    </row>
    <row r="93" spans="1:26" hidden="1" x14ac:dyDescent="0.2">
      <c r="D93" s="642" t="s">
        <v>648</v>
      </c>
      <c r="E93" s="692">
        <v>35.886686166771682</v>
      </c>
      <c r="F93" s="693"/>
      <c r="G93" s="693"/>
      <c r="H93" s="693"/>
      <c r="I93" s="693"/>
      <c r="J93" s="693"/>
      <c r="K93" s="693"/>
      <c r="L93" s="694"/>
      <c r="M93" s="695"/>
      <c r="N93" s="696"/>
      <c r="O93" s="634"/>
    </row>
    <row r="94" spans="1:26" hidden="1" x14ac:dyDescent="0.2">
      <c r="D94" s="697" t="s">
        <v>50</v>
      </c>
      <c r="E94" s="698">
        <v>42.354965011895125</v>
      </c>
      <c r="F94" s="699"/>
      <c r="G94" s="699"/>
      <c r="H94" s="699"/>
      <c r="I94" s="699"/>
      <c r="J94" s="699"/>
      <c r="K94" s="699"/>
      <c r="L94" s="700"/>
      <c r="M94" s="701"/>
      <c r="N94" s="702"/>
      <c r="O94" s="703"/>
    </row>
    <row r="95" spans="1:26" hidden="1" x14ac:dyDescent="0.2"/>
    <row r="96" spans="1:26" hidden="1" x14ac:dyDescent="0.2"/>
    <row r="97" spans="1:26" hidden="1" x14ac:dyDescent="0.2"/>
    <row r="98" spans="1:26" hidden="1" x14ac:dyDescent="0.2"/>
    <row r="99" spans="1:26" hidden="1" x14ac:dyDescent="0.2"/>
    <row r="100" spans="1:26" hidden="1" x14ac:dyDescent="0.2">
      <c r="E100" s="704"/>
      <c r="F100" s="704"/>
      <c r="G100" s="704"/>
      <c r="H100" s="704"/>
      <c r="I100" s="704"/>
      <c r="J100" s="704"/>
      <c r="K100" s="704"/>
      <c r="L100" s="704"/>
      <c r="M100" s="704"/>
      <c r="N100" s="704"/>
      <c r="O100" s="704"/>
      <c r="P100" s="704"/>
      <c r="Q100" s="704"/>
    </row>
    <row r="101" spans="1:26" s="707" customFormat="1" hidden="1" x14ac:dyDescent="0.2">
      <c r="A101" s="705"/>
      <c r="B101" s="706"/>
      <c r="C101" s="706"/>
      <c r="Z101" s="3904"/>
    </row>
    <row r="102" spans="1:26" s="707" customFormat="1" ht="13.5" hidden="1" customHeight="1" x14ac:dyDescent="0.2">
      <c r="A102" s="705"/>
      <c r="B102" s="706"/>
      <c r="C102" s="706"/>
      <c r="D102" s="708"/>
      <c r="E102" s="709">
        <v>2001</v>
      </c>
      <c r="F102" s="710"/>
      <c r="G102" s="710"/>
      <c r="H102" s="710"/>
      <c r="I102" s="710"/>
      <c r="J102" s="710"/>
      <c r="K102" s="711"/>
      <c r="L102" s="712"/>
      <c r="M102" s="713"/>
      <c r="N102" s="711"/>
      <c r="O102" s="711"/>
      <c r="P102" s="711"/>
      <c r="Q102" s="711"/>
      <c r="R102" s="711"/>
      <c r="S102" s="711"/>
      <c r="T102" s="711"/>
      <c r="U102" s="711"/>
      <c r="Z102" s="3904"/>
    </row>
    <row r="103" spans="1:26" s="707" customFormat="1" ht="13.5" hidden="1" customHeight="1" x14ac:dyDescent="0.2">
      <c r="A103" s="705"/>
      <c r="B103" s="706"/>
      <c r="C103" s="706"/>
      <c r="D103" s="714"/>
      <c r="E103" s="715" t="s">
        <v>359</v>
      </c>
      <c r="F103" s="715"/>
      <c r="G103" s="715"/>
      <c r="H103" s="715"/>
      <c r="I103" s="715"/>
      <c r="J103" s="715"/>
      <c r="K103" s="715"/>
      <c r="L103" s="716"/>
      <c r="M103" s="716"/>
      <c r="N103" s="716"/>
      <c r="O103" s="716"/>
      <c r="P103" s="716"/>
      <c r="Q103" s="716"/>
      <c r="R103" s="716"/>
      <c r="S103" s="716"/>
      <c r="T103" s="716"/>
      <c r="U103" s="716"/>
      <c r="Z103" s="3904"/>
    </row>
    <row r="104" spans="1:26" s="707" customFormat="1" hidden="1" x14ac:dyDescent="0.2">
      <c r="A104" s="705"/>
      <c r="B104" s="706"/>
      <c r="C104" s="706"/>
      <c r="M104" s="717"/>
      <c r="N104" s="718"/>
      <c r="Z104" s="3904"/>
    </row>
    <row r="105" spans="1:26" hidden="1" x14ac:dyDescent="0.2">
      <c r="M105" s="654"/>
      <c r="N105" s="653"/>
    </row>
    <row r="106" spans="1:26" hidden="1" x14ac:dyDescent="0.2">
      <c r="M106" s="719"/>
      <c r="N106" s="720"/>
    </row>
    <row r="107" spans="1:26" hidden="1" x14ac:dyDescent="0.2"/>
    <row r="108" spans="1:26" hidden="1" x14ac:dyDescent="0.2"/>
    <row r="109" spans="1:26" hidden="1" x14ac:dyDescent="0.2"/>
    <row r="110" spans="1:26" hidden="1" x14ac:dyDescent="0.2"/>
    <row r="111" spans="1:26" hidden="1" x14ac:dyDescent="0.2"/>
    <row r="112" spans="1:26" hidden="1" x14ac:dyDescent="0.2"/>
    <row r="113" spans="2:26" s="630" customFormat="1" hidden="1" x14ac:dyDescent="0.2">
      <c r="B113" s="631"/>
      <c r="C113" s="631"/>
      <c r="D113" s="633"/>
      <c r="E113" s="633"/>
      <c r="F113" s="633"/>
      <c r="G113" s="633"/>
      <c r="H113" s="633"/>
      <c r="I113" s="633"/>
      <c r="J113" s="633"/>
      <c r="K113" s="633"/>
      <c r="L113" s="633"/>
      <c r="M113" s="633"/>
      <c r="N113" s="633"/>
      <c r="O113" s="633"/>
      <c r="P113" s="633"/>
      <c r="Q113" s="633"/>
      <c r="R113" s="633"/>
      <c r="S113" s="633"/>
      <c r="T113" s="633"/>
      <c r="U113" s="633"/>
      <c r="V113" s="633"/>
      <c r="W113" s="633"/>
      <c r="X113" s="633"/>
      <c r="Y113" s="633"/>
      <c r="Z113" s="3904"/>
    </row>
    <row r="114" spans="2:26" s="630" customFormat="1" hidden="1" x14ac:dyDescent="0.2">
      <c r="B114" s="631"/>
      <c r="C114" s="631"/>
      <c r="D114" s="633"/>
      <c r="E114" s="633"/>
      <c r="F114" s="633"/>
      <c r="G114" s="633"/>
      <c r="H114" s="633"/>
      <c r="I114" s="633"/>
      <c r="J114" s="633"/>
      <c r="K114" s="633"/>
      <c r="L114" s="633"/>
      <c r="M114" s="633"/>
      <c r="N114" s="633"/>
      <c r="O114" s="633"/>
      <c r="P114" s="633"/>
      <c r="Q114" s="633"/>
      <c r="R114" s="633"/>
      <c r="S114" s="633"/>
      <c r="T114" s="633"/>
      <c r="U114" s="633"/>
      <c r="V114" s="633"/>
      <c r="W114" s="633"/>
      <c r="X114" s="633"/>
      <c r="Y114" s="633"/>
      <c r="Z114" s="3904"/>
    </row>
    <row r="115" spans="2:26" s="630" customFormat="1" hidden="1" x14ac:dyDescent="0.2">
      <c r="B115" s="631"/>
      <c r="C115" s="631"/>
      <c r="D115" s="633"/>
      <c r="E115" s="633"/>
      <c r="F115" s="633"/>
      <c r="G115" s="633"/>
      <c r="H115" s="633"/>
      <c r="I115" s="633"/>
      <c r="J115" s="633"/>
      <c r="K115" s="633"/>
      <c r="L115" s="633"/>
      <c r="M115" s="633"/>
      <c r="N115" s="633"/>
      <c r="O115" s="633"/>
      <c r="P115" s="633"/>
      <c r="Q115" s="633"/>
      <c r="R115" s="633"/>
      <c r="S115" s="633"/>
      <c r="T115" s="633"/>
      <c r="U115" s="633"/>
      <c r="V115" s="633"/>
      <c r="W115" s="633"/>
      <c r="X115" s="633"/>
      <c r="Y115" s="633"/>
      <c r="Z115" s="3904"/>
    </row>
    <row r="116" spans="2:26" s="630" customFormat="1" hidden="1" x14ac:dyDescent="0.2">
      <c r="B116" s="631"/>
      <c r="C116" s="631"/>
      <c r="D116" s="633"/>
      <c r="E116" s="633"/>
      <c r="F116" s="633"/>
      <c r="G116" s="633"/>
      <c r="H116" s="633"/>
      <c r="I116" s="633"/>
      <c r="J116" s="633"/>
      <c r="K116" s="633"/>
      <c r="L116" s="633"/>
      <c r="M116" s="633"/>
      <c r="N116" s="633"/>
      <c r="O116" s="633"/>
      <c r="P116" s="633"/>
      <c r="Q116" s="633"/>
      <c r="R116" s="633"/>
      <c r="S116" s="633"/>
      <c r="T116" s="633"/>
      <c r="U116" s="633"/>
      <c r="V116" s="633"/>
      <c r="W116" s="633"/>
      <c r="X116" s="633"/>
      <c r="Y116" s="633"/>
      <c r="Z116" s="3904"/>
    </row>
    <row r="117" spans="2:26" s="630" customFormat="1" hidden="1" x14ac:dyDescent="0.2">
      <c r="B117" s="631"/>
      <c r="C117" s="631"/>
      <c r="D117" s="633"/>
      <c r="E117" s="633"/>
      <c r="F117" s="633"/>
      <c r="G117" s="633"/>
      <c r="H117" s="633"/>
      <c r="I117" s="633"/>
      <c r="J117" s="633"/>
      <c r="K117" s="633"/>
      <c r="L117" s="633"/>
      <c r="M117" s="633"/>
      <c r="N117" s="633"/>
      <c r="O117" s="633"/>
      <c r="P117" s="633"/>
      <c r="Q117" s="633"/>
      <c r="R117" s="633"/>
      <c r="S117" s="633"/>
      <c r="T117" s="633"/>
      <c r="U117" s="633"/>
      <c r="V117" s="633"/>
      <c r="W117" s="633"/>
      <c r="X117" s="633"/>
      <c r="Y117" s="633"/>
      <c r="Z117" s="3904"/>
    </row>
  </sheetData>
  <sheetProtection selectLockedCells="1"/>
  <mergeCells count="8">
    <mergeCell ref="D55:V55"/>
    <mergeCell ref="D56:V56"/>
    <mergeCell ref="D2:X2"/>
    <mergeCell ref="D3:X3"/>
    <mergeCell ref="D4:X4"/>
    <mergeCell ref="D5:X5"/>
    <mergeCell ref="D53:V53"/>
    <mergeCell ref="D54:V54"/>
  </mergeCells>
  <pageMargins left="0.74803149606299213" right="0.74803149606299213" top="0.98425196850393704" bottom="0.98425196850393704" header="0.51181102362204722" footer="0.51181102362204722"/>
  <pageSetup paperSize="9" scale="56"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625F4-E7DC-4ED6-A9D2-8E4D6BEE45A9}">
  <sheetPr>
    <tabColor rgb="FF00FFFF"/>
  </sheetPr>
  <dimension ref="A1:AB79"/>
  <sheetViews>
    <sheetView showGridLines="0" view="pageBreakPreview" topLeftCell="B7" zoomScaleNormal="100" zoomScaleSheetLayoutView="100" workbookViewId="0">
      <selection activeCell="N9" sqref="N9"/>
    </sheetView>
  </sheetViews>
  <sheetFormatPr defaultRowHeight="15" x14ac:dyDescent="0.25"/>
  <cols>
    <col min="2" max="2" width="11.85546875" bestFit="1" customWidth="1"/>
    <col min="4" max="4" width="19.85546875" customWidth="1"/>
    <col min="14" max="14" width="9" bestFit="1" customWidth="1"/>
    <col min="19" max="19" width="14.42578125" customWidth="1"/>
  </cols>
  <sheetData>
    <row r="1" spans="1:27" x14ac:dyDescent="0.25">
      <c r="A1" s="509"/>
      <c r="B1" s="1119"/>
      <c r="C1" s="1119"/>
      <c r="AA1" s="113"/>
    </row>
    <row r="2" spans="1:27" x14ac:dyDescent="0.25">
      <c r="A2" s="509">
        <v>1</v>
      </c>
      <c r="B2" s="509" t="s">
        <v>0</v>
      </c>
      <c r="C2" s="509">
        <v>22</v>
      </c>
      <c r="D2" s="4731" t="s">
        <v>2187</v>
      </c>
      <c r="E2" s="4732"/>
      <c r="F2" s="4732"/>
      <c r="G2" s="4732"/>
      <c r="H2" s="4732"/>
      <c r="I2" s="4732"/>
      <c r="J2" s="4732"/>
      <c r="K2" s="4732"/>
      <c r="L2" s="4732"/>
      <c r="M2" s="4732"/>
      <c r="N2" s="4732"/>
      <c r="O2" s="4733"/>
      <c r="AA2" s="113"/>
    </row>
    <row r="3" spans="1:27" x14ac:dyDescent="0.25">
      <c r="A3" s="509">
        <v>2</v>
      </c>
      <c r="B3" s="509" t="s">
        <v>2</v>
      </c>
      <c r="C3" s="509"/>
      <c r="D3" s="4731" t="s">
        <v>630</v>
      </c>
      <c r="E3" s="4732"/>
      <c r="F3" s="4732"/>
      <c r="G3" s="4732"/>
      <c r="H3" s="4732"/>
      <c r="I3" s="4732"/>
      <c r="J3" s="4732"/>
      <c r="K3" s="4732"/>
      <c r="L3" s="4732"/>
      <c r="M3" s="4732"/>
      <c r="N3" s="4732"/>
      <c r="O3" s="4733"/>
      <c r="AA3" s="113"/>
    </row>
    <row r="4" spans="1:27" x14ac:dyDescent="0.25">
      <c r="A4" s="509">
        <v>3</v>
      </c>
      <c r="B4" s="509" t="s">
        <v>4</v>
      </c>
      <c r="C4" s="509"/>
      <c r="D4" s="4731" t="s">
        <v>681</v>
      </c>
      <c r="E4" s="4732"/>
      <c r="F4" s="4732"/>
      <c r="G4" s="4732"/>
      <c r="H4" s="4732"/>
      <c r="I4" s="4732"/>
      <c r="J4" s="4732"/>
      <c r="K4" s="4732"/>
      <c r="L4" s="4732"/>
      <c r="M4" s="4732"/>
      <c r="N4" s="4732"/>
      <c r="O4" s="4733"/>
      <c r="AA4" s="113"/>
    </row>
    <row r="5" spans="1:27" x14ac:dyDescent="0.25">
      <c r="A5" s="509"/>
      <c r="B5" s="1119"/>
      <c r="C5" s="509"/>
      <c r="D5" s="1455"/>
      <c r="E5" s="113"/>
      <c r="F5" s="113"/>
      <c r="G5" s="113"/>
      <c r="H5" s="113"/>
      <c r="I5" s="113"/>
      <c r="J5" s="113"/>
      <c r="K5" s="113"/>
      <c r="L5" s="113"/>
      <c r="M5" s="113"/>
      <c r="N5" s="113"/>
      <c r="O5" s="113"/>
      <c r="P5" s="113"/>
      <c r="Q5" s="113"/>
      <c r="R5" s="113"/>
      <c r="S5" s="113"/>
      <c r="T5" s="113"/>
      <c r="U5" s="113"/>
      <c r="V5" s="113"/>
      <c r="W5" s="113"/>
      <c r="X5" s="113"/>
      <c r="Y5" s="113"/>
      <c r="Z5" s="113"/>
      <c r="AA5" s="113"/>
    </row>
    <row r="6" spans="1:27" x14ac:dyDescent="0.25">
      <c r="A6" s="509">
        <v>4</v>
      </c>
      <c r="B6" s="509" t="s">
        <v>6</v>
      </c>
      <c r="C6" s="1119"/>
      <c r="D6" s="72" t="s">
        <v>80</v>
      </c>
      <c r="E6" s="71" t="s">
        <v>682</v>
      </c>
      <c r="F6" s="71"/>
      <c r="G6" s="71"/>
      <c r="H6" s="71"/>
      <c r="I6" s="71"/>
      <c r="J6" s="71"/>
      <c r="K6" s="71"/>
      <c r="L6" s="71"/>
      <c r="M6" s="1137"/>
      <c r="N6" s="1137"/>
      <c r="O6" s="1137"/>
      <c r="P6" s="1137"/>
      <c r="Q6" s="1137"/>
      <c r="R6" s="1137"/>
      <c r="S6" s="1137"/>
      <c r="T6" s="1137"/>
      <c r="U6" s="1137"/>
      <c r="V6" s="113"/>
      <c r="W6" s="113"/>
      <c r="X6" s="113"/>
      <c r="Y6" s="113"/>
      <c r="Z6" s="113"/>
      <c r="AA6" s="113"/>
    </row>
    <row r="7" spans="1:27" x14ac:dyDescent="0.25">
      <c r="A7" s="509"/>
      <c r="B7" s="1119"/>
      <c r="C7" s="1119"/>
      <c r="D7" s="404"/>
      <c r="E7" s="1193">
        <v>2013</v>
      </c>
      <c r="F7" s="1193">
        <v>2014</v>
      </c>
      <c r="G7" s="1194">
        <v>2015</v>
      </c>
      <c r="H7" s="1194">
        <v>2016</v>
      </c>
      <c r="I7" s="1237">
        <v>2017</v>
      </c>
      <c r="J7" s="1237">
        <v>2018</v>
      </c>
      <c r="K7" s="1237">
        <v>2019</v>
      </c>
      <c r="L7" s="1237">
        <v>2020</v>
      </c>
      <c r="M7" s="1237">
        <v>2021</v>
      </c>
      <c r="N7" s="2569">
        <v>2022</v>
      </c>
    </row>
    <row r="8" spans="1:27" x14ac:dyDescent="0.25">
      <c r="A8" s="531"/>
      <c r="B8" s="309"/>
      <c r="C8" s="309"/>
      <c r="D8" s="88" t="s">
        <v>683</v>
      </c>
      <c r="E8" s="1487">
        <v>3260.9581152721175</v>
      </c>
      <c r="F8" s="1487">
        <v>3211.8228779188748</v>
      </c>
      <c r="G8" s="1487">
        <v>3138.7506212202411</v>
      </c>
      <c r="H8" s="1488">
        <v>3218.8899504711289</v>
      </c>
      <c r="I8" s="1488">
        <v>3213.4311353148937</v>
      </c>
      <c r="J8" s="1489">
        <v>3253.6426271063419</v>
      </c>
      <c r="K8" s="1489">
        <v>3340</v>
      </c>
      <c r="L8" s="1489">
        <v>3325</v>
      </c>
      <c r="M8" s="4284">
        <v>3372</v>
      </c>
      <c r="N8" s="4289">
        <v>3599</v>
      </c>
    </row>
    <row r="9" spans="1:27" x14ac:dyDescent="0.25">
      <c r="A9" s="531"/>
      <c r="B9" s="309"/>
      <c r="C9" s="309"/>
      <c r="D9" s="88" t="s">
        <v>684</v>
      </c>
      <c r="E9" s="1487">
        <v>3043.7023348745824</v>
      </c>
      <c r="F9" s="1487">
        <v>3000.8436625510553</v>
      </c>
      <c r="G9" s="1487">
        <v>2931.2916935508761</v>
      </c>
      <c r="H9" s="1488">
        <v>3001.2790058000955</v>
      </c>
      <c r="I9" s="1488">
        <v>3032.0643688012133</v>
      </c>
      <c r="J9" s="1490">
        <v>3060.9373865289208</v>
      </c>
      <c r="K9" s="1490"/>
      <c r="L9" s="1490"/>
      <c r="M9" s="4285"/>
      <c r="N9" s="4287"/>
    </row>
    <row r="10" spans="1:27" x14ac:dyDescent="0.25">
      <c r="A10" s="531"/>
      <c r="B10" s="309"/>
      <c r="C10" s="309"/>
      <c r="D10" s="1169" t="s">
        <v>685</v>
      </c>
      <c r="E10" s="1491">
        <v>7393.6536793845025</v>
      </c>
      <c r="F10" s="1491">
        <v>7446.3553874025911</v>
      </c>
      <c r="G10" s="1491">
        <v>7342.2333015733657</v>
      </c>
      <c r="H10" s="1492">
        <v>7602.7913087460392</v>
      </c>
      <c r="I10" s="1492">
        <v>7764.5276852254983</v>
      </c>
      <c r="J10" s="1493">
        <v>7936.6914577741218</v>
      </c>
      <c r="K10" s="1493">
        <f>3053+5527</f>
        <v>8580</v>
      </c>
      <c r="L10" s="1493">
        <v>8770</v>
      </c>
      <c r="M10" s="4286">
        <v>9191</v>
      </c>
      <c r="N10" s="4288">
        <v>9243</v>
      </c>
    </row>
    <row r="11" spans="1:27" x14ac:dyDescent="0.25">
      <c r="A11" s="531"/>
      <c r="B11" s="309"/>
      <c r="C11" s="309"/>
      <c r="D11" s="88"/>
      <c r="E11" s="1494"/>
      <c r="F11" s="1494"/>
      <c r="G11" s="1494"/>
      <c r="H11" s="1495"/>
      <c r="I11" s="1495"/>
      <c r="J11" s="1495"/>
      <c r="K11" s="113"/>
    </row>
    <row r="12" spans="1:27" x14ac:dyDescent="0.25">
      <c r="A12" s="531"/>
      <c r="B12" s="309"/>
      <c r="C12" s="309"/>
      <c r="D12" s="88"/>
      <c r="E12" s="1494"/>
      <c r="F12" s="1494"/>
      <c r="G12" s="1494"/>
      <c r="H12" s="1495"/>
      <c r="I12" s="1495"/>
      <c r="J12" s="1495"/>
      <c r="K12" s="113"/>
    </row>
    <row r="13" spans="1:27" x14ac:dyDescent="0.25">
      <c r="A13" s="531"/>
      <c r="B13" s="309"/>
      <c r="C13" s="309"/>
      <c r="D13" s="88"/>
      <c r="E13" s="1494"/>
      <c r="F13" s="1494"/>
      <c r="G13" s="1494"/>
      <c r="H13" s="1495"/>
      <c r="I13" s="1495"/>
      <c r="J13" s="1495"/>
      <c r="K13" s="113"/>
    </row>
    <row r="14" spans="1:27" x14ac:dyDescent="0.25">
      <c r="A14" s="531"/>
      <c r="B14" s="309"/>
      <c r="C14" s="309"/>
      <c r="D14" s="88"/>
      <c r="E14" s="1494"/>
      <c r="F14" s="1494"/>
      <c r="G14" s="1494"/>
      <c r="H14" s="1495"/>
      <c r="I14" s="1495"/>
      <c r="J14" s="1495"/>
      <c r="K14" s="113"/>
    </row>
    <row r="15" spans="1:27" x14ac:dyDescent="0.25">
      <c r="A15" s="531"/>
      <c r="B15" s="309"/>
      <c r="C15" s="309"/>
      <c r="D15" s="88"/>
      <c r="E15" s="1494"/>
      <c r="F15" s="1494"/>
      <c r="G15" s="1494"/>
      <c r="H15" s="1495"/>
      <c r="I15" s="1495"/>
      <c r="J15" s="1495"/>
      <c r="K15" s="113"/>
    </row>
    <row r="16" spans="1:27" x14ac:dyDescent="0.25">
      <c r="A16" s="531"/>
      <c r="B16" s="309"/>
      <c r="C16" s="309"/>
      <c r="D16" s="88"/>
      <c r="E16" s="1494"/>
      <c r="F16" s="1494"/>
      <c r="G16" s="1494"/>
      <c r="H16" s="1495"/>
      <c r="I16" s="1495"/>
      <c r="J16" s="1495"/>
      <c r="K16" s="113"/>
    </row>
    <row r="17" spans="1:28" x14ac:dyDescent="0.25">
      <c r="A17" s="531"/>
      <c r="B17" s="309"/>
      <c r="C17" s="309"/>
      <c r="D17" s="88"/>
      <c r="E17" s="1494"/>
      <c r="F17" s="1494"/>
      <c r="G17" s="1494"/>
      <c r="H17" s="1495"/>
      <c r="I17" s="1495"/>
      <c r="J17" s="1495"/>
      <c r="K17" s="113"/>
    </row>
    <row r="18" spans="1:28" x14ac:dyDescent="0.25">
      <c r="A18" s="531"/>
      <c r="B18" s="309"/>
      <c r="C18" s="309"/>
      <c r="D18" s="88"/>
      <c r="E18" s="1494"/>
      <c r="F18" s="1494"/>
      <c r="G18" s="1494"/>
      <c r="H18" s="1495"/>
      <c r="I18" s="1495"/>
      <c r="J18" s="1495"/>
      <c r="K18" s="113"/>
    </row>
    <row r="19" spans="1:28" x14ac:dyDescent="0.25">
      <c r="A19" s="531"/>
      <c r="B19" s="309"/>
      <c r="C19" s="309"/>
      <c r="D19" s="88"/>
      <c r="E19" s="1494"/>
      <c r="F19" s="1494"/>
      <c r="G19" s="1494"/>
      <c r="H19" s="1495"/>
      <c r="I19" s="1495"/>
      <c r="J19" s="1495"/>
      <c r="K19" s="113"/>
    </row>
    <row r="20" spans="1:28" x14ac:dyDescent="0.25">
      <c r="A20" s="531"/>
      <c r="B20" s="309"/>
      <c r="C20" s="309"/>
      <c r="D20" s="88"/>
      <c r="E20" s="1494"/>
      <c r="F20" s="1494"/>
      <c r="G20" s="1494"/>
      <c r="H20" s="1495"/>
      <c r="I20" s="1495"/>
      <c r="J20" s="1495"/>
      <c r="K20" s="113"/>
    </row>
    <row r="21" spans="1:28" x14ac:dyDescent="0.25">
      <c r="A21" s="531"/>
      <c r="B21" s="309"/>
      <c r="C21" s="309"/>
      <c r="D21" s="88"/>
      <c r="E21" s="1494"/>
      <c r="F21" s="1494"/>
      <c r="G21" s="1494"/>
      <c r="H21" s="1495"/>
      <c r="I21" s="1495"/>
      <c r="J21" s="1495"/>
      <c r="K21" s="113"/>
    </row>
    <row r="22" spans="1:28" x14ac:dyDescent="0.25">
      <c r="A22" s="531"/>
      <c r="B22" s="309"/>
      <c r="C22" s="309"/>
      <c r="D22" s="88"/>
      <c r="E22" s="1494"/>
      <c r="F22" s="1494"/>
      <c r="G22" s="1494"/>
      <c r="H22" s="1495"/>
      <c r="I22" s="1495"/>
      <c r="J22" s="1495"/>
      <c r="K22" s="113"/>
    </row>
    <row r="23" spans="1:28" x14ac:dyDescent="0.25">
      <c r="A23" s="531"/>
      <c r="B23" s="309"/>
      <c r="C23" s="309"/>
      <c r="D23" s="88"/>
      <c r="E23" s="1494"/>
      <c r="F23" s="1494"/>
      <c r="G23" s="1494"/>
      <c r="H23" s="1495"/>
      <c r="I23" s="1495"/>
      <c r="J23" s="1495"/>
      <c r="K23" s="113"/>
    </row>
    <row r="24" spans="1:28" x14ac:dyDescent="0.25">
      <c r="A24" s="531"/>
      <c r="B24" s="309"/>
      <c r="C24" s="309"/>
      <c r="D24" s="88"/>
      <c r="E24" s="1494"/>
      <c r="F24" s="1494"/>
      <c r="G24" s="1494"/>
      <c r="H24" s="1495"/>
      <c r="I24" s="1495"/>
      <c r="J24" s="1495"/>
      <c r="K24" s="113"/>
    </row>
    <row r="25" spans="1:28" x14ac:dyDescent="0.25">
      <c r="A25" s="531"/>
      <c r="B25" s="309"/>
      <c r="C25" s="309"/>
      <c r="D25" s="88"/>
      <c r="E25" s="1483"/>
      <c r="F25" s="1483"/>
      <c r="G25" s="1483"/>
      <c r="H25" s="1483"/>
      <c r="I25" s="1483"/>
      <c r="J25" s="1483"/>
      <c r="K25" s="1483"/>
      <c r="L25" s="1483"/>
      <c r="M25" s="1483"/>
      <c r="N25" s="1481"/>
      <c r="O25" s="1481"/>
      <c r="P25" s="1481"/>
      <c r="Q25" s="1481"/>
      <c r="R25" s="1481"/>
      <c r="S25" s="1481"/>
      <c r="T25" s="1481"/>
      <c r="U25" s="1481"/>
      <c r="V25" s="38"/>
      <c r="W25" s="38"/>
      <c r="X25" s="38"/>
      <c r="Y25" s="38"/>
      <c r="Z25" s="38"/>
      <c r="AA25" s="113"/>
    </row>
    <row r="26" spans="1:28" x14ac:dyDescent="0.25">
      <c r="A26" s="531"/>
      <c r="B26" s="309"/>
      <c r="C26" s="309"/>
      <c r="D26" s="88"/>
      <c r="E26" s="1483"/>
      <c r="F26" s="1483"/>
      <c r="G26" s="1483"/>
      <c r="H26" s="1483"/>
      <c r="I26" s="1483"/>
      <c r="J26" s="1483"/>
      <c r="K26" s="1483"/>
      <c r="L26" s="1483"/>
      <c r="M26" s="1483"/>
      <c r="N26" s="1481"/>
      <c r="O26" s="1481"/>
      <c r="P26" s="1481"/>
      <c r="Q26" s="1481"/>
      <c r="R26" s="1481"/>
      <c r="S26" s="1481"/>
      <c r="T26" s="1481"/>
      <c r="U26" s="1481"/>
      <c r="V26" s="38"/>
      <c r="W26" s="38"/>
      <c r="X26" s="38"/>
      <c r="Y26" s="38"/>
      <c r="Z26" s="38"/>
      <c r="AA26" s="113"/>
    </row>
    <row r="27" spans="1:28" x14ac:dyDescent="0.25">
      <c r="A27" s="531"/>
      <c r="B27" s="309"/>
      <c r="C27" s="309"/>
      <c r="D27" s="72" t="s">
        <v>267</v>
      </c>
      <c r="E27" s="71" t="s">
        <v>686</v>
      </c>
      <c r="F27" s="71"/>
      <c r="G27" s="71"/>
      <c r="H27" s="71"/>
      <c r="I27" s="71"/>
      <c r="J27" s="71"/>
      <c r="K27" s="71"/>
      <c r="L27" s="71"/>
      <c r="M27" s="1137"/>
      <c r="N27" s="1137"/>
      <c r="O27" s="1137"/>
      <c r="P27" s="1481"/>
      <c r="Q27" s="1481"/>
      <c r="R27" s="1481"/>
      <c r="S27" s="1481"/>
      <c r="T27" s="1481"/>
      <c r="U27" s="1481"/>
      <c r="V27" s="38"/>
      <c r="W27" s="38"/>
      <c r="X27" s="38"/>
      <c r="Y27" s="38"/>
      <c r="Z27" s="38"/>
      <c r="AA27" s="113"/>
    </row>
    <row r="28" spans="1:28" x14ac:dyDescent="0.25">
      <c r="A28" s="531"/>
      <c r="B28" s="309"/>
      <c r="C28" s="309"/>
      <c r="D28" s="404" t="s">
        <v>687</v>
      </c>
      <c r="E28" s="1193" t="s">
        <v>332</v>
      </c>
      <c r="F28" s="1193" t="s">
        <v>333</v>
      </c>
      <c r="G28" s="1194" t="s">
        <v>334</v>
      </c>
      <c r="H28" s="1194" t="s">
        <v>335</v>
      </c>
      <c r="I28" s="1237" t="s">
        <v>336</v>
      </c>
      <c r="J28" s="1237" t="s">
        <v>337</v>
      </c>
      <c r="K28" s="404" t="s">
        <v>338</v>
      </c>
      <c r="L28" s="1193" t="s">
        <v>339</v>
      </c>
      <c r="M28" s="1193" t="s">
        <v>340</v>
      </c>
      <c r="N28" s="1194" t="s">
        <v>341</v>
      </c>
      <c r="O28" s="1194" t="s">
        <v>342</v>
      </c>
      <c r="P28" s="1481"/>
      <c r="Q28" s="1481"/>
      <c r="R28" s="1481"/>
      <c r="S28" s="1481"/>
      <c r="T28" s="1481"/>
      <c r="U28" s="1481"/>
      <c r="V28" s="38"/>
      <c r="W28" s="38"/>
      <c r="X28" s="38"/>
      <c r="Y28" s="38"/>
      <c r="Z28" s="38"/>
      <c r="AA28" s="113"/>
      <c r="AB28" s="113"/>
    </row>
    <row r="29" spans="1:28" x14ac:dyDescent="0.25">
      <c r="A29" s="531"/>
      <c r="B29" s="309"/>
      <c r="C29" s="309"/>
      <c r="D29" s="88" t="s">
        <v>688</v>
      </c>
      <c r="E29" s="1487">
        <v>1503.5987011075779</v>
      </c>
      <c r="F29" s="1487">
        <v>1417.6665582704582</v>
      </c>
      <c r="G29" s="1487">
        <v>1272.168925118347</v>
      </c>
      <c r="H29" s="1487">
        <v>1204.742679117601</v>
      </c>
      <c r="I29" s="1487">
        <v>1179.0276706716884</v>
      </c>
      <c r="J29" s="1487">
        <v>1129.3741894057332</v>
      </c>
      <c r="K29" s="1487">
        <v>1104.8233222880904</v>
      </c>
      <c r="L29" s="1487">
        <v>1093.3855033914285</v>
      </c>
      <c r="M29" s="1487">
        <v>1019.6827944741198</v>
      </c>
      <c r="N29" s="1487">
        <v>974.25432755593886</v>
      </c>
      <c r="O29" s="1487">
        <v>908.93732901852422</v>
      </c>
      <c r="P29" s="1481"/>
      <c r="Q29" s="1481"/>
      <c r="R29" s="1481"/>
      <c r="S29" s="1481"/>
      <c r="T29" s="1481"/>
      <c r="U29" s="1481"/>
      <c r="V29" s="38"/>
      <c r="W29" s="38"/>
      <c r="X29" s="38"/>
      <c r="Y29" s="38"/>
      <c r="Z29" s="38"/>
      <c r="AA29" s="113"/>
    </row>
    <row r="30" spans="1:28" x14ac:dyDescent="0.25">
      <c r="A30" s="531"/>
      <c r="B30" s="309"/>
      <c r="C30" s="309"/>
      <c r="D30" s="1496" t="s">
        <v>689</v>
      </c>
      <c r="E30" s="1487">
        <v>3147.6219680394984</v>
      </c>
      <c r="F30" s="1487">
        <v>3011.1993789170565</v>
      </c>
      <c r="G30" s="1487">
        <v>2897.2356207030048</v>
      </c>
      <c r="H30" s="1487">
        <v>2782.5008326206498</v>
      </c>
      <c r="I30" s="1487">
        <v>2732.5423365995471</v>
      </c>
      <c r="J30" s="1487">
        <v>2660.3957847684424</v>
      </c>
      <c r="K30" s="1487">
        <v>2567.1848649313101</v>
      </c>
      <c r="L30" s="1487">
        <v>2684.7156222324338</v>
      </c>
      <c r="M30" s="1487">
        <v>2602.2162123046614</v>
      </c>
      <c r="N30" s="1487">
        <v>2474.1925394543496</v>
      </c>
      <c r="O30" s="1487">
        <v>2399.8846408445893</v>
      </c>
      <c r="P30" s="1481"/>
      <c r="Q30" s="1481"/>
      <c r="R30" s="1481"/>
      <c r="S30" s="1481"/>
      <c r="T30" s="1481"/>
      <c r="U30" s="1481"/>
      <c r="V30" s="38"/>
      <c r="W30" s="38"/>
      <c r="X30" s="38"/>
      <c r="Y30" s="38"/>
      <c r="Z30" s="38"/>
      <c r="AA30" s="113"/>
    </row>
    <row r="31" spans="1:28" x14ac:dyDescent="0.25">
      <c r="A31" s="531"/>
      <c r="B31" s="309"/>
      <c r="C31" s="309"/>
      <c r="D31" s="88" t="s">
        <v>690</v>
      </c>
      <c r="E31" s="1487">
        <v>1422.2278845874453</v>
      </c>
      <c r="F31" s="1487">
        <v>1404.7555279208159</v>
      </c>
      <c r="G31" s="1487">
        <v>1388.1648860805944</v>
      </c>
      <c r="H31" s="1487">
        <v>1358.8262994679408</v>
      </c>
      <c r="I31" s="1487">
        <v>1343.6818254618997</v>
      </c>
      <c r="J31" s="1487">
        <v>1296.4800507781779</v>
      </c>
      <c r="K31" s="1487">
        <v>1259.843996932947</v>
      </c>
      <c r="L31" s="1487">
        <v>1286.3369369985724</v>
      </c>
      <c r="M31" s="1487">
        <v>1311.3390873220337</v>
      </c>
      <c r="N31" s="1487">
        <v>1265.6975784840984</v>
      </c>
      <c r="O31" s="1487">
        <v>1238.125629408835</v>
      </c>
      <c r="P31" s="1481"/>
      <c r="Q31" s="1481"/>
      <c r="R31" s="1481"/>
      <c r="S31" s="1481"/>
      <c r="T31" s="1481"/>
      <c r="U31" s="1481"/>
      <c r="V31" s="38"/>
      <c r="W31" s="38"/>
      <c r="X31" s="38"/>
      <c r="Y31" s="38"/>
      <c r="Z31" s="38"/>
      <c r="AA31" s="113"/>
    </row>
    <row r="32" spans="1:28" x14ac:dyDescent="0.25">
      <c r="A32" s="531"/>
      <c r="B32" s="309"/>
      <c r="C32" s="309"/>
      <c r="D32" s="88" t="s">
        <v>691</v>
      </c>
      <c r="E32" s="1487">
        <v>7769.9339690414608</v>
      </c>
      <c r="F32" s="1487">
        <v>8023.4248238893724</v>
      </c>
      <c r="G32" s="1487">
        <v>8377.7062145610889</v>
      </c>
      <c r="H32" s="1487">
        <v>8722.6182695426287</v>
      </c>
      <c r="I32" s="1487">
        <v>8993.0935098736791</v>
      </c>
      <c r="J32" s="1487">
        <v>9255.4795325415362</v>
      </c>
      <c r="K32" s="1487">
        <v>9414.9937900405457</v>
      </c>
      <c r="L32" s="1487">
        <v>9581.1729859492862</v>
      </c>
      <c r="M32" s="1487">
        <v>10046.713409783531</v>
      </c>
      <c r="N32" s="1487">
        <v>10213.340179690111</v>
      </c>
      <c r="O32" s="1487">
        <v>10552.959919157052</v>
      </c>
      <c r="P32" s="1481"/>
      <c r="Q32" s="1481"/>
      <c r="R32" s="1481"/>
      <c r="S32" s="1481"/>
      <c r="T32" s="1481"/>
      <c r="U32" s="1481"/>
      <c r="V32" s="38"/>
      <c r="W32" s="38"/>
      <c r="X32" s="38"/>
      <c r="Y32" s="38"/>
      <c r="Z32" s="38"/>
      <c r="AA32" s="113"/>
    </row>
    <row r="33" spans="1:28" x14ac:dyDescent="0.25">
      <c r="A33" s="531"/>
      <c r="B33" s="309"/>
      <c r="C33" s="309"/>
      <c r="D33" s="1496" t="s">
        <v>692</v>
      </c>
      <c r="E33" s="1487">
        <v>5164.0075524413451</v>
      </c>
      <c r="F33" s="1487">
        <v>5469.3781724019518</v>
      </c>
      <c r="G33" s="1487">
        <v>5757.9454916097284</v>
      </c>
      <c r="H33" s="1487">
        <v>5904.958917994044</v>
      </c>
      <c r="I33" s="1487">
        <v>6243.2539659645245</v>
      </c>
      <c r="J33" s="1487">
        <v>6501.9526835391116</v>
      </c>
      <c r="K33" s="1487">
        <v>6914.2066744864605</v>
      </c>
      <c r="L33" s="1487">
        <v>7048.6498394871232</v>
      </c>
      <c r="M33" s="1487">
        <v>7310.9417164348179</v>
      </c>
      <c r="N33" s="1487">
        <v>7620.609092046785</v>
      </c>
      <c r="O33" s="1487">
        <v>8007.5818286496769</v>
      </c>
      <c r="P33" s="1481"/>
      <c r="Q33" s="1481"/>
      <c r="R33" s="1481"/>
      <c r="S33" s="1481"/>
      <c r="T33" s="1481"/>
      <c r="U33" s="1481"/>
      <c r="V33" s="38"/>
      <c r="W33" s="38"/>
      <c r="X33" s="38"/>
      <c r="Y33" s="38"/>
      <c r="Z33" s="38"/>
      <c r="AA33" s="113"/>
      <c r="AB33" s="3096"/>
    </row>
    <row r="34" spans="1:28" x14ac:dyDescent="0.25">
      <c r="A34" s="531"/>
      <c r="B34" s="309"/>
      <c r="C34" s="309"/>
      <c r="D34" s="88" t="s">
        <v>693</v>
      </c>
      <c r="E34" s="1487">
        <v>2755.4826489905936</v>
      </c>
      <c r="F34" s="1487">
        <v>2956.7526572061279</v>
      </c>
      <c r="G34" s="1487">
        <v>3025.836157723259</v>
      </c>
      <c r="H34" s="1487">
        <v>3269.9580473925494</v>
      </c>
      <c r="I34" s="1487">
        <v>3313.9305028355184</v>
      </c>
      <c r="J34" s="1487">
        <v>3514.9986786959585</v>
      </c>
      <c r="K34" s="1487">
        <v>3631.7222827843466</v>
      </c>
      <c r="L34" s="1487">
        <v>3756.908121680659</v>
      </c>
      <c r="M34" s="1487">
        <v>3786.2182581732272</v>
      </c>
      <c r="N34" s="1487">
        <v>4133.1709087462741</v>
      </c>
      <c r="O34" s="1487">
        <v>4197.6386950407586</v>
      </c>
      <c r="P34" s="1481"/>
      <c r="Q34" s="1481"/>
      <c r="R34" s="1481"/>
      <c r="S34" s="1481"/>
      <c r="T34" s="1481"/>
      <c r="U34" s="1481"/>
      <c r="V34" s="38"/>
      <c r="W34" s="38"/>
      <c r="X34" s="38"/>
      <c r="Y34" s="38"/>
      <c r="Z34" s="38"/>
      <c r="AA34" s="113"/>
    </row>
    <row r="35" spans="1:28" x14ac:dyDescent="0.25">
      <c r="A35" s="531"/>
      <c r="B35" s="309"/>
      <c r="C35" s="309"/>
      <c r="D35" s="88" t="s">
        <v>694</v>
      </c>
      <c r="E35" s="1487">
        <v>269.27227320617789</v>
      </c>
      <c r="F35" s="1487">
        <v>239.12072386533541</v>
      </c>
      <c r="G35" s="1487">
        <v>300.36679323881316</v>
      </c>
      <c r="H35" s="1487">
        <v>281.72106982290558</v>
      </c>
      <c r="I35" s="1487">
        <v>241.28330132582971</v>
      </c>
      <c r="J35" s="1487">
        <v>229.82438621222929</v>
      </c>
      <c r="K35" s="1487">
        <v>260.21904608392953</v>
      </c>
      <c r="L35" s="1487">
        <v>292.31288581011648</v>
      </c>
      <c r="M35" s="1487">
        <v>282.15603828279774</v>
      </c>
      <c r="N35" s="1487">
        <v>298.3513125908911</v>
      </c>
      <c r="O35" s="1487">
        <v>293.49850271427209</v>
      </c>
      <c r="P35" s="1481"/>
      <c r="Q35" s="1481"/>
      <c r="R35" s="1481"/>
      <c r="S35" s="1481"/>
      <c r="T35" s="1481"/>
      <c r="U35" s="1481"/>
      <c r="V35" s="38"/>
      <c r="W35" s="38"/>
      <c r="X35" s="38"/>
      <c r="Y35" s="38"/>
      <c r="Z35" s="38"/>
      <c r="AA35" s="113"/>
    </row>
    <row r="36" spans="1:28" x14ac:dyDescent="0.25">
      <c r="A36" s="531"/>
      <c r="B36" s="309"/>
      <c r="C36" s="309"/>
      <c r="D36" s="1169" t="s">
        <v>50</v>
      </c>
      <c r="E36" s="1491">
        <v>22032.1449974141</v>
      </c>
      <c r="F36" s="1491">
        <v>22522.297842471122</v>
      </c>
      <c r="G36" s="1491">
        <v>23019.424089034837</v>
      </c>
      <c r="H36" s="1491">
        <v>23525.32611595832</v>
      </c>
      <c r="I36" s="1491">
        <v>24046.813112732689</v>
      </c>
      <c r="J36" s="1491">
        <v>24588.505305941188</v>
      </c>
      <c r="K36" s="1491">
        <v>25152.99397754763</v>
      </c>
      <c r="L36" s="1491">
        <v>25743.481895549619</v>
      </c>
      <c r="M36" s="1491">
        <v>26359.267516775191</v>
      </c>
      <c r="N36" s="1491">
        <v>26979.615938568448</v>
      </c>
      <c r="O36" s="1491">
        <v>27598.626544833707</v>
      </c>
      <c r="P36" s="1481"/>
      <c r="Q36" s="1481"/>
      <c r="R36" s="1481"/>
      <c r="S36" s="1481"/>
      <c r="T36" s="1481"/>
      <c r="U36" s="1481"/>
      <c r="V36" s="38"/>
      <c r="W36" s="38"/>
      <c r="X36" s="38"/>
      <c r="Y36" s="38"/>
      <c r="Z36" s="38"/>
      <c r="AA36" s="113"/>
    </row>
    <row r="37" spans="1:28" x14ac:dyDescent="0.25">
      <c r="A37" s="531"/>
      <c r="B37" s="309"/>
      <c r="C37" s="309"/>
      <c r="P37" s="1481"/>
      <c r="Q37" s="1481"/>
      <c r="R37" s="1481"/>
      <c r="S37" s="1481"/>
      <c r="T37" s="1481"/>
      <c r="U37" s="1481"/>
      <c r="V37" s="38"/>
      <c r="W37" s="38"/>
      <c r="X37" s="38"/>
      <c r="Y37" s="38"/>
      <c r="Z37" s="38"/>
      <c r="AA37" s="113"/>
      <c r="AB37" s="113"/>
    </row>
    <row r="38" spans="1:28" x14ac:dyDescent="0.25">
      <c r="A38" s="531"/>
      <c r="B38" s="309"/>
      <c r="C38" s="309"/>
      <c r="P38" s="1481"/>
      <c r="Q38" s="1481"/>
      <c r="R38" s="1481"/>
      <c r="S38" s="1481"/>
      <c r="T38" s="1481"/>
      <c r="U38" s="1481"/>
      <c r="V38" s="38"/>
      <c r="W38" s="38"/>
      <c r="X38" s="38"/>
      <c r="Y38" s="38"/>
      <c r="Z38" s="38"/>
      <c r="AA38" s="113"/>
    </row>
    <row r="39" spans="1:28" x14ac:dyDescent="0.25">
      <c r="A39" s="531"/>
      <c r="B39" s="309"/>
      <c r="C39" s="309"/>
      <c r="D39" s="72" t="s">
        <v>656</v>
      </c>
      <c r="E39" s="71" t="s">
        <v>695</v>
      </c>
      <c r="F39" s="71"/>
      <c r="G39" s="71"/>
      <c r="H39" s="71"/>
      <c r="I39" s="71"/>
      <c r="J39" s="71"/>
      <c r="K39" s="71"/>
      <c r="L39" s="71"/>
      <c r="M39" s="1137"/>
      <c r="N39" s="1137"/>
      <c r="O39" s="1137"/>
      <c r="P39" s="1481"/>
      <c r="Q39" s="1481"/>
      <c r="R39" s="1481"/>
      <c r="S39" s="1481"/>
      <c r="T39" s="1481"/>
      <c r="U39" s="1481"/>
      <c r="V39" s="38"/>
      <c r="W39" s="38"/>
      <c r="X39" s="38"/>
      <c r="Y39" s="38"/>
      <c r="Z39" s="38"/>
      <c r="AA39" s="113"/>
    </row>
    <row r="40" spans="1:28" x14ac:dyDescent="0.25">
      <c r="A40" s="531"/>
      <c r="B40" s="309"/>
      <c r="C40" s="309"/>
      <c r="D40" s="404" t="s">
        <v>687</v>
      </c>
      <c r="E40" s="1193" t="s">
        <v>332</v>
      </c>
      <c r="F40" s="1193" t="s">
        <v>333</v>
      </c>
      <c r="G40" s="1194" t="s">
        <v>334</v>
      </c>
      <c r="H40" s="1194" t="s">
        <v>335</v>
      </c>
      <c r="I40" s="1237" t="s">
        <v>336</v>
      </c>
      <c r="J40" s="1237" t="s">
        <v>337</v>
      </c>
      <c r="K40" s="404" t="s">
        <v>338</v>
      </c>
      <c r="L40" s="1193" t="s">
        <v>339</v>
      </c>
      <c r="M40" s="1193" t="s">
        <v>340</v>
      </c>
      <c r="N40" s="1194" t="s">
        <v>341</v>
      </c>
      <c r="O40" s="1194" t="s">
        <v>342</v>
      </c>
      <c r="P40" s="1481"/>
      <c r="Q40" s="1481"/>
      <c r="R40" s="1481"/>
      <c r="S40" s="1481"/>
      <c r="T40" s="1481"/>
      <c r="U40" s="1481"/>
      <c r="V40" s="38"/>
      <c r="W40" s="38"/>
      <c r="X40" s="38"/>
      <c r="Y40" s="38"/>
      <c r="Z40" s="38"/>
      <c r="AA40" s="113"/>
    </row>
    <row r="41" spans="1:28" x14ac:dyDescent="0.25">
      <c r="A41" s="531"/>
      <c r="B41" s="309"/>
      <c r="C41" s="309"/>
      <c r="D41" s="88" t="s">
        <v>688</v>
      </c>
      <c r="E41" s="1487">
        <v>172.91880769032201</v>
      </c>
      <c r="F41" s="1487">
        <v>161.53862834459889</v>
      </c>
      <c r="G41" s="1487">
        <v>135.28024643629041</v>
      </c>
      <c r="H41" s="1487">
        <v>115.62256185989574</v>
      </c>
      <c r="I41" s="1487">
        <v>121.07643614136683</v>
      </c>
      <c r="J41" s="1487">
        <v>119.56193920836587</v>
      </c>
      <c r="K41" s="1487">
        <v>120.32398604587382</v>
      </c>
      <c r="L41" s="1487">
        <v>121.99664067390431</v>
      </c>
      <c r="M41" s="1487">
        <v>106.47059443125259</v>
      </c>
      <c r="N41" s="1487">
        <v>112.90395510410269</v>
      </c>
      <c r="O41" s="1487">
        <v>103.11833539618593</v>
      </c>
      <c r="P41" s="1481"/>
      <c r="Q41" s="1481"/>
      <c r="R41" s="1481"/>
      <c r="S41" s="1481"/>
      <c r="T41" s="1481"/>
      <c r="U41" s="1481"/>
      <c r="V41" s="38"/>
      <c r="W41" s="38"/>
      <c r="X41" s="38"/>
      <c r="Y41" s="38"/>
      <c r="Z41" s="38"/>
      <c r="AA41" s="113"/>
    </row>
    <row r="42" spans="1:28" x14ac:dyDescent="0.25">
      <c r="A42" s="531"/>
      <c r="B42" s="309"/>
      <c r="C42" s="309"/>
      <c r="D42" s="1496" t="s">
        <v>689</v>
      </c>
      <c r="E42" s="1487">
        <v>644.59894651352022</v>
      </c>
      <c r="F42" s="1487">
        <v>583.39842223235098</v>
      </c>
      <c r="G42" s="1487">
        <v>527.97927871848901</v>
      </c>
      <c r="H42" s="1487">
        <v>506.92473267175382</v>
      </c>
      <c r="I42" s="1487">
        <v>461.72664626143523</v>
      </c>
      <c r="J42" s="1487">
        <v>434.46705098479498</v>
      </c>
      <c r="K42" s="1487">
        <v>412.30335452795089</v>
      </c>
      <c r="L42" s="1487">
        <v>463.83162167108719</v>
      </c>
      <c r="M42" s="1487">
        <v>458.79620084149627</v>
      </c>
      <c r="N42" s="1487">
        <v>408.53978475950146</v>
      </c>
      <c r="O42" s="1487">
        <v>387.69553354455127</v>
      </c>
      <c r="P42" s="1481"/>
      <c r="Q42" s="1481"/>
      <c r="R42" s="1481"/>
      <c r="S42" s="1481"/>
      <c r="T42" s="1481"/>
      <c r="U42" s="1481"/>
      <c r="V42" s="38"/>
      <c r="W42" s="38"/>
      <c r="X42" s="38"/>
      <c r="Y42" s="38"/>
      <c r="Z42" s="38"/>
      <c r="AA42" s="113"/>
    </row>
    <row r="43" spans="1:28" x14ac:dyDescent="0.25">
      <c r="A43" s="531"/>
      <c r="B43" s="309"/>
      <c r="C43" s="309"/>
      <c r="D43" s="88" t="s">
        <v>690</v>
      </c>
      <c r="E43" s="1487">
        <v>391.06351819789711</v>
      </c>
      <c r="F43" s="1487">
        <v>371.71024117307735</v>
      </c>
      <c r="G43" s="1487">
        <v>357.10397669148267</v>
      </c>
      <c r="H43" s="1487">
        <v>317.60886453791863</v>
      </c>
      <c r="I43" s="1487">
        <v>322.83099788404871</v>
      </c>
      <c r="J43" s="1487">
        <v>316.43101082862324</v>
      </c>
      <c r="K43" s="1487">
        <v>293.99672611271711</v>
      </c>
      <c r="L43" s="1487">
        <v>313.28405593364755</v>
      </c>
      <c r="M43" s="1487">
        <v>300.4819173394489</v>
      </c>
      <c r="N43" s="1487">
        <v>307.66694994557088</v>
      </c>
      <c r="O43" s="1487">
        <v>284.82393981276135</v>
      </c>
      <c r="P43" s="1481"/>
      <c r="Q43" s="1481"/>
      <c r="R43" s="1481"/>
      <c r="S43" s="1481"/>
      <c r="T43" s="1481"/>
      <c r="U43" s="1481"/>
      <c r="V43" s="38"/>
      <c r="W43" s="38"/>
      <c r="X43" s="38"/>
      <c r="Y43" s="38"/>
      <c r="Z43" s="38"/>
      <c r="AA43" s="113"/>
    </row>
    <row r="44" spans="1:28" x14ac:dyDescent="0.25">
      <c r="A44" s="531"/>
      <c r="B44" s="309"/>
      <c r="C44" s="309"/>
      <c r="D44" s="88" t="s">
        <v>691</v>
      </c>
      <c r="E44" s="1487">
        <v>3558.6063389059659</v>
      </c>
      <c r="F44" s="1487">
        <v>3563.0861393567343</v>
      </c>
      <c r="G44" s="1487">
        <v>3675.1758800323678</v>
      </c>
      <c r="H44" s="1487">
        <v>3755.4425226643921</v>
      </c>
      <c r="I44" s="1487">
        <v>3818.1702547854866</v>
      </c>
      <c r="J44" s="1487">
        <v>3891.6618520324055</v>
      </c>
      <c r="K44" s="1487">
        <v>3862.8365930893665</v>
      </c>
      <c r="L44" s="1487">
        <v>3975.5942679217278</v>
      </c>
      <c r="M44" s="1487">
        <v>4145.4045004007903</v>
      </c>
      <c r="N44" s="1487">
        <v>4081.9649250717071</v>
      </c>
      <c r="O44" s="1487">
        <v>4125.4669019701478</v>
      </c>
      <c r="P44" s="1481"/>
      <c r="Q44" s="1481"/>
      <c r="R44" s="1481"/>
      <c r="S44" s="1481"/>
      <c r="T44" s="1481"/>
      <c r="U44" s="1481"/>
      <c r="V44" s="38"/>
      <c r="W44" s="38"/>
      <c r="X44" s="38"/>
      <c r="Y44" s="38"/>
      <c r="Z44" s="38"/>
      <c r="AA44" s="113"/>
    </row>
    <row r="45" spans="1:28" x14ac:dyDescent="0.25">
      <c r="A45" s="531"/>
      <c r="B45" s="309"/>
      <c r="C45" s="309"/>
      <c r="D45" s="1496" t="s">
        <v>692</v>
      </c>
      <c r="E45" s="1487">
        <v>2710.9716746062149</v>
      </c>
      <c r="F45" s="1487">
        <v>2841.8626150180626</v>
      </c>
      <c r="G45" s="1487">
        <v>2885.8700344813669</v>
      </c>
      <c r="H45" s="1487">
        <v>2943.7630970780078</v>
      </c>
      <c r="I45" s="1487">
        <v>3062.2911205855562</v>
      </c>
      <c r="J45" s="1487">
        <v>3102.2324929768065</v>
      </c>
      <c r="K45" s="1487">
        <v>3248.6038053975367</v>
      </c>
      <c r="L45" s="1487">
        <v>3229.9869895859106</v>
      </c>
      <c r="M45" s="1487">
        <v>3286.5064348017922</v>
      </c>
      <c r="N45" s="1487">
        <v>3367.4595711942238</v>
      </c>
      <c r="O45" s="1487">
        <v>3557.3301645238339</v>
      </c>
      <c r="P45" s="1481"/>
      <c r="Q45" s="1481"/>
      <c r="R45" s="1481"/>
      <c r="S45" s="1481"/>
      <c r="T45" s="1481"/>
      <c r="U45" s="1481"/>
      <c r="V45" s="38"/>
      <c r="W45" s="38"/>
      <c r="X45" s="38"/>
      <c r="Y45" s="38"/>
      <c r="Z45" s="38"/>
      <c r="AA45" s="113"/>
    </row>
    <row r="46" spans="1:28" x14ac:dyDescent="0.25">
      <c r="A46" s="531"/>
      <c r="B46" s="309"/>
      <c r="C46" s="309"/>
      <c r="D46" s="88" t="s">
        <v>693</v>
      </c>
      <c r="E46" s="1487">
        <v>986.73197788093637</v>
      </c>
      <c r="F46" s="1487">
        <v>1051.4826001084634</v>
      </c>
      <c r="G46" s="1487">
        <v>1074.1717255440735</v>
      </c>
      <c r="H46" s="1487">
        <v>1140.2849858734062</v>
      </c>
      <c r="I46" s="1487">
        <v>1147.4145197024259</v>
      </c>
      <c r="J46" s="1487">
        <v>1231.9196813212197</v>
      </c>
      <c r="K46" s="1487">
        <v>1311.4308971460753</v>
      </c>
      <c r="L46" s="1487">
        <v>1307.7870712516406</v>
      </c>
      <c r="M46" s="1487">
        <v>1268.4860057345782</v>
      </c>
      <c r="N46" s="1487">
        <v>1440.8336905754222</v>
      </c>
      <c r="O46" s="1487">
        <v>1409.2391392509765</v>
      </c>
      <c r="P46" s="1481"/>
      <c r="Q46" s="1481"/>
      <c r="R46" s="1481"/>
      <c r="S46" s="1481"/>
      <c r="T46" s="1481"/>
      <c r="U46" s="1481"/>
      <c r="V46" s="38"/>
      <c r="W46" s="38"/>
      <c r="X46" s="38"/>
      <c r="Y46" s="38"/>
      <c r="Z46" s="38"/>
      <c r="AA46" s="113"/>
    </row>
    <row r="47" spans="1:28" x14ac:dyDescent="0.25">
      <c r="A47" s="531"/>
      <c r="B47" s="309"/>
      <c r="C47" s="309"/>
      <c r="D47" s="88" t="s">
        <v>694</v>
      </c>
      <c r="E47" s="1487">
        <v>83.712897718004811</v>
      </c>
      <c r="F47" s="1487">
        <v>69.3883708030273</v>
      </c>
      <c r="G47" s="1487">
        <v>92.975707661520588</v>
      </c>
      <c r="H47" s="1487">
        <v>91.289218507422973</v>
      </c>
      <c r="I47" s="1487">
        <v>77.962854070706214</v>
      </c>
      <c r="J47" s="1487">
        <v>69.644668975511721</v>
      </c>
      <c r="K47" s="1487">
        <v>76.332873674017108</v>
      </c>
      <c r="L47" s="1487">
        <v>73.412059866268194</v>
      </c>
      <c r="M47" s="1487">
        <v>79.52245577014456</v>
      </c>
      <c r="N47" s="1487">
        <v>78.889704087898949</v>
      </c>
      <c r="O47" s="1487">
        <v>77.235625556486426</v>
      </c>
      <c r="P47" s="1481"/>
      <c r="Q47" s="1481"/>
      <c r="R47" s="1481"/>
      <c r="S47" s="1481"/>
      <c r="T47" s="1481"/>
      <c r="U47" s="1481"/>
      <c r="V47" s="38"/>
      <c r="W47" s="38"/>
      <c r="X47" s="38"/>
      <c r="Y47" s="38"/>
      <c r="Z47" s="38"/>
      <c r="AA47" s="113"/>
    </row>
    <row r="48" spans="1:28" x14ac:dyDescent="0.25">
      <c r="A48" s="531"/>
      <c r="B48" s="309"/>
      <c r="C48" s="309"/>
      <c r="D48" s="1169" t="s">
        <v>50</v>
      </c>
      <c r="E48" s="1491">
        <v>8548.6041615128615</v>
      </c>
      <c r="F48" s="1491">
        <v>8642.4670170363152</v>
      </c>
      <c r="G48" s="1491">
        <v>8748.5568495655898</v>
      </c>
      <c r="H48" s="1491">
        <v>8870.9359831927977</v>
      </c>
      <c r="I48" s="1491">
        <v>9011.4728294310244</v>
      </c>
      <c r="J48" s="1491">
        <v>9165.918696327728</v>
      </c>
      <c r="K48" s="1491">
        <v>9325.8282359935383</v>
      </c>
      <c r="L48" s="1491">
        <v>9485.8927069041874</v>
      </c>
      <c r="M48" s="1491">
        <v>9645.668109319502</v>
      </c>
      <c r="N48" s="1491">
        <v>9798.2585807384276</v>
      </c>
      <c r="O48" s="1491">
        <v>9944.9096400549424</v>
      </c>
      <c r="P48" s="1481"/>
      <c r="Q48" s="1481"/>
      <c r="R48" s="1481"/>
      <c r="S48" s="1481"/>
      <c r="T48" s="1481"/>
      <c r="U48" s="1481"/>
      <c r="V48" s="38"/>
      <c r="W48" s="38"/>
      <c r="X48" s="38"/>
      <c r="Y48" s="38"/>
      <c r="Z48" s="38"/>
      <c r="AA48" s="113"/>
    </row>
    <row r="49" spans="1:27" x14ac:dyDescent="0.25">
      <c r="A49" s="531"/>
      <c r="B49" s="309"/>
      <c r="C49" s="309"/>
      <c r="P49" s="1481"/>
      <c r="Q49" s="1481"/>
      <c r="R49" s="1481"/>
      <c r="S49" s="1481"/>
      <c r="T49" s="1481"/>
      <c r="U49" s="1481"/>
      <c r="V49" s="38"/>
      <c r="W49" s="38"/>
      <c r="X49" s="38"/>
      <c r="Y49" s="38"/>
      <c r="Z49" s="38"/>
      <c r="AA49" s="113"/>
    </row>
    <row r="50" spans="1:27" x14ac:dyDescent="0.25">
      <c r="A50" s="531"/>
      <c r="B50" s="309"/>
      <c r="C50" s="309"/>
      <c r="P50" s="1481"/>
      <c r="Q50" s="1481"/>
      <c r="R50" s="1481"/>
      <c r="S50" s="1481"/>
      <c r="T50" s="1481"/>
      <c r="U50" s="1481"/>
      <c r="V50" s="38"/>
      <c r="W50" s="38"/>
      <c r="X50" s="38"/>
      <c r="Y50" s="38"/>
      <c r="Z50" s="38"/>
      <c r="AA50" s="113"/>
    </row>
    <row r="51" spans="1:27" x14ac:dyDescent="0.25">
      <c r="A51" s="531"/>
      <c r="B51" s="309"/>
      <c r="C51" s="309"/>
      <c r="D51" s="72" t="s">
        <v>663</v>
      </c>
      <c r="E51" s="71" t="s">
        <v>696</v>
      </c>
      <c r="F51" s="71"/>
      <c r="G51" s="71"/>
      <c r="H51" s="71"/>
      <c r="I51" s="71"/>
      <c r="J51" s="71"/>
      <c r="K51" s="71"/>
      <c r="L51" s="71"/>
      <c r="M51" s="1137"/>
      <c r="N51" s="1137"/>
      <c r="O51" s="1137"/>
      <c r="P51" s="1481"/>
      <c r="Q51" s="1481"/>
      <c r="R51" s="1481"/>
      <c r="S51" s="1481"/>
      <c r="T51" s="1481"/>
      <c r="U51" s="1481"/>
      <c r="V51" s="38"/>
      <c r="W51" s="38"/>
      <c r="X51" s="38"/>
      <c r="Y51" s="38"/>
      <c r="Z51" s="38"/>
      <c r="AA51" s="113"/>
    </row>
    <row r="52" spans="1:27" x14ac:dyDescent="0.25">
      <c r="A52" s="531"/>
      <c r="B52" s="309"/>
      <c r="C52" s="309"/>
      <c r="D52" s="404" t="s">
        <v>687</v>
      </c>
      <c r="E52" s="1193" t="s">
        <v>332</v>
      </c>
      <c r="F52" s="1193" t="s">
        <v>333</v>
      </c>
      <c r="G52" s="1194" t="s">
        <v>334</v>
      </c>
      <c r="H52" s="1194" t="s">
        <v>335</v>
      </c>
      <c r="I52" s="1237" t="s">
        <v>336</v>
      </c>
      <c r="J52" s="1237" t="s">
        <v>337</v>
      </c>
      <c r="K52" s="404" t="s">
        <v>338</v>
      </c>
      <c r="L52" s="1193" t="s">
        <v>339</v>
      </c>
      <c r="M52" s="1193" t="s">
        <v>340</v>
      </c>
      <c r="N52" s="1194" t="s">
        <v>341</v>
      </c>
      <c r="O52" s="1194" t="s">
        <v>342</v>
      </c>
      <c r="P52" s="1481"/>
      <c r="Q52" s="1481"/>
      <c r="R52" s="1481"/>
      <c r="S52" s="1481"/>
      <c r="T52" s="1481"/>
      <c r="U52" s="1481"/>
      <c r="V52" s="38"/>
      <c r="W52" s="38"/>
      <c r="X52" s="38"/>
      <c r="Y52" s="38"/>
      <c r="Z52" s="38"/>
      <c r="AA52" s="113"/>
    </row>
    <row r="53" spans="1:27" x14ac:dyDescent="0.25">
      <c r="A53" s="531"/>
      <c r="B53" s="309"/>
      <c r="C53" s="309"/>
      <c r="D53" s="88" t="s">
        <v>688</v>
      </c>
      <c r="E53" s="1487">
        <v>582.74909739434804</v>
      </c>
      <c r="F53" s="1487">
        <v>495.26146372990337</v>
      </c>
      <c r="G53" s="1487">
        <v>410.95287027160549</v>
      </c>
      <c r="H53" s="1487">
        <v>362.48250063613904</v>
      </c>
      <c r="I53" s="1487">
        <v>367.37662589915243</v>
      </c>
      <c r="J53" s="1487">
        <v>363.33693407155243</v>
      </c>
      <c r="K53" s="1487">
        <v>365.76941244287684</v>
      </c>
      <c r="L53" s="1487">
        <v>379.55789334711824</v>
      </c>
      <c r="M53" s="1487">
        <v>328.70767546167832</v>
      </c>
      <c r="N53" s="1487">
        <v>328.95161612171995</v>
      </c>
      <c r="O53" s="1487">
        <v>293.32065545595361</v>
      </c>
      <c r="P53" s="1481"/>
      <c r="Q53" s="1481"/>
      <c r="R53" s="1481"/>
      <c r="S53" s="1481"/>
      <c r="T53" s="1481"/>
      <c r="U53" s="1481"/>
      <c r="V53" s="38"/>
      <c r="W53" s="38"/>
      <c r="X53" s="38"/>
      <c r="Y53" s="38"/>
      <c r="Z53" s="38"/>
      <c r="AA53" s="113"/>
    </row>
    <row r="54" spans="1:27" x14ac:dyDescent="0.25">
      <c r="A54" s="531"/>
      <c r="B54" s="309"/>
      <c r="C54" s="309"/>
      <c r="D54" s="1496" t="s">
        <v>689</v>
      </c>
      <c r="E54" s="1487">
        <v>1442.4614132826168</v>
      </c>
      <c r="F54" s="1487">
        <v>1277.9499969693684</v>
      </c>
      <c r="G54" s="1487">
        <v>1107.9728187730159</v>
      </c>
      <c r="H54" s="1487">
        <v>1096.9672455825475</v>
      </c>
      <c r="I54" s="1487">
        <v>1080.3140698329682</v>
      </c>
      <c r="J54" s="1487">
        <v>1089.0069298883345</v>
      </c>
      <c r="K54" s="1487">
        <v>1026.7838043423953</v>
      </c>
      <c r="L54" s="1487">
        <v>1118.4258626272908</v>
      </c>
      <c r="M54" s="1487">
        <v>1068.2079659839205</v>
      </c>
      <c r="N54" s="1487">
        <v>1025.3653789174666</v>
      </c>
      <c r="O54" s="1487">
        <v>954.25581520396497</v>
      </c>
      <c r="P54" s="1481"/>
      <c r="Q54" s="1481"/>
      <c r="R54" s="1481"/>
      <c r="S54" s="1481"/>
      <c r="T54" s="1481"/>
      <c r="U54" s="1481"/>
      <c r="V54" s="38"/>
      <c r="W54" s="38"/>
      <c r="X54" s="38"/>
      <c r="Y54" s="38"/>
      <c r="Z54" s="38"/>
      <c r="AA54" s="113"/>
    </row>
    <row r="55" spans="1:27" x14ac:dyDescent="0.25">
      <c r="A55" s="531"/>
      <c r="B55" s="309"/>
      <c r="C55" s="309"/>
      <c r="D55" s="88" t="s">
        <v>690</v>
      </c>
      <c r="E55" s="1487">
        <v>707.06668968168265</v>
      </c>
      <c r="F55" s="1487">
        <v>684.81941034258125</v>
      </c>
      <c r="G55" s="1487">
        <v>629.3521090286971</v>
      </c>
      <c r="H55" s="1487">
        <v>589.03201848847652</v>
      </c>
      <c r="I55" s="1487">
        <v>595.38533732886219</v>
      </c>
      <c r="J55" s="1487">
        <v>592.09495250589725</v>
      </c>
      <c r="K55" s="1487">
        <v>570.51767289520524</v>
      </c>
      <c r="L55" s="1487">
        <v>611.07782491400212</v>
      </c>
      <c r="M55" s="1487">
        <v>612.47703985853752</v>
      </c>
      <c r="N55" s="1487">
        <v>542.12979738343552</v>
      </c>
      <c r="O55" s="1487">
        <v>572.14959013637338</v>
      </c>
      <c r="P55" s="1481"/>
      <c r="Q55" s="1481"/>
      <c r="R55" s="1481"/>
      <c r="S55" s="1481"/>
      <c r="T55" s="1481"/>
      <c r="U55" s="1481"/>
      <c r="V55" s="38"/>
      <c r="W55" s="38"/>
      <c r="X55" s="38"/>
      <c r="Y55" s="38"/>
      <c r="Z55" s="38"/>
      <c r="AA55" s="113"/>
    </row>
    <row r="56" spans="1:27" x14ac:dyDescent="0.25">
      <c r="A56" s="531"/>
      <c r="B56" s="309"/>
      <c r="C56" s="309"/>
      <c r="D56" s="88" t="s">
        <v>691</v>
      </c>
      <c r="E56" s="1487">
        <v>4185.3794765264611</v>
      </c>
      <c r="F56" s="1487">
        <v>4116.8829155223666</v>
      </c>
      <c r="G56" s="1487">
        <v>4086.6662213125519</v>
      </c>
      <c r="H56" s="1487">
        <v>4191.9750791311053</v>
      </c>
      <c r="I56" s="1487">
        <v>4390.9091422615484</v>
      </c>
      <c r="J56" s="1487">
        <v>4491.4047252994978</v>
      </c>
      <c r="K56" s="1487">
        <v>4579.7423909076388</v>
      </c>
      <c r="L56" s="1487">
        <v>4728.5422557234388</v>
      </c>
      <c r="M56" s="1487">
        <v>4847.6078280620923</v>
      </c>
      <c r="N56" s="1487">
        <v>4918.4071384164527</v>
      </c>
      <c r="O56" s="1487">
        <v>5105.9065514938711</v>
      </c>
      <c r="P56" s="1481"/>
      <c r="Q56" s="1481"/>
      <c r="R56" s="1481"/>
      <c r="S56" s="1481"/>
      <c r="T56" s="1481"/>
      <c r="U56" s="1481"/>
      <c r="V56" s="38"/>
      <c r="W56" s="38"/>
      <c r="X56" s="38"/>
      <c r="Y56" s="38"/>
      <c r="Z56" s="38"/>
      <c r="AA56" s="113"/>
    </row>
    <row r="57" spans="1:27" x14ac:dyDescent="0.25">
      <c r="A57" s="531"/>
      <c r="B57" s="309"/>
      <c r="C57" s="309"/>
      <c r="D57" s="1496" t="s">
        <v>692</v>
      </c>
      <c r="E57" s="1487">
        <v>3503.724317736031</v>
      </c>
      <c r="F57" s="1487">
        <v>3555.533432224659</v>
      </c>
      <c r="G57" s="1487">
        <v>3605.3065808236965</v>
      </c>
      <c r="H57" s="1487">
        <v>3665.6571539454862</v>
      </c>
      <c r="I57" s="1487">
        <v>3882.1974288367783</v>
      </c>
      <c r="J57" s="1487">
        <v>4014.2168705377499</v>
      </c>
      <c r="K57" s="1487">
        <v>4250.765236759923</v>
      </c>
      <c r="L57" s="1487">
        <v>4359.1392430836213</v>
      </c>
      <c r="M57" s="1487">
        <v>4496.2654853968634</v>
      </c>
      <c r="N57" s="1487">
        <v>4637.1205477790481</v>
      </c>
      <c r="O57" s="1487">
        <v>4759.0346749322407</v>
      </c>
      <c r="P57" s="1481"/>
      <c r="Q57" s="1481"/>
      <c r="R57" s="1481"/>
      <c r="S57" s="1481"/>
      <c r="T57" s="1481"/>
      <c r="U57" s="1481"/>
      <c r="V57" s="38"/>
      <c r="W57" s="38"/>
      <c r="X57" s="38"/>
      <c r="Y57" s="38"/>
      <c r="Z57" s="38"/>
      <c r="AA57" s="113"/>
    </row>
    <row r="58" spans="1:27" x14ac:dyDescent="0.25">
      <c r="A58" s="531"/>
      <c r="B58" s="309"/>
      <c r="C58" s="309"/>
      <c r="D58" s="88" t="s">
        <v>693</v>
      </c>
      <c r="E58" s="1487">
        <v>2370.4658740200089</v>
      </c>
      <c r="F58" s="1487">
        <v>2491.6856768122839</v>
      </c>
      <c r="G58" s="1487">
        <v>2497.3728309365683</v>
      </c>
      <c r="H58" s="1487">
        <v>2723.5572326223901</v>
      </c>
      <c r="I58" s="1487">
        <v>2720.5684655625282</v>
      </c>
      <c r="J58" s="1487">
        <v>2898.3650741838073</v>
      </c>
      <c r="K58" s="1487">
        <v>2929.1999594105209</v>
      </c>
      <c r="L58" s="1487">
        <v>2993.4769302049431</v>
      </c>
      <c r="M58" s="1487">
        <v>2994.8171948992513</v>
      </c>
      <c r="N58" s="1487">
        <v>3252.6220398686291</v>
      </c>
      <c r="O58" s="1487">
        <v>3317.447087247845</v>
      </c>
      <c r="P58" s="1481"/>
      <c r="Q58" s="1481"/>
      <c r="R58" s="1481"/>
      <c r="S58" s="1481"/>
      <c r="T58" s="1481"/>
      <c r="U58" s="1481"/>
      <c r="V58" s="38"/>
      <c r="W58" s="38"/>
      <c r="X58" s="38"/>
      <c r="Y58" s="38"/>
      <c r="Z58" s="38"/>
      <c r="AA58" s="113"/>
    </row>
    <row r="59" spans="1:27" x14ac:dyDescent="0.25">
      <c r="A59" s="531"/>
      <c r="B59" s="309"/>
      <c r="C59" s="309"/>
      <c r="D59" s="88" t="s">
        <v>694</v>
      </c>
      <c r="E59" s="1487">
        <v>167.06432118058822</v>
      </c>
      <c r="F59" s="1487">
        <v>144.77198828596724</v>
      </c>
      <c r="G59" s="1487">
        <v>183.07378553186533</v>
      </c>
      <c r="H59" s="1487">
        <v>168.77133294999388</v>
      </c>
      <c r="I59" s="1487">
        <v>146.28767655165919</v>
      </c>
      <c r="J59" s="1487">
        <v>140.07765679827821</v>
      </c>
      <c r="K59" s="1487">
        <v>160.29896097807796</v>
      </c>
      <c r="L59" s="1487">
        <v>183.46881949984962</v>
      </c>
      <c r="M59" s="1487">
        <v>161.58538314563407</v>
      </c>
      <c r="N59" s="1487">
        <v>172.25054391458536</v>
      </c>
      <c r="O59" s="1487">
        <v>169.74233661304683</v>
      </c>
      <c r="P59" s="1481"/>
      <c r="Q59" s="1481"/>
      <c r="R59" s="1481"/>
      <c r="S59" s="1481"/>
      <c r="T59" s="1481"/>
      <c r="U59" s="1481"/>
      <c r="V59" s="38"/>
      <c r="W59" s="38"/>
      <c r="X59" s="38"/>
      <c r="Y59" s="38"/>
      <c r="Z59" s="38"/>
      <c r="AA59" s="113"/>
    </row>
    <row r="60" spans="1:27" x14ac:dyDescent="0.25">
      <c r="A60" s="531"/>
      <c r="B60" s="309"/>
      <c r="C60" s="309"/>
      <c r="D60" s="1169" t="s">
        <v>50</v>
      </c>
      <c r="E60" s="1491">
        <v>12958.911189821738</v>
      </c>
      <c r="F60" s="1491">
        <v>12766.904883887129</v>
      </c>
      <c r="G60" s="1491">
        <v>12520.697216678001</v>
      </c>
      <c r="H60" s="1491">
        <v>12798.44256335614</v>
      </c>
      <c r="I60" s="1491">
        <v>13183.038746273496</v>
      </c>
      <c r="J60" s="1491">
        <v>13588.503143285116</v>
      </c>
      <c r="K60" s="1491">
        <v>13883.07743773664</v>
      </c>
      <c r="L60" s="1491">
        <v>14373.688829400264</v>
      </c>
      <c r="M60" s="1491">
        <v>14509.668572807977</v>
      </c>
      <c r="N60" s="1491">
        <v>14876.847062401337</v>
      </c>
      <c r="O60" s="1491">
        <v>15171.856711083296</v>
      </c>
      <c r="P60" s="1481"/>
      <c r="Q60" s="1481"/>
      <c r="R60" s="1481"/>
      <c r="S60" s="1481"/>
      <c r="T60" s="1481"/>
      <c r="U60" s="1481"/>
      <c r="V60" s="38"/>
      <c r="W60" s="38"/>
      <c r="X60" s="38"/>
      <c r="Y60" s="38"/>
      <c r="Z60" s="38"/>
      <c r="AA60" s="113"/>
    </row>
    <row r="61" spans="1:27" x14ac:dyDescent="0.25">
      <c r="A61" s="531"/>
      <c r="B61" s="309"/>
      <c r="C61" s="309"/>
      <c r="P61" s="1481"/>
      <c r="Q61" s="1481"/>
      <c r="R61" s="1481"/>
      <c r="S61" s="1481"/>
      <c r="T61" s="1481"/>
      <c r="U61" s="1481"/>
      <c r="V61" s="38"/>
      <c r="W61" s="38"/>
      <c r="X61" s="38"/>
      <c r="Y61" s="38"/>
      <c r="Z61" s="38"/>
      <c r="AA61" s="113"/>
    </row>
    <row r="62" spans="1:27" x14ac:dyDescent="0.25">
      <c r="A62" s="531"/>
      <c r="B62" s="309"/>
      <c r="C62" s="309"/>
      <c r="E62" s="71"/>
      <c r="P62" s="1481"/>
      <c r="Q62" s="1481"/>
      <c r="R62" s="1481"/>
      <c r="S62" s="1481"/>
      <c r="T62" s="1481"/>
      <c r="U62" s="1481"/>
      <c r="V62" s="38"/>
      <c r="W62" s="38"/>
      <c r="X62" s="38"/>
      <c r="Y62" s="38"/>
      <c r="Z62" s="38"/>
      <c r="AA62" s="113"/>
    </row>
    <row r="63" spans="1:27" x14ac:dyDescent="0.25">
      <c r="A63" s="531"/>
      <c r="B63" s="309"/>
      <c r="C63" s="309"/>
      <c r="D63" s="72" t="s">
        <v>697</v>
      </c>
      <c r="E63" s="71" t="s">
        <v>698</v>
      </c>
      <c r="F63" s="71"/>
      <c r="G63" s="71"/>
      <c r="H63" s="71"/>
      <c r="I63" s="71"/>
      <c r="J63" s="71"/>
      <c r="K63" s="71"/>
      <c r="L63" s="71"/>
      <c r="M63" s="1137"/>
      <c r="N63" s="1137"/>
      <c r="O63" s="1137"/>
      <c r="P63" s="1481"/>
      <c r="Q63" s="1481"/>
      <c r="R63" s="1481"/>
      <c r="S63" s="1481"/>
      <c r="T63" s="1481"/>
      <c r="U63" s="1481"/>
      <c r="V63" s="38"/>
      <c r="W63" s="38"/>
      <c r="X63" s="38"/>
      <c r="Y63" s="38"/>
      <c r="Z63" s="38"/>
      <c r="AA63" s="113"/>
    </row>
    <row r="64" spans="1:27" x14ac:dyDescent="0.25">
      <c r="A64" s="531"/>
      <c r="B64" s="309"/>
      <c r="C64" s="309"/>
      <c r="D64" s="404" t="s">
        <v>687</v>
      </c>
      <c r="E64" s="1193" t="s">
        <v>332</v>
      </c>
      <c r="F64" s="1193" t="s">
        <v>333</v>
      </c>
      <c r="G64" s="1194" t="s">
        <v>334</v>
      </c>
      <c r="H64" s="1194" t="s">
        <v>335</v>
      </c>
      <c r="I64" s="1237" t="s">
        <v>336</v>
      </c>
      <c r="J64" s="1237" t="s">
        <v>337</v>
      </c>
      <c r="K64" s="404" t="s">
        <v>338</v>
      </c>
      <c r="L64" s="1193" t="s">
        <v>339</v>
      </c>
      <c r="M64" s="1193" t="s">
        <v>340</v>
      </c>
      <c r="N64" s="1194" t="s">
        <v>341</v>
      </c>
      <c r="O64" s="1194" t="s">
        <v>342</v>
      </c>
      <c r="P64" s="1481"/>
      <c r="Q64" s="1481"/>
      <c r="R64" s="1481"/>
      <c r="S64" s="1481"/>
      <c r="T64" s="1481"/>
      <c r="U64" s="1481"/>
      <c r="V64" s="38"/>
      <c r="W64" s="38"/>
      <c r="X64" s="38"/>
      <c r="Y64" s="38"/>
      <c r="Z64" s="38"/>
      <c r="AA64" s="113"/>
    </row>
    <row r="65" spans="1:27" x14ac:dyDescent="0.25">
      <c r="A65" s="531"/>
      <c r="B65" s="309"/>
      <c r="C65" s="309"/>
      <c r="D65" s="88" t="s">
        <v>688</v>
      </c>
      <c r="E65" s="1487">
        <v>63.875026419181523</v>
      </c>
      <c r="F65" s="1487">
        <v>53.991001150929243</v>
      </c>
      <c r="G65" s="1487">
        <v>46.374765793102902</v>
      </c>
      <c r="H65" s="1487">
        <v>36.093565554236065</v>
      </c>
      <c r="I65" s="1487">
        <v>38.026588026445779</v>
      </c>
      <c r="J65" s="1487">
        <v>40.274047541109546</v>
      </c>
      <c r="K65" s="1487">
        <v>37.397217086837003</v>
      </c>
      <c r="L65" s="1487">
        <v>35.195365063008616</v>
      </c>
      <c r="M65" s="1487">
        <v>32.331530268434861</v>
      </c>
      <c r="N65" s="1487">
        <v>33.071081000358014</v>
      </c>
      <c r="O65" s="1487">
        <v>25.535657067242642</v>
      </c>
      <c r="P65" s="1481"/>
      <c r="Q65" s="1481"/>
      <c r="R65" s="1481"/>
      <c r="S65" s="1481"/>
      <c r="T65" s="1481"/>
      <c r="U65" s="1481"/>
      <c r="V65" s="38"/>
      <c r="W65" s="38"/>
      <c r="X65" s="38"/>
      <c r="Y65" s="38"/>
      <c r="Z65" s="38"/>
      <c r="AA65" s="113"/>
    </row>
    <row r="66" spans="1:27" x14ac:dyDescent="0.25">
      <c r="A66" s="531"/>
      <c r="B66" s="309"/>
      <c r="C66" s="309"/>
      <c r="D66" s="1496" t="s">
        <v>689</v>
      </c>
      <c r="E66" s="1487">
        <v>282.68130675560485</v>
      </c>
      <c r="F66" s="1487">
        <v>230.40187798103054</v>
      </c>
      <c r="G66" s="1487">
        <v>183.46917640242719</v>
      </c>
      <c r="H66" s="1487">
        <v>195.4652736073167</v>
      </c>
      <c r="I66" s="1487">
        <v>176.12111486595307</v>
      </c>
      <c r="J66" s="1487">
        <v>162.30130970582201</v>
      </c>
      <c r="K66" s="1487">
        <v>152.65694876137988</v>
      </c>
      <c r="L66" s="1487">
        <v>190.10714603106288</v>
      </c>
      <c r="M66" s="1487">
        <v>179.43441467752481</v>
      </c>
      <c r="N66" s="1487">
        <v>152.36733585090298</v>
      </c>
      <c r="O66" s="1487">
        <v>144.25577478991505</v>
      </c>
      <c r="P66" s="1481"/>
      <c r="Q66" s="1481"/>
      <c r="R66" s="1481"/>
      <c r="S66" s="1481"/>
      <c r="T66" s="1481"/>
      <c r="U66" s="1481"/>
      <c r="V66" s="38"/>
      <c r="W66" s="38"/>
      <c r="X66" s="38"/>
      <c r="Y66" s="38"/>
      <c r="Z66" s="38"/>
      <c r="AA66" s="113"/>
    </row>
    <row r="67" spans="1:27" x14ac:dyDescent="0.25">
      <c r="A67" s="531"/>
      <c r="B67" s="309"/>
      <c r="C67" s="309"/>
      <c r="D67" s="88" t="s">
        <v>690</v>
      </c>
      <c r="E67" s="1487">
        <v>179.32407654533367</v>
      </c>
      <c r="F67" s="1487">
        <v>165.1306979033121</v>
      </c>
      <c r="G67" s="1487">
        <v>154.78976804966453</v>
      </c>
      <c r="H67" s="1487">
        <v>120.14097663933914</v>
      </c>
      <c r="I67" s="1487">
        <v>131.91034789105049</v>
      </c>
      <c r="J67" s="1487">
        <v>134.89224307116262</v>
      </c>
      <c r="K67" s="1487">
        <v>126.37330576540602</v>
      </c>
      <c r="L67" s="1487">
        <v>142.05500731358799</v>
      </c>
      <c r="M67" s="1487">
        <v>133.46706857170619</v>
      </c>
      <c r="N67" s="1487">
        <v>125.01929304639199</v>
      </c>
      <c r="O67" s="1487">
        <v>126.22293324234904</v>
      </c>
      <c r="P67" s="1481"/>
      <c r="Q67" s="1481"/>
      <c r="R67" s="1481"/>
      <c r="S67" s="1481"/>
      <c r="T67" s="1481"/>
      <c r="U67" s="1481"/>
      <c r="V67" s="38"/>
      <c r="W67" s="38"/>
      <c r="X67" s="38"/>
      <c r="Y67" s="38"/>
      <c r="Z67" s="38"/>
      <c r="AA67" s="113"/>
    </row>
    <row r="68" spans="1:27" x14ac:dyDescent="0.25">
      <c r="A68" s="531"/>
      <c r="B68" s="309"/>
      <c r="C68" s="309"/>
      <c r="D68" s="88" t="s">
        <v>691</v>
      </c>
      <c r="E68" s="1487">
        <v>1729.8166322970617</v>
      </c>
      <c r="F68" s="1487">
        <v>1605.2624050152863</v>
      </c>
      <c r="G68" s="1487">
        <v>1581.6097024508945</v>
      </c>
      <c r="H68" s="1487">
        <v>1579.5712760661363</v>
      </c>
      <c r="I68" s="1487">
        <v>1655.4518866590865</v>
      </c>
      <c r="J68" s="1487">
        <v>1684.8764642116043</v>
      </c>
      <c r="K68" s="1487">
        <v>1645.0683807824644</v>
      </c>
      <c r="L68" s="1487">
        <v>1774.6407719105289</v>
      </c>
      <c r="M68" s="1487">
        <v>1788.6453366216749</v>
      </c>
      <c r="N68" s="1487">
        <v>1720.6967577446426</v>
      </c>
      <c r="O68" s="1487">
        <v>1721.2621709240852</v>
      </c>
      <c r="P68" s="1481"/>
      <c r="Q68" s="1481"/>
      <c r="R68" s="1481"/>
      <c r="S68" s="1481"/>
      <c r="T68" s="1481"/>
      <c r="U68" s="1481"/>
      <c r="V68" s="38"/>
      <c r="W68" s="38"/>
      <c r="X68" s="38"/>
      <c r="Y68" s="38"/>
      <c r="Z68" s="38"/>
      <c r="AA68" s="113"/>
    </row>
    <row r="69" spans="1:27" x14ac:dyDescent="0.25">
      <c r="A69" s="531"/>
      <c r="B69" s="309"/>
      <c r="C69" s="309"/>
      <c r="D69" s="1496" t="s">
        <v>692</v>
      </c>
      <c r="E69" s="1487">
        <v>1740.5405621070433</v>
      </c>
      <c r="F69" s="1487">
        <v>1689.6860405228197</v>
      </c>
      <c r="G69" s="1487">
        <v>1641.0208642496477</v>
      </c>
      <c r="H69" s="1487">
        <v>1626.4039119171991</v>
      </c>
      <c r="I69" s="1487">
        <v>1708.894103368134</v>
      </c>
      <c r="J69" s="1487">
        <v>1714.8158906287315</v>
      </c>
      <c r="K69" s="1487">
        <v>1772.9273627235377</v>
      </c>
      <c r="L69" s="1487">
        <v>1795.812175750101</v>
      </c>
      <c r="M69" s="1487">
        <v>1811.385030805606</v>
      </c>
      <c r="N69" s="1487">
        <v>1778.0803141531944</v>
      </c>
      <c r="O69" s="1487">
        <v>1836.0406677848969</v>
      </c>
      <c r="P69" s="1481"/>
      <c r="Q69" s="1481"/>
      <c r="R69" s="1481"/>
      <c r="S69" s="1481"/>
      <c r="T69" s="1481"/>
      <c r="U69" s="1481"/>
      <c r="V69" s="38"/>
      <c r="W69" s="38"/>
      <c r="X69" s="38"/>
      <c r="Y69" s="38"/>
      <c r="Z69" s="38"/>
      <c r="AA69" s="113"/>
    </row>
    <row r="70" spans="1:27" x14ac:dyDescent="0.25">
      <c r="A70" s="531"/>
      <c r="B70" s="309"/>
      <c r="C70" s="309"/>
      <c r="D70" s="88" t="s">
        <v>693</v>
      </c>
      <c r="E70" s="1487">
        <v>814.73342829562534</v>
      </c>
      <c r="F70" s="1487">
        <v>842.7937360220152</v>
      </c>
      <c r="G70" s="1487">
        <v>813.843628353947</v>
      </c>
      <c r="H70" s="1487">
        <v>890.5335816354376</v>
      </c>
      <c r="I70" s="1487">
        <v>875.25154312222003</v>
      </c>
      <c r="J70" s="1487">
        <v>958.44724542632298</v>
      </c>
      <c r="K70" s="1487">
        <v>976.33031495823298</v>
      </c>
      <c r="L70" s="1487">
        <v>967.27479515658001</v>
      </c>
      <c r="M70" s="1487">
        <v>912.83742703595942</v>
      </c>
      <c r="N70" s="1487">
        <v>1034.7881549787878</v>
      </c>
      <c r="O70" s="1487">
        <v>1011.48787261286</v>
      </c>
      <c r="P70" s="1481"/>
      <c r="Q70" s="1481"/>
      <c r="R70" s="1481"/>
      <c r="S70" s="1481"/>
      <c r="T70" s="1481"/>
      <c r="U70" s="1481"/>
      <c r="V70" s="38"/>
      <c r="W70" s="38"/>
      <c r="X70" s="38"/>
      <c r="Y70" s="38"/>
      <c r="Z70" s="38"/>
      <c r="AA70" s="113"/>
    </row>
    <row r="71" spans="1:27" x14ac:dyDescent="0.25">
      <c r="A71" s="531"/>
      <c r="B71" s="309"/>
      <c r="C71" s="309"/>
      <c r="D71" s="88" t="s">
        <v>694</v>
      </c>
      <c r="E71" s="1487">
        <v>50.618417345131398</v>
      </c>
      <c r="F71" s="1487">
        <v>37.837808453287359</v>
      </c>
      <c r="G71" s="1487">
        <v>50.839696813217536</v>
      </c>
      <c r="H71" s="1487">
        <v>51.543449612311001</v>
      </c>
      <c r="I71" s="1487">
        <v>40.272461069771737</v>
      </c>
      <c r="J71" s="1487">
        <v>35.298517947875084</v>
      </c>
      <c r="K71" s="1487">
        <v>47.198058593411353</v>
      </c>
      <c r="L71" s="1487">
        <v>40.150306732965639</v>
      </c>
      <c r="M71" s="1487">
        <v>45.314397563302677</v>
      </c>
      <c r="N71" s="1487">
        <v>39.47919265979975</v>
      </c>
      <c r="O71" s="1487">
        <v>38.591831256950009</v>
      </c>
      <c r="P71" s="1481"/>
      <c r="Q71" s="1481"/>
      <c r="R71" s="1481"/>
      <c r="S71" s="1481"/>
      <c r="T71" s="1481"/>
      <c r="U71" s="1481"/>
      <c r="V71" s="38"/>
      <c r="W71" s="38"/>
      <c r="X71" s="38"/>
      <c r="Y71" s="38"/>
      <c r="Z71" s="38"/>
      <c r="AA71" s="113"/>
    </row>
    <row r="72" spans="1:27" x14ac:dyDescent="0.25">
      <c r="A72" s="531"/>
      <c r="B72" s="309"/>
      <c r="C72" s="309"/>
      <c r="D72" s="1169" t="s">
        <v>50</v>
      </c>
      <c r="E72" s="1491">
        <v>4861.5894497649815</v>
      </c>
      <c r="F72" s="1491">
        <v>4625.1035670486799</v>
      </c>
      <c r="G72" s="1491">
        <v>4471.9476021129012</v>
      </c>
      <c r="H72" s="1491">
        <v>4499.7520350319755</v>
      </c>
      <c r="I72" s="1491">
        <v>4625.9280450026617</v>
      </c>
      <c r="J72" s="1491">
        <v>4730.9057185326274</v>
      </c>
      <c r="K72" s="1491">
        <v>4757.9515886712697</v>
      </c>
      <c r="L72" s="1491">
        <v>4945.235567957835</v>
      </c>
      <c r="M72" s="1491">
        <v>4903.4152055442091</v>
      </c>
      <c r="N72" s="1491">
        <v>4883.5021294340777</v>
      </c>
      <c r="O72" s="1491">
        <v>4903.3969076782942</v>
      </c>
      <c r="P72" s="1481"/>
      <c r="Q72" s="1481"/>
      <c r="R72" s="1481"/>
      <c r="S72" s="1481"/>
      <c r="T72" s="1481"/>
      <c r="U72" s="1481"/>
      <c r="V72" s="38"/>
      <c r="W72" s="38"/>
      <c r="X72" s="38"/>
      <c r="Y72" s="38"/>
      <c r="Z72" s="38"/>
      <c r="AA72" s="113"/>
    </row>
    <row r="73" spans="1:27" x14ac:dyDescent="0.25">
      <c r="A73" s="531"/>
      <c r="B73" s="309"/>
      <c r="C73" s="309"/>
      <c r="D73" s="88"/>
      <c r="E73" s="1483"/>
      <c r="F73" s="1483"/>
      <c r="G73" s="1483"/>
      <c r="H73" s="1483"/>
      <c r="I73" s="1483"/>
      <c r="J73" s="1483"/>
      <c r="K73" s="1483"/>
      <c r="L73" s="1483"/>
      <c r="M73" s="1483"/>
      <c r="N73" s="1481"/>
      <c r="O73" s="1481"/>
      <c r="P73" s="1481"/>
      <c r="Q73" s="1481"/>
      <c r="R73" s="1481"/>
      <c r="S73" s="1481"/>
      <c r="T73" s="1481"/>
      <c r="U73" s="1481"/>
      <c r="V73" s="38"/>
      <c r="W73" s="38"/>
      <c r="X73" s="38"/>
      <c r="Y73" s="38"/>
      <c r="Z73" s="38"/>
      <c r="AA73" s="113"/>
    </row>
    <row r="74" spans="1:27" x14ac:dyDescent="0.25">
      <c r="A74" s="531"/>
      <c r="B74" s="309"/>
      <c r="C74" s="309"/>
      <c r="D74" s="88"/>
      <c r="E74" s="1483"/>
      <c r="F74" s="1483"/>
      <c r="G74" s="1483"/>
      <c r="H74" s="1483"/>
      <c r="I74" s="1483"/>
      <c r="J74" s="1483"/>
      <c r="K74" s="1483"/>
      <c r="L74" s="1483"/>
      <c r="M74" s="1483"/>
      <c r="N74" s="1481"/>
      <c r="O74" s="1481"/>
      <c r="P74" s="1481"/>
      <c r="Q74" s="1481"/>
      <c r="R74" s="1481"/>
      <c r="S74" s="1481"/>
      <c r="T74" s="1481"/>
      <c r="U74" s="1481"/>
      <c r="V74" s="38"/>
      <c r="W74" s="38"/>
      <c r="X74" s="38"/>
      <c r="Y74" s="38"/>
      <c r="Z74" s="38"/>
      <c r="AA74" s="113"/>
    </row>
    <row r="75" spans="1:27" x14ac:dyDescent="0.25">
      <c r="A75" s="531"/>
      <c r="B75" s="309"/>
      <c r="C75" s="309"/>
      <c r="W75" s="38"/>
      <c r="X75" s="38"/>
      <c r="Y75" s="38"/>
      <c r="Z75" s="38"/>
      <c r="AA75" s="113"/>
    </row>
    <row r="76" spans="1:27" x14ac:dyDescent="0.25">
      <c r="A76" s="509">
        <v>5</v>
      </c>
      <c r="B76" s="509" t="s">
        <v>52</v>
      </c>
      <c r="C76" s="1497"/>
      <c r="D76" s="4731" t="s">
        <v>642</v>
      </c>
      <c r="E76" s="4732"/>
      <c r="F76" s="4732"/>
      <c r="G76" s="4732"/>
      <c r="H76" s="4732"/>
      <c r="I76" s="4732"/>
      <c r="J76" s="4732"/>
      <c r="K76" s="4732"/>
      <c r="L76" s="4732"/>
      <c r="M76" s="4732"/>
      <c r="N76" s="4732"/>
      <c r="O76" s="4733"/>
    </row>
    <row r="77" spans="1:27" ht="14.45" customHeight="1" x14ac:dyDescent="0.25">
      <c r="A77" s="509">
        <v>6</v>
      </c>
      <c r="B77" s="509" t="s">
        <v>355</v>
      </c>
      <c r="C77" s="1497"/>
      <c r="D77" s="4731" t="s">
        <v>699</v>
      </c>
      <c r="E77" s="4732"/>
      <c r="F77" s="4732"/>
      <c r="G77" s="4732"/>
      <c r="H77" s="4732"/>
      <c r="I77" s="4732"/>
      <c r="J77" s="4732"/>
      <c r="K77" s="4732"/>
      <c r="L77" s="4732"/>
      <c r="M77" s="4732"/>
      <c r="N77" s="4732"/>
      <c r="O77" s="4733"/>
    </row>
    <row r="78" spans="1:27" ht="17.100000000000001" customHeight="1" x14ac:dyDescent="0.25">
      <c r="A78" s="546">
        <v>7</v>
      </c>
      <c r="B78" s="546" t="s">
        <v>54</v>
      </c>
      <c r="C78" s="1497"/>
      <c r="D78" s="4731"/>
      <c r="E78" s="4732"/>
      <c r="F78" s="4732"/>
      <c r="G78" s="4732"/>
      <c r="H78" s="4732"/>
      <c r="I78" s="4732"/>
      <c r="J78" s="4732"/>
      <c r="K78" s="4732"/>
      <c r="L78" s="4732"/>
      <c r="M78" s="4732"/>
      <c r="N78" s="4732"/>
      <c r="O78" s="4733"/>
    </row>
    <row r="79" spans="1:27" ht="17.100000000000001" customHeight="1" x14ac:dyDescent="0.25">
      <c r="A79" s="509">
        <v>8</v>
      </c>
      <c r="B79" s="509" t="s">
        <v>56</v>
      </c>
      <c r="C79" s="1498"/>
      <c r="D79" s="4731" t="s">
        <v>700</v>
      </c>
      <c r="E79" s="4732"/>
      <c r="F79" s="4732"/>
      <c r="G79" s="4732"/>
      <c r="H79" s="4732"/>
      <c r="I79" s="4732"/>
      <c r="J79" s="4732"/>
      <c r="K79" s="4732"/>
      <c r="L79" s="4732"/>
      <c r="M79" s="4732"/>
      <c r="N79" s="4732"/>
      <c r="O79" s="4733"/>
    </row>
  </sheetData>
  <mergeCells count="7">
    <mergeCell ref="D79:O79"/>
    <mergeCell ref="D2:O2"/>
    <mergeCell ref="D3:O3"/>
    <mergeCell ref="D4:O4"/>
    <mergeCell ref="D76:O76"/>
    <mergeCell ref="D77:O77"/>
    <mergeCell ref="D78:O78"/>
  </mergeCells>
  <pageMargins left="0.7" right="0.7" top="0.75" bottom="0.75" header="0.3" footer="0.3"/>
  <pageSetup paperSize="9" scale="37" orientation="portrait" r:id="rId1"/>
  <colBreaks count="1" manualBreakCount="1">
    <brk id="19"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639F6-5D19-40F5-94DE-75C6A0C33F0D}">
  <sheetPr>
    <tabColor rgb="FF00FFFF"/>
  </sheetPr>
  <dimension ref="A1:W71"/>
  <sheetViews>
    <sheetView showGridLines="0" view="pageBreakPreview" zoomScaleNormal="100" zoomScaleSheetLayoutView="100" workbookViewId="0">
      <selection activeCell="C7" sqref="C7"/>
    </sheetView>
  </sheetViews>
  <sheetFormatPr defaultColWidth="8.85546875" defaultRowHeight="15" x14ac:dyDescent="0.25"/>
  <cols>
    <col min="2" max="2" width="12.85546875" customWidth="1"/>
    <col min="3" max="3" width="6.140625" customWidth="1"/>
    <col min="4" max="4" width="19.85546875" customWidth="1"/>
    <col min="6" max="6" width="9.85546875" bestFit="1" customWidth="1"/>
    <col min="19" max="19" width="9.140625" bestFit="1" customWidth="1"/>
    <col min="20" max="20" width="9.85546875" customWidth="1"/>
    <col min="21" max="21" width="10.5703125" customWidth="1"/>
    <col min="22" max="22" width="11.85546875" customWidth="1"/>
  </cols>
  <sheetData>
    <row r="1" spans="1:23" x14ac:dyDescent="0.25">
      <c r="A1" s="820"/>
      <c r="B1" s="568"/>
      <c r="C1" s="568"/>
      <c r="D1" s="510"/>
      <c r="E1" s="510"/>
      <c r="F1" s="510"/>
      <c r="G1" s="510"/>
      <c r="H1" s="510"/>
      <c r="I1" s="510"/>
      <c r="J1" s="510"/>
      <c r="K1" s="68"/>
      <c r="L1" s="68"/>
      <c r="M1" s="68"/>
      <c r="N1" s="68"/>
      <c r="O1" s="68"/>
      <c r="P1" s="68"/>
      <c r="Q1" s="68"/>
      <c r="R1" s="68"/>
      <c r="S1" s="68"/>
      <c r="T1" s="68"/>
      <c r="U1" s="68"/>
    </row>
    <row r="2" spans="1:23" x14ac:dyDescent="0.25">
      <c r="A2" s="821">
        <v>1</v>
      </c>
      <c r="B2" s="509" t="s">
        <v>0</v>
      </c>
      <c r="C2" s="509">
        <v>23</v>
      </c>
      <c r="D2" s="4674" t="s">
        <v>701</v>
      </c>
      <c r="E2" s="4675"/>
      <c r="F2" s="4675"/>
      <c r="G2" s="4675"/>
      <c r="H2" s="4675"/>
      <c r="I2" s="4675"/>
      <c r="J2" s="4675"/>
      <c r="K2" s="4675"/>
      <c r="L2" s="4675"/>
      <c r="M2" s="4675"/>
      <c r="N2" s="4675"/>
      <c r="O2" s="4675"/>
      <c r="P2" s="4675"/>
      <c r="Q2" s="4675"/>
      <c r="R2" s="4675"/>
      <c r="S2" s="4675"/>
      <c r="T2" s="4676"/>
      <c r="U2" s="822"/>
    </row>
    <row r="3" spans="1:23" x14ac:dyDescent="0.25">
      <c r="A3" s="821">
        <v>2</v>
      </c>
      <c r="B3" s="509" t="s">
        <v>2</v>
      </c>
      <c r="C3" s="509"/>
      <c r="D3" s="4674" t="s">
        <v>702</v>
      </c>
      <c r="E3" s="4675"/>
      <c r="F3" s="4675"/>
      <c r="G3" s="4675"/>
      <c r="H3" s="4675"/>
      <c r="I3" s="4675"/>
      <c r="J3" s="4675"/>
      <c r="K3" s="4675"/>
      <c r="L3" s="4675"/>
      <c r="M3" s="4675"/>
      <c r="N3" s="4675"/>
      <c r="O3" s="4675"/>
      <c r="P3" s="4675"/>
      <c r="Q3" s="4675"/>
      <c r="R3" s="4675"/>
      <c r="S3" s="4675"/>
      <c r="T3" s="4676"/>
      <c r="U3" s="822"/>
    </row>
    <row r="4" spans="1:23" x14ac:dyDescent="0.25">
      <c r="A4" s="821">
        <v>3</v>
      </c>
      <c r="B4" s="509" t="s">
        <v>4</v>
      </c>
      <c r="C4" s="509"/>
      <c r="D4" s="4734" t="s">
        <v>2176</v>
      </c>
      <c r="E4" s="4735"/>
      <c r="F4" s="4735"/>
      <c r="G4" s="4735"/>
      <c r="H4" s="4735"/>
      <c r="I4" s="4735"/>
      <c r="J4" s="4735"/>
      <c r="K4" s="4735"/>
      <c r="L4" s="4735"/>
      <c r="M4" s="4735"/>
      <c r="N4" s="4735"/>
      <c r="O4" s="4735"/>
      <c r="P4" s="4735"/>
      <c r="Q4" s="4735"/>
      <c r="R4" s="4735"/>
      <c r="S4" s="4735"/>
      <c r="T4" s="4736"/>
      <c r="U4" s="822"/>
      <c r="V4" s="630"/>
      <c r="W4" s="630"/>
    </row>
    <row r="5" spans="1:23" x14ac:dyDescent="0.25">
      <c r="A5" s="821"/>
      <c r="B5" s="509"/>
      <c r="C5" s="509"/>
      <c r="D5" s="4674"/>
      <c r="E5" s="4675"/>
      <c r="F5" s="4675"/>
      <c r="G5" s="4675"/>
      <c r="H5" s="4675"/>
      <c r="I5" s="4675"/>
      <c r="J5" s="4675"/>
      <c r="K5" s="4675"/>
      <c r="L5" s="4675"/>
      <c r="M5" s="4675"/>
      <c r="N5" s="4675"/>
      <c r="O5" s="4675"/>
      <c r="P5" s="4675"/>
      <c r="Q5" s="4675"/>
      <c r="R5" s="4675"/>
      <c r="S5" s="4675"/>
      <c r="T5" s="4676"/>
      <c r="U5" s="822"/>
      <c r="V5" s="630"/>
      <c r="W5" s="630"/>
    </row>
    <row r="6" spans="1:23" x14ac:dyDescent="0.25">
      <c r="A6" s="823"/>
      <c r="B6" s="309"/>
      <c r="C6" s="309"/>
      <c r="D6" s="10"/>
      <c r="E6" s="10"/>
      <c r="F6" s="10"/>
      <c r="G6" s="10"/>
      <c r="H6" s="10"/>
      <c r="I6" s="10"/>
      <c r="J6" s="10"/>
      <c r="K6" s="10"/>
      <c r="L6" s="10"/>
      <c r="M6" s="10"/>
      <c r="N6" s="10"/>
      <c r="O6" s="10"/>
      <c r="P6" s="10"/>
      <c r="Q6" s="10"/>
      <c r="R6" s="10"/>
      <c r="S6" s="10"/>
      <c r="T6" s="10"/>
      <c r="U6" s="10"/>
      <c r="V6" s="630"/>
      <c r="W6" s="630"/>
    </row>
    <row r="7" spans="1:23" x14ac:dyDescent="0.25">
      <c r="A7" s="821">
        <v>4</v>
      </c>
      <c r="B7" s="509" t="s">
        <v>365</v>
      </c>
      <c r="C7" s="509"/>
      <c r="D7" s="72" t="s">
        <v>80</v>
      </c>
      <c r="E7" s="72" t="s">
        <v>703</v>
      </c>
      <c r="F7" s="95"/>
      <c r="G7" s="95"/>
      <c r="H7" s="95"/>
      <c r="I7" s="95"/>
      <c r="J7" s="95"/>
      <c r="K7" s="95"/>
      <c r="L7" s="88"/>
      <c r="M7" s="88"/>
      <c r="N7" s="88"/>
      <c r="O7" s="88"/>
      <c r="P7" s="88"/>
      <c r="Q7" s="88"/>
      <c r="R7" s="88"/>
      <c r="S7" s="88"/>
      <c r="T7" s="88"/>
      <c r="U7" s="88"/>
      <c r="V7" s="630"/>
      <c r="W7" s="630"/>
    </row>
    <row r="8" spans="1:23" x14ac:dyDescent="0.25">
      <c r="A8" s="823"/>
      <c r="B8" s="309"/>
      <c r="C8" s="309"/>
      <c r="D8" s="824"/>
      <c r="E8" s="825" t="s">
        <v>17</v>
      </c>
      <c r="F8" s="826" t="s">
        <v>18</v>
      </c>
      <c r="G8" s="827" t="s">
        <v>19</v>
      </c>
      <c r="H8" s="827" t="s">
        <v>20</v>
      </c>
      <c r="I8" s="827" t="s">
        <v>21</v>
      </c>
      <c r="J8" s="827" t="s">
        <v>22</v>
      </c>
      <c r="K8" s="827" t="s">
        <v>23</v>
      </c>
      <c r="L8" s="827" t="s">
        <v>24</v>
      </c>
      <c r="M8" s="827" t="s">
        <v>25</v>
      </c>
      <c r="N8" s="827" t="s">
        <v>26</v>
      </c>
      <c r="O8" s="827" t="s">
        <v>27</v>
      </c>
      <c r="P8" s="827" t="s">
        <v>28</v>
      </c>
      <c r="Q8" s="827" t="s">
        <v>29</v>
      </c>
      <c r="R8" s="827" t="s">
        <v>30</v>
      </c>
      <c r="S8" s="827" t="s">
        <v>31</v>
      </c>
      <c r="T8" s="827" t="s">
        <v>32</v>
      </c>
      <c r="U8" s="827" t="s">
        <v>33</v>
      </c>
      <c r="V8" s="827" t="s">
        <v>59</v>
      </c>
      <c r="W8" s="630"/>
    </row>
    <row r="9" spans="1:23" x14ac:dyDescent="0.25">
      <c r="A9" s="823"/>
      <c r="B9" s="309"/>
      <c r="C9" s="309"/>
      <c r="D9" s="830" t="s">
        <v>490</v>
      </c>
      <c r="E9" s="3706">
        <v>158277</v>
      </c>
      <c r="F9" s="3390">
        <v>110637</v>
      </c>
      <c r="G9" s="3390">
        <v>150854</v>
      </c>
      <c r="H9" s="3391">
        <v>251271</v>
      </c>
      <c r="I9" s="3392">
        <v>398780</v>
      </c>
      <c r="J9" s="3392">
        <v>263457</v>
      </c>
      <c r="K9" s="3392">
        <v>277100</v>
      </c>
      <c r="L9" s="3392">
        <v>374591</v>
      </c>
      <c r="M9" s="3392">
        <v>340676</v>
      </c>
      <c r="N9" s="3392">
        <v>391555</v>
      </c>
      <c r="O9" s="3392">
        <v>409209</v>
      </c>
      <c r="P9" s="3392">
        <v>202481</v>
      </c>
      <c r="Q9" s="3392">
        <v>263510</v>
      </c>
      <c r="R9" s="3392">
        <v>294041</v>
      </c>
      <c r="S9" s="3392">
        <v>296014</v>
      </c>
      <c r="T9" s="3392">
        <v>288288</v>
      </c>
      <c r="U9" s="3392">
        <v>266182</v>
      </c>
      <c r="V9" s="3392">
        <v>275203</v>
      </c>
      <c r="W9" s="631"/>
    </row>
    <row r="10" spans="1:23" x14ac:dyDescent="0.25">
      <c r="A10" s="823"/>
      <c r="B10" s="309"/>
      <c r="C10" s="309"/>
      <c r="D10" s="830" t="s">
        <v>704</v>
      </c>
      <c r="E10" s="3706">
        <v>58796</v>
      </c>
      <c r="F10" s="3390">
        <v>81186</v>
      </c>
      <c r="G10" s="3390">
        <v>129251</v>
      </c>
      <c r="H10" s="3391">
        <v>119034</v>
      </c>
      <c r="I10" s="3392">
        <v>99987</v>
      </c>
      <c r="J10" s="3392">
        <v>95942</v>
      </c>
      <c r="K10" s="3392">
        <v>107189</v>
      </c>
      <c r="L10" s="3392">
        <v>164475</v>
      </c>
      <c r="M10" s="3392">
        <v>244112</v>
      </c>
      <c r="N10" s="3392">
        <v>205870</v>
      </c>
      <c r="O10" s="3392">
        <v>221090</v>
      </c>
      <c r="P10" s="3392">
        <v>147785</v>
      </c>
      <c r="Q10" s="3392">
        <v>200281</v>
      </c>
      <c r="R10" s="3392">
        <v>195193</v>
      </c>
      <c r="S10" s="3392">
        <v>205329</v>
      </c>
      <c r="T10" s="3392">
        <v>200100</v>
      </c>
      <c r="U10" s="3392">
        <v>164222</v>
      </c>
      <c r="V10" s="3392">
        <v>178114</v>
      </c>
      <c r="W10" s="631"/>
    </row>
    <row r="11" spans="1:23" x14ac:dyDescent="0.25">
      <c r="A11" s="823"/>
      <c r="B11" s="309"/>
      <c r="C11" s="309"/>
      <c r="D11" s="830" t="s">
        <v>705</v>
      </c>
      <c r="E11" s="3706">
        <v>1650</v>
      </c>
      <c r="F11" s="3390">
        <v>18308</v>
      </c>
      <c r="G11" s="3390">
        <v>37106</v>
      </c>
      <c r="H11" s="3391">
        <v>65912</v>
      </c>
      <c r="I11" s="3392">
        <v>64981</v>
      </c>
      <c r="J11" s="3392">
        <v>206421</v>
      </c>
      <c r="K11" s="3392">
        <v>131979</v>
      </c>
      <c r="L11" s="3392">
        <v>164662</v>
      </c>
      <c r="M11" s="3392">
        <v>171668</v>
      </c>
      <c r="N11" s="3392">
        <v>191516</v>
      </c>
      <c r="O11" s="3392">
        <v>224606</v>
      </c>
      <c r="P11" s="3392">
        <v>113371</v>
      </c>
      <c r="Q11" s="3392">
        <v>149006</v>
      </c>
      <c r="R11" s="3392">
        <v>185145</v>
      </c>
      <c r="S11" s="3392">
        <v>193737</v>
      </c>
      <c r="T11" s="3392">
        <v>175812</v>
      </c>
      <c r="U11" s="3392">
        <v>207790</v>
      </c>
      <c r="V11" s="3392">
        <v>240630</v>
      </c>
      <c r="W11" s="631"/>
    </row>
    <row r="12" spans="1:23" x14ac:dyDescent="0.25">
      <c r="A12" s="823"/>
      <c r="B12" s="309"/>
      <c r="C12" s="309"/>
      <c r="D12" s="830" t="s">
        <v>706</v>
      </c>
      <c r="E12" s="3706">
        <v>4687</v>
      </c>
      <c r="F12" s="3390">
        <v>1833</v>
      </c>
      <c r="G12" s="3390">
        <v>3483</v>
      </c>
      <c r="H12" s="3391">
        <v>4049</v>
      </c>
      <c r="I12" s="3392">
        <v>7067</v>
      </c>
      <c r="J12" s="3392"/>
      <c r="K12" s="3392"/>
      <c r="L12" s="3392"/>
      <c r="M12" s="3392"/>
      <c r="N12" s="3392"/>
      <c r="O12" s="3392"/>
      <c r="P12" s="3392"/>
      <c r="Q12" s="3392"/>
      <c r="R12" s="3392"/>
      <c r="S12" s="3392"/>
      <c r="T12" s="3392"/>
      <c r="U12" s="3392"/>
      <c r="V12" s="3392"/>
      <c r="W12" s="631"/>
    </row>
    <row r="13" spans="1:23" x14ac:dyDescent="0.25">
      <c r="A13" s="823"/>
      <c r="B13" s="309"/>
      <c r="C13" s="309"/>
      <c r="D13" s="830" t="s">
        <v>707</v>
      </c>
      <c r="E13" s="3706"/>
      <c r="F13" s="3390"/>
      <c r="G13" s="3390"/>
      <c r="H13" s="3391"/>
      <c r="I13" s="3392"/>
      <c r="J13" s="3392"/>
      <c r="K13" s="3392"/>
      <c r="L13" s="3392"/>
      <c r="M13" s="3392"/>
      <c r="N13" s="3392"/>
      <c r="O13" s="3392"/>
      <c r="P13" s="3392"/>
      <c r="Q13" s="3392"/>
      <c r="R13" s="3392"/>
      <c r="S13" s="3392"/>
      <c r="T13" s="3392"/>
      <c r="U13" s="3392"/>
      <c r="V13" s="3392"/>
      <c r="W13" s="631"/>
    </row>
    <row r="14" spans="1:23" x14ac:dyDescent="0.25">
      <c r="A14" s="823"/>
      <c r="B14" s="309"/>
      <c r="C14" s="309"/>
      <c r="D14" s="830" t="s">
        <v>708</v>
      </c>
      <c r="E14" s="3706"/>
      <c r="F14" s="3390"/>
      <c r="G14" s="3390"/>
      <c r="H14" s="3391"/>
      <c r="I14" s="3392"/>
      <c r="J14" s="3392">
        <v>46393</v>
      </c>
      <c r="K14" s="3392">
        <v>92136</v>
      </c>
      <c r="L14" s="3392">
        <v>100179</v>
      </c>
      <c r="M14" s="3392">
        <v>144538</v>
      </c>
      <c r="N14" s="3392">
        <v>176679</v>
      </c>
      <c r="O14" s="3392">
        <v>198707</v>
      </c>
      <c r="P14" s="3392">
        <v>221375</v>
      </c>
      <c r="Q14" s="3392">
        <v>107318</v>
      </c>
      <c r="R14" s="3392">
        <v>166264</v>
      </c>
      <c r="S14" s="3392">
        <v>236870</v>
      </c>
      <c r="T14" s="3392">
        <v>259125</v>
      </c>
      <c r="U14" s="3392">
        <v>219045</v>
      </c>
      <c r="V14" s="3392">
        <v>222587</v>
      </c>
      <c r="W14" s="630"/>
    </row>
    <row r="15" spans="1:23" x14ac:dyDescent="0.25">
      <c r="A15" s="823"/>
      <c r="B15" s="309"/>
      <c r="C15" s="309"/>
      <c r="D15" s="830" t="s">
        <v>709</v>
      </c>
      <c r="E15" s="3706"/>
      <c r="F15" s="3390"/>
      <c r="G15" s="3390"/>
      <c r="H15" s="3391"/>
      <c r="I15" s="3392"/>
      <c r="J15" s="3392">
        <v>13646</v>
      </c>
      <c r="K15" s="3392">
        <v>34712</v>
      </c>
      <c r="L15" s="3392">
        <v>39552</v>
      </c>
      <c r="M15" s="3392">
        <v>40599</v>
      </c>
      <c r="N15" s="3392">
        <v>51645</v>
      </c>
      <c r="O15" s="3392">
        <v>50371</v>
      </c>
      <c r="P15" s="3392">
        <v>56528</v>
      </c>
      <c r="Q15" s="3392">
        <v>59130</v>
      </c>
      <c r="R15" s="3392">
        <v>59591</v>
      </c>
      <c r="S15" s="3392">
        <v>65336</v>
      </c>
      <c r="T15" s="3392">
        <v>71374</v>
      </c>
      <c r="U15" s="3392">
        <v>81449</v>
      </c>
      <c r="V15" s="3392">
        <v>100212</v>
      </c>
      <c r="W15" s="631"/>
    </row>
    <row r="16" spans="1:23" x14ac:dyDescent="0.25">
      <c r="A16" s="823"/>
      <c r="B16" s="309"/>
      <c r="C16" s="309"/>
      <c r="D16" s="3662" t="s">
        <v>710</v>
      </c>
      <c r="E16" s="3707">
        <f t="shared" ref="E16:N16" si="0">SUM(E9:E15)</f>
        <v>223410</v>
      </c>
      <c r="F16" s="3707">
        <f t="shared" si="0"/>
        <v>211964</v>
      </c>
      <c r="G16" s="3707">
        <f t="shared" si="0"/>
        <v>320694</v>
      </c>
      <c r="H16" s="3707">
        <f t="shared" si="0"/>
        <v>440266</v>
      </c>
      <c r="I16" s="3707">
        <f t="shared" si="0"/>
        <v>570815</v>
      </c>
      <c r="J16" s="3707">
        <f t="shared" si="0"/>
        <v>625859</v>
      </c>
      <c r="K16" s="3707">
        <f t="shared" si="0"/>
        <v>643116</v>
      </c>
      <c r="L16" s="3707">
        <f t="shared" si="0"/>
        <v>843459</v>
      </c>
      <c r="M16" s="3707">
        <f t="shared" si="0"/>
        <v>941593</v>
      </c>
      <c r="N16" s="3707">
        <f t="shared" si="0"/>
        <v>1017265</v>
      </c>
      <c r="O16" s="3707" t="s">
        <v>711</v>
      </c>
      <c r="P16" s="3707">
        <v>741540</v>
      </c>
      <c r="Q16" s="3707">
        <v>779245</v>
      </c>
      <c r="R16" s="3707">
        <v>900234</v>
      </c>
      <c r="S16" s="3707">
        <v>997286</v>
      </c>
      <c r="T16" s="3707">
        <v>994699</v>
      </c>
      <c r="U16" s="3707">
        <v>938688</v>
      </c>
      <c r="V16" s="3707" t="s">
        <v>712</v>
      </c>
      <c r="W16" s="631"/>
    </row>
    <row r="17" spans="1:23" x14ac:dyDescent="0.25">
      <c r="A17" s="823"/>
      <c r="B17" s="309"/>
      <c r="C17" s="309"/>
      <c r="D17" s="246" t="s">
        <v>713</v>
      </c>
      <c r="E17" s="3393">
        <f>E16</f>
        <v>223410</v>
      </c>
      <c r="F17" s="3708">
        <f>E17+F16</f>
        <v>435374</v>
      </c>
      <c r="G17" s="3708">
        <f>G16+F17</f>
        <v>756068</v>
      </c>
      <c r="H17" s="3709">
        <f>H16+G17</f>
        <v>1196334</v>
      </c>
      <c r="I17" s="3710">
        <f t="shared" ref="I17:N17" si="1">H17+I16</f>
        <v>1767149</v>
      </c>
      <c r="J17" s="3710">
        <f t="shared" si="1"/>
        <v>2393008</v>
      </c>
      <c r="K17" s="3710">
        <f t="shared" si="1"/>
        <v>3036124</v>
      </c>
      <c r="L17" s="3710">
        <f t="shared" si="1"/>
        <v>3879583</v>
      </c>
      <c r="M17" s="3710">
        <f t="shared" si="1"/>
        <v>4821176</v>
      </c>
      <c r="N17" s="3710">
        <f t="shared" si="1"/>
        <v>5838441</v>
      </c>
      <c r="O17" s="3392" t="s">
        <v>714</v>
      </c>
      <c r="P17" s="3392" t="s">
        <v>715</v>
      </c>
      <c r="Q17" s="3392" t="s">
        <v>716</v>
      </c>
      <c r="R17" s="3392" t="s">
        <v>717</v>
      </c>
      <c r="S17" s="3392" t="s">
        <v>718</v>
      </c>
      <c r="T17" s="3392" t="s">
        <v>719</v>
      </c>
      <c r="U17" s="3392" t="s">
        <v>720</v>
      </c>
      <c r="V17" s="3392" t="s">
        <v>721</v>
      </c>
      <c r="W17" s="631"/>
    </row>
    <row r="18" spans="1:23" x14ac:dyDescent="0.25">
      <c r="A18" s="823"/>
      <c r="B18" s="309"/>
      <c r="C18" s="309"/>
      <c r="D18" s="88"/>
      <c r="E18" s="831"/>
      <c r="F18" s="831"/>
      <c r="G18" s="831"/>
      <c r="H18" s="832"/>
      <c r="I18" s="833"/>
      <c r="J18" s="833"/>
      <c r="K18" s="833"/>
      <c r="L18" s="833"/>
      <c r="M18" s="833"/>
      <c r="N18" s="833"/>
      <c r="O18" s="833"/>
      <c r="P18" s="833"/>
      <c r="Q18" s="833"/>
      <c r="R18" s="88"/>
      <c r="S18" s="88"/>
      <c r="T18" s="88"/>
      <c r="U18" s="88"/>
      <c r="V18" s="630"/>
      <c r="W18" s="631"/>
    </row>
    <row r="19" spans="1:23" x14ac:dyDescent="0.25">
      <c r="A19" s="823"/>
      <c r="B19" s="309"/>
      <c r="C19" s="309"/>
      <c r="D19" s="71" t="s">
        <v>267</v>
      </c>
      <c r="E19" s="981" t="s">
        <v>722</v>
      </c>
      <c r="F19" s="88"/>
      <c r="G19" s="109"/>
      <c r="H19" s="109"/>
      <c r="I19" s="109"/>
      <c r="J19" s="88"/>
      <c r="K19" s="88"/>
      <c r="L19" s="10"/>
      <c r="M19" s="617"/>
      <c r="N19" s="4"/>
      <c r="O19" s="4"/>
      <c r="P19" s="834"/>
      <c r="Q19" s="834"/>
      <c r="R19" s="4"/>
      <c r="S19" s="4"/>
      <c r="T19" s="4"/>
      <c r="U19" s="4"/>
      <c r="V19" s="630"/>
      <c r="W19" s="631"/>
    </row>
    <row r="20" spans="1:23" ht="67.5" x14ac:dyDescent="0.25">
      <c r="A20" s="835"/>
      <c r="B20" s="836"/>
      <c r="C20" s="836"/>
      <c r="D20" s="837"/>
      <c r="E20" s="838" t="s">
        <v>723</v>
      </c>
      <c r="F20" s="839" t="s">
        <v>724</v>
      </c>
      <c r="G20" s="839" t="s">
        <v>725</v>
      </c>
      <c r="H20" s="839" t="s">
        <v>726</v>
      </c>
      <c r="I20" s="839" t="s">
        <v>727</v>
      </c>
      <c r="J20" s="839" t="s">
        <v>728</v>
      </c>
      <c r="K20" s="840" t="s">
        <v>729</v>
      </c>
      <c r="L20" s="10"/>
      <c r="M20" s="10"/>
      <c r="N20" s="10"/>
      <c r="O20" s="841"/>
      <c r="P20" s="10"/>
      <c r="Q20" s="10"/>
      <c r="R20" s="10"/>
      <c r="S20" s="10"/>
      <c r="T20" s="10"/>
      <c r="U20" s="10"/>
      <c r="V20" s="630"/>
      <c r="W20" s="631"/>
    </row>
    <row r="21" spans="1:23" x14ac:dyDescent="0.25">
      <c r="A21" s="835"/>
      <c r="B21" s="836"/>
      <c r="C21" s="836"/>
      <c r="D21" s="842" t="s">
        <v>730</v>
      </c>
      <c r="E21" s="3711">
        <v>6763</v>
      </c>
      <c r="F21" s="3394">
        <v>97679</v>
      </c>
      <c r="G21" s="3394">
        <v>660</v>
      </c>
      <c r="H21" s="3394">
        <v>296014</v>
      </c>
      <c r="I21" s="3395">
        <v>0.4299</v>
      </c>
      <c r="J21" s="3395">
        <v>0.5444</v>
      </c>
      <c r="K21" s="3395">
        <v>5.8999999999999999E-3</v>
      </c>
      <c r="L21" s="10"/>
      <c r="M21" s="10"/>
      <c r="N21" s="10"/>
      <c r="O21" s="10"/>
      <c r="P21" s="10"/>
      <c r="Q21" s="10"/>
      <c r="R21" s="10"/>
      <c r="S21" s="10"/>
      <c r="T21" s="10"/>
      <c r="U21" s="10"/>
      <c r="V21" s="630"/>
      <c r="W21" s="631"/>
    </row>
    <row r="22" spans="1:23" x14ac:dyDescent="0.25">
      <c r="A22" s="835"/>
      <c r="B22" s="836"/>
      <c r="C22" s="836"/>
      <c r="D22" s="842" t="s">
        <v>731</v>
      </c>
      <c r="E22" s="3711">
        <v>3446</v>
      </c>
      <c r="F22" s="3394">
        <v>67612</v>
      </c>
      <c r="G22" s="3394">
        <v>9749</v>
      </c>
      <c r="H22" s="3394">
        <v>205329</v>
      </c>
      <c r="I22" s="3395">
        <v>0.59340000000000004</v>
      </c>
      <c r="J22" s="3395">
        <v>0.5756</v>
      </c>
      <c r="K22" s="3395">
        <v>1.35E-2</v>
      </c>
      <c r="L22" s="10"/>
      <c r="M22" s="10"/>
      <c r="N22" s="10"/>
      <c r="O22" s="10"/>
      <c r="P22" s="10"/>
      <c r="Q22" s="10"/>
      <c r="R22" s="10"/>
      <c r="S22" s="10"/>
      <c r="T22" s="10"/>
      <c r="U22" s="10"/>
      <c r="V22" s="630"/>
      <c r="W22" s="631"/>
    </row>
    <row r="23" spans="1:23" x14ac:dyDescent="0.25">
      <c r="A23" s="835"/>
      <c r="B23" s="836"/>
      <c r="C23" s="836"/>
      <c r="D23" s="842" t="s">
        <v>732</v>
      </c>
      <c r="E23" s="3711">
        <v>6014</v>
      </c>
      <c r="F23" s="3394">
        <v>119177</v>
      </c>
      <c r="G23" s="3394">
        <v>564</v>
      </c>
      <c r="H23" s="3394">
        <v>193737</v>
      </c>
      <c r="I23" s="3395">
        <v>0.3911</v>
      </c>
      <c r="J23" s="3395">
        <v>0.82220000000000004</v>
      </c>
      <c r="K23" s="3395">
        <v>7.1000000000000004E-3</v>
      </c>
      <c r="L23" s="10"/>
      <c r="M23" s="10"/>
      <c r="N23" s="10"/>
      <c r="O23" s="10"/>
      <c r="P23" s="10"/>
      <c r="Q23" s="10"/>
      <c r="R23" s="10"/>
      <c r="S23" s="10"/>
      <c r="T23" s="10"/>
      <c r="U23" s="10"/>
      <c r="V23" s="630"/>
      <c r="W23" s="631"/>
    </row>
    <row r="24" spans="1:23" x14ac:dyDescent="0.25">
      <c r="A24" s="835"/>
      <c r="B24" s="836"/>
      <c r="C24" s="836"/>
      <c r="D24" s="3663" t="s">
        <v>707</v>
      </c>
      <c r="E24" s="3711">
        <f>SUM(E25:E26)</f>
        <v>587</v>
      </c>
      <c r="F24" s="3711">
        <f>SUM(F25:F26)</f>
        <v>119308</v>
      </c>
      <c r="G24" s="3711">
        <f>SUM(G25:G26)</f>
        <v>126</v>
      </c>
      <c r="H24" s="3711">
        <f>SUM(H25:H26)</f>
        <v>302206</v>
      </c>
      <c r="I24" s="3395"/>
      <c r="J24" s="3395"/>
      <c r="K24" s="3395"/>
      <c r="L24" s="10"/>
      <c r="M24" s="10"/>
      <c r="N24" s="10"/>
      <c r="O24" s="10"/>
      <c r="P24" s="10"/>
      <c r="Q24" s="10"/>
      <c r="R24" s="10"/>
      <c r="S24" s="10"/>
      <c r="T24" s="10"/>
      <c r="U24" s="10"/>
      <c r="V24" s="630"/>
      <c r="W24" s="631"/>
    </row>
    <row r="25" spans="1:23" x14ac:dyDescent="0.25">
      <c r="A25" s="835"/>
      <c r="B25" s="836"/>
      <c r="C25" s="836"/>
      <c r="D25" s="843" t="s">
        <v>708</v>
      </c>
      <c r="E25" s="3711">
        <v>225</v>
      </c>
      <c r="F25" s="3394">
        <v>90428</v>
      </c>
      <c r="G25" s="3394">
        <v>96</v>
      </c>
      <c r="H25" s="3394">
        <v>236870</v>
      </c>
      <c r="I25" s="3395">
        <v>0.30280000000000001</v>
      </c>
      <c r="J25" s="3395">
        <v>0.78720000000000001</v>
      </c>
      <c r="K25" s="3395">
        <v>1.67E-2</v>
      </c>
      <c r="L25" s="10"/>
      <c r="M25" s="10"/>
      <c r="N25" s="10"/>
      <c r="O25" s="10"/>
      <c r="P25" s="10"/>
      <c r="Q25" s="10"/>
      <c r="R25" s="10"/>
      <c r="S25" s="10"/>
      <c r="T25" s="10"/>
      <c r="U25" s="10"/>
      <c r="V25" s="630"/>
      <c r="W25" s="631"/>
    </row>
    <row r="26" spans="1:23" x14ac:dyDescent="0.25">
      <c r="A26" s="835"/>
      <c r="B26" s="836"/>
      <c r="C26" s="836"/>
      <c r="D26" s="844" t="s">
        <v>709</v>
      </c>
      <c r="E26" s="3396">
        <v>362</v>
      </c>
      <c r="F26" s="3712">
        <v>28880</v>
      </c>
      <c r="G26" s="3712">
        <v>30</v>
      </c>
      <c r="H26" s="3712">
        <v>65336</v>
      </c>
      <c r="I26" s="3395">
        <v>0.53739999999999999</v>
      </c>
      <c r="J26" s="3395">
        <v>0.74380000000000002</v>
      </c>
      <c r="K26" s="3395">
        <v>3.6900000000000002E-2</v>
      </c>
      <c r="L26" s="10"/>
      <c r="M26" s="10"/>
      <c r="N26" s="10"/>
      <c r="O26" s="10"/>
      <c r="P26" s="10"/>
      <c r="Q26" s="10"/>
      <c r="R26" s="10"/>
      <c r="S26" s="10"/>
      <c r="T26" s="10"/>
      <c r="U26" s="10"/>
      <c r="V26" s="630"/>
      <c r="W26" s="631"/>
    </row>
    <row r="27" spans="1:23" x14ac:dyDescent="0.25">
      <c r="A27" s="835"/>
      <c r="B27" s="836"/>
      <c r="C27" s="836"/>
      <c r="D27" s="10"/>
      <c r="E27" s="845">
        <f>SUM(E21:E23)+SUM(E25:E26)</f>
        <v>16810</v>
      </c>
      <c r="F27" s="845">
        <f>SUM(F21:F23)+SUM(F25:F26)</f>
        <v>403776</v>
      </c>
      <c r="G27" s="845">
        <f>SUM(G21:G23)+SUM(G25:G26)</f>
        <v>11099</v>
      </c>
      <c r="H27" s="845">
        <f>SUM(H21:H23)+SUM(H25:H26)</f>
        <v>997286</v>
      </c>
      <c r="I27" s="3395">
        <v>0.43290000000000001</v>
      </c>
      <c r="J27" s="3395">
        <v>0.67549999999999999</v>
      </c>
      <c r="K27" s="3395">
        <v>1.23E-2</v>
      </c>
      <c r="L27" s="10"/>
      <c r="M27" s="10"/>
      <c r="N27" s="10"/>
      <c r="O27" s="10"/>
      <c r="P27" s="10"/>
      <c r="Q27" s="10"/>
      <c r="R27" s="10"/>
      <c r="S27" s="10"/>
      <c r="T27" s="10"/>
      <c r="U27" s="10"/>
      <c r="V27" s="630"/>
      <c r="W27" s="631"/>
    </row>
    <row r="28" spans="1:23" x14ac:dyDescent="0.25">
      <c r="A28" s="835"/>
      <c r="B28" s="836"/>
      <c r="C28" s="836"/>
      <c r="D28" s="10"/>
      <c r="E28" s="10"/>
      <c r="F28" s="10"/>
      <c r="G28" s="10"/>
      <c r="H28" s="10"/>
      <c r="I28" s="10"/>
      <c r="J28" s="10"/>
      <c r="K28" s="10"/>
      <c r="L28" s="10"/>
      <c r="M28" s="10"/>
      <c r="N28" s="10"/>
      <c r="O28" s="10"/>
      <c r="P28" s="10"/>
      <c r="Q28" s="10"/>
      <c r="R28" s="10"/>
      <c r="S28" s="10"/>
      <c r="T28" s="10"/>
      <c r="U28" s="10"/>
      <c r="V28" s="668"/>
      <c r="W28" s="669"/>
    </row>
    <row r="29" spans="1:23" x14ac:dyDescent="0.25">
      <c r="A29" s="820"/>
      <c r="B29" s="568"/>
      <c r="C29" s="568"/>
      <c r="D29" s="71" t="s">
        <v>656</v>
      </c>
      <c r="E29" s="981" t="s">
        <v>733</v>
      </c>
      <c r="F29" s="88"/>
      <c r="G29" s="109"/>
      <c r="H29" s="109"/>
      <c r="I29" s="109"/>
      <c r="J29" s="88"/>
      <c r="K29" s="88"/>
      <c r="L29" s="617"/>
      <c r="M29" s="617"/>
      <c r="N29" s="4"/>
      <c r="O29" s="4"/>
      <c r="P29" s="4"/>
      <c r="Q29" s="4"/>
      <c r="R29" s="4"/>
      <c r="S29" s="4"/>
      <c r="T29" s="4"/>
      <c r="U29" s="4"/>
      <c r="V29" s="630"/>
      <c r="W29" s="631"/>
    </row>
    <row r="30" spans="1:23" ht="67.5" x14ac:dyDescent="0.25">
      <c r="A30" s="820"/>
      <c r="B30" s="568"/>
      <c r="C30" s="568"/>
      <c r="D30" s="837"/>
      <c r="E30" s="846" t="s">
        <v>723</v>
      </c>
      <c r="F30" s="847" t="s">
        <v>734</v>
      </c>
      <c r="G30" s="847" t="s">
        <v>725</v>
      </c>
      <c r="H30" s="847" t="s">
        <v>726</v>
      </c>
      <c r="I30" s="847" t="s">
        <v>727</v>
      </c>
      <c r="J30" s="847" t="s">
        <v>735</v>
      </c>
      <c r="K30" s="848" t="s">
        <v>729</v>
      </c>
      <c r="L30" s="617"/>
      <c r="M30" s="617"/>
      <c r="N30" s="4"/>
      <c r="O30" s="4"/>
      <c r="P30" s="4"/>
      <c r="Q30" s="4"/>
      <c r="R30" s="4"/>
      <c r="S30" s="4"/>
      <c r="T30" s="4"/>
      <c r="U30" s="4"/>
      <c r="V30" s="755"/>
      <c r="W30" s="756"/>
    </row>
    <row r="31" spans="1:23" x14ac:dyDescent="0.25">
      <c r="A31" s="820"/>
      <c r="B31" s="568"/>
      <c r="C31" s="568"/>
      <c r="D31" s="842" t="s">
        <v>276</v>
      </c>
      <c r="E31" s="849">
        <v>3459</v>
      </c>
      <c r="F31" s="849">
        <v>73041</v>
      </c>
      <c r="G31" s="851">
        <v>1013</v>
      </c>
      <c r="H31" s="850">
        <v>183242</v>
      </c>
      <c r="I31" s="878">
        <v>0.34799999999999998</v>
      </c>
      <c r="J31" s="878">
        <v>0.64990000000000003</v>
      </c>
      <c r="K31" s="878">
        <v>1.47E-2</v>
      </c>
      <c r="L31" s="4"/>
      <c r="M31" s="4"/>
      <c r="N31" s="4"/>
      <c r="O31" s="4"/>
      <c r="P31" s="4"/>
      <c r="Q31" s="4"/>
      <c r="R31" s="4"/>
      <c r="S31" s="4"/>
      <c r="T31" s="4"/>
      <c r="U31" s="4"/>
      <c r="V31" s="755"/>
      <c r="W31" s="756"/>
    </row>
    <row r="32" spans="1:23" x14ac:dyDescent="0.25">
      <c r="A32" s="820"/>
      <c r="B32" s="568"/>
      <c r="C32" s="568"/>
      <c r="D32" s="842" t="s">
        <v>736</v>
      </c>
      <c r="E32" s="849">
        <v>466</v>
      </c>
      <c r="F32" s="849">
        <v>26353</v>
      </c>
      <c r="G32" s="851">
        <v>837</v>
      </c>
      <c r="H32" s="850">
        <v>62160</v>
      </c>
      <c r="I32" s="878">
        <v>0.45800000000000002</v>
      </c>
      <c r="J32" s="878">
        <v>0.71250000000000002</v>
      </c>
      <c r="K32" s="878">
        <v>8.6999999999999994E-3</v>
      </c>
      <c r="L32" s="4"/>
      <c r="M32" s="4"/>
      <c r="N32" s="4"/>
      <c r="O32" s="4"/>
      <c r="P32" s="4"/>
      <c r="Q32" s="4"/>
      <c r="R32" s="4"/>
      <c r="S32" s="4"/>
      <c r="T32" s="4"/>
      <c r="U32" s="4"/>
      <c r="V32" s="668"/>
      <c r="W32" s="669"/>
    </row>
    <row r="33" spans="1:23" x14ac:dyDescent="0.25">
      <c r="A33" s="820"/>
      <c r="B33" s="568"/>
      <c r="C33" s="568"/>
      <c r="D33" s="842" t="s">
        <v>278</v>
      </c>
      <c r="E33" s="849">
        <v>1441</v>
      </c>
      <c r="F33" s="849">
        <v>49235</v>
      </c>
      <c r="G33" s="851">
        <v>2143</v>
      </c>
      <c r="H33" s="850">
        <v>106516</v>
      </c>
      <c r="I33" s="878">
        <v>0.53690000000000004</v>
      </c>
      <c r="J33" s="878">
        <v>0.62460000000000004</v>
      </c>
      <c r="K33" s="878">
        <v>1.06E-2</v>
      </c>
      <c r="L33" s="4"/>
      <c r="M33" s="4"/>
      <c r="N33" s="4"/>
      <c r="O33" s="4"/>
      <c r="P33" s="4"/>
      <c r="Q33" s="4"/>
      <c r="R33" s="4"/>
      <c r="S33" s="4"/>
      <c r="T33" s="4"/>
      <c r="U33" s="4"/>
      <c r="V33" s="668"/>
      <c r="W33" s="669"/>
    </row>
    <row r="34" spans="1:23" x14ac:dyDescent="0.25">
      <c r="A34" s="820"/>
      <c r="B34" s="568"/>
      <c r="C34" s="568"/>
      <c r="D34" s="842" t="s">
        <v>641</v>
      </c>
      <c r="E34" s="849">
        <v>2332</v>
      </c>
      <c r="F34" s="849">
        <v>94268</v>
      </c>
      <c r="G34" s="851">
        <v>1282</v>
      </c>
      <c r="H34" s="850">
        <v>223940</v>
      </c>
      <c r="I34" s="878">
        <v>0.37530000000000002</v>
      </c>
      <c r="J34" s="878">
        <v>0.7258</v>
      </c>
      <c r="K34" s="878">
        <v>6.4000000000000003E-3</v>
      </c>
      <c r="L34" s="4"/>
      <c r="M34" s="4"/>
      <c r="N34" s="4"/>
      <c r="O34" s="4"/>
      <c r="P34" s="4"/>
      <c r="Q34" s="4"/>
      <c r="R34" s="4"/>
      <c r="S34" s="4"/>
      <c r="T34" s="4"/>
      <c r="U34" s="4"/>
      <c r="V34" s="668"/>
      <c r="W34" s="669"/>
    </row>
    <row r="35" spans="1:23" x14ac:dyDescent="0.25">
      <c r="A35" s="820"/>
      <c r="B35" s="568"/>
      <c r="C35" s="568"/>
      <c r="D35" s="842" t="s">
        <v>280</v>
      </c>
      <c r="E35" s="849">
        <v>1392</v>
      </c>
      <c r="F35" s="849">
        <v>46363</v>
      </c>
      <c r="G35" s="851">
        <v>1270</v>
      </c>
      <c r="H35" s="850">
        <v>107269</v>
      </c>
      <c r="I35" s="878">
        <v>0.39529999999999998</v>
      </c>
      <c r="J35" s="878">
        <v>0.72719999999999996</v>
      </c>
      <c r="K35" s="878">
        <v>1.8599999999999998E-2</v>
      </c>
      <c r="L35" s="4"/>
      <c r="M35" s="4"/>
      <c r="N35" s="4"/>
      <c r="O35" s="4"/>
      <c r="P35" s="4"/>
      <c r="Q35" s="4"/>
      <c r="R35" s="4"/>
      <c r="S35" s="4"/>
      <c r="T35" s="4"/>
      <c r="U35" s="4"/>
      <c r="V35" s="668"/>
      <c r="W35" s="669"/>
    </row>
    <row r="36" spans="1:23" x14ac:dyDescent="0.25">
      <c r="A36" s="820"/>
      <c r="B36" s="568"/>
      <c r="C36" s="568"/>
      <c r="D36" s="842" t="s">
        <v>281</v>
      </c>
      <c r="E36" s="849">
        <v>3085</v>
      </c>
      <c r="F36" s="849">
        <v>33254</v>
      </c>
      <c r="G36" s="851">
        <v>1265</v>
      </c>
      <c r="H36" s="850">
        <v>78685</v>
      </c>
      <c r="I36" s="878">
        <v>0.45960000000000001</v>
      </c>
      <c r="J36" s="878">
        <v>0.70709999999999995</v>
      </c>
      <c r="K36" s="878">
        <v>1.3599999999999999E-2</v>
      </c>
      <c r="L36" s="4"/>
      <c r="M36" s="4"/>
      <c r="N36" s="4"/>
      <c r="O36" s="4"/>
      <c r="P36" s="4"/>
      <c r="Q36" s="4"/>
      <c r="R36" s="4"/>
      <c r="S36" s="4"/>
      <c r="T36" s="4"/>
      <c r="U36" s="4"/>
      <c r="V36" s="668"/>
      <c r="W36" s="669"/>
    </row>
    <row r="37" spans="1:23" x14ac:dyDescent="0.25">
      <c r="A37" s="820"/>
      <c r="B37" s="568"/>
      <c r="C37" s="568"/>
      <c r="D37" s="842" t="s">
        <v>282</v>
      </c>
      <c r="E37" s="849">
        <v>1218</v>
      </c>
      <c r="F37" s="849">
        <v>27491</v>
      </c>
      <c r="G37" s="851">
        <v>1275</v>
      </c>
      <c r="H37" s="850">
        <v>62752</v>
      </c>
      <c r="I37" s="878">
        <v>0.45479999999999998</v>
      </c>
      <c r="J37" s="878">
        <v>0.69369999999999998</v>
      </c>
      <c r="K37" s="878">
        <v>1.0500000000000001E-2</v>
      </c>
      <c r="L37" s="4"/>
      <c r="M37" s="4"/>
      <c r="N37" s="4"/>
      <c r="O37" s="4"/>
      <c r="P37" s="4"/>
      <c r="Q37" s="4"/>
      <c r="R37" s="4"/>
      <c r="S37" s="4"/>
      <c r="T37" s="4"/>
      <c r="U37" s="4"/>
      <c r="V37" s="668"/>
      <c r="W37" s="669"/>
    </row>
    <row r="38" spans="1:23" x14ac:dyDescent="0.25">
      <c r="A38" s="820"/>
      <c r="B38" s="568"/>
      <c r="C38" s="568"/>
      <c r="D38" s="842" t="s">
        <v>283</v>
      </c>
      <c r="E38" s="849">
        <v>743</v>
      </c>
      <c r="F38" s="849">
        <v>19138</v>
      </c>
      <c r="G38" s="851">
        <v>726</v>
      </c>
      <c r="H38" s="850">
        <v>55995</v>
      </c>
      <c r="I38" s="878">
        <v>0.4733</v>
      </c>
      <c r="J38" s="878">
        <v>0.61370000000000002</v>
      </c>
      <c r="K38" s="878">
        <v>1.83E-2</v>
      </c>
      <c r="L38" s="4"/>
      <c r="M38" s="4"/>
      <c r="N38" s="4"/>
      <c r="O38" s="4"/>
      <c r="P38" s="4"/>
      <c r="Q38" s="4"/>
      <c r="R38" s="4"/>
      <c r="S38" s="4"/>
      <c r="T38" s="4"/>
      <c r="U38" s="4"/>
      <c r="V38" s="668"/>
      <c r="W38" s="669"/>
    </row>
    <row r="39" spans="1:23" x14ac:dyDescent="0.25">
      <c r="A39" s="820"/>
      <c r="B39" s="568"/>
      <c r="C39" s="568"/>
      <c r="D39" s="852" t="s">
        <v>284</v>
      </c>
      <c r="E39" s="853">
        <v>2674</v>
      </c>
      <c r="F39" s="853">
        <v>34633</v>
      </c>
      <c r="G39" s="855">
        <v>1288</v>
      </c>
      <c r="H39" s="854">
        <v>116727</v>
      </c>
      <c r="I39" s="879">
        <v>0.55330000000000001</v>
      </c>
      <c r="J39" s="879">
        <v>0.59719999999999995</v>
      </c>
      <c r="K39" s="879">
        <v>1.47E-2</v>
      </c>
      <c r="L39" s="4"/>
      <c r="M39" s="4"/>
      <c r="N39" s="4"/>
      <c r="O39" s="4"/>
      <c r="P39" s="4"/>
      <c r="Q39" s="4"/>
      <c r="R39" s="4"/>
      <c r="S39" s="4"/>
      <c r="T39" s="4"/>
      <c r="U39" s="4"/>
      <c r="V39" s="630"/>
      <c r="W39" s="631"/>
    </row>
    <row r="40" spans="1:23" x14ac:dyDescent="0.25">
      <c r="A40" s="820"/>
      <c r="B40" s="568"/>
      <c r="C40" s="568"/>
      <c r="D40" s="856" t="s">
        <v>103</v>
      </c>
      <c r="E40" s="3397">
        <f>SUM(E31:E39)</f>
        <v>16810</v>
      </c>
      <c r="F40" s="3397">
        <f t="shared" ref="F40:H40" si="2">SUM(F31:F39)</f>
        <v>403776</v>
      </c>
      <c r="G40" s="3397">
        <f t="shared" si="2"/>
        <v>11099</v>
      </c>
      <c r="H40" s="3397">
        <f t="shared" si="2"/>
        <v>997286</v>
      </c>
      <c r="I40" s="3395">
        <v>0.4536</v>
      </c>
      <c r="J40" s="3395">
        <v>0.66420000000000001</v>
      </c>
      <c r="K40" s="3395">
        <v>1.66E-2</v>
      </c>
      <c r="L40" s="4"/>
      <c r="M40" s="4"/>
      <c r="N40" s="4"/>
      <c r="O40" s="4"/>
      <c r="P40" s="4"/>
      <c r="Q40" s="4"/>
      <c r="R40" s="4"/>
      <c r="S40" s="4"/>
      <c r="T40" s="4"/>
      <c r="U40" s="4"/>
      <c r="V40" s="668"/>
      <c r="W40" s="669"/>
    </row>
    <row r="41" spans="1:23" x14ac:dyDescent="0.25">
      <c r="A41" s="820"/>
      <c r="B41" s="568"/>
      <c r="C41" s="568"/>
      <c r="D41" s="21"/>
      <c r="E41" s="3664"/>
      <c r="F41" s="3664"/>
      <c r="G41" s="3664"/>
      <c r="H41" s="3664"/>
      <c r="I41" s="857"/>
      <c r="J41" s="857"/>
      <c r="K41" s="857"/>
      <c r="L41" s="4"/>
      <c r="M41" s="4"/>
      <c r="N41" s="4"/>
      <c r="O41" s="4"/>
      <c r="P41" s="4"/>
      <c r="Q41" s="4"/>
      <c r="R41" s="4"/>
      <c r="S41" s="4"/>
      <c r="T41" s="4"/>
      <c r="U41" s="4"/>
      <c r="V41" s="668"/>
      <c r="W41" s="669"/>
    </row>
    <row r="42" spans="1:23" x14ac:dyDescent="0.25">
      <c r="A42" s="821">
        <v>5</v>
      </c>
      <c r="B42" s="509" t="s">
        <v>52</v>
      </c>
      <c r="C42" s="509"/>
      <c r="D42" s="4674" t="s">
        <v>737</v>
      </c>
      <c r="E42" s="4675"/>
      <c r="F42" s="4675"/>
      <c r="G42" s="4675"/>
      <c r="H42" s="4675"/>
      <c r="I42" s="4675"/>
      <c r="J42" s="4675"/>
      <c r="K42" s="4675"/>
      <c r="L42" s="4675"/>
      <c r="M42" s="4675"/>
      <c r="N42" s="4675"/>
      <c r="O42" s="4675"/>
      <c r="P42" s="4675"/>
      <c r="Q42" s="4675"/>
      <c r="R42" s="4676"/>
      <c r="S42" s="180"/>
      <c r="T42" s="880"/>
      <c r="U42" s="880"/>
      <c r="V42" s="668"/>
      <c r="W42" s="669"/>
    </row>
    <row r="43" spans="1:23" ht="38.1" customHeight="1" x14ac:dyDescent="0.25">
      <c r="A43" s="858">
        <v>6</v>
      </c>
      <c r="B43" s="546" t="s">
        <v>54</v>
      </c>
      <c r="C43" s="546"/>
      <c r="D43" s="4677" t="s">
        <v>738</v>
      </c>
      <c r="E43" s="4678"/>
      <c r="F43" s="4678"/>
      <c r="G43" s="4678"/>
      <c r="H43" s="4678"/>
      <c r="I43" s="4678"/>
      <c r="J43" s="4678"/>
      <c r="K43" s="4678"/>
      <c r="L43" s="4678"/>
      <c r="M43" s="4678"/>
      <c r="N43" s="4678"/>
      <c r="O43" s="4678"/>
      <c r="P43" s="4678"/>
      <c r="Q43" s="4678"/>
      <c r="R43" s="4679"/>
      <c r="S43" s="867"/>
      <c r="T43" s="880"/>
      <c r="U43" s="880"/>
      <c r="V43" s="668"/>
      <c r="W43" s="669"/>
    </row>
    <row r="44" spans="1:23" x14ac:dyDescent="0.25">
      <c r="A44" s="821">
        <v>7</v>
      </c>
      <c r="B44" s="509" t="s">
        <v>56</v>
      </c>
      <c r="C44" s="509"/>
      <c r="D44" s="4674" t="s">
        <v>739</v>
      </c>
      <c r="E44" s="4675"/>
      <c r="F44" s="4675"/>
      <c r="G44" s="4675"/>
      <c r="H44" s="4675"/>
      <c r="I44" s="4675"/>
      <c r="J44" s="4675"/>
      <c r="K44" s="4675"/>
      <c r="L44" s="4675"/>
      <c r="M44" s="4675"/>
      <c r="N44" s="4675"/>
      <c r="O44" s="4675"/>
      <c r="P44" s="4675"/>
      <c r="Q44" s="4675"/>
      <c r="R44" s="4676"/>
      <c r="S44" s="180"/>
      <c r="T44" s="344"/>
      <c r="U44" s="344"/>
      <c r="V44" s="630"/>
      <c r="W44" s="631"/>
    </row>
    <row r="45" spans="1:23" x14ac:dyDescent="0.25">
      <c r="A45" s="858">
        <v>8</v>
      </c>
      <c r="B45" s="546" t="s">
        <v>355</v>
      </c>
      <c r="C45" s="546"/>
      <c r="D45" s="4674" t="s">
        <v>740</v>
      </c>
      <c r="E45" s="4675"/>
      <c r="F45" s="4675"/>
      <c r="G45" s="4675"/>
      <c r="H45" s="4675"/>
      <c r="I45" s="4675"/>
      <c r="J45" s="4675"/>
      <c r="K45" s="4675"/>
      <c r="L45" s="4675"/>
      <c r="M45" s="4675"/>
      <c r="N45" s="4675"/>
      <c r="O45" s="4675"/>
      <c r="P45" s="4675"/>
      <c r="Q45" s="4675"/>
      <c r="R45" s="4676"/>
      <c r="S45" s="180"/>
      <c r="T45" s="880"/>
      <c r="U45" s="880"/>
      <c r="V45" s="630"/>
      <c r="W45" s="630"/>
    </row>
    <row r="46" spans="1:23" x14ac:dyDescent="0.25">
      <c r="V46" s="630"/>
      <c r="W46" s="631"/>
    </row>
    <row r="47" spans="1:23" x14ac:dyDescent="0.25">
      <c r="V47" s="630"/>
      <c r="W47" s="631"/>
    </row>
    <row r="48" spans="1:23" x14ac:dyDescent="0.25">
      <c r="V48" s="630"/>
      <c r="W48" s="631"/>
    </row>
    <row r="49" spans="4:23" x14ac:dyDescent="0.25">
      <c r="V49" s="630"/>
      <c r="W49" s="631"/>
    </row>
    <row r="50" spans="4:23" x14ac:dyDescent="0.25">
      <c r="V50" s="630"/>
      <c r="W50" s="631"/>
    </row>
    <row r="51" spans="4:23" x14ac:dyDescent="0.25">
      <c r="V51" s="630"/>
      <c r="W51" s="631"/>
    </row>
    <row r="52" spans="4:23" x14ac:dyDescent="0.25">
      <c r="V52" s="630"/>
      <c r="W52" s="631"/>
    </row>
    <row r="53" spans="4:23" x14ac:dyDescent="0.25">
      <c r="V53" s="630"/>
      <c r="W53" s="631"/>
    </row>
    <row r="54" spans="4:23" x14ac:dyDescent="0.25">
      <c r="V54" s="630"/>
      <c r="W54" s="631"/>
    </row>
    <row r="55" spans="4:23" x14ac:dyDescent="0.25">
      <c r="V55" s="630"/>
      <c r="W55" s="631"/>
    </row>
    <row r="56" spans="4:23" x14ac:dyDescent="0.25">
      <c r="V56" s="630"/>
      <c r="W56" s="631"/>
    </row>
    <row r="57" spans="4:23" x14ac:dyDescent="0.25">
      <c r="V57" s="630"/>
      <c r="W57" s="631"/>
    </row>
    <row r="58" spans="4:23" x14ac:dyDescent="0.25">
      <c r="V58" s="630"/>
      <c r="W58" s="631"/>
    </row>
    <row r="59" spans="4:23" x14ac:dyDescent="0.25">
      <c r="V59" s="630"/>
      <c r="W59" s="631"/>
    </row>
    <row r="60" spans="4:23" x14ac:dyDescent="0.25">
      <c r="E60" s="825" t="s">
        <v>17</v>
      </c>
      <c r="F60" s="826" t="s">
        <v>18</v>
      </c>
      <c r="G60" s="827" t="s">
        <v>19</v>
      </c>
      <c r="H60" s="827" t="s">
        <v>20</v>
      </c>
      <c r="I60" s="827" t="s">
        <v>21</v>
      </c>
      <c r="J60" s="827" t="s">
        <v>22</v>
      </c>
      <c r="K60" s="827" t="s">
        <v>23</v>
      </c>
      <c r="L60" s="827" t="s">
        <v>24</v>
      </c>
      <c r="M60" s="827" t="s">
        <v>25</v>
      </c>
      <c r="N60" s="827" t="s">
        <v>26</v>
      </c>
      <c r="O60" s="828" t="s">
        <v>27</v>
      </c>
      <c r="P60" s="828" t="s">
        <v>28</v>
      </c>
      <c r="Q60" s="829" t="s">
        <v>29</v>
      </c>
      <c r="R60" s="829" t="s">
        <v>30</v>
      </c>
      <c r="S60" s="829" t="s">
        <v>31</v>
      </c>
      <c r="T60" s="827" t="s">
        <v>32</v>
      </c>
      <c r="U60" s="827" t="s">
        <v>33</v>
      </c>
      <c r="V60" s="3011" t="s">
        <v>59</v>
      </c>
      <c r="W60" s="631"/>
    </row>
    <row r="61" spans="4:23" x14ac:dyDescent="0.25">
      <c r="D61" s="246" t="s">
        <v>713</v>
      </c>
      <c r="E61" s="3393">
        <v>223410</v>
      </c>
      <c r="F61" s="3708">
        <v>435374</v>
      </c>
      <c r="G61" s="3708">
        <v>756068</v>
      </c>
      <c r="H61" s="3709">
        <v>1196334</v>
      </c>
      <c r="I61" s="3710">
        <v>1767149</v>
      </c>
      <c r="J61" s="3710">
        <v>2393008</v>
      </c>
      <c r="K61" s="3710">
        <v>3036124</v>
      </c>
      <c r="L61" s="3710">
        <v>3879583</v>
      </c>
      <c r="M61" s="3710">
        <v>4821176</v>
      </c>
      <c r="N61" s="3710">
        <v>5838441</v>
      </c>
      <c r="O61" s="3710">
        <v>6942424</v>
      </c>
      <c r="P61" s="3710">
        <v>7683964</v>
      </c>
      <c r="Q61" s="3710">
        <v>8463209</v>
      </c>
      <c r="R61" s="3710">
        <v>9363443</v>
      </c>
      <c r="S61" s="3710">
        <v>10360729</v>
      </c>
      <c r="T61" s="3710">
        <v>11132018</v>
      </c>
      <c r="U61" s="3710">
        <v>12070706</v>
      </c>
      <c r="V61" s="3710">
        <v>13087352</v>
      </c>
      <c r="W61" s="3398"/>
    </row>
    <row r="62" spans="4:23" x14ac:dyDescent="0.25">
      <c r="V62" s="630"/>
      <c r="W62" s="631"/>
    </row>
    <row r="63" spans="4:23" x14ac:dyDescent="0.25">
      <c r="V63" s="630"/>
      <c r="W63" s="631"/>
    </row>
    <row r="64" spans="4:23" x14ac:dyDescent="0.25">
      <c r="V64" s="630"/>
      <c r="W64" s="631"/>
    </row>
    <row r="65" spans="22:23" x14ac:dyDescent="0.25">
      <c r="V65" s="630"/>
      <c r="W65" s="631"/>
    </row>
    <row r="66" spans="22:23" x14ac:dyDescent="0.25">
      <c r="V66" s="630"/>
      <c r="W66" s="631"/>
    </row>
    <row r="67" spans="22:23" x14ac:dyDescent="0.25">
      <c r="V67" s="630"/>
      <c r="W67" s="631"/>
    </row>
    <row r="68" spans="22:23" x14ac:dyDescent="0.25">
      <c r="V68" s="630"/>
      <c r="W68" s="630"/>
    </row>
    <row r="69" spans="22:23" x14ac:dyDescent="0.25">
      <c r="V69" s="667"/>
      <c r="W69" s="667"/>
    </row>
    <row r="70" spans="22:23" x14ac:dyDescent="0.25">
      <c r="V70" s="630"/>
      <c r="W70" s="630"/>
    </row>
    <row r="71" spans="22:23" x14ac:dyDescent="0.25">
      <c r="V71" s="630"/>
      <c r="W71" s="630"/>
    </row>
  </sheetData>
  <mergeCells count="8">
    <mergeCell ref="D44:R44"/>
    <mergeCell ref="D45:R45"/>
    <mergeCell ref="D2:T2"/>
    <mergeCell ref="D3:T3"/>
    <mergeCell ref="D4:T4"/>
    <mergeCell ref="D5:T5"/>
    <mergeCell ref="D42:R42"/>
    <mergeCell ref="D43:R43"/>
  </mergeCells>
  <pageMargins left="0.7" right="0.7" top="0.75" bottom="0.75" header="0.3" footer="0.3"/>
  <pageSetup paperSize="9" scale="3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16617-0BE9-4BBE-A502-9C3A58878A10}">
  <sheetPr>
    <tabColor rgb="FF00FFFF"/>
    <pageSetUpPr fitToPage="1"/>
  </sheetPr>
  <dimension ref="A1:AD60"/>
  <sheetViews>
    <sheetView showGridLines="0" view="pageBreakPreview" zoomScaleNormal="100" zoomScaleSheetLayoutView="100" workbookViewId="0">
      <selection activeCell="AB66" sqref="AB66"/>
    </sheetView>
  </sheetViews>
  <sheetFormatPr defaultColWidth="9.140625" defaultRowHeight="15" x14ac:dyDescent="0.25"/>
  <cols>
    <col min="1" max="1" width="3.85546875" style="69" customWidth="1"/>
    <col min="2" max="2" width="14.42578125" style="66" customWidth="1"/>
    <col min="3" max="3" width="3.85546875" style="67" customWidth="1"/>
    <col min="4" max="4" width="19.140625" style="4" customWidth="1"/>
    <col min="5" max="5" width="7.5703125" style="4" customWidth="1"/>
    <col min="6" max="8" width="7.85546875" style="4" bestFit="1" customWidth="1"/>
    <col min="9" max="17" width="8.85546875" style="4" bestFit="1" customWidth="1"/>
    <col min="18" max="19" width="8.85546875" style="4" customWidth="1"/>
    <col min="20" max="21" width="8.42578125" style="4" customWidth="1"/>
    <col min="22" max="23" width="9.140625" style="4" customWidth="1"/>
    <col min="24" max="25" width="9.85546875" style="4" bestFit="1" customWidth="1"/>
    <col min="26" max="26" width="9.140625" style="4" customWidth="1"/>
    <col min="27" max="32" width="11" style="4" bestFit="1" customWidth="1"/>
    <col min="33" max="16384" width="9.140625" style="4"/>
  </cols>
  <sheetData>
    <row r="1" spans="1:26" x14ac:dyDescent="0.25">
      <c r="D1" s="68"/>
      <c r="E1" s="68"/>
      <c r="F1" s="68"/>
      <c r="G1" s="68"/>
      <c r="H1" s="68"/>
      <c r="I1" s="68"/>
      <c r="J1" s="68"/>
      <c r="K1" s="68"/>
      <c r="L1" s="68"/>
      <c r="M1" s="68"/>
      <c r="N1" s="68"/>
      <c r="O1" s="68"/>
      <c r="P1" s="68"/>
      <c r="Q1" s="68"/>
      <c r="R1" s="68"/>
      <c r="S1" s="68"/>
    </row>
    <row r="2" spans="1:26" ht="12.75" customHeight="1" x14ac:dyDescent="0.25">
      <c r="A2" s="69">
        <v>1</v>
      </c>
      <c r="B2" s="70" t="s">
        <v>0</v>
      </c>
      <c r="C2" s="69">
        <v>26</v>
      </c>
      <c r="D2" s="4740" t="s">
        <v>741</v>
      </c>
      <c r="E2" s="4741"/>
      <c r="F2" s="4741"/>
      <c r="G2" s="4741"/>
      <c r="H2" s="4741"/>
      <c r="I2" s="4741"/>
      <c r="J2" s="4741"/>
      <c r="K2" s="4741"/>
      <c r="L2" s="4741"/>
      <c r="M2" s="4741"/>
      <c r="N2" s="4741"/>
      <c r="O2" s="4741"/>
      <c r="P2" s="4741"/>
      <c r="Q2" s="4741"/>
      <c r="R2" s="4741"/>
      <c r="S2" s="4741"/>
      <c r="T2" s="4741"/>
      <c r="U2" s="4741"/>
      <c r="V2" s="4741"/>
      <c r="W2" s="4741"/>
      <c r="X2" s="4741"/>
      <c r="Y2" s="241"/>
    </row>
    <row r="3" spans="1:26" ht="14.45" customHeight="1" x14ac:dyDescent="0.25">
      <c r="A3" s="69">
        <v>2</v>
      </c>
      <c r="B3" s="70" t="s">
        <v>2</v>
      </c>
      <c r="C3" s="69"/>
      <c r="D3" s="4603" t="s">
        <v>742</v>
      </c>
      <c r="E3" s="4604"/>
      <c r="F3" s="4604"/>
      <c r="G3" s="4604"/>
      <c r="H3" s="4604"/>
      <c r="I3" s="4604"/>
      <c r="J3" s="4604"/>
      <c r="K3" s="4604"/>
      <c r="L3" s="4604"/>
      <c r="M3" s="4604"/>
      <c r="N3" s="4604"/>
      <c r="O3" s="4604"/>
      <c r="P3" s="4604"/>
      <c r="Q3" s="4604"/>
      <c r="R3" s="4604"/>
      <c r="S3" s="4604"/>
      <c r="T3" s="4604"/>
      <c r="U3" s="4604"/>
      <c r="V3" s="4604"/>
      <c r="W3" s="4604"/>
      <c r="X3" s="4604"/>
      <c r="Y3" s="4176"/>
    </row>
    <row r="4" spans="1:26" ht="12.75" customHeight="1" x14ac:dyDescent="0.25">
      <c r="A4" s="69">
        <v>3</v>
      </c>
      <c r="B4" s="70" t="s">
        <v>4</v>
      </c>
      <c r="C4" s="69"/>
      <c r="D4" s="4742" t="s">
        <v>2175</v>
      </c>
      <c r="E4" s="4743"/>
      <c r="F4" s="4743"/>
      <c r="G4" s="4743"/>
      <c r="H4" s="4743"/>
      <c r="I4" s="4743"/>
      <c r="J4" s="4743"/>
      <c r="K4" s="4743"/>
      <c r="L4" s="4743"/>
      <c r="M4" s="4743"/>
      <c r="N4" s="4743"/>
      <c r="O4" s="4743"/>
      <c r="P4" s="4743"/>
      <c r="Q4" s="4743"/>
      <c r="R4" s="4743"/>
      <c r="S4" s="4743"/>
      <c r="T4" s="4743"/>
      <c r="U4" s="4743"/>
      <c r="V4" s="4743"/>
      <c r="W4" s="4743"/>
      <c r="X4" s="4743"/>
      <c r="Y4" s="4176"/>
    </row>
    <row r="5" spans="1:26" ht="12.75" customHeight="1" x14ac:dyDescent="0.25">
      <c r="B5" s="70"/>
      <c r="C5" s="69"/>
      <c r="D5" s="4176"/>
      <c r="E5" s="4176"/>
      <c r="F5" s="4176"/>
      <c r="G5" s="4176"/>
      <c r="H5" s="4176"/>
      <c r="I5" s="4176"/>
      <c r="J5" s="4176"/>
      <c r="K5" s="4176"/>
      <c r="L5" s="4176"/>
      <c r="M5" s="4176"/>
      <c r="N5" s="4176"/>
      <c r="O5" s="4176"/>
      <c r="P5" s="4176"/>
      <c r="Q5" s="4176"/>
      <c r="R5" s="4176"/>
      <c r="S5" s="4176"/>
      <c r="T5" s="4176"/>
      <c r="U5" s="4176"/>
      <c r="V5" s="4176"/>
    </row>
    <row r="6" spans="1:26" x14ac:dyDescent="0.25">
      <c r="A6" s="69">
        <v>4</v>
      </c>
      <c r="B6" s="70" t="s">
        <v>6</v>
      </c>
      <c r="D6" s="310"/>
      <c r="E6" s="311"/>
      <c r="F6" s="109"/>
      <c r="G6" s="109"/>
      <c r="H6" s="109"/>
      <c r="I6" s="109"/>
      <c r="J6" s="109"/>
      <c r="K6" s="109"/>
      <c r="L6" s="71"/>
      <c r="M6" s="68"/>
      <c r="N6" s="68"/>
      <c r="O6" s="68"/>
      <c r="P6" s="68"/>
      <c r="Q6" s="68"/>
      <c r="R6" s="68"/>
      <c r="S6" s="68"/>
    </row>
    <row r="7" spans="1:26" s="10" customFormat="1" ht="11.25" x14ac:dyDescent="0.2">
      <c r="A7" s="79"/>
      <c r="B7" s="80"/>
      <c r="C7" s="81"/>
      <c r="D7" s="71" t="s">
        <v>365</v>
      </c>
      <c r="E7" s="71" t="s">
        <v>743</v>
      </c>
      <c r="F7" s="71"/>
      <c r="G7" s="71"/>
      <c r="H7" s="71"/>
      <c r="I7" s="71"/>
      <c r="J7" s="109"/>
      <c r="K7" s="109"/>
      <c r="L7" s="312"/>
      <c r="M7" s="71"/>
      <c r="N7" s="71"/>
      <c r="O7" s="71"/>
      <c r="P7" s="71"/>
      <c r="Q7" s="71"/>
      <c r="R7" s="71"/>
      <c r="S7" s="71"/>
    </row>
    <row r="8" spans="1:26" s="10" customFormat="1" ht="14.25" customHeight="1" x14ac:dyDescent="0.2">
      <c r="A8" s="313"/>
      <c r="B8" s="80"/>
      <c r="C8" s="81"/>
      <c r="D8" s="99" t="s">
        <v>744</v>
      </c>
      <c r="E8" s="314" t="s">
        <v>745</v>
      </c>
      <c r="F8" s="314" t="s">
        <v>394</v>
      </c>
      <c r="G8" s="314" t="s">
        <v>10</v>
      </c>
      <c r="H8" s="314" t="s">
        <v>14</v>
      </c>
      <c r="I8" s="315" t="s">
        <v>16</v>
      </c>
      <c r="J8" s="315" t="s">
        <v>17</v>
      </c>
      <c r="K8" s="315" t="s">
        <v>18</v>
      </c>
      <c r="L8" s="315" t="s">
        <v>19</v>
      </c>
      <c r="M8" s="316" t="s">
        <v>20</v>
      </c>
      <c r="N8" s="316" t="s">
        <v>21</v>
      </c>
      <c r="O8" s="317" t="s">
        <v>22</v>
      </c>
      <c r="P8" s="317" t="s">
        <v>23</v>
      </c>
      <c r="Q8" s="317" t="s">
        <v>24</v>
      </c>
      <c r="R8" s="317" t="s">
        <v>25</v>
      </c>
      <c r="S8" s="317" t="s">
        <v>26</v>
      </c>
      <c r="T8" s="317" t="s">
        <v>27</v>
      </c>
      <c r="U8" s="317" t="s">
        <v>28</v>
      </c>
      <c r="V8" s="317" t="s">
        <v>29</v>
      </c>
      <c r="W8" s="317" t="s">
        <v>30</v>
      </c>
      <c r="X8" s="317" t="s">
        <v>31</v>
      </c>
      <c r="Y8" s="315" t="s">
        <v>32</v>
      </c>
      <c r="Z8" s="315" t="s">
        <v>33</v>
      </c>
    </row>
    <row r="9" spans="1:26" s="10" customFormat="1" ht="14.25" customHeight="1" x14ac:dyDescent="0.2">
      <c r="A9" s="79"/>
      <c r="B9" s="80"/>
      <c r="C9" s="81"/>
      <c r="D9" s="181" t="s">
        <v>746</v>
      </c>
      <c r="E9" s="319"/>
      <c r="F9" s="320">
        <v>1336227</v>
      </c>
      <c r="G9" s="320">
        <v>2216000</v>
      </c>
      <c r="H9" s="320">
        <v>4023576</v>
      </c>
      <c r="I9" s="320">
        <v>5591325</v>
      </c>
      <c r="J9" s="320">
        <v>6766361</v>
      </c>
      <c r="K9" s="320">
        <v>8243776</v>
      </c>
      <c r="L9" s="320">
        <v>9243165</v>
      </c>
      <c r="M9" s="321">
        <v>10738456</v>
      </c>
      <c r="N9" s="322">
        <v>12332012</v>
      </c>
      <c r="O9" s="322">
        <v>11139237</v>
      </c>
      <c r="P9" s="322">
        <v>10059010</v>
      </c>
      <c r="Q9" s="322">
        <v>10464022</v>
      </c>
      <c r="R9" s="322">
        <v>10570726</v>
      </c>
      <c r="S9" s="322">
        <v>11782848</v>
      </c>
      <c r="T9" s="322">
        <v>13290951</v>
      </c>
      <c r="U9" s="322">
        <v>13814995</v>
      </c>
      <c r="V9" s="322">
        <v>14781270</v>
      </c>
      <c r="W9" s="322">
        <v>15859185</v>
      </c>
      <c r="X9" s="322">
        <v>14447833.430000005</v>
      </c>
      <c r="Y9" s="320">
        <v>10704481</v>
      </c>
      <c r="Z9" s="320">
        <v>10047344</v>
      </c>
    </row>
    <row r="10" spans="1:26" s="10" customFormat="1" ht="14.25" customHeight="1" x14ac:dyDescent="0.2">
      <c r="A10" s="79"/>
      <c r="B10" s="80"/>
      <c r="C10" s="81"/>
      <c r="D10" s="181" t="s">
        <v>747</v>
      </c>
      <c r="E10" s="319"/>
      <c r="F10" s="320">
        <v>810618</v>
      </c>
      <c r="G10" s="320">
        <v>1380000</v>
      </c>
      <c r="H10" s="320">
        <v>203110</v>
      </c>
      <c r="I10" s="320">
        <v>465367</v>
      </c>
      <c r="J10" s="320">
        <v>515331</v>
      </c>
      <c r="K10" s="320">
        <v>844640</v>
      </c>
      <c r="L10" s="320">
        <v>1021355</v>
      </c>
      <c r="M10" s="321">
        <v>1154399</v>
      </c>
      <c r="N10" s="322">
        <v>1139676</v>
      </c>
      <c r="O10" s="322">
        <v>1067302</v>
      </c>
      <c r="P10" s="322">
        <v>1011340</v>
      </c>
      <c r="Q10" s="322">
        <v>1235669</v>
      </c>
      <c r="R10" s="322">
        <v>1437509</v>
      </c>
      <c r="S10" s="322">
        <v>1697151</v>
      </c>
      <c r="T10" s="322">
        <v>1893010</v>
      </c>
      <c r="U10" s="322">
        <v>2013021</v>
      </c>
      <c r="V10" s="322">
        <v>2098646</v>
      </c>
      <c r="W10" s="322">
        <v>2325875</v>
      </c>
      <c r="X10" s="322">
        <v>2223426.12</v>
      </c>
      <c r="Y10" s="320">
        <v>1893543</v>
      </c>
      <c r="Z10" s="320">
        <v>2237531</v>
      </c>
    </row>
    <row r="11" spans="1:26" s="10" customFormat="1" ht="14.25" customHeight="1" x14ac:dyDescent="0.2">
      <c r="A11" s="79"/>
      <c r="B11" s="80"/>
      <c r="C11" s="81"/>
      <c r="D11" s="181" t="s">
        <v>748</v>
      </c>
      <c r="E11" s="319"/>
      <c r="F11" s="320">
        <v>415648</v>
      </c>
      <c r="G11" s="320">
        <v>496000</v>
      </c>
      <c r="H11" s="320">
        <v>1896156</v>
      </c>
      <c r="I11" s="320">
        <v>2071351</v>
      </c>
      <c r="J11" s="320">
        <v>2533971</v>
      </c>
      <c r="K11" s="320">
        <v>2732215</v>
      </c>
      <c r="L11" s="320">
        <v>3298808</v>
      </c>
      <c r="M11" s="321">
        <v>3621862</v>
      </c>
      <c r="N11" s="322">
        <v>4191366</v>
      </c>
      <c r="O11" s="322">
        <v>5101224</v>
      </c>
      <c r="P11" s="322">
        <v>5424602</v>
      </c>
      <c r="Q11" s="322">
        <v>6609216</v>
      </c>
      <c r="R11" s="322">
        <v>7333153</v>
      </c>
      <c r="S11" s="322">
        <v>7292853</v>
      </c>
      <c r="T11" s="322">
        <v>8377575</v>
      </c>
      <c r="U11" s="322">
        <v>9876623</v>
      </c>
      <c r="V11" s="322">
        <v>11659258</v>
      </c>
      <c r="W11" s="322">
        <v>13009876</v>
      </c>
      <c r="X11" s="322">
        <v>13183118.710000005</v>
      </c>
      <c r="Y11" s="320">
        <v>14178960</v>
      </c>
      <c r="Z11" s="320">
        <v>13785736</v>
      </c>
    </row>
    <row r="12" spans="1:26" ht="14.25" customHeight="1" x14ac:dyDescent="0.25">
      <c r="C12" s="3"/>
      <c r="D12" s="181" t="s">
        <v>749</v>
      </c>
      <c r="E12" s="319"/>
      <c r="F12" s="320">
        <v>31615</v>
      </c>
      <c r="G12" s="320">
        <v>11000</v>
      </c>
      <c r="H12" s="320">
        <v>70778</v>
      </c>
      <c r="I12" s="320">
        <v>209023</v>
      </c>
      <c r="J12" s="320">
        <v>198268</v>
      </c>
      <c r="K12" s="320">
        <v>226514</v>
      </c>
      <c r="L12" s="320">
        <v>212538</v>
      </c>
      <c r="M12" s="321">
        <v>223202</v>
      </c>
      <c r="N12" s="322">
        <v>240649</v>
      </c>
      <c r="O12" s="322">
        <v>188840</v>
      </c>
      <c r="P12" s="322">
        <v>162830</v>
      </c>
      <c r="Q12" s="322">
        <v>170605</v>
      </c>
      <c r="R12" s="322">
        <v>503833</v>
      </c>
      <c r="S12" s="322">
        <v>583165</v>
      </c>
      <c r="T12" s="322">
        <v>778772</v>
      </c>
      <c r="U12" s="322">
        <v>891142</v>
      </c>
      <c r="V12" s="322">
        <v>1017616</v>
      </c>
      <c r="W12" s="322">
        <v>1216310</v>
      </c>
      <c r="X12" s="322">
        <v>1485704.4</v>
      </c>
      <c r="Y12" s="320">
        <v>1509515</v>
      </c>
      <c r="Z12" s="320">
        <v>1568307</v>
      </c>
    </row>
    <row r="13" spans="1:26" ht="14.25" customHeight="1" x14ac:dyDescent="0.25">
      <c r="D13" s="323" t="s">
        <v>750</v>
      </c>
      <c r="E13" s="3399"/>
      <c r="F13" s="3400"/>
      <c r="G13" s="3400"/>
      <c r="H13" s="3400">
        <v>1294454</v>
      </c>
      <c r="I13" s="3400">
        <v>1745493</v>
      </c>
      <c r="J13" s="3400">
        <v>1996050</v>
      </c>
      <c r="K13" s="3400">
        <v>2102094</v>
      </c>
      <c r="L13" s="3400">
        <v>2744718</v>
      </c>
      <c r="M13" s="3401">
        <v>2886094</v>
      </c>
      <c r="N13" s="3402">
        <v>3137343</v>
      </c>
      <c r="O13" s="3402">
        <v>3458074</v>
      </c>
      <c r="P13" s="3402">
        <v>3596023</v>
      </c>
      <c r="Q13" s="3402">
        <v>3729680</v>
      </c>
      <c r="R13" s="3402">
        <v>4025998</v>
      </c>
      <c r="S13" s="3402">
        <v>4304556</v>
      </c>
      <c r="T13" s="3402">
        <v>5004669</v>
      </c>
      <c r="U13" s="3402">
        <v>5740897</v>
      </c>
      <c r="V13" s="3402">
        <v>6136183</v>
      </c>
      <c r="W13" s="3402">
        <v>6313344</v>
      </c>
      <c r="X13" s="3402">
        <v>5443885.2999999998</v>
      </c>
      <c r="Y13" s="3400">
        <v>6198363</v>
      </c>
      <c r="Z13" s="3400">
        <v>5902414</v>
      </c>
    </row>
    <row r="14" spans="1:26" ht="14.25" customHeight="1" x14ac:dyDescent="0.25">
      <c r="D14" s="324" t="s">
        <v>751</v>
      </c>
      <c r="E14" s="325">
        <v>2786087</v>
      </c>
      <c r="F14" s="325">
        <v>2594107</v>
      </c>
      <c r="G14" s="325">
        <v>4103000</v>
      </c>
      <c r="H14" s="325">
        <v>7488074</v>
      </c>
      <c r="I14" s="325">
        <v>10082559</v>
      </c>
      <c r="J14" s="325">
        <v>12009981</v>
      </c>
      <c r="K14" s="325">
        <v>14149239</v>
      </c>
      <c r="L14" s="325">
        <v>16520584</v>
      </c>
      <c r="M14" s="326">
        <v>18624013</v>
      </c>
      <c r="N14" s="327">
        <v>21041046</v>
      </c>
      <c r="O14" s="327">
        <v>20954677</v>
      </c>
      <c r="P14" s="327">
        <v>20253805</v>
      </c>
      <c r="Q14" s="327">
        <v>22209192</v>
      </c>
      <c r="R14" s="327">
        <v>23871219</v>
      </c>
      <c r="S14" s="327">
        <v>25660573</v>
      </c>
      <c r="T14" s="327">
        <v>29344977</v>
      </c>
      <c r="U14" s="327">
        <v>32336679</v>
      </c>
      <c r="V14" s="327">
        <v>35692973</v>
      </c>
      <c r="W14" s="327">
        <v>38724590</v>
      </c>
      <c r="X14" s="327">
        <v>36783967.960000001</v>
      </c>
      <c r="Y14" s="325">
        <v>34484862</v>
      </c>
      <c r="Z14" s="325">
        <v>33541332</v>
      </c>
    </row>
    <row r="15" spans="1:26" x14ac:dyDescent="0.25">
      <c r="D15" s="181" t="s">
        <v>451</v>
      </c>
      <c r="E15" s="319">
        <v>1.04</v>
      </c>
      <c r="F15" s="319">
        <v>0.75</v>
      </c>
      <c r="G15" s="319">
        <v>0.69</v>
      </c>
      <c r="H15" s="319">
        <v>0.76</v>
      </c>
      <c r="I15" s="319">
        <v>0.81</v>
      </c>
      <c r="J15" s="319">
        <v>0.87</v>
      </c>
      <c r="K15" s="319">
        <v>0.92</v>
      </c>
      <c r="L15" s="328">
        <v>0.9</v>
      </c>
      <c r="M15" s="329">
        <v>0.88</v>
      </c>
      <c r="N15" s="330">
        <v>0.89</v>
      </c>
      <c r="O15" s="330">
        <v>0.84</v>
      </c>
      <c r="P15" s="330">
        <v>0.74</v>
      </c>
      <c r="Q15" s="330">
        <v>0.73</v>
      </c>
      <c r="R15" s="330">
        <v>0.73</v>
      </c>
      <c r="S15" s="330">
        <v>0.72</v>
      </c>
      <c r="T15" s="330">
        <v>0.77</v>
      </c>
      <c r="U15" s="330">
        <v>0.8</v>
      </c>
      <c r="V15" s="330">
        <v>0.82</v>
      </c>
      <c r="W15" s="330">
        <v>0.76</v>
      </c>
      <c r="X15" s="330">
        <v>0.69</v>
      </c>
      <c r="Y15" s="319">
        <v>0.62</v>
      </c>
      <c r="Z15" s="319">
        <v>0.61</v>
      </c>
    </row>
    <row r="16" spans="1:26" x14ac:dyDescent="0.25">
      <c r="A16" s="4"/>
      <c r="D16" s="331" t="s">
        <v>752</v>
      </c>
      <c r="E16" s="332"/>
      <c r="F16" s="332"/>
      <c r="G16" s="332"/>
      <c r="H16" s="333">
        <v>26913</v>
      </c>
      <c r="I16" s="333">
        <v>30703</v>
      </c>
      <c r="J16" s="333">
        <v>37001</v>
      </c>
      <c r="K16" s="333">
        <v>39264</v>
      </c>
      <c r="L16" s="333">
        <v>39591</v>
      </c>
      <c r="M16" s="334">
        <v>40084</v>
      </c>
      <c r="N16" s="335">
        <v>39955</v>
      </c>
      <c r="O16" s="335">
        <v>40797</v>
      </c>
      <c r="P16" s="335">
        <v>37901</v>
      </c>
      <c r="Q16" s="335">
        <v>40653</v>
      </c>
      <c r="R16" s="335">
        <v>42828</v>
      </c>
      <c r="S16" s="335">
        <v>45935</v>
      </c>
      <c r="T16" s="335">
        <v>48479</v>
      </c>
      <c r="U16" s="335">
        <v>51877</v>
      </c>
      <c r="V16" s="335">
        <v>56761</v>
      </c>
      <c r="W16" s="335">
        <v>61840</v>
      </c>
      <c r="X16" s="335">
        <v>62166</v>
      </c>
      <c r="Y16" s="333">
        <v>62002</v>
      </c>
      <c r="Z16" s="333">
        <v>61406</v>
      </c>
    </row>
    <row r="17" spans="1:26" x14ac:dyDescent="0.25">
      <c r="A17" s="4"/>
      <c r="D17" s="4290" t="s">
        <v>753</v>
      </c>
      <c r="E17" s="4291"/>
      <c r="F17" s="4291"/>
      <c r="G17" s="4291"/>
      <c r="H17" s="4292">
        <v>14182</v>
      </c>
      <c r="I17" s="4292">
        <v>14129</v>
      </c>
      <c r="J17" s="4292">
        <v>17915</v>
      </c>
      <c r="K17" s="4292">
        <v>17303</v>
      </c>
      <c r="L17" s="4292">
        <v>18573.5</v>
      </c>
      <c r="M17" s="4293">
        <v>19320.3</v>
      </c>
      <c r="N17" s="4294">
        <v>19384.3</v>
      </c>
      <c r="O17" s="4294">
        <v>19793.099999999999</v>
      </c>
      <c r="P17" s="4294">
        <v>18719.599999999999</v>
      </c>
      <c r="Q17" s="4294">
        <v>20115.099999999999</v>
      </c>
      <c r="R17" s="4294">
        <v>21382.400000000001</v>
      </c>
      <c r="S17" s="4294">
        <v>23346</v>
      </c>
      <c r="T17" s="4294">
        <v>23571.9</v>
      </c>
      <c r="U17" s="4294">
        <v>26159</v>
      </c>
      <c r="V17" s="4294">
        <v>27656</v>
      </c>
      <c r="W17" s="4294">
        <v>29515</v>
      </c>
      <c r="X17" s="4294">
        <v>29110.83</v>
      </c>
      <c r="Y17" s="4295">
        <v>28358.6</v>
      </c>
      <c r="Z17" s="4295">
        <v>27697.599999999999</v>
      </c>
    </row>
    <row r="18" spans="1:26" x14ac:dyDescent="0.25">
      <c r="A18" s="4"/>
      <c r="D18" s="4296" t="s">
        <v>754</v>
      </c>
      <c r="E18" s="4297"/>
      <c r="F18" s="4297"/>
      <c r="G18" s="4297"/>
      <c r="H18" s="4297">
        <v>3.1</v>
      </c>
      <c r="I18" s="4297">
        <v>1.2</v>
      </c>
      <c r="J18" s="4297">
        <v>1.6</v>
      </c>
      <c r="K18" s="4297">
        <v>1.5</v>
      </c>
      <c r="L18" s="4297">
        <v>1.5</v>
      </c>
      <c r="M18" s="4298">
        <v>1.5</v>
      </c>
      <c r="N18" s="4299">
        <v>1.4</v>
      </c>
      <c r="O18" s="4299">
        <v>1.5</v>
      </c>
      <c r="P18" s="4299">
        <v>1.4</v>
      </c>
      <c r="Q18" s="4299">
        <v>1.5</v>
      </c>
      <c r="R18" s="4299">
        <v>1.5</v>
      </c>
      <c r="S18" s="4299">
        <v>1.6</v>
      </c>
      <c r="T18" s="4299">
        <v>1.5</v>
      </c>
      <c r="U18" s="4299">
        <v>1.7</v>
      </c>
      <c r="V18" s="4299">
        <v>1.7</v>
      </c>
      <c r="W18" s="4299">
        <v>1.8</v>
      </c>
      <c r="X18" s="4299">
        <v>1.8</v>
      </c>
      <c r="Y18" s="4297">
        <v>1.9</v>
      </c>
      <c r="Z18" s="4297">
        <v>1.8</v>
      </c>
    </row>
    <row r="19" spans="1:26" x14ac:dyDescent="0.25">
      <c r="A19" s="4"/>
      <c r="D19" s="88"/>
      <c r="E19" s="88"/>
      <c r="F19" s="88"/>
      <c r="G19" s="88"/>
      <c r="H19" s="88"/>
      <c r="I19" s="88"/>
      <c r="J19" s="88"/>
      <c r="K19" s="88"/>
      <c r="L19" s="336"/>
    </row>
    <row r="20" spans="1:26" x14ac:dyDescent="0.25">
      <c r="A20" s="69">
        <v>5</v>
      </c>
      <c r="B20" s="70" t="s">
        <v>51</v>
      </c>
    </row>
    <row r="22" spans="1:26" ht="14.25" customHeight="1" x14ac:dyDescent="0.25">
      <c r="A22" s="4"/>
      <c r="B22" s="70"/>
      <c r="C22" s="69"/>
      <c r="D22" s="337"/>
      <c r="E22" s="338"/>
      <c r="F22" s="339"/>
      <c r="G22" s="338"/>
      <c r="H22" s="339"/>
      <c r="I22" s="338"/>
      <c r="J22" s="339"/>
      <c r="K22" s="338"/>
      <c r="L22" s="339"/>
      <c r="M22" s="338"/>
      <c r="N22" s="339"/>
      <c r="O22" s="68"/>
      <c r="P22" s="68"/>
      <c r="Q22" s="68"/>
      <c r="R22" s="68"/>
      <c r="S22" s="68"/>
      <c r="X22" s="336"/>
      <c r="Y22" s="336"/>
      <c r="Z22" s="4300"/>
    </row>
    <row r="23" spans="1:26" ht="14.25" customHeight="1" x14ac:dyDescent="0.25">
      <c r="A23" s="4"/>
      <c r="B23" s="70"/>
      <c r="C23" s="69"/>
      <c r="D23" s="337"/>
      <c r="E23" s="338"/>
      <c r="F23" s="339"/>
      <c r="G23" s="338"/>
      <c r="H23" s="339"/>
      <c r="I23" s="338"/>
      <c r="J23" s="339"/>
      <c r="K23" s="338"/>
      <c r="L23" s="339"/>
      <c r="M23" s="338"/>
      <c r="N23" s="339"/>
      <c r="O23" s="68"/>
      <c r="P23" s="68"/>
      <c r="Q23" s="68"/>
      <c r="R23" s="68"/>
      <c r="S23" s="68"/>
      <c r="Y23" s="336"/>
    </row>
    <row r="24" spans="1:26" ht="14.25" customHeight="1" x14ac:dyDescent="0.25">
      <c r="A24" s="4"/>
      <c r="B24" s="70"/>
      <c r="C24" s="69"/>
      <c r="D24" s="337"/>
      <c r="E24" s="338"/>
      <c r="F24" s="339"/>
      <c r="G24" s="338"/>
      <c r="H24" s="339"/>
      <c r="I24" s="338"/>
      <c r="J24" s="339"/>
      <c r="K24" s="338"/>
      <c r="L24" s="339"/>
      <c r="M24" s="338"/>
      <c r="N24" s="339"/>
      <c r="O24" s="68"/>
      <c r="P24" s="68"/>
      <c r="Q24" s="68"/>
      <c r="R24" s="68"/>
      <c r="S24" s="68"/>
      <c r="Y24" s="336"/>
    </row>
    <row r="25" spans="1:26" ht="14.25" customHeight="1" x14ac:dyDescent="0.25">
      <c r="A25" s="4"/>
      <c r="B25" s="70"/>
      <c r="C25" s="69"/>
      <c r="D25" s="337"/>
      <c r="E25" s="338"/>
      <c r="F25" s="339"/>
      <c r="G25" s="338"/>
      <c r="H25" s="339"/>
      <c r="I25" s="338"/>
      <c r="J25" s="339"/>
      <c r="K25" s="338"/>
      <c r="L25" s="339"/>
      <c r="M25" s="338"/>
      <c r="N25" s="339"/>
      <c r="O25" s="68"/>
      <c r="P25" s="68"/>
      <c r="Q25" s="68"/>
      <c r="R25" s="68"/>
      <c r="S25" s="68"/>
    </row>
    <row r="26" spans="1:26" ht="14.25" customHeight="1" x14ac:dyDescent="0.25">
      <c r="A26" s="4"/>
      <c r="B26" s="70"/>
      <c r="C26" s="69"/>
      <c r="D26" s="337"/>
      <c r="E26" s="338"/>
      <c r="F26" s="339"/>
      <c r="G26" s="338"/>
      <c r="H26" s="339"/>
      <c r="I26" s="338"/>
      <c r="J26" s="339"/>
      <c r="K26" s="338"/>
      <c r="L26" s="339"/>
      <c r="M26" s="338"/>
      <c r="N26" s="339"/>
      <c r="O26" s="68"/>
      <c r="P26" s="68"/>
      <c r="Q26" s="68"/>
      <c r="R26" s="68"/>
      <c r="S26" s="68"/>
      <c r="Y26" s="336"/>
    </row>
    <row r="27" spans="1:26" ht="14.25" customHeight="1" x14ac:dyDescent="0.25">
      <c r="A27" s="4"/>
      <c r="B27" s="70"/>
      <c r="C27" s="69"/>
      <c r="D27" s="337"/>
      <c r="E27" s="338"/>
      <c r="F27" s="339"/>
      <c r="G27" s="338"/>
      <c r="H27" s="339"/>
      <c r="I27" s="338"/>
      <c r="J27" s="339"/>
      <c r="K27" s="338"/>
      <c r="L27" s="339"/>
      <c r="M27" s="338"/>
      <c r="N27" s="339"/>
      <c r="O27" s="68"/>
      <c r="P27" s="68"/>
      <c r="Q27" s="68"/>
      <c r="R27" s="68"/>
      <c r="S27" s="68"/>
    </row>
    <row r="28" spans="1:26" ht="14.25" customHeight="1" x14ac:dyDescent="0.25">
      <c r="A28" s="4"/>
      <c r="B28" s="70"/>
      <c r="C28" s="69"/>
      <c r="D28" s="337"/>
      <c r="E28" s="338"/>
      <c r="F28" s="339"/>
      <c r="G28" s="338"/>
      <c r="H28" s="339"/>
      <c r="I28" s="338"/>
      <c r="J28" s="339"/>
      <c r="K28" s="338"/>
      <c r="L28" s="339"/>
      <c r="M28" s="338"/>
      <c r="N28" s="339"/>
      <c r="O28" s="68"/>
      <c r="P28" s="68"/>
      <c r="Q28" s="68"/>
      <c r="R28" s="68"/>
      <c r="S28" s="68"/>
    </row>
    <row r="29" spans="1:26" ht="14.25" customHeight="1" x14ac:dyDescent="0.25">
      <c r="A29" s="4"/>
      <c r="B29" s="70"/>
      <c r="C29" s="69"/>
      <c r="D29" s="337"/>
      <c r="E29" s="338"/>
      <c r="F29" s="339"/>
      <c r="G29" s="338"/>
      <c r="H29" s="339"/>
      <c r="I29" s="338"/>
      <c r="J29" s="339"/>
      <c r="K29" s="338"/>
      <c r="L29" s="339"/>
      <c r="M29" s="338"/>
      <c r="N29" s="339"/>
      <c r="O29" s="68"/>
      <c r="P29" s="68"/>
      <c r="Q29" s="68"/>
      <c r="R29" s="68"/>
      <c r="S29" s="68"/>
    </row>
    <row r="30" spans="1:26" ht="14.25" customHeight="1" x14ac:dyDescent="0.25">
      <c r="A30" s="4"/>
      <c r="B30" s="70"/>
      <c r="C30" s="69"/>
      <c r="D30" s="337"/>
      <c r="E30" s="338"/>
      <c r="F30" s="339"/>
      <c r="G30" s="338"/>
      <c r="H30" s="339"/>
      <c r="I30" s="338"/>
      <c r="J30" s="339"/>
      <c r="K30" s="338"/>
      <c r="L30" s="339"/>
      <c r="M30" s="338"/>
      <c r="N30" s="339"/>
      <c r="O30" s="68"/>
      <c r="P30" s="68"/>
      <c r="Q30" s="68"/>
      <c r="R30" s="68"/>
      <c r="S30" s="68"/>
    </row>
    <row r="31" spans="1:26" ht="14.25" customHeight="1" x14ac:dyDescent="0.25">
      <c r="A31" s="4"/>
      <c r="B31" s="70"/>
      <c r="C31" s="69"/>
      <c r="D31" s="337"/>
      <c r="E31" s="338"/>
      <c r="F31" s="339"/>
      <c r="G31" s="338"/>
      <c r="H31" s="339"/>
      <c r="I31" s="338"/>
      <c r="J31" s="339"/>
      <c r="K31" s="338"/>
      <c r="L31" s="339"/>
      <c r="M31" s="338"/>
      <c r="N31" s="339"/>
      <c r="O31" s="68"/>
      <c r="P31" s="68"/>
      <c r="Q31" s="68"/>
      <c r="R31" s="68"/>
      <c r="S31" s="68"/>
    </row>
    <row r="32" spans="1:26" ht="14.25" customHeight="1" x14ac:dyDescent="0.25">
      <c r="A32" s="4"/>
      <c r="B32" s="70"/>
      <c r="C32" s="69"/>
      <c r="D32" s="337"/>
      <c r="E32" s="338"/>
      <c r="F32" s="339"/>
      <c r="G32" s="338"/>
      <c r="H32" s="339"/>
      <c r="I32" s="338"/>
      <c r="J32" s="339"/>
      <c r="K32" s="338"/>
      <c r="L32" s="339"/>
      <c r="M32" s="338"/>
      <c r="N32" s="339"/>
      <c r="O32" s="68"/>
      <c r="P32" s="68"/>
      <c r="Q32" s="68"/>
      <c r="R32" s="68"/>
      <c r="S32" s="68"/>
    </row>
    <row r="33" spans="1:30" ht="14.25" customHeight="1" x14ac:dyDescent="0.25">
      <c r="A33" s="4"/>
      <c r="B33" s="70"/>
      <c r="C33" s="69"/>
      <c r="D33" s="337"/>
      <c r="E33" s="338"/>
      <c r="F33" s="339"/>
      <c r="G33" s="338"/>
      <c r="H33" s="339"/>
      <c r="I33" s="338"/>
      <c r="J33" s="339"/>
      <c r="K33" s="338"/>
      <c r="L33" s="339"/>
      <c r="M33" s="338"/>
      <c r="N33" s="339"/>
      <c r="O33" s="68"/>
      <c r="P33" s="68"/>
      <c r="Q33" s="68"/>
      <c r="R33" s="68"/>
      <c r="S33" s="68"/>
    </row>
    <row r="34" spans="1:30" ht="14.25" customHeight="1" x14ac:dyDescent="0.25">
      <c r="A34" s="4"/>
      <c r="B34" s="70"/>
      <c r="C34" s="69"/>
      <c r="D34" s="337"/>
      <c r="E34" s="338"/>
      <c r="F34" s="339"/>
      <c r="G34" s="338"/>
      <c r="H34" s="339"/>
      <c r="I34" s="338"/>
      <c r="J34" s="339"/>
      <c r="K34" s="338"/>
      <c r="L34" s="339"/>
      <c r="M34" s="338"/>
      <c r="N34" s="339"/>
      <c r="O34" s="68"/>
      <c r="P34" s="68"/>
      <c r="Q34" s="68"/>
      <c r="R34" s="68"/>
      <c r="S34" s="68"/>
    </row>
    <row r="35" spans="1:30" ht="14.25" customHeight="1" x14ac:dyDescent="0.25">
      <c r="A35" s="4"/>
      <c r="B35" s="70"/>
      <c r="C35" s="69"/>
      <c r="D35" s="337"/>
      <c r="E35" s="338"/>
      <c r="F35" s="339"/>
      <c r="G35" s="338"/>
      <c r="H35" s="339"/>
      <c r="I35" s="338"/>
      <c r="J35" s="339"/>
      <c r="K35" s="338"/>
      <c r="L35" s="339"/>
      <c r="M35" s="338"/>
      <c r="N35" s="339"/>
      <c r="O35" s="68"/>
      <c r="P35" s="68"/>
      <c r="Q35" s="68"/>
      <c r="R35" s="68"/>
      <c r="S35" s="68"/>
      <c r="AD35" s="34"/>
    </row>
    <row r="36" spans="1:30" ht="14.25" customHeight="1" x14ac:dyDescent="0.25">
      <c r="A36" s="4"/>
      <c r="B36" s="70"/>
      <c r="C36" s="69"/>
      <c r="D36" s="337"/>
      <c r="E36" s="338"/>
      <c r="F36" s="339"/>
      <c r="G36" s="338"/>
      <c r="H36" s="339"/>
      <c r="I36" s="338"/>
      <c r="J36" s="339"/>
      <c r="K36" s="338"/>
      <c r="L36" s="339"/>
      <c r="M36" s="338"/>
      <c r="N36" s="339"/>
      <c r="O36" s="68"/>
      <c r="P36" s="68"/>
      <c r="Q36" s="68"/>
      <c r="R36" s="68"/>
      <c r="S36" s="68"/>
    </row>
    <row r="37" spans="1:30" ht="14.25" customHeight="1" x14ac:dyDescent="0.25">
      <c r="A37" s="4"/>
      <c r="B37" s="70"/>
      <c r="C37" s="69"/>
      <c r="D37" s="337"/>
      <c r="E37" s="338"/>
      <c r="F37" s="339"/>
      <c r="G37" s="338"/>
      <c r="H37" s="339"/>
      <c r="I37" s="338"/>
      <c r="J37" s="339"/>
      <c r="K37" s="338"/>
      <c r="L37" s="339"/>
      <c r="M37" s="338"/>
      <c r="N37" s="339"/>
      <c r="O37" s="68"/>
      <c r="P37" s="68"/>
      <c r="Q37" s="68"/>
      <c r="R37" s="68"/>
      <c r="S37" s="68"/>
    </row>
    <row r="38" spans="1:30" ht="14.25" customHeight="1" x14ac:dyDescent="0.25">
      <c r="A38" s="4"/>
      <c r="B38" s="70"/>
      <c r="C38" s="69"/>
      <c r="D38" s="337"/>
      <c r="E38" s="338"/>
      <c r="F38" s="339"/>
      <c r="G38" s="338"/>
      <c r="H38" s="339"/>
      <c r="I38" s="338"/>
      <c r="J38" s="339"/>
      <c r="K38" s="338"/>
      <c r="L38" s="339"/>
      <c r="M38" s="338"/>
      <c r="N38" s="339"/>
      <c r="O38" s="68"/>
      <c r="P38" s="68"/>
      <c r="Q38" s="68"/>
      <c r="R38" s="68"/>
      <c r="S38" s="68"/>
    </row>
    <row r="39" spans="1:30" ht="14.25" customHeight="1" x14ac:dyDescent="0.25">
      <c r="A39" s="4"/>
      <c r="B39" s="70"/>
      <c r="C39" s="69"/>
      <c r="D39" s="337"/>
      <c r="E39" s="338"/>
      <c r="F39" s="339"/>
      <c r="G39" s="338"/>
      <c r="H39" s="339"/>
      <c r="I39" s="338"/>
      <c r="J39" s="339"/>
      <c r="K39" s="338"/>
      <c r="L39" s="339"/>
      <c r="M39" s="338"/>
      <c r="N39" s="339"/>
      <c r="O39" s="68"/>
      <c r="P39" s="68"/>
      <c r="Q39" s="68"/>
      <c r="R39" s="68"/>
      <c r="S39" s="68"/>
    </row>
    <row r="40" spans="1:30" ht="14.25" customHeight="1" x14ac:dyDescent="0.25">
      <c r="A40" s="4"/>
      <c r="B40" s="70"/>
      <c r="C40" s="69"/>
      <c r="D40" s="337"/>
      <c r="E40" s="338"/>
      <c r="F40" s="339"/>
      <c r="G40" s="338"/>
      <c r="H40" s="339"/>
      <c r="I40" s="338"/>
      <c r="J40" s="339"/>
      <c r="K40" s="338"/>
      <c r="L40" s="339"/>
      <c r="M40" s="338"/>
      <c r="N40" s="339"/>
      <c r="O40" s="68"/>
      <c r="P40" s="68"/>
      <c r="Q40" s="68"/>
      <c r="R40" s="68"/>
      <c r="S40" s="68"/>
    </row>
    <row r="41" spans="1:30" ht="14.25" customHeight="1" x14ac:dyDescent="0.25">
      <c r="A41" s="4"/>
      <c r="B41" s="70"/>
      <c r="C41" s="69"/>
      <c r="D41" s="337"/>
      <c r="E41" s="338"/>
      <c r="F41" s="339"/>
      <c r="G41" s="338"/>
      <c r="H41" s="339"/>
      <c r="I41" s="338"/>
      <c r="J41" s="339"/>
      <c r="K41" s="338"/>
      <c r="L41" s="339"/>
      <c r="M41" s="338"/>
      <c r="N41" s="339"/>
      <c r="O41" s="68"/>
      <c r="P41" s="68"/>
      <c r="Q41" s="68"/>
      <c r="R41" s="68"/>
      <c r="S41" s="68"/>
    </row>
    <row r="42" spans="1:30" ht="14.25" customHeight="1" x14ac:dyDescent="0.25">
      <c r="A42" s="4"/>
      <c r="B42" s="70"/>
      <c r="C42" s="69"/>
      <c r="D42" s="337"/>
      <c r="E42" s="338"/>
      <c r="F42" s="339"/>
      <c r="G42" s="338"/>
      <c r="H42" s="339"/>
      <c r="I42" s="338"/>
      <c r="J42" s="339"/>
      <c r="K42" s="338"/>
      <c r="L42" s="339"/>
      <c r="M42" s="338"/>
      <c r="N42" s="339"/>
      <c r="O42" s="68"/>
      <c r="P42" s="68"/>
      <c r="Q42" s="68"/>
      <c r="R42" s="68"/>
      <c r="S42" s="68"/>
    </row>
    <row r="43" spans="1:30" ht="14.25" customHeight="1" x14ac:dyDescent="0.25">
      <c r="A43" s="4"/>
      <c r="B43" s="70"/>
      <c r="C43" s="69"/>
      <c r="D43" s="337"/>
      <c r="E43" s="338"/>
      <c r="F43" s="339"/>
      <c r="G43" s="338"/>
      <c r="H43" s="339"/>
      <c r="I43" s="338"/>
      <c r="J43" s="339"/>
      <c r="K43" s="338"/>
      <c r="L43" s="339"/>
      <c r="M43" s="338"/>
      <c r="N43" s="339"/>
      <c r="O43" s="68"/>
      <c r="P43" s="68"/>
      <c r="Q43" s="68"/>
      <c r="R43" s="68"/>
      <c r="S43" s="68"/>
    </row>
    <row r="44" spans="1:30" ht="14.25" customHeight="1" x14ac:dyDescent="0.25">
      <c r="A44" s="4"/>
      <c r="B44" s="70"/>
      <c r="C44" s="69"/>
      <c r="D44" s="337"/>
      <c r="E44" s="338"/>
      <c r="F44" s="339"/>
      <c r="G44" s="338"/>
      <c r="H44" s="339"/>
      <c r="I44" s="338"/>
      <c r="J44" s="339"/>
      <c r="K44" s="338"/>
      <c r="L44" s="339"/>
      <c r="M44" s="338"/>
      <c r="N44" s="339"/>
      <c r="O44" s="68"/>
      <c r="P44" s="68"/>
      <c r="Q44" s="68"/>
      <c r="R44" s="68"/>
      <c r="S44" s="68"/>
    </row>
    <row r="45" spans="1:30" ht="14.25" customHeight="1" x14ac:dyDescent="0.25">
      <c r="A45" s="4"/>
      <c r="B45" s="70"/>
      <c r="C45" s="69"/>
      <c r="D45" s="337"/>
      <c r="E45" s="338"/>
      <c r="F45" s="339"/>
      <c r="G45" s="338"/>
      <c r="H45" s="339"/>
      <c r="I45" s="338"/>
      <c r="J45" s="339"/>
      <c r="K45" s="338"/>
      <c r="L45" s="339"/>
      <c r="M45" s="338"/>
      <c r="N45" s="339"/>
      <c r="O45" s="68"/>
      <c r="P45" s="68"/>
      <c r="Q45" s="68"/>
      <c r="R45" s="68"/>
      <c r="S45" s="68"/>
    </row>
    <row r="46" spans="1:30" ht="14.25" customHeight="1" x14ac:dyDescent="0.25">
      <c r="A46" s="4"/>
      <c r="B46" s="70"/>
      <c r="C46" s="69"/>
      <c r="D46" s="340"/>
      <c r="E46" s="341"/>
      <c r="F46" s="342"/>
      <c r="G46" s="341"/>
      <c r="H46" s="343"/>
      <c r="I46" s="341"/>
      <c r="J46" s="343"/>
      <c r="K46" s="341"/>
      <c r="L46" s="343"/>
      <c r="M46" s="341"/>
      <c r="N46" s="343"/>
      <c r="O46" s="68"/>
      <c r="P46" s="68"/>
      <c r="Q46" s="68"/>
      <c r="R46" s="68"/>
      <c r="S46" s="68"/>
      <c r="T46" s="68"/>
      <c r="U46" s="68"/>
      <c r="V46" s="68"/>
    </row>
    <row r="47" spans="1:30" ht="14.25" customHeight="1" x14ac:dyDescent="0.25">
      <c r="A47" s="4"/>
      <c r="B47" s="70"/>
      <c r="C47" s="69"/>
      <c r="D47" s="340"/>
      <c r="E47" s="341"/>
      <c r="F47" s="342"/>
      <c r="G47" s="341"/>
      <c r="H47" s="343"/>
      <c r="I47" s="341"/>
      <c r="J47" s="343"/>
      <c r="K47" s="341"/>
      <c r="L47" s="343"/>
      <c r="M47" s="341"/>
      <c r="N47" s="343"/>
      <c r="O47" s="68"/>
      <c r="P47" s="68"/>
      <c r="Q47" s="68"/>
      <c r="R47" s="68"/>
      <c r="S47" s="68"/>
      <c r="T47" s="68"/>
      <c r="U47" s="68"/>
      <c r="V47" s="68"/>
    </row>
    <row r="48" spans="1:30" ht="54" customHeight="1" x14ac:dyDescent="0.25">
      <c r="A48" s="90">
        <v>5</v>
      </c>
      <c r="B48" s="91" t="s">
        <v>52</v>
      </c>
      <c r="C48" s="90"/>
      <c r="D48" s="4737" t="s">
        <v>755</v>
      </c>
      <c r="E48" s="4738"/>
      <c r="F48" s="4738"/>
      <c r="G48" s="4738"/>
      <c r="H48" s="4738"/>
      <c r="I48" s="4738"/>
      <c r="J48" s="4738"/>
      <c r="K48" s="4738"/>
      <c r="L48" s="4738"/>
      <c r="M48" s="4738"/>
      <c r="N48" s="4738"/>
      <c r="O48" s="4738"/>
      <c r="P48" s="4738"/>
      <c r="Q48" s="4738"/>
      <c r="R48" s="4738"/>
      <c r="S48" s="4738"/>
      <c r="T48" s="4739"/>
      <c r="U48" s="344"/>
      <c r="V48" s="344"/>
    </row>
    <row r="49" spans="1:27" ht="15.6" customHeight="1" x14ac:dyDescent="0.25">
      <c r="A49" s="90">
        <v>6</v>
      </c>
      <c r="B49" s="91" t="s">
        <v>756</v>
      </c>
      <c r="C49" s="90"/>
      <c r="D49" s="345" t="s">
        <v>757</v>
      </c>
      <c r="E49" s="4171"/>
      <c r="F49" s="4171"/>
      <c r="G49" s="4171"/>
      <c r="H49" s="4171"/>
      <c r="I49" s="4171"/>
      <c r="J49" s="4171"/>
      <c r="K49" s="4171"/>
      <c r="L49" s="4171"/>
      <c r="M49" s="4171"/>
      <c r="N49" s="4171"/>
      <c r="O49" s="4171"/>
      <c r="P49" s="4171"/>
      <c r="Q49" s="4171"/>
      <c r="R49" s="4171"/>
      <c r="S49" s="4171"/>
      <c r="T49" s="4172"/>
      <c r="U49" s="344"/>
      <c r="V49" s="344"/>
    </row>
    <row r="50" spans="1:27" ht="17.100000000000001" customHeight="1" x14ac:dyDescent="0.25">
      <c r="A50" s="69">
        <v>7</v>
      </c>
      <c r="B50" s="70" t="s">
        <v>56</v>
      </c>
      <c r="C50" s="69"/>
      <c r="D50" s="4737" t="s">
        <v>2188</v>
      </c>
      <c r="E50" s="4738"/>
      <c r="F50" s="4738"/>
      <c r="G50" s="4738"/>
      <c r="H50" s="4738"/>
      <c r="I50" s="4738"/>
      <c r="J50" s="4738"/>
      <c r="K50" s="4738"/>
      <c r="L50" s="4738"/>
      <c r="M50" s="4738"/>
      <c r="N50" s="4738"/>
      <c r="O50" s="4738"/>
      <c r="P50" s="4738"/>
      <c r="Q50" s="4738"/>
      <c r="R50" s="4738"/>
      <c r="S50" s="4738"/>
      <c r="T50" s="4739"/>
      <c r="U50" s="344"/>
      <c r="V50" s="344"/>
    </row>
    <row r="51" spans="1:27" ht="62.45" customHeight="1" x14ac:dyDescent="0.25">
      <c r="A51" s="346">
        <v>8</v>
      </c>
      <c r="B51" s="347" t="s">
        <v>355</v>
      </c>
      <c r="C51" s="69"/>
      <c r="D51" s="4737" t="s">
        <v>758</v>
      </c>
      <c r="E51" s="4738"/>
      <c r="F51" s="4738"/>
      <c r="G51" s="4738"/>
      <c r="H51" s="4738"/>
      <c r="I51" s="4738"/>
      <c r="J51" s="4738"/>
      <c r="K51" s="4738"/>
      <c r="L51" s="4738"/>
      <c r="M51" s="4738"/>
      <c r="N51" s="4738"/>
      <c r="O51" s="4738"/>
      <c r="P51" s="4738"/>
      <c r="Q51" s="4738"/>
      <c r="R51" s="4738"/>
      <c r="S51" s="4738"/>
      <c r="T51" s="4739"/>
      <c r="U51" s="344"/>
      <c r="V51" s="344"/>
    </row>
    <row r="52" spans="1:27" ht="30" customHeight="1" x14ac:dyDescent="0.25"/>
    <row r="59" spans="1:27" x14ac:dyDescent="0.25">
      <c r="E59" s="99"/>
      <c r="F59" s="314" t="s">
        <v>745</v>
      </c>
      <c r="G59" s="314" t="s">
        <v>394</v>
      </c>
      <c r="H59" s="314" t="s">
        <v>10</v>
      </c>
      <c r="I59" s="314" t="s">
        <v>14</v>
      </c>
      <c r="J59" s="315" t="s">
        <v>16</v>
      </c>
      <c r="K59" s="315" t="s">
        <v>17</v>
      </c>
      <c r="L59" s="315" t="s">
        <v>18</v>
      </c>
      <c r="M59" s="315" t="s">
        <v>19</v>
      </c>
      <c r="N59" s="316" t="s">
        <v>20</v>
      </c>
      <c r="O59" s="316" t="s">
        <v>21</v>
      </c>
      <c r="P59" s="317" t="s">
        <v>22</v>
      </c>
      <c r="Q59" s="317" t="s">
        <v>23</v>
      </c>
      <c r="R59" s="317" t="s">
        <v>24</v>
      </c>
      <c r="S59" s="317" t="s">
        <v>25</v>
      </c>
      <c r="T59" s="317" t="s">
        <v>26</v>
      </c>
      <c r="U59" s="317" t="s">
        <v>27</v>
      </c>
      <c r="V59" s="317" t="s">
        <v>28</v>
      </c>
      <c r="W59" s="318" t="s">
        <v>29</v>
      </c>
      <c r="X59" s="317" t="s">
        <v>30</v>
      </c>
      <c r="Y59" s="317" t="s">
        <v>31</v>
      </c>
      <c r="Z59" s="317" t="s">
        <v>32</v>
      </c>
      <c r="AA59" s="317" t="s">
        <v>33</v>
      </c>
    </row>
    <row r="60" spans="1:27" x14ac:dyDescent="0.25">
      <c r="E60" s="181" t="s">
        <v>451</v>
      </c>
      <c r="F60" s="319">
        <v>1.04</v>
      </c>
      <c r="G60" s="319">
        <v>0.75</v>
      </c>
      <c r="H60" s="319">
        <v>0.69</v>
      </c>
      <c r="I60" s="319">
        <v>0.76</v>
      </c>
      <c r="J60" s="319">
        <v>0.81</v>
      </c>
      <c r="K60" s="319">
        <v>0.87</v>
      </c>
      <c r="L60" s="319">
        <v>0.92</v>
      </c>
      <c r="M60" s="328">
        <v>0.9</v>
      </c>
      <c r="N60" s="329">
        <v>0.88</v>
      </c>
      <c r="O60" s="330">
        <v>0.89</v>
      </c>
      <c r="P60" s="330">
        <v>0.84</v>
      </c>
      <c r="Q60" s="330">
        <v>0.74</v>
      </c>
      <c r="R60" s="330">
        <v>0.73</v>
      </c>
      <c r="S60" s="330">
        <v>0.73</v>
      </c>
      <c r="T60" s="330">
        <v>0.72</v>
      </c>
      <c r="U60" s="330">
        <v>0.77</v>
      </c>
      <c r="V60" s="629">
        <v>0.8</v>
      </c>
      <c r="W60" s="328">
        <v>0.82</v>
      </c>
      <c r="X60" s="330">
        <v>0.76</v>
      </c>
      <c r="Y60" s="330">
        <v>0.69</v>
      </c>
      <c r="Z60" s="330">
        <v>0.62</v>
      </c>
      <c r="AA60" s="330">
        <v>0.61</v>
      </c>
    </row>
  </sheetData>
  <mergeCells count="6">
    <mergeCell ref="D51:T51"/>
    <mergeCell ref="D2:X2"/>
    <mergeCell ref="D3:X3"/>
    <mergeCell ref="D4:X4"/>
    <mergeCell ref="D48:T48"/>
    <mergeCell ref="D50:T50"/>
  </mergeCells>
  <pageMargins left="0.74803149606299202" right="0.74803149606299202" top="0.98425196850393704" bottom="0.98425196850393704" header="0.511811023622047" footer="0.511811023622047"/>
  <pageSetup paperSize="9" scale="53"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AA606-72F0-4F6E-84A4-1A21AA3F4A78}">
  <sheetPr>
    <tabColor rgb="FFFF0000"/>
    <pageSetUpPr fitToPage="1"/>
  </sheetPr>
  <dimension ref="A1:BK70"/>
  <sheetViews>
    <sheetView showGridLines="0" view="pageBreakPreview" topLeftCell="A13" zoomScale="110" zoomScaleNormal="100" zoomScaleSheetLayoutView="110" workbookViewId="0">
      <selection activeCell="A62" sqref="A62:XFD62"/>
    </sheetView>
  </sheetViews>
  <sheetFormatPr defaultColWidth="9.140625" defaultRowHeight="15" x14ac:dyDescent="0.25"/>
  <cols>
    <col min="1" max="1" width="3.85546875" style="352" customWidth="1"/>
    <col min="2" max="2" width="12.85546875" style="349" customWidth="1"/>
    <col min="3" max="3" width="16.85546875" style="350" customWidth="1"/>
    <col min="4" max="4" width="25.85546875" style="351" customWidth="1"/>
    <col min="5" max="6" width="9.85546875" style="351" customWidth="1"/>
    <col min="7" max="8" width="9.140625" style="351" customWidth="1"/>
    <col min="9" max="9" width="9" style="351" customWidth="1"/>
    <col min="10" max="10" width="9.140625" style="351" customWidth="1"/>
    <col min="11" max="11" width="8.5703125" style="351" customWidth="1"/>
    <col min="12" max="12" width="8.85546875" style="351" bestFit="1" customWidth="1"/>
    <col min="13" max="13" width="8.85546875" style="351" customWidth="1"/>
    <col min="14" max="14" width="9.140625" style="351" customWidth="1"/>
    <col min="15" max="15" width="9.85546875" style="351" customWidth="1"/>
    <col min="16" max="16" width="8.85546875" style="351" bestFit="1" customWidth="1"/>
    <col min="17" max="17" width="9.42578125" style="351" customWidth="1"/>
    <col min="18" max="18" width="8.85546875" style="351" bestFit="1" customWidth="1"/>
    <col min="19" max="19" width="8.42578125" style="351" customWidth="1"/>
    <col min="20" max="20" width="8.85546875" style="351" bestFit="1" customWidth="1"/>
    <col min="21" max="21" width="9.140625" style="351" customWidth="1"/>
    <col min="22" max="22" width="8.5703125" style="351" customWidth="1"/>
    <col min="23" max="25" width="8.85546875" style="351" bestFit="1" customWidth="1"/>
    <col min="26" max="26" width="11.140625" style="351" customWidth="1"/>
    <col min="27" max="27" width="9.85546875" style="351" bestFit="1" customWidth="1"/>
    <col min="28" max="28" width="9.42578125" style="351" customWidth="1"/>
    <col min="29" max="30" width="10" style="351" customWidth="1"/>
    <col min="31" max="31" width="9.85546875" style="351" bestFit="1" customWidth="1"/>
    <col min="32" max="32" width="9.85546875" style="351" customWidth="1"/>
    <col min="33" max="34" width="10" style="351" customWidth="1"/>
    <col min="35" max="35" width="9.85546875" style="351" bestFit="1" customWidth="1"/>
    <col min="36" max="36" width="9.85546875" style="351" customWidth="1"/>
    <col min="37" max="38" width="10" style="351" customWidth="1"/>
    <col min="39" max="39" width="9.85546875" style="351" bestFit="1" customWidth="1"/>
    <col min="40" max="40" width="9.85546875" style="351" customWidth="1"/>
    <col min="41" max="42" width="10" style="351" customWidth="1"/>
    <col min="43" max="43" width="9.85546875" style="351" bestFit="1" customWidth="1"/>
    <col min="44" max="44" width="9.85546875" style="351" customWidth="1"/>
    <col min="45" max="46" width="10" style="351" customWidth="1"/>
    <col min="47" max="47" width="9.85546875" style="351" bestFit="1" customWidth="1"/>
    <col min="48" max="48" width="9.85546875" style="351" customWidth="1"/>
    <col min="49" max="50" width="10" style="351" customWidth="1"/>
    <col min="51" max="51" width="9.85546875" style="351" bestFit="1" customWidth="1"/>
    <col min="52" max="52" width="10.85546875" style="351" customWidth="1"/>
    <col min="53" max="53" width="13.140625" style="351" customWidth="1"/>
    <col min="54" max="54" width="10" style="351" bestFit="1" customWidth="1"/>
    <col min="55" max="56" width="9.85546875" style="351" bestFit="1" customWidth="1"/>
    <col min="57" max="58" width="10" style="351" bestFit="1" customWidth="1"/>
    <col min="59" max="62" width="10.140625" style="351" bestFit="1" customWidth="1"/>
    <col min="63" max="63" width="9.140625" style="351" customWidth="1"/>
    <col min="64" max="16384" width="9.140625" style="351"/>
  </cols>
  <sheetData>
    <row r="1" spans="1:46" x14ac:dyDescent="0.25">
      <c r="A1" s="348"/>
    </row>
    <row r="2" spans="1:46" ht="12.75" customHeight="1" x14ac:dyDescent="0.25">
      <c r="A2" s="352">
        <v>1</v>
      </c>
      <c r="B2" s="353" t="s">
        <v>0</v>
      </c>
      <c r="C2" s="352">
        <v>25</v>
      </c>
      <c r="D2" s="4750" t="s">
        <v>759</v>
      </c>
      <c r="E2" s="4751"/>
      <c r="F2" s="4751"/>
      <c r="G2" s="4751"/>
      <c r="H2" s="4751"/>
      <c r="I2" s="4751"/>
      <c r="J2" s="4751"/>
      <c r="K2" s="4751"/>
      <c r="L2" s="4751"/>
      <c r="M2" s="4751"/>
      <c r="N2" s="4751"/>
      <c r="O2" s="4751"/>
      <c r="P2" s="4751"/>
      <c r="Q2" s="4751"/>
      <c r="R2" s="4751"/>
      <c r="S2" s="4751"/>
      <c r="T2" s="4751"/>
      <c r="U2" s="4751"/>
      <c r="V2" s="4751"/>
      <c r="W2" s="4752"/>
      <c r="X2" s="881"/>
    </row>
    <row r="3" spans="1:46" ht="12.75" customHeight="1" x14ac:dyDescent="0.25">
      <c r="A3" s="352">
        <v>2</v>
      </c>
      <c r="B3" s="353" t="s">
        <v>2</v>
      </c>
      <c r="C3" s="352"/>
      <c r="D3" s="4750" t="s">
        <v>490</v>
      </c>
      <c r="E3" s="4751"/>
      <c r="F3" s="4751"/>
      <c r="G3" s="4751"/>
      <c r="H3" s="4751"/>
      <c r="I3" s="4751"/>
      <c r="J3" s="4751"/>
      <c r="K3" s="4751"/>
      <c r="L3" s="4751"/>
      <c r="M3" s="4751"/>
      <c r="N3" s="4751"/>
      <c r="O3" s="4751"/>
      <c r="P3" s="4751"/>
      <c r="Q3" s="4751"/>
      <c r="R3" s="4751"/>
      <c r="S3" s="4751"/>
      <c r="T3" s="4751"/>
      <c r="U3" s="4751"/>
      <c r="V3" s="4751"/>
      <c r="W3" s="4752"/>
      <c r="X3" s="881"/>
    </row>
    <row r="4" spans="1:46" ht="12.75" customHeight="1" x14ac:dyDescent="0.25">
      <c r="A4" s="352">
        <v>3</v>
      </c>
      <c r="B4" s="353" t="s">
        <v>4</v>
      </c>
      <c r="C4" s="352"/>
      <c r="D4" s="4753" t="s">
        <v>2174</v>
      </c>
      <c r="E4" s="4754"/>
      <c r="F4" s="4754"/>
      <c r="G4" s="4754"/>
      <c r="H4" s="4754"/>
      <c r="I4" s="4754"/>
      <c r="J4" s="4754"/>
      <c r="K4" s="4754"/>
      <c r="L4" s="4754"/>
      <c r="M4" s="4754"/>
      <c r="N4" s="4754"/>
      <c r="O4" s="4754"/>
      <c r="P4" s="4754"/>
      <c r="Q4" s="4754"/>
      <c r="R4" s="4754"/>
      <c r="S4" s="4754"/>
      <c r="T4" s="4754"/>
      <c r="U4" s="4754"/>
      <c r="V4" s="4754"/>
      <c r="W4" s="4755"/>
      <c r="X4" s="881"/>
    </row>
    <row r="5" spans="1:46" ht="17.25" customHeight="1" x14ac:dyDescent="0.25">
      <c r="A5" s="3339"/>
      <c r="B5" s="3340"/>
      <c r="C5" s="3339"/>
    </row>
    <row r="6" spans="1:46" x14ac:dyDescent="0.25">
      <c r="A6" s="352">
        <v>4</v>
      </c>
      <c r="B6" s="353" t="s">
        <v>6</v>
      </c>
      <c r="D6" s="354" t="s">
        <v>80</v>
      </c>
      <c r="E6" s="355" t="s">
        <v>761</v>
      </c>
      <c r="F6" s="355"/>
      <c r="G6" s="355"/>
      <c r="H6" s="355"/>
      <c r="I6" s="355"/>
      <c r="J6" s="355"/>
      <c r="K6" s="356"/>
      <c r="L6" s="356"/>
      <c r="M6" s="356"/>
    </row>
    <row r="7" spans="1:46" s="363" customFormat="1" x14ac:dyDescent="0.25">
      <c r="A7" s="352"/>
      <c r="B7" s="357"/>
      <c r="C7" s="358"/>
      <c r="D7" s="359"/>
      <c r="E7" s="360">
        <v>2000</v>
      </c>
      <c r="F7" s="360">
        <v>2001</v>
      </c>
      <c r="G7" s="360">
        <v>2002</v>
      </c>
      <c r="H7" s="360">
        <v>2003</v>
      </c>
      <c r="I7" s="360">
        <v>2004</v>
      </c>
      <c r="J7" s="360">
        <v>2005</v>
      </c>
      <c r="K7" s="360">
        <v>2006</v>
      </c>
      <c r="L7" s="360">
        <v>2007</v>
      </c>
      <c r="M7" s="360">
        <v>2008</v>
      </c>
      <c r="N7" s="360">
        <v>2009</v>
      </c>
      <c r="O7" s="360">
        <v>2010</v>
      </c>
      <c r="P7" s="360">
        <v>2011</v>
      </c>
      <c r="Q7" s="360">
        <v>2012</v>
      </c>
      <c r="R7" s="360">
        <v>2013</v>
      </c>
      <c r="S7" s="360">
        <v>2014</v>
      </c>
      <c r="T7" s="360">
        <v>2015</v>
      </c>
      <c r="U7" s="361">
        <v>2016</v>
      </c>
      <c r="V7" s="361">
        <v>2017</v>
      </c>
      <c r="W7" s="361">
        <v>2018</v>
      </c>
      <c r="X7" s="361">
        <v>2019</v>
      </c>
      <c r="Y7" s="362">
        <v>2020</v>
      </c>
      <c r="Z7" s="361">
        <v>2021</v>
      </c>
    </row>
    <row r="8" spans="1:46" ht="11.85" customHeight="1" x14ac:dyDescent="0.25">
      <c r="D8" s="364" t="s">
        <v>762</v>
      </c>
      <c r="E8" s="365">
        <v>8339000</v>
      </c>
      <c r="F8" s="365">
        <v>10787000</v>
      </c>
      <c r="G8" s="365">
        <v>13702000</v>
      </c>
      <c r="H8" s="365">
        <v>16860000</v>
      </c>
      <c r="I8" s="365">
        <v>20839000</v>
      </c>
      <c r="J8" s="365">
        <v>33959958</v>
      </c>
      <c r="K8" s="365">
        <v>39662000</v>
      </c>
      <c r="L8" s="365">
        <v>42300000</v>
      </c>
      <c r="M8" s="365">
        <v>45000000</v>
      </c>
      <c r="N8" s="365">
        <v>46436000</v>
      </c>
      <c r="O8" s="365">
        <v>50372000</v>
      </c>
      <c r="P8" s="365">
        <v>64000000</v>
      </c>
      <c r="Q8" s="365">
        <v>68394000</v>
      </c>
      <c r="R8" s="365">
        <v>76865278</v>
      </c>
      <c r="S8" s="365">
        <v>79280731</v>
      </c>
      <c r="T8" s="365">
        <v>87999492</v>
      </c>
      <c r="U8" s="366">
        <v>82412880</v>
      </c>
      <c r="V8" s="366">
        <v>88497610</v>
      </c>
      <c r="W8" s="367">
        <v>92427958</v>
      </c>
      <c r="X8" s="367">
        <v>96972459</v>
      </c>
      <c r="Y8" s="368">
        <v>95959439</v>
      </c>
      <c r="Z8" s="368">
        <v>103167525</v>
      </c>
    </row>
    <row r="9" spans="1:46" ht="16.350000000000001" customHeight="1" x14ac:dyDescent="0.25">
      <c r="D9" s="364" t="s">
        <v>763</v>
      </c>
      <c r="E9" s="369">
        <v>18.5</v>
      </c>
      <c r="F9" s="369">
        <v>23.7</v>
      </c>
      <c r="G9" s="369">
        <v>29.7</v>
      </c>
      <c r="H9" s="369">
        <v>36.1</v>
      </c>
      <c r="I9" s="369">
        <v>44.1</v>
      </c>
      <c r="J9" s="369">
        <v>70.900000000000006</v>
      </c>
      <c r="K9" s="369">
        <v>81.8</v>
      </c>
      <c r="L9" s="369">
        <v>86.1</v>
      </c>
      <c r="M9" s="369">
        <v>90.4</v>
      </c>
      <c r="N9" s="369">
        <v>92</v>
      </c>
      <c r="O9" s="369">
        <v>98.4</v>
      </c>
      <c r="P9" s="369">
        <v>123.1</v>
      </c>
      <c r="Q9" s="369">
        <v>129.5</v>
      </c>
      <c r="R9" s="369">
        <v>143.19999999999999</v>
      </c>
      <c r="S9" s="369">
        <v>145.36368648737599</v>
      </c>
      <c r="T9" s="369">
        <v>158.9</v>
      </c>
      <c r="U9" s="29">
        <v>146.6</v>
      </c>
      <c r="V9" s="29">
        <v>155.23239566224399</v>
      </c>
      <c r="W9" s="29">
        <v>159.9</v>
      </c>
      <c r="X9" s="29">
        <v>165.6</v>
      </c>
      <c r="Y9" s="370">
        <v>161.80000000000001</v>
      </c>
      <c r="Z9" s="351">
        <v>1</v>
      </c>
    </row>
    <row r="10" spans="1:46" x14ac:dyDescent="0.25">
      <c r="D10" s="364" t="s">
        <v>764</v>
      </c>
      <c r="E10" s="365">
        <v>4961743</v>
      </c>
      <c r="F10" s="365">
        <v>4924458</v>
      </c>
      <c r="G10" s="365">
        <v>4917000</v>
      </c>
      <c r="H10" s="365">
        <v>4910000</v>
      </c>
      <c r="I10" s="365">
        <v>4903000</v>
      </c>
      <c r="J10" s="365">
        <v>4896000</v>
      </c>
      <c r="K10" s="365">
        <v>4889000</v>
      </c>
      <c r="L10" s="365">
        <v>4882000</v>
      </c>
      <c r="M10" s="365">
        <v>4875000</v>
      </c>
      <c r="N10" s="365">
        <v>4868000</v>
      </c>
      <c r="O10" s="365">
        <v>4861000</v>
      </c>
      <c r="P10" s="365">
        <v>4854000</v>
      </c>
      <c r="Q10" s="365">
        <v>4847000</v>
      </c>
      <c r="R10" s="365">
        <v>3875582</v>
      </c>
      <c r="S10" s="365">
        <v>3647770</v>
      </c>
      <c r="T10" s="365">
        <v>4131055</v>
      </c>
      <c r="U10" s="366">
        <v>4522850</v>
      </c>
      <c r="V10" s="366">
        <v>4810074</v>
      </c>
      <c r="W10" s="366">
        <v>3345440</v>
      </c>
      <c r="X10" s="366">
        <v>2024730</v>
      </c>
      <c r="Y10" s="371">
        <v>2098802</v>
      </c>
    </row>
    <row r="11" spans="1:46" s="375" customFormat="1" ht="13.5" x14ac:dyDescent="0.25">
      <c r="A11" s="372"/>
      <c r="B11" s="373"/>
      <c r="C11" s="374"/>
      <c r="D11" s="364" t="s">
        <v>765</v>
      </c>
      <c r="E11" s="369">
        <v>11</v>
      </c>
      <c r="F11" s="369">
        <v>10.8</v>
      </c>
      <c r="G11" s="369">
        <v>10.7</v>
      </c>
      <c r="H11" s="369">
        <v>10.5</v>
      </c>
      <c r="I11" s="369">
        <v>10.4</v>
      </c>
      <c r="J11" s="369">
        <v>10.199999999999999</v>
      </c>
      <c r="K11" s="369">
        <v>10.1</v>
      </c>
      <c r="L11" s="369">
        <v>9.9</v>
      </c>
      <c r="M11" s="369">
        <v>9.8000000000000007</v>
      </c>
      <c r="N11" s="369">
        <v>9.5505628338160093</v>
      </c>
      <c r="O11" s="369">
        <v>9.5</v>
      </c>
      <c r="P11" s="369">
        <v>9.2875496550978305</v>
      </c>
      <c r="Q11" s="369">
        <v>9.1999999999999993</v>
      </c>
      <c r="R11" s="369">
        <v>7.20805225531101</v>
      </c>
      <c r="S11" s="369">
        <v>6.6882997667876802</v>
      </c>
      <c r="T11" s="369">
        <v>7.4714477749407804</v>
      </c>
      <c r="U11" s="29">
        <v>8</v>
      </c>
      <c r="V11" s="29">
        <v>8.4372822083293997</v>
      </c>
      <c r="W11" s="29">
        <v>5.8</v>
      </c>
      <c r="X11" s="29">
        <v>3.5</v>
      </c>
      <c r="Y11" s="370">
        <v>3.54</v>
      </c>
    </row>
    <row r="12" spans="1:46" s="375" customFormat="1" ht="13.5" x14ac:dyDescent="0.25">
      <c r="A12" s="372"/>
      <c r="B12" s="373"/>
      <c r="C12" s="374"/>
      <c r="D12" s="364" t="s">
        <v>766</v>
      </c>
      <c r="E12" s="376"/>
      <c r="F12" s="376"/>
      <c r="G12" s="365">
        <v>2669</v>
      </c>
      <c r="H12" s="365">
        <v>20313</v>
      </c>
      <c r="I12" s="365">
        <v>60000</v>
      </c>
      <c r="J12" s="365">
        <v>165290</v>
      </c>
      <c r="K12" s="365">
        <v>335112</v>
      </c>
      <c r="L12" s="365">
        <v>378000</v>
      </c>
      <c r="M12" s="365">
        <v>426000</v>
      </c>
      <c r="N12" s="365">
        <v>481000</v>
      </c>
      <c r="O12" s="365">
        <v>743000</v>
      </c>
      <c r="P12" s="365">
        <v>907000</v>
      </c>
      <c r="Q12" s="365">
        <v>1107200</v>
      </c>
      <c r="R12" s="365">
        <v>1615210</v>
      </c>
      <c r="S12" s="365">
        <v>1706313</v>
      </c>
      <c r="T12" s="365">
        <v>1409347</v>
      </c>
      <c r="U12" s="366">
        <v>1150770</v>
      </c>
      <c r="V12" s="366">
        <v>1123189</v>
      </c>
      <c r="W12" s="366">
        <v>1107013</v>
      </c>
      <c r="X12" s="366">
        <v>1250356</v>
      </c>
      <c r="Y12" s="371">
        <v>1303057</v>
      </c>
    </row>
    <row r="13" spans="1:46" s="375" customFormat="1" ht="24" customHeight="1" x14ac:dyDescent="0.25">
      <c r="A13" s="372"/>
      <c r="B13" s="373"/>
      <c r="C13" s="374"/>
      <c r="D13" s="364" t="s">
        <v>767</v>
      </c>
      <c r="E13" s="376"/>
      <c r="F13" s="376"/>
      <c r="G13" s="369">
        <v>5.6755628402932103E-3</v>
      </c>
      <c r="H13" s="369">
        <v>4.2630729673008898E-2</v>
      </c>
      <c r="I13" s="369">
        <v>0.124359045705991</v>
      </c>
      <c r="J13" s="369">
        <v>0.338566194187018</v>
      </c>
      <c r="K13" s="369">
        <v>0.67885108396137095</v>
      </c>
      <c r="L13" s="369">
        <v>0.75770968096994695</v>
      </c>
      <c r="M13" s="369">
        <v>0.9</v>
      </c>
      <c r="N13" s="369">
        <v>1</v>
      </c>
      <c r="O13" s="369">
        <v>1.5</v>
      </c>
      <c r="P13" s="369">
        <v>1.7354362458124699</v>
      </c>
      <c r="Q13" s="369">
        <v>2.0891270428306701</v>
      </c>
      <c r="R13" s="369">
        <v>3.0040696038171499</v>
      </c>
      <c r="S13" s="369">
        <v>3.1285779640620901</v>
      </c>
      <c r="T13" s="369">
        <v>2.5489523880145502</v>
      </c>
      <c r="U13" s="29">
        <v>2</v>
      </c>
      <c r="V13" s="29">
        <v>1.9701698074273499</v>
      </c>
      <c r="W13" s="29">
        <v>1.9</v>
      </c>
      <c r="X13" s="29">
        <v>2.1</v>
      </c>
      <c r="Y13" s="370">
        <v>2.2000000000000002</v>
      </c>
    </row>
    <row r="14" spans="1:46" x14ac:dyDescent="0.25">
      <c r="D14" s="377" t="s">
        <v>768</v>
      </c>
      <c r="E14" s="378">
        <v>5.3485597320353699</v>
      </c>
      <c r="F14" s="378">
        <v>6.3466193183976802</v>
      </c>
      <c r="G14" s="378">
        <v>6.7103224370540397</v>
      </c>
      <c r="H14" s="378">
        <v>7.00769172611251</v>
      </c>
      <c r="I14" s="378">
        <v>8.4251186825405995</v>
      </c>
      <c r="J14" s="378">
        <v>7.4885425299292097</v>
      </c>
      <c r="K14" s="378">
        <v>7.6071396747738103</v>
      </c>
      <c r="L14" s="378">
        <v>8.0653751735550401</v>
      </c>
      <c r="M14" s="378">
        <v>8.43</v>
      </c>
      <c r="N14" s="378">
        <v>10</v>
      </c>
      <c r="O14" s="378">
        <v>24</v>
      </c>
      <c r="P14" s="378">
        <v>33.97</v>
      </c>
      <c r="Q14" s="378">
        <v>41</v>
      </c>
      <c r="R14" s="378">
        <v>46.5</v>
      </c>
      <c r="S14" s="378">
        <v>49</v>
      </c>
      <c r="T14" s="378">
        <v>51.919115722747001</v>
      </c>
      <c r="U14" s="379">
        <v>54</v>
      </c>
      <c r="V14" s="379">
        <v>56.167394467338298</v>
      </c>
      <c r="W14" s="380"/>
      <c r="X14" s="380"/>
      <c r="Y14" s="381"/>
      <c r="AT14" s="382"/>
    </row>
    <row r="15" spans="1:46" x14ac:dyDescent="0.25">
      <c r="D15" s="383"/>
      <c r="E15" s="383"/>
      <c r="F15" s="383"/>
      <c r="G15" s="383"/>
      <c r="H15" s="383"/>
      <c r="I15" s="383"/>
      <c r="J15" s="383"/>
      <c r="K15" s="383"/>
      <c r="L15" s="383"/>
      <c r="M15" s="383"/>
      <c r="N15" s="383"/>
      <c r="O15" s="383"/>
      <c r="P15" s="383"/>
      <c r="Q15" s="383"/>
      <c r="R15" s="383"/>
      <c r="AS15" s="382"/>
    </row>
    <row r="16" spans="1:46" x14ac:dyDescent="0.25">
      <c r="D16" s="383"/>
      <c r="E16" s="383"/>
      <c r="F16" s="383"/>
      <c r="G16" s="383"/>
      <c r="H16" s="383"/>
      <c r="I16" s="383"/>
      <c r="J16" s="383"/>
      <c r="K16" s="383"/>
      <c r="L16" s="383"/>
      <c r="M16" s="383"/>
      <c r="N16" s="383"/>
      <c r="O16" s="383"/>
      <c r="P16" s="383"/>
      <c r="Q16" s="383"/>
      <c r="R16" s="383"/>
      <c r="AS16" s="382"/>
    </row>
    <row r="17" spans="1:51" x14ac:dyDescent="0.25">
      <c r="D17" s="2812" t="s">
        <v>267</v>
      </c>
      <c r="E17" s="2813" t="s">
        <v>769</v>
      </c>
      <c r="F17" s="2814"/>
      <c r="G17" s="2815"/>
      <c r="H17" s="2816"/>
      <c r="I17" s="2816"/>
      <c r="J17" s="2816"/>
      <c r="K17" s="2816"/>
      <c r="L17" s="2816"/>
      <c r="M17" s="2816"/>
      <c r="N17" s="2816"/>
      <c r="O17" s="2816"/>
      <c r="P17" s="2816"/>
      <c r="Q17" s="2817"/>
      <c r="R17" s="2817"/>
      <c r="S17" s="2817"/>
      <c r="T17" s="2817"/>
      <c r="U17" s="2817"/>
      <c r="V17" s="2817"/>
      <c r="W17" s="2817"/>
      <c r="X17" s="2817"/>
      <c r="Y17" s="2817"/>
      <c r="AS17" s="382"/>
    </row>
    <row r="18" spans="1:51" s="363" customFormat="1" ht="14.45" customHeight="1" x14ac:dyDescent="0.25">
      <c r="A18" s="352"/>
      <c r="B18" s="357"/>
      <c r="C18" s="358"/>
      <c r="D18" s="2818"/>
      <c r="E18" s="2819"/>
      <c r="F18" s="2820"/>
      <c r="G18" s="2820">
        <v>2002</v>
      </c>
      <c r="H18" s="2820">
        <v>2003</v>
      </c>
      <c r="I18" s="2820">
        <v>2004</v>
      </c>
      <c r="J18" s="2820">
        <v>2005</v>
      </c>
      <c r="K18" s="2820">
        <v>2006</v>
      </c>
      <c r="L18" s="2820">
        <v>2007</v>
      </c>
      <c r="M18" s="2820">
        <v>2008</v>
      </c>
      <c r="N18" s="2820">
        <v>2009</v>
      </c>
      <c r="O18" s="2820">
        <v>2010</v>
      </c>
      <c r="P18" s="2820">
        <v>2011</v>
      </c>
      <c r="Q18" s="2820">
        <v>2012</v>
      </c>
      <c r="R18" s="2820">
        <v>2013</v>
      </c>
      <c r="S18" s="2820">
        <v>2014</v>
      </c>
      <c r="T18" s="2820">
        <v>2015</v>
      </c>
      <c r="U18" s="2820">
        <v>2016</v>
      </c>
      <c r="V18" s="2820">
        <v>2017</v>
      </c>
      <c r="W18" s="2821">
        <v>2018</v>
      </c>
      <c r="X18" s="2821"/>
      <c r="Y18" s="2822">
        <v>2019</v>
      </c>
      <c r="AY18" s="386"/>
    </row>
    <row r="19" spans="1:51" ht="14.45" customHeight="1" x14ac:dyDescent="0.25">
      <c r="D19" s="2823" t="s">
        <v>499</v>
      </c>
      <c r="E19" s="2824"/>
      <c r="F19" s="2825"/>
      <c r="G19" s="2825">
        <v>36</v>
      </c>
      <c r="H19" s="2825">
        <v>36</v>
      </c>
      <c r="I19" s="2825">
        <v>37</v>
      </c>
      <c r="J19" s="2825">
        <v>34</v>
      </c>
      <c r="K19" s="2825">
        <v>37</v>
      </c>
      <c r="L19" s="2825">
        <v>47</v>
      </c>
      <c r="M19" s="2825">
        <v>51</v>
      </c>
      <c r="N19" s="2825">
        <v>52</v>
      </c>
      <c r="O19" s="2825">
        <v>62</v>
      </c>
      <c r="P19" s="2825">
        <v>61</v>
      </c>
      <c r="Q19" s="2825">
        <v>72</v>
      </c>
      <c r="R19" s="2825">
        <v>70</v>
      </c>
      <c r="S19" s="2825">
        <v>70</v>
      </c>
      <c r="T19" s="2825">
        <v>75</v>
      </c>
      <c r="U19" s="2826">
        <v>65</v>
      </c>
      <c r="V19" s="2825"/>
      <c r="W19" s="2827"/>
      <c r="X19" s="2827"/>
      <c r="Y19" s="2828">
        <v>72</v>
      </c>
      <c r="AY19" s="382"/>
    </row>
    <row r="20" spans="1:51" x14ac:dyDescent="0.25">
      <c r="D20" s="2829"/>
      <c r="E20" s="2829"/>
      <c r="F20" s="2830"/>
      <c r="G20" s="2830"/>
      <c r="H20" s="2830"/>
      <c r="I20" s="2830"/>
      <c r="J20" s="2830"/>
      <c r="K20" s="2830"/>
      <c r="L20" s="2830"/>
      <c r="M20" s="2830"/>
      <c r="N20" s="2830"/>
      <c r="O20" s="2830"/>
      <c r="P20" s="2830"/>
      <c r="Q20" s="2830"/>
      <c r="R20" s="2816"/>
      <c r="S20" s="2816"/>
      <c r="T20" s="2816"/>
      <c r="U20" s="2816"/>
      <c r="V20" s="2816"/>
      <c r="W20" s="2817"/>
      <c r="X20" s="2817"/>
      <c r="Y20" s="2817"/>
      <c r="AW20" s="382"/>
    </row>
    <row r="21" spans="1:51" x14ac:dyDescent="0.25">
      <c r="D21" s="2812" t="s">
        <v>770</v>
      </c>
      <c r="E21" s="2812" t="s">
        <v>771</v>
      </c>
      <c r="F21" s="2830"/>
      <c r="G21" s="2830"/>
      <c r="H21" s="2830"/>
      <c r="I21" s="2830"/>
      <c r="J21" s="2830"/>
      <c r="K21" s="2830"/>
      <c r="L21" s="2830"/>
      <c r="M21" s="2830"/>
      <c r="N21" s="2830"/>
      <c r="O21" s="2830"/>
      <c r="P21" s="2830"/>
      <c r="Q21" s="2830"/>
      <c r="R21" s="2816"/>
      <c r="S21" s="2816"/>
      <c r="T21" s="2816"/>
      <c r="U21" s="2816"/>
      <c r="V21" s="2816"/>
      <c r="W21" s="2817"/>
      <c r="X21" s="2817"/>
      <c r="Y21" s="2817"/>
      <c r="AW21" s="382"/>
    </row>
    <row r="22" spans="1:51" x14ac:dyDescent="0.25">
      <c r="D22" s="2831"/>
      <c r="E22" s="2832"/>
      <c r="F22" s="2833">
        <v>2001</v>
      </c>
      <c r="G22" s="2833">
        <v>2002</v>
      </c>
      <c r="H22" s="2833">
        <v>2003</v>
      </c>
      <c r="I22" s="2833">
        <v>2004</v>
      </c>
      <c r="J22" s="2833">
        <v>2005</v>
      </c>
      <c r="K22" s="2833">
        <v>2006</v>
      </c>
      <c r="L22" s="2833">
        <v>2007</v>
      </c>
      <c r="M22" s="2833">
        <v>2008</v>
      </c>
      <c r="N22" s="2833">
        <v>2009</v>
      </c>
      <c r="O22" s="2833">
        <v>2010</v>
      </c>
      <c r="P22" s="2833">
        <v>2011</v>
      </c>
      <c r="Q22" s="2833">
        <v>2012</v>
      </c>
      <c r="R22" s="2833">
        <v>2013</v>
      </c>
      <c r="S22" s="2833">
        <v>2014</v>
      </c>
      <c r="T22" s="2833">
        <v>2015</v>
      </c>
      <c r="U22" s="2834">
        <v>2016</v>
      </c>
      <c r="V22" s="2834">
        <v>2017</v>
      </c>
      <c r="W22" s="2835">
        <v>2018</v>
      </c>
      <c r="X22" s="2836"/>
      <c r="Y22" s="2817"/>
      <c r="AX22" s="382"/>
    </row>
    <row r="23" spans="1:51" x14ac:dyDescent="0.25">
      <c r="D23" s="2837" t="s">
        <v>772</v>
      </c>
      <c r="E23" s="2838"/>
      <c r="F23" s="2839">
        <v>0.31900000000000001</v>
      </c>
      <c r="G23" s="2840"/>
      <c r="H23" s="2840"/>
      <c r="I23" s="2840"/>
      <c r="J23" s="2840"/>
      <c r="K23" s="2840"/>
      <c r="L23" s="2841">
        <v>0.72699999999999998</v>
      </c>
      <c r="M23" s="2842"/>
      <c r="N23" s="2830"/>
      <c r="O23" s="2830"/>
      <c r="P23" s="2841">
        <v>0.88900000000000001</v>
      </c>
      <c r="Q23" s="2841"/>
      <c r="R23" s="2841"/>
      <c r="S23" s="2841"/>
      <c r="T23" s="2841"/>
      <c r="U23" s="2841"/>
      <c r="V23" s="2841"/>
      <c r="W23" s="2843"/>
      <c r="X23" s="2816"/>
      <c r="Y23" s="2817"/>
      <c r="AX23" s="382"/>
    </row>
    <row r="24" spans="1:51" x14ac:dyDescent="0.25">
      <c r="D24" s="2837" t="s">
        <v>773</v>
      </c>
      <c r="E24" s="2838"/>
      <c r="F24" s="2839">
        <v>0.72150000000000003</v>
      </c>
      <c r="G24" s="2840"/>
      <c r="H24" s="2840"/>
      <c r="I24" s="2840"/>
      <c r="J24" s="2840"/>
      <c r="K24" s="2840"/>
      <c r="L24" s="2841">
        <v>0.76500000000000001</v>
      </c>
      <c r="M24" s="2842"/>
      <c r="N24" s="2830"/>
      <c r="O24" s="2830"/>
      <c r="P24" s="2841">
        <v>0.67500000000000004</v>
      </c>
      <c r="Q24" s="2841"/>
      <c r="R24" s="2841"/>
      <c r="S24" s="2841"/>
      <c r="T24" s="2841"/>
      <c r="U24" s="2841"/>
      <c r="V24" s="2841"/>
      <c r="W24" s="2843"/>
      <c r="X24" s="2816"/>
      <c r="Y24" s="2817"/>
      <c r="AX24" s="382"/>
    </row>
    <row r="25" spans="1:51" x14ac:dyDescent="0.25">
      <c r="D25" s="2837" t="s">
        <v>774</v>
      </c>
      <c r="E25" s="2838"/>
      <c r="F25" s="2839">
        <v>8.5000000000000006E-2</v>
      </c>
      <c r="G25" s="2840"/>
      <c r="H25" s="2840"/>
      <c r="I25" s="2840"/>
      <c r="J25" s="2840"/>
      <c r="K25" s="2840"/>
      <c r="L25" s="2841">
        <v>0.156</v>
      </c>
      <c r="M25" s="2842"/>
      <c r="N25" s="2830"/>
      <c r="O25" s="2830"/>
      <c r="P25" s="2841">
        <v>0.2145</v>
      </c>
      <c r="Q25" s="2841"/>
      <c r="R25" s="2841"/>
      <c r="S25" s="2841"/>
      <c r="T25" s="2841"/>
      <c r="U25" s="2841"/>
      <c r="V25" s="2841"/>
      <c r="W25" s="2843"/>
      <c r="X25" s="2816"/>
      <c r="Y25" s="2817"/>
      <c r="AX25" s="382"/>
    </row>
    <row r="26" spans="1:51" x14ac:dyDescent="0.25">
      <c r="D26" s="2837" t="s">
        <v>775</v>
      </c>
      <c r="E26" s="2844"/>
      <c r="F26" s="2839">
        <v>0.52600000000000002</v>
      </c>
      <c r="G26" s="2840"/>
      <c r="H26" s="2840"/>
      <c r="I26" s="2840"/>
      <c r="J26" s="2840"/>
      <c r="K26" s="2840"/>
      <c r="L26" s="2841">
        <v>0.65500000000000003</v>
      </c>
      <c r="M26" s="2842"/>
      <c r="N26" s="2830"/>
      <c r="O26" s="2830"/>
      <c r="P26" s="2841">
        <v>0.745</v>
      </c>
      <c r="Q26" s="2841"/>
      <c r="R26" s="2841"/>
      <c r="S26" s="2841"/>
      <c r="T26" s="2841"/>
      <c r="U26" s="2841"/>
      <c r="V26" s="2841"/>
      <c r="W26" s="2843"/>
      <c r="X26" s="2816"/>
      <c r="Y26" s="2817"/>
      <c r="AX26" s="382"/>
    </row>
    <row r="27" spans="1:51" x14ac:dyDescent="0.25">
      <c r="D27" s="2845" t="s">
        <v>776</v>
      </c>
      <c r="E27" s="2846"/>
      <c r="F27" s="2847">
        <v>23.95</v>
      </c>
      <c r="G27" s="2848"/>
      <c r="H27" s="2848"/>
      <c r="I27" s="2848"/>
      <c r="J27" s="2848"/>
      <c r="K27" s="2848"/>
      <c r="L27" s="2849">
        <v>0.155</v>
      </c>
      <c r="M27" s="2850"/>
      <c r="N27" s="2825"/>
      <c r="O27" s="2825"/>
      <c r="P27" s="2849">
        <v>0.14499999999999999</v>
      </c>
      <c r="Q27" s="2849"/>
      <c r="R27" s="2849"/>
      <c r="S27" s="2849"/>
      <c r="T27" s="2849"/>
      <c r="U27" s="2849"/>
      <c r="V27" s="2849"/>
      <c r="W27" s="2851"/>
      <c r="X27" s="2816"/>
      <c r="Y27" s="2817"/>
      <c r="AX27" s="382"/>
    </row>
    <row r="28" spans="1:51" x14ac:dyDescent="0.25">
      <c r="D28" s="2852"/>
      <c r="E28" s="2844"/>
      <c r="F28" s="2853"/>
      <c r="G28" s="2840"/>
      <c r="H28" s="2840"/>
      <c r="I28" s="2840"/>
      <c r="J28" s="2840"/>
      <c r="K28" s="2840"/>
      <c r="L28" s="2841"/>
      <c r="M28" s="2842"/>
      <c r="N28" s="2830"/>
      <c r="O28" s="2830"/>
      <c r="P28" s="2841"/>
      <c r="Q28" s="2841"/>
      <c r="R28" s="2841"/>
      <c r="S28" s="2841"/>
      <c r="T28" s="2841"/>
      <c r="U28" s="2841"/>
      <c r="V28" s="2841"/>
      <c r="W28" s="2816"/>
      <c r="X28" s="2816"/>
      <c r="Y28" s="2817"/>
      <c r="AX28" s="382"/>
    </row>
    <row r="29" spans="1:51" x14ac:dyDescent="0.25">
      <c r="D29" s="2812" t="s">
        <v>777</v>
      </c>
      <c r="E29" s="2812" t="s">
        <v>778</v>
      </c>
      <c r="F29" s="2853"/>
      <c r="G29" s="2840"/>
      <c r="H29" s="2840"/>
      <c r="I29" s="2840"/>
      <c r="J29" s="2840"/>
      <c r="K29" s="2840"/>
      <c r="L29" s="2841"/>
      <c r="M29" s="2842"/>
      <c r="N29" s="2830"/>
      <c r="O29" s="2830"/>
      <c r="P29" s="2841"/>
      <c r="Q29" s="2841"/>
      <c r="R29" s="2841"/>
      <c r="S29" s="2841"/>
      <c r="T29" s="2816"/>
      <c r="U29" s="2816"/>
      <c r="V29" s="2816"/>
      <c r="W29" s="2841"/>
      <c r="X29" s="2841"/>
      <c r="Y29" s="2817"/>
      <c r="AW29" s="382"/>
    </row>
    <row r="30" spans="1:51" x14ac:dyDescent="0.25">
      <c r="D30" s="2831" t="s">
        <v>772</v>
      </c>
      <c r="E30" s="2854"/>
      <c r="F30" s="2855"/>
      <c r="G30" s="2856">
        <v>0.35688851200000005</v>
      </c>
      <c r="H30" s="2857">
        <v>0.412909256</v>
      </c>
      <c r="I30" s="2857">
        <v>0.50041365300000007</v>
      </c>
      <c r="J30" s="2857">
        <v>0.61948103399999999</v>
      </c>
      <c r="K30" s="2857">
        <v>0.68213298100000008</v>
      </c>
      <c r="L30" s="2858">
        <v>0.73932118099999999</v>
      </c>
      <c r="M30" s="2859">
        <v>0.77777310399999999</v>
      </c>
      <c r="N30" s="2860">
        <v>0.83576974900000001</v>
      </c>
      <c r="O30" s="2860">
        <v>0.86883918100000002</v>
      </c>
      <c r="P30" s="2861">
        <v>0.89684816299999992</v>
      </c>
      <c r="Q30" s="2862">
        <v>0.92921465600000008</v>
      </c>
      <c r="R30" s="2863">
        <v>0.9475415479999999</v>
      </c>
      <c r="S30" s="2864">
        <v>0.95637434499999996</v>
      </c>
      <c r="T30" s="2863">
        <v>0.96350349199999996</v>
      </c>
      <c r="U30" s="2864">
        <v>0.87</v>
      </c>
      <c r="V30" s="2864">
        <v>0.88200000000000001</v>
      </c>
      <c r="W30" s="2865">
        <v>0.89500000000000002</v>
      </c>
      <c r="X30" s="2866"/>
      <c r="Y30" s="2817"/>
      <c r="AX30" s="382"/>
    </row>
    <row r="31" spans="1:51" x14ac:dyDescent="0.25">
      <c r="D31" s="2837" t="s">
        <v>773</v>
      </c>
      <c r="E31" s="2838"/>
      <c r="F31" s="2839"/>
      <c r="G31" s="2866">
        <v>0.79702511499999995</v>
      </c>
      <c r="H31" s="2866">
        <v>0.80849722299999993</v>
      </c>
      <c r="I31" s="2866">
        <v>0.80900786899999999</v>
      </c>
      <c r="J31" s="2866">
        <v>0.78925426900000006</v>
      </c>
      <c r="K31" s="2866">
        <v>0.78628499500000004</v>
      </c>
      <c r="L31" s="2866">
        <v>0.79513746100000005</v>
      </c>
      <c r="M31" s="2866">
        <v>0.77531083699999992</v>
      </c>
      <c r="N31" s="2830"/>
      <c r="O31" s="2866">
        <v>0.77116662300000005</v>
      </c>
      <c r="P31" s="2866">
        <v>0.76174881699999997</v>
      </c>
      <c r="Q31" s="2841"/>
      <c r="R31" s="2867">
        <v>0.84781977999999991</v>
      </c>
      <c r="S31" s="2817"/>
      <c r="T31" s="2867">
        <v>0.17426503900000001</v>
      </c>
      <c r="U31" s="2866"/>
      <c r="V31" s="2866"/>
      <c r="W31" s="2843"/>
      <c r="X31" s="2816"/>
      <c r="Y31" s="2817"/>
      <c r="AX31" s="382"/>
    </row>
    <row r="32" spans="1:51" x14ac:dyDescent="0.25">
      <c r="D32" s="2837" t="s">
        <v>774</v>
      </c>
      <c r="E32" s="2838"/>
      <c r="F32" s="2839"/>
      <c r="G32" s="2840"/>
      <c r="H32" s="2840"/>
      <c r="I32" s="2840"/>
      <c r="J32" s="2840"/>
      <c r="K32" s="2840"/>
      <c r="L32" s="2868">
        <v>0.15600550699999999</v>
      </c>
      <c r="M32" s="2842"/>
      <c r="N32" s="2830"/>
      <c r="O32" s="2830"/>
      <c r="P32" s="2841"/>
      <c r="Q32" s="2841">
        <v>0.19221838999999999</v>
      </c>
      <c r="R32" s="2841">
        <v>0.19141688099999998</v>
      </c>
      <c r="S32" s="2841">
        <v>0.20771941999999999</v>
      </c>
      <c r="T32" s="2841">
        <v>0.20126053499999999</v>
      </c>
      <c r="U32" s="2841">
        <v>0.214</v>
      </c>
      <c r="V32" s="2841">
        <v>0.22</v>
      </c>
      <c r="W32" s="2869">
        <v>0.215</v>
      </c>
      <c r="X32" s="2841"/>
      <c r="Y32" s="2817"/>
      <c r="AX32" s="382"/>
    </row>
    <row r="33" spans="1:63" x14ac:dyDescent="0.25">
      <c r="D33" s="2837" t="s">
        <v>775</v>
      </c>
      <c r="E33" s="2844"/>
      <c r="F33" s="2839"/>
      <c r="G33" s="2870">
        <v>0.57567518100000004</v>
      </c>
      <c r="H33" s="2870">
        <v>0.59254396100000006</v>
      </c>
      <c r="I33" s="2871">
        <v>0.59925978000000002</v>
      </c>
      <c r="J33" s="2871">
        <v>0.60641471400000002</v>
      </c>
      <c r="K33" s="2871">
        <v>0.64851322700000003</v>
      </c>
      <c r="L33" s="2841">
        <v>0.66745162699999994</v>
      </c>
      <c r="M33" s="2872">
        <v>0.69533075600000005</v>
      </c>
      <c r="N33" s="2830"/>
      <c r="O33" s="2873">
        <v>0.75521570800000004</v>
      </c>
      <c r="P33" s="2841">
        <v>0.77721346000000002</v>
      </c>
      <c r="Q33" s="2867">
        <v>0.77721346000000002</v>
      </c>
      <c r="R33" s="2870">
        <v>0.79229503600000006</v>
      </c>
      <c r="S33" s="2870">
        <v>0.80932900099999994</v>
      </c>
      <c r="T33" s="2870">
        <v>0.80382913200000006</v>
      </c>
      <c r="U33" s="2866">
        <v>0.81499999999999995</v>
      </c>
      <c r="V33" s="2866">
        <v>0.82</v>
      </c>
      <c r="W33" s="2874">
        <v>0.82199999999999995</v>
      </c>
      <c r="X33" s="2866"/>
      <c r="Y33" s="2817"/>
      <c r="AX33" s="382"/>
    </row>
    <row r="34" spans="1:63" x14ac:dyDescent="0.25">
      <c r="D34" s="2845" t="s">
        <v>776</v>
      </c>
      <c r="E34" s="2846"/>
      <c r="F34" s="2847"/>
      <c r="G34" s="2875">
        <v>0.25679812499999999</v>
      </c>
      <c r="H34" s="2875">
        <v>0.23536975800000001</v>
      </c>
      <c r="I34" s="2875">
        <v>0.22703006100000001</v>
      </c>
      <c r="J34" s="2875">
        <v>0.21212214899999998</v>
      </c>
      <c r="K34" s="2875">
        <v>0.19598807900000001</v>
      </c>
      <c r="L34" s="2875">
        <v>0.181165305</v>
      </c>
      <c r="M34" s="2875">
        <v>0.178794335</v>
      </c>
      <c r="N34" s="2875">
        <v>0.16526255200000001</v>
      </c>
      <c r="O34" s="2875">
        <v>0.16333753099999998</v>
      </c>
      <c r="P34" s="2849">
        <v>0.15137735699999999</v>
      </c>
      <c r="Q34" s="2849">
        <v>0.14106903300000001</v>
      </c>
      <c r="R34" s="2849">
        <v>0.12986304000000001</v>
      </c>
      <c r="S34" s="2849">
        <v>0.12703294800000001</v>
      </c>
      <c r="T34" s="2849">
        <v>0.10944050399999999</v>
      </c>
      <c r="U34" s="2849">
        <v>1E-3</v>
      </c>
      <c r="V34" s="2849">
        <v>1E-3</v>
      </c>
      <c r="W34" s="2876">
        <v>1E-3</v>
      </c>
      <c r="X34" s="2841"/>
      <c r="Y34" s="2817"/>
      <c r="AC34" s="390"/>
      <c r="AX34" s="382"/>
    </row>
    <row r="35" spans="1:63" x14ac:dyDescent="0.25">
      <c r="D35" s="387"/>
      <c r="E35" s="387"/>
      <c r="F35" s="388"/>
      <c r="G35" s="388"/>
      <c r="H35" s="388"/>
      <c r="I35" s="388"/>
      <c r="J35" s="388"/>
      <c r="K35" s="388"/>
      <c r="L35" s="388"/>
      <c r="M35" s="388"/>
      <c r="N35" s="388"/>
      <c r="O35" s="388"/>
      <c r="P35" s="388"/>
      <c r="Q35" s="389"/>
      <c r="R35" s="384"/>
      <c r="S35" s="384"/>
      <c r="T35" s="384"/>
      <c r="U35" s="384"/>
      <c r="V35" s="384"/>
      <c r="AW35" s="382"/>
    </row>
    <row r="36" spans="1:63" x14ac:dyDescent="0.25">
      <c r="D36" s="387"/>
      <c r="E36" s="387"/>
      <c r="F36" s="387"/>
      <c r="G36" s="384"/>
      <c r="H36" s="384"/>
      <c r="I36" s="384"/>
      <c r="J36" s="384"/>
      <c r="K36" s="384"/>
      <c r="L36" s="384"/>
      <c r="M36" s="384"/>
      <c r="N36" s="384"/>
      <c r="O36" s="384"/>
      <c r="P36" s="385"/>
      <c r="AS36" s="382"/>
    </row>
    <row r="37" spans="1:63" x14ac:dyDescent="0.25">
      <c r="A37" s="352">
        <v>5</v>
      </c>
      <c r="B37" s="353" t="s">
        <v>52</v>
      </c>
      <c r="C37" s="352"/>
      <c r="D37" s="4750" t="s">
        <v>779</v>
      </c>
      <c r="E37" s="4751"/>
      <c r="F37" s="4751"/>
      <c r="G37" s="4751"/>
      <c r="H37" s="4751"/>
      <c r="I37" s="4751"/>
      <c r="J37" s="4751"/>
      <c r="K37" s="4751"/>
      <c r="L37" s="4751"/>
      <c r="M37" s="4751"/>
      <c r="N37" s="4751"/>
      <c r="O37" s="4751"/>
      <c r="P37" s="4751"/>
      <c r="Q37" s="4751"/>
      <c r="R37" s="4751"/>
      <c r="S37" s="4751"/>
      <c r="T37" s="4751"/>
      <c r="U37" s="4751"/>
      <c r="V37" s="4751"/>
      <c r="W37" s="4752"/>
      <c r="X37" s="881"/>
      <c r="AS37" s="382"/>
    </row>
    <row r="38" spans="1:63" ht="81" customHeight="1" x14ac:dyDescent="0.25">
      <c r="A38" s="391">
        <v>6</v>
      </c>
      <c r="B38" s="392" t="s">
        <v>54</v>
      </c>
      <c r="C38" s="391"/>
      <c r="D38" s="4744" t="s">
        <v>780</v>
      </c>
      <c r="E38" s="4745"/>
      <c r="F38" s="4745"/>
      <c r="G38" s="4745"/>
      <c r="H38" s="4745"/>
      <c r="I38" s="4745"/>
      <c r="J38" s="4745"/>
      <c r="K38" s="4745"/>
      <c r="L38" s="4745"/>
      <c r="M38" s="4745"/>
      <c r="N38" s="4745"/>
      <c r="O38" s="4745"/>
      <c r="P38" s="4745"/>
      <c r="Q38" s="4745"/>
      <c r="R38" s="4745"/>
      <c r="S38" s="4745"/>
      <c r="T38" s="4745"/>
      <c r="U38" s="4745"/>
      <c r="V38" s="4745"/>
      <c r="W38" s="4746"/>
      <c r="X38" s="884"/>
      <c r="AS38" s="382"/>
    </row>
    <row r="39" spans="1:63" ht="42.6" customHeight="1" x14ac:dyDescent="0.25">
      <c r="A39" s="352">
        <v>7</v>
      </c>
      <c r="B39" s="353" t="s">
        <v>56</v>
      </c>
      <c r="C39" s="352"/>
      <c r="D39" s="4744" t="s">
        <v>781</v>
      </c>
      <c r="E39" s="4745"/>
      <c r="F39" s="4745"/>
      <c r="G39" s="4745"/>
      <c r="H39" s="4745"/>
      <c r="I39" s="4745"/>
      <c r="J39" s="4745"/>
      <c r="K39" s="4745"/>
      <c r="L39" s="4745"/>
      <c r="M39" s="4745"/>
      <c r="N39" s="4745"/>
      <c r="O39" s="4745"/>
      <c r="P39" s="4745"/>
      <c r="Q39" s="4745"/>
      <c r="R39" s="4745"/>
      <c r="S39" s="4745"/>
      <c r="T39" s="4745"/>
      <c r="U39" s="4745"/>
      <c r="V39" s="4745"/>
      <c r="W39" s="4746"/>
      <c r="X39" s="884"/>
      <c r="AS39" s="382"/>
    </row>
    <row r="40" spans="1:63" ht="51" customHeight="1" x14ac:dyDescent="0.25">
      <c r="A40" s="352">
        <v>8</v>
      </c>
      <c r="B40" s="353" t="s">
        <v>355</v>
      </c>
      <c r="C40" s="352"/>
      <c r="D40" s="4744" t="s">
        <v>782</v>
      </c>
      <c r="E40" s="4745"/>
      <c r="F40" s="4745"/>
      <c r="G40" s="4745"/>
      <c r="H40" s="4745"/>
      <c r="I40" s="4745"/>
      <c r="J40" s="4745"/>
      <c r="K40" s="4745"/>
      <c r="L40" s="4745"/>
      <c r="M40" s="4745"/>
      <c r="N40" s="4745"/>
      <c r="O40" s="4745"/>
      <c r="P40" s="4745"/>
      <c r="Q40" s="4745"/>
      <c r="R40" s="4745"/>
      <c r="S40" s="4745"/>
      <c r="T40" s="4745"/>
      <c r="U40" s="4745"/>
      <c r="V40" s="4745"/>
      <c r="W40" s="4746"/>
      <c r="X40" s="884"/>
      <c r="AS40" s="382"/>
    </row>
    <row r="41" spans="1:63" x14ac:dyDescent="0.25">
      <c r="Q41" s="351" t="s">
        <v>351</v>
      </c>
    </row>
    <row r="46" spans="1:63" x14ac:dyDescent="0.25">
      <c r="BF46" s="393"/>
      <c r="BG46" s="393"/>
      <c r="BH46" s="393"/>
      <c r="BI46" s="393"/>
      <c r="BJ46" s="393"/>
      <c r="BK46" s="393"/>
    </row>
    <row r="47" spans="1:63" x14ac:dyDescent="0.25">
      <c r="BF47" s="394"/>
      <c r="BG47" s="394"/>
      <c r="BH47" s="394"/>
      <c r="BI47" s="394"/>
      <c r="BJ47" s="394"/>
      <c r="BK47" s="394"/>
    </row>
    <row r="50" spans="2:30" x14ac:dyDescent="0.25">
      <c r="B50" s="353"/>
      <c r="C50" s="352"/>
      <c r="H50" s="356"/>
      <c r="I50" s="356"/>
      <c r="J50" s="356"/>
      <c r="K50" s="356"/>
      <c r="L50" s="356"/>
      <c r="M50" s="356"/>
      <c r="N50" s="356"/>
      <c r="O50" s="356"/>
    </row>
    <row r="51" spans="2:30" x14ac:dyDescent="0.25">
      <c r="B51" s="353"/>
      <c r="C51" s="352"/>
      <c r="H51" s="356"/>
      <c r="I51" s="356"/>
      <c r="J51" s="356"/>
      <c r="K51" s="356"/>
      <c r="L51" s="356"/>
      <c r="M51" s="356"/>
      <c r="N51" s="356"/>
      <c r="O51" s="356"/>
    </row>
    <row r="52" spans="2:30" x14ac:dyDescent="0.25">
      <c r="B52" s="353"/>
      <c r="C52" s="352"/>
      <c r="H52" s="356"/>
      <c r="I52" s="356"/>
      <c r="J52" s="356"/>
      <c r="K52" s="356"/>
      <c r="L52" s="395"/>
      <c r="M52" s="356"/>
      <c r="N52" s="356"/>
      <c r="O52" s="356"/>
    </row>
    <row r="53" spans="2:30" x14ac:dyDescent="0.25">
      <c r="B53" s="353"/>
      <c r="C53" s="352"/>
      <c r="H53" s="356"/>
      <c r="I53" s="356"/>
      <c r="J53" s="356"/>
      <c r="K53" s="356"/>
      <c r="L53" s="395"/>
      <c r="M53" s="356"/>
      <c r="N53" s="356"/>
      <c r="O53" s="356"/>
    </row>
    <row r="54" spans="2:30" x14ac:dyDescent="0.25">
      <c r="B54" s="353"/>
      <c r="C54" s="352"/>
      <c r="H54" s="356"/>
      <c r="I54" s="356"/>
      <c r="J54" s="356"/>
      <c r="K54" s="356"/>
      <c r="L54" s="356"/>
      <c r="M54" s="356"/>
      <c r="N54" s="356"/>
      <c r="O54" s="356"/>
    </row>
    <row r="55" spans="2:30" x14ac:dyDescent="0.25">
      <c r="B55" s="353"/>
      <c r="C55" s="352"/>
      <c r="H55" s="356"/>
      <c r="I55" s="356"/>
      <c r="J55" s="356"/>
      <c r="K55" s="356"/>
      <c r="L55" s="356"/>
      <c r="M55" s="356"/>
      <c r="N55" s="356"/>
      <c r="O55" s="356"/>
    </row>
    <row r="56" spans="2:30" x14ac:dyDescent="0.25">
      <c r="B56" s="353"/>
      <c r="C56" s="352"/>
      <c r="H56" s="356"/>
      <c r="I56" s="356"/>
      <c r="J56" s="356"/>
      <c r="K56" s="356"/>
      <c r="L56" s="356"/>
      <c r="M56" s="356"/>
      <c r="N56" s="356"/>
      <c r="O56" s="356"/>
    </row>
    <row r="57" spans="2:30" x14ac:dyDescent="0.25">
      <c r="B57" s="353"/>
      <c r="C57" s="352"/>
      <c r="H57" s="356"/>
      <c r="I57" s="356"/>
      <c r="J57" s="356"/>
      <c r="K57" s="356"/>
      <c r="L57" s="356"/>
      <c r="M57" s="356"/>
      <c r="N57" s="356"/>
      <c r="O57" s="356"/>
    </row>
    <row r="58" spans="2:30" x14ac:dyDescent="0.25">
      <c r="B58" s="353"/>
      <c r="C58" s="871"/>
      <c r="D58" s="872">
        <v>2000</v>
      </c>
      <c r="E58" s="872">
        <v>2001</v>
      </c>
      <c r="F58" s="872">
        <v>2002</v>
      </c>
      <c r="G58" s="872">
        <v>2003</v>
      </c>
      <c r="H58" s="872">
        <v>2004</v>
      </c>
      <c r="I58" s="872">
        <v>2005</v>
      </c>
      <c r="J58" s="872">
        <v>2006</v>
      </c>
      <c r="K58" s="872">
        <v>2007</v>
      </c>
      <c r="L58" s="872">
        <v>2008</v>
      </c>
      <c r="M58" s="872">
        <v>2009</v>
      </c>
      <c r="N58" s="872">
        <v>2010</v>
      </c>
      <c r="O58" s="872">
        <v>2011</v>
      </c>
      <c r="P58" s="872">
        <v>2012</v>
      </c>
      <c r="Q58" s="872">
        <v>2013</v>
      </c>
      <c r="R58" s="872">
        <v>2014</v>
      </c>
      <c r="S58" s="872">
        <v>2015</v>
      </c>
      <c r="T58" s="873">
        <v>2016</v>
      </c>
      <c r="U58" s="873">
        <v>2017</v>
      </c>
      <c r="V58" s="873">
        <v>2018</v>
      </c>
      <c r="W58" s="873">
        <v>2019</v>
      </c>
      <c r="X58" s="354"/>
    </row>
    <row r="59" spans="2:30" ht="44.45" customHeight="1" x14ac:dyDescent="0.25">
      <c r="B59" s="376"/>
      <c r="C59" s="874" t="s">
        <v>767</v>
      </c>
      <c r="D59" s="875"/>
      <c r="E59" s="875"/>
      <c r="F59" s="876">
        <v>5.6755628402932103E-3</v>
      </c>
      <c r="G59" s="876">
        <v>4.2630729673008898E-2</v>
      </c>
      <c r="H59" s="876">
        <v>0.124359045705991</v>
      </c>
      <c r="I59" s="876">
        <v>0.338566194187018</v>
      </c>
      <c r="J59" s="876">
        <v>0.67885108396137095</v>
      </c>
      <c r="K59" s="876">
        <v>0.75770968096994695</v>
      </c>
      <c r="L59" s="876">
        <v>0.9</v>
      </c>
      <c r="M59" s="876">
        <v>1</v>
      </c>
      <c r="N59" s="876">
        <v>1.5</v>
      </c>
      <c r="O59" s="876">
        <v>1.7354362458124699</v>
      </c>
      <c r="P59" s="876">
        <v>2.0891270428306701</v>
      </c>
      <c r="Q59" s="876">
        <v>3.0040696038171499</v>
      </c>
      <c r="R59" s="876">
        <v>3.1285779640620901</v>
      </c>
      <c r="S59" s="876">
        <v>2.5489523880145502</v>
      </c>
      <c r="T59" s="877">
        <v>2</v>
      </c>
      <c r="U59" s="877">
        <v>1.9701698074273499</v>
      </c>
      <c r="V59" s="877">
        <v>1.9</v>
      </c>
      <c r="W59" s="877">
        <v>2.1</v>
      </c>
      <c r="X59" s="29"/>
    </row>
    <row r="60" spans="2:30" x14ac:dyDescent="0.25">
      <c r="B60" s="353"/>
      <c r="C60" s="352"/>
      <c r="AD60" s="351" t="s">
        <v>358</v>
      </c>
    </row>
    <row r="61" spans="2:30" x14ac:dyDescent="0.25">
      <c r="B61" s="353"/>
      <c r="C61" s="871"/>
      <c r="D61" s="872">
        <v>2000</v>
      </c>
      <c r="E61" s="872">
        <v>2001</v>
      </c>
      <c r="F61" s="872">
        <v>2002</v>
      </c>
      <c r="G61" s="872">
        <v>2003</v>
      </c>
      <c r="H61" s="872">
        <v>2004</v>
      </c>
      <c r="I61" s="872">
        <v>2005</v>
      </c>
      <c r="J61" s="872">
        <v>2006</v>
      </c>
      <c r="K61" s="872">
        <v>2007</v>
      </c>
      <c r="L61" s="872">
        <v>2008</v>
      </c>
      <c r="M61" s="872">
        <v>2009</v>
      </c>
      <c r="N61" s="872">
        <v>2010</v>
      </c>
      <c r="O61" s="872">
        <v>2011</v>
      </c>
      <c r="P61" s="872">
        <v>2012</v>
      </c>
      <c r="Q61" s="872">
        <v>2013</v>
      </c>
      <c r="R61" s="872">
        <v>2014</v>
      </c>
      <c r="S61" s="872">
        <v>2015</v>
      </c>
      <c r="T61" s="873">
        <v>2016</v>
      </c>
      <c r="U61" s="873">
        <v>2017</v>
      </c>
      <c r="V61" s="873">
        <v>2018</v>
      </c>
      <c r="W61" s="873">
        <v>2019</v>
      </c>
      <c r="X61" s="354"/>
    </row>
    <row r="62" spans="2:30" ht="38.25" x14ac:dyDescent="0.25">
      <c r="B62" s="353"/>
      <c r="C62" s="874" t="s">
        <v>763</v>
      </c>
      <c r="D62" s="876">
        <v>18.5</v>
      </c>
      <c r="E62" s="876">
        <v>23.7</v>
      </c>
      <c r="F62" s="876">
        <v>29.7</v>
      </c>
      <c r="G62" s="876">
        <v>36.1</v>
      </c>
      <c r="H62" s="876">
        <v>44.1</v>
      </c>
      <c r="I62" s="876">
        <v>70.900000000000006</v>
      </c>
      <c r="J62" s="876">
        <v>81.8</v>
      </c>
      <c r="K62" s="876">
        <v>86.1</v>
      </c>
      <c r="L62" s="876">
        <v>90.4</v>
      </c>
      <c r="M62" s="876">
        <v>92</v>
      </c>
      <c r="N62" s="876">
        <v>98.4</v>
      </c>
      <c r="O62" s="876">
        <v>123.1</v>
      </c>
      <c r="P62" s="876">
        <v>129.5</v>
      </c>
      <c r="Q62" s="876">
        <v>143.19999999999999</v>
      </c>
      <c r="R62" s="876">
        <v>145.36368648737599</v>
      </c>
      <c r="S62" s="876">
        <v>158.9</v>
      </c>
      <c r="T62" s="877">
        <v>146.6</v>
      </c>
      <c r="U62" s="877">
        <v>155.23239566224399</v>
      </c>
      <c r="V62" s="877">
        <v>159.9</v>
      </c>
      <c r="W62" s="877">
        <v>165.6</v>
      </c>
      <c r="X62" s="29"/>
    </row>
    <row r="63" spans="2:30" x14ac:dyDescent="0.25">
      <c r="B63" s="353"/>
      <c r="C63" s="364"/>
      <c r="D63" s="369"/>
      <c r="E63" s="369"/>
      <c r="F63" s="369"/>
      <c r="G63" s="369"/>
      <c r="H63" s="369"/>
      <c r="I63" s="369"/>
      <c r="J63" s="369"/>
      <c r="K63" s="369"/>
      <c r="L63" s="369"/>
      <c r="M63" s="369"/>
      <c r="N63" s="369"/>
      <c r="O63" s="369"/>
      <c r="P63" s="369"/>
      <c r="Q63" s="369"/>
      <c r="R63" s="29"/>
      <c r="S63" s="29"/>
      <c r="T63" s="29"/>
      <c r="U63" s="370"/>
    </row>
    <row r="64" spans="2:30" x14ac:dyDescent="0.25">
      <c r="B64" s="353"/>
      <c r="C64" s="352"/>
    </row>
    <row r="65" spans="2:32" x14ac:dyDescent="0.25">
      <c r="B65" s="353"/>
      <c r="C65" s="352"/>
    </row>
    <row r="66" spans="2:32" x14ac:dyDescent="0.25">
      <c r="B66" s="353"/>
      <c r="C66" s="352"/>
    </row>
    <row r="67" spans="2:32" x14ac:dyDescent="0.25">
      <c r="B67" s="353"/>
      <c r="C67" s="352"/>
    </row>
    <row r="68" spans="2:32" x14ac:dyDescent="0.25">
      <c r="B68" s="353"/>
      <c r="C68" s="352"/>
      <c r="D68" s="396"/>
      <c r="E68" s="396"/>
      <c r="F68" s="396"/>
      <c r="G68" s="4747"/>
      <c r="H68" s="4748"/>
      <c r="I68" s="4748"/>
      <c r="J68" s="4748"/>
      <c r="K68" s="4748"/>
      <c r="L68" s="4748"/>
      <c r="M68" s="4748"/>
      <c r="N68" s="4748"/>
      <c r="O68" s="4748"/>
      <c r="P68" s="4748"/>
      <c r="Q68" s="4748"/>
      <c r="R68" s="4748"/>
      <c r="S68" s="4748"/>
      <c r="T68" s="4748"/>
      <c r="U68" s="4748"/>
      <c r="V68" s="4748"/>
      <c r="W68" s="4748"/>
      <c r="X68" s="4748"/>
      <c r="Y68" s="4748"/>
      <c r="Z68" s="4748"/>
      <c r="AA68" s="4748"/>
      <c r="AB68" s="4748"/>
      <c r="AC68" s="4748"/>
      <c r="AD68" s="4748"/>
      <c r="AE68" s="4748"/>
      <c r="AF68" s="4749"/>
    </row>
    <row r="69" spans="2:32" x14ac:dyDescent="0.25">
      <c r="B69" s="397"/>
      <c r="C69" s="398"/>
      <c r="D69" s="399"/>
      <c r="E69" s="399"/>
      <c r="F69" s="399"/>
      <c r="G69" s="4747"/>
      <c r="H69" s="4748"/>
      <c r="I69" s="4748"/>
      <c r="J69" s="4748"/>
      <c r="K69" s="4748"/>
      <c r="L69" s="4748"/>
      <c r="M69" s="4748"/>
      <c r="N69" s="4748"/>
      <c r="O69" s="4748"/>
      <c r="P69" s="4748"/>
      <c r="Q69" s="4748"/>
      <c r="R69" s="4748"/>
      <c r="S69" s="4748"/>
      <c r="T69" s="4748"/>
      <c r="U69" s="4748"/>
      <c r="V69" s="4748"/>
      <c r="W69" s="4748"/>
      <c r="X69" s="3690"/>
      <c r="Y69" s="3691"/>
      <c r="Z69" s="3691"/>
      <c r="AA69" s="3691"/>
      <c r="AB69" s="3691"/>
      <c r="AC69" s="3691"/>
      <c r="AD69" s="3691"/>
      <c r="AE69" s="3691"/>
      <c r="AF69" s="3692"/>
    </row>
    <row r="70" spans="2:32" x14ac:dyDescent="0.25">
      <c r="B70" s="400"/>
      <c r="C70" s="401"/>
      <c r="D70" s="396"/>
      <c r="E70" s="396"/>
      <c r="F70" s="396"/>
      <c r="G70" s="4747"/>
      <c r="H70" s="4748"/>
      <c r="I70" s="4748"/>
      <c r="J70" s="4748"/>
      <c r="K70" s="4748"/>
      <c r="L70" s="4748"/>
      <c r="M70" s="4748"/>
      <c r="N70" s="4748"/>
      <c r="O70" s="4748"/>
      <c r="P70" s="4748"/>
      <c r="Q70" s="4748"/>
      <c r="R70" s="4748"/>
      <c r="S70" s="4748"/>
      <c r="T70" s="4748"/>
      <c r="U70" s="4748"/>
      <c r="V70" s="4748"/>
      <c r="W70" s="4748"/>
      <c r="X70" s="3690"/>
      <c r="Y70" s="3691"/>
      <c r="Z70" s="3691"/>
      <c r="AA70" s="3691"/>
      <c r="AB70" s="3691"/>
      <c r="AC70" s="3691"/>
      <c r="AD70" s="3691"/>
      <c r="AE70" s="3691"/>
      <c r="AF70" s="3692"/>
    </row>
  </sheetData>
  <mergeCells count="10">
    <mergeCell ref="D40:W40"/>
    <mergeCell ref="G68:AF68"/>
    <mergeCell ref="G69:W69"/>
    <mergeCell ref="G70:W70"/>
    <mergeCell ref="D2:W2"/>
    <mergeCell ref="D3:W3"/>
    <mergeCell ref="D4:W4"/>
    <mergeCell ref="D37:W37"/>
    <mergeCell ref="D38:W38"/>
    <mergeCell ref="D39:W39"/>
  </mergeCells>
  <pageMargins left="0.74803149606299202" right="0.74803149606299202" top="0.98425196850393704" bottom="0.98425196850393704" header="0.511811023622047" footer="0.511811023622047"/>
  <pageSetup paperSize="9" scale="30"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A3A24-4CE3-4D88-A927-D3694D3BA7B8}">
  <sheetPr>
    <tabColor rgb="FF00FFFF"/>
    <pageSetUpPr fitToPage="1"/>
  </sheetPr>
  <dimension ref="A1:AR61"/>
  <sheetViews>
    <sheetView showGridLines="0" view="pageBreakPreview" topLeftCell="D1" zoomScaleNormal="100" zoomScaleSheetLayoutView="100" workbookViewId="0">
      <selection activeCell="AB66" sqref="AB66"/>
    </sheetView>
  </sheetViews>
  <sheetFormatPr defaultColWidth="9.140625" defaultRowHeight="15" x14ac:dyDescent="0.25"/>
  <cols>
    <col min="1" max="1" width="3.85546875" style="69" customWidth="1"/>
    <col min="2" max="2" width="13.42578125" style="66" customWidth="1"/>
    <col min="3" max="3" width="3.85546875" style="67" customWidth="1"/>
    <col min="4" max="4" width="22" style="4" customWidth="1"/>
    <col min="5" max="5" width="10.5703125" style="4" customWidth="1"/>
    <col min="6" max="6" width="10.42578125" style="4" customWidth="1"/>
    <col min="7" max="7" width="10.140625" style="4" bestFit="1" customWidth="1"/>
    <col min="8" max="8" width="10.5703125" style="4" customWidth="1"/>
    <col min="9" max="18" width="8.85546875" style="4" customWidth="1"/>
    <col min="19" max="19" width="8.42578125" style="4" customWidth="1"/>
    <col min="20" max="20" width="8.5703125" style="4" customWidth="1"/>
    <col min="21" max="16384" width="9.140625" style="4"/>
  </cols>
  <sheetData>
    <row r="1" spans="1:29" x14ac:dyDescent="0.25">
      <c r="D1" s="68"/>
      <c r="E1" s="68"/>
      <c r="F1" s="68"/>
      <c r="G1" s="68"/>
      <c r="H1" s="68"/>
      <c r="I1" s="68"/>
      <c r="J1" s="68"/>
      <c r="K1" s="68"/>
      <c r="L1" s="68"/>
      <c r="M1" s="68"/>
      <c r="N1" s="68"/>
      <c r="O1" s="68"/>
      <c r="P1" s="68"/>
      <c r="Q1" s="68"/>
    </row>
    <row r="2" spans="1:29" ht="12.75" customHeight="1" x14ac:dyDescent="0.25">
      <c r="A2" s="69">
        <v>1</v>
      </c>
      <c r="B2" s="70" t="s">
        <v>0</v>
      </c>
      <c r="C2" s="69">
        <v>28</v>
      </c>
      <c r="D2" s="4740" t="s">
        <v>783</v>
      </c>
      <c r="E2" s="4741"/>
      <c r="F2" s="4741"/>
      <c r="G2" s="4741"/>
      <c r="H2" s="4741"/>
      <c r="I2" s="4741"/>
      <c r="J2" s="4741"/>
      <c r="K2" s="4741"/>
      <c r="L2" s="4741"/>
      <c r="M2" s="4741"/>
      <c r="N2" s="4741"/>
      <c r="O2" s="4741"/>
      <c r="P2" s="4741"/>
      <c r="Q2" s="4741"/>
      <c r="R2" s="4741"/>
      <c r="S2" s="4741"/>
      <c r="T2" s="4741"/>
      <c r="U2" s="4741"/>
      <c r="V2" s="4741"/>
      <c r="W2" s="4741"/>
      <c r="X2" s="4741"/>
      <c r="Y2" s="4741"/>
      <c r="Z2" s="4756"/>
      <c r="AA2" s="241"/>
    </row>
    <row r="3" spans="1:29" x14ac:dyDescent="0.25">
      <c r="A3" s="69">
        <v>2</v>
      </c>
      <c r="B3" s="70" t="s">
        <v>2</v>
      </c>
      <c r="C3" s="69"/>
      <c r="D3" s="4740" t="s">
        <v>742</v>
      </c>
      <c r="E3" s="4741"/>
      <c r="F3" s="4741"/>
      <c r="G3" s="4741"/>
      <c r="H3" s="4741"/>
      <c r="I3" s="4741"/>
      <c r="J3" s="4741"/>
      <c r="K3" s="4741"/>
      <c r="L3" s="4741"/>
      <c r="M3" s="4741"/>
      <c r="N3" s="4741"/>
      <c r="O3" s="4741"/>
      <c r="P3" s="4741"/>
      <c r="Q3" s="4741"/>
      <c r="R3" s="4741"/>
      <c r="S3" s="4741"/>
      <c r="T3" s="4741"/>
      <c r="U3" s="4741"/>
      <c r="V3" s="4741"/>
      <c r="W3" s="4741"/>
      <c r="X3" s="4741"/>
      <c r="Y3" s="4741"/>
      <c r="Z3" s="4756"/>
      <c r="AA3" s="241"/>
    </row>
    <row r="4" spans="1:29" ht="12.75" customHeight="1" x14ac:dyDescent="0.25">
      <c r="A4" s="69">
        <v>3</v>
      </c>
      <c r="B4" s="70" t="s">
        <v>4</v>
      </c>
      <c r="C4" s="69"/>
      <c r="D4" s="4740" t="s">
        <v>784</v>
      </c>
      <c r="E4" s="4741"/>
      <c r="F4" s="4741"/>
      <c r="G4" s="4741"/>
      <c r="H4" s="4741"/>
      <c r="I4" s="4741"/>
      <c r="J4" s="4741"/>
      <c r="K4" s="4741"/>
      <c r="L4" s="4741"/>
      <c r="M4" s="4741"/>
      <c r="N4" s="4741"/>
      <c r="O4" s="4741"/>
      <c r="P4" s="4741"/>
      <c r="Q4" s="4741"/>
      <c r="R4" s="4741"/>
      <c r="S4" s="4741"/>
      <c r="T4" s="4741"/>
      <c r="U4" s="4741"/>
      <c r="V4" s="4741"/>
      <c r="W4" s="4741"/>
      <c r="X4" s="4741"/>
      <c r="Y4" s="4741"/>
      <c r="Z4" s="4756"/>
      <c r="AA4" s="241"/>
    </row>
    <row r="5" spans="1:29" ht="12.75" customHeight="1" x14ac:dyDescent="0.25">
      <c r="B5" s="70"/>
      <c r="C5" s="69"/>
      <c r="D5" s="10"/>
      <c r="E5" s="10"/>
      <c r="F5" s="10"/>
      <c r="G5" s="10"/>
      <c r="H5" s="10"/>
      <c r="I5" s="10"/>
      <c r="J5" s="10"/>
      <c r="K5" s="10"/>
      <c r="L5" s="10"/>
      <c r="M5" s="10"/>
      <c r="N5" s="10"/>
      <c r="O5" s="10"/>
      <c r="P5" s="10"/>
      <c r="Q5" s="10"/>
      <c r="R5" s="10"/>
      <c r="S5" s="10"/>
      <c r="T5" s="10"/>
      <c r="U5" s="10"/>
      <c r="V5" s="10"/>
      <c r="W5" s="10"/>
      <c r="X5" s="10"/>
      <c r="Y5" s="10"/>
      <c r="Z5" s="10"/>
      <c r="AA5" s="10"/>
    </row>
    <row r="6" spans="1:29" ht="15" customHeight="1" x14ac:dyDescent="0.25">
      <c r="B6" s="70"/>
      <c r="C6" s="69"/>
      <c r="D6" s="10"/>
      <c r="E6" s="10"/>
      <c r="F6" s="10"/>
      <c r="G6" s="10"/>
      <c r="H6" s="10"/>
      <c r="I6" s="10"/>
      <c r="J6" s="10"/>
      <c r="K6" s="10"/>
      <c r="L6" s="10"/>
      <c r="M6" s="10"/>
      <c r="N6" s="10"/>
      <c r="O6" s="10"/>
      <c r="P6" s="10"/>
      <c r="Q6" s="10"/>
      <c r="R6" s="10"/>
      <c r="S6" s="10"/>
      <c r="T6" s="10"/>
      <c r="U6" s="10"/>
      <c r="V6" s="10"/>
      <c r="W6" s="10"/>
      <c r="X6" s="10"/>
      <c r="Y6" s="10"/>
      <c r="Z6" s="10"/>
      <c r="AA6" s="10"/>
      <c r="AB6" s="344"/>
      <c r="AC6" s="344"/>
    </row>
    <row r="7" spans="1:29" x14ac:dyDescent="0.25">
      <c r="A7" s="69">
        <v>4</v>
      </c>
      <c r="B7" s="70" t="s">
        <v>6</v>
      </c>
      <c r="D7" s="310"/>
      <c r="E7" s="310"/>
      <c r="F7" s="311"/>
      <c r="G7" s="109"/>
      <c r="H7" s="109"/>
      <c r="I7" s="109"/>
      <c r="J7" s="109"/>
      <c r="K7" s="109"/>
      <c r="L7" s="109"/>
      <c r="M7" s="109"/>
      <c r="N7" s="109"/>
      <c r="O7" s="109"/>
      <c r="P7" s="109"/>
      <c r="Q7" s="68"/>
    </row>
    <row r="8" spans="1:29" s="10" customFormat="1" ht="11.25" x14ac:dyDescent="0.2">
      <c r="A8" s="79"/>
      <c r="B8" s="80"/>
      <c r="C8" s="81"/>
      <c r="D8" s="72" t="s">
        <v>80</v>
      </c>
      <c r="E8" s="72"/>
      <c r="F8" s="72" t="s">
        <v>785</v>
      </c>
      <c r="G8" s="72"/>
      <c r="H8" s="72"/>
      <c r="I8" s="72"/>
      <c r="J8" s="72"/>
      <c r="K8" s="402"/>
      <c r="L8" s="402"/>
      <c r="M8" s="402"/>
      <c r="N8" s="402"/>
      <c r="O8" s="402"/>
      <c r="P8" s="109"/>
      <c r="Q8" s="71"/>
    </row>
    <row r="9" spans="1:29" s="10" customFormat="1" ht="11.25" x14ac:dyDescent="0.2">
      <c r="A9" s="79"/>
      <c r="B9" s="80"/>
      <c r="C9" s="81"/>
      <c r="D9" s="403"/>
      <c r="E9" s="404">
        <v>2003</v>
      </c>
      <c r="F9" s="404">
        <v>2004</v>
      </c>
      <c r="G9" s="404">
        <v>2005</v>
      </c>
      <c r="H9" s="404">
        <v>2006</v>
      </c>
      <c r="I9" s="404">
        <v>2007</v>
      </c>
      <c r="J9" s="405" t="s">
        <v>21</v>
      </c>
      <c r="K9" s="405" t="s">
        <v>22</v>
      </c>
      <c r="L9" s="405" t="s">
        <v>23</v>
      </c>
      <c r="M9" s="405" t="s">
        <v>24</v>
      </c>
      <c r="N9" s="405" t="s">
        <v>25</v>
      </c>
      <c r="O9" s="405" t="s">
        <v>26</v>
      </c>
      <c r="P9" s="405" t="s">
        <v>27</v>
      </c>
      <c r="Q9" s="405" t="s">
        <v>28</v>
      </c>
      <c r="R9" s="405" t="s">
        <v>29</v>
      </c>
      <c r="S9" s="405" t="s">
        <v>30</v>
      </c>
      <c r="T9" s="405" t="s">
        <v>31</v>
      </c>
      <c r="U9" s="406" t="s">
        <v>32</v>
      </c>
    </row>
    <row r="10" spans="1:29" s="10" customFormat="1" ht="11.25" x14ac:dyDescent="0.2">
      <c r="A10" s="79"/>
      <c r="B10" s="80"/>
      <c r="C10" s="81"/>
      <c r="D10" s="181" t="s">
        <v>786</v>
      </c>
      <c r="E10" s="407">
        <v>10029</v>
      </c>
      <c r="F10" s="407">
        <v>10493</v>
      </c>
      <c r="G10" s="407">
        <v>10464</v>
      </c>
      <c r="H10" s="407">
        <v>10753</v>
      </c>
      <c r="I10" s="407">
        <v>10830</v>
      </c>
      <c r="J10" s="407">
        <v>10191</v>
      </c>
      <c r="K10" s="408">
        <v>9271</v>
      </c>
      <c r="L10" s="408">
        <v>9352</v>
      </c>
      <c r="M10" s="408">
        <v>9426</v>
      </c>
      <c r="N10" s="408">
        <v>8906</v>
      </c>
      <c r="O10" s="408">
        <v>10676</v>
      </c>
      <c r="P10" s="408">
        <v>9421</v>
      </c>
      <c r="Q10" s="408">
        <v>9357</v>
      </c>
      <c r="R10" s="407">
        <v>9027</v>
      </c>
      <c r="S10" s="407">
        <v>8545</v>
      </c>
      <c r="T10" s="407">
        <v>8587</v>
      </c>
      <c r="U10" s="409">
        <v>8455</v>
      </c>
    </row>
    <row r="11" spans="1:29" s="10" customFormat="1" ht="11.25" x14ac:dyDescent="0.2">
      <c r="A11" s="79"/>
      <c r="B11" s="80"/>
      <c r="C11" s="81"/>
      <c r="D11" s="181" t="s">
        <v>787</v>
      </c>
      <c r="E11" s="407">
        <v>5806</v>
      </c>
      <c r="F11" s="407">
        <v>6709</v>
      </c>
      <c r="G11" s="407">
        <v>5432</v>
      </c>
      <c r="H11" s="407">
        <v>6513</v>
      </c>
      <c r="I11" s="407">
        <v>7285</v>
      </c>
      <c r="J11" s="407">
        <v>7740</v>
      </c>
      <c r="K11" s="408">
        <v>10042</v>
      </c>
      <c r="L11" s="408"/>
      <c r="M11" s="408"/>
      <c r="N11" s="408"/>
      <c r="O11" s="408"/>
      <c r="P11" s="408"/>
      <c r="Q11" s="408"/>
      <c r="R11" s="407"/>
      <c r="S11" s="407"/>
      <c r="T11" s="407"/>
      <c r="U11" s="409"/>
    </row>
    <row r="12" spans="1:29" s="10" customFormat="1" ht="11.25" x14ac:dyDescent="0.2">
      <c r="A12" s="79"/>
      <c r="B12" s="80"/>
      <c r="C12" s="81"/>
      <c r="D12" s="181" t="s">
        <v>788</v>
      </c>
      <c r="E12" s="407">
        <v>36194</v>
      </c>
      <c r="F12" s="407">
        <v>35942</v>
      </c>
      <c r="G12" s="407">
        <v>38395</v>
      </c>
      <c r="H12" s="407">
        <v>39194</v>
      </c>
      <c r="I12" s="407">
        <v>41379</v>
      </c>
      <c r="J12" s="407">
        <v>44310</v>
      </c>
      <c r="K12" s="408">
        <v>45296</v>
      </c>
      <c r="L12" s="408"/>
      <c r="M12" s="408"/>
      <c r="N12" s="408"/>
      <c r="O12" s="408"/>
      <c r="P12" s="408"/>
      <c r="Q12" s="408"/>
      <c r="R12" s="407"/>
      <c r="S12" s="407"/>
      <c r="T12" s="407"/>
      <c r="U12" s="409"/>
    </row>
    <row r="13" spans="1:29" s="10" customFormat="1" ht="11.25" x14ac:dyDescent="0.2">
      <c r="A13" s="79"/>
      <c r="B13" s="80"/>
      <c r="C13" s="81"/>
      <c r="D13" s="246" t="s">
        <v>789</v>
      </c>
      <c r="E13" s="410">
        <v>186</v>
      </c>
      <c r="F13" s="410">
        <v>179</v>
      </c>
      <c r="G13" s="410">
        <v>168</v>
      </c>
      <c r="H13" s="410">
        <v>124</v>
      </c>
      <c r="I13" s="410">
        <v>96</v>
      </c>
      <c r="J13" s="410">
        <v>126</v>
      </c>
      <c r="K13" s="411">
        <v>101</v>
      </c>
      <c r="L13" s="411"/>
      <c r="M13" s="411"/>
      <c r="N13" s="411"/>
      <c r="O13" s="411"/>
      <c r="P13" s="411"/>
      <c r="Q13" s="411"/>
      <c r="R13" s="410"/>
      <c r="S13" s="410"/>
      <c r="T13" s="410"/>
      <c r="U13" s="412"/>
    </row>
    <row r="14" spans="1:29" s="10" customFormat="1" ht="11.25" x14ac:dyDescent="0.2">
      <c r="A14" s="79"/>
      <c r="B14" s="80"/>
      <c r="C14" s="81"/>
      <c r="D14" s="71"/>
      <c r="E14" s="71"/>
      <c r="F14" s="71"/>
      <c r="G14" s="71"/>
      <c r="H14" s="71"/>
      <c r="I14" s="71"/>
      <c r="J14" s="71"/>
      <c r="K14" s="109"/>
      <c r="L14" s="109"/>
      <c r="M14" s="109"/>
      <c r="N14" s="109"/>
      <c r="O14" s="109"/>
      <c r="P14" s="71"/>
      <c r="Q14" s="71"/>
    </row>
    <row r="15" spans="1:29" s="10" customFormat="1" ht="11.25" x14ac:dyDescent="0.2">
      <c r="A15" s="79"/>
      <c r="B15" s="80"/>
      <c r="C15" s="81"/>
      <c r="D15" s="71" t="s">
        <v>267</v>
      </c>
      <c r="E15" s="71"/>
      <c r="F15" s="71" t="s">
        <v>790</v>
      </c>
      <c r="G15" s="71"/>
      <c r="H15" s="71"/>
      <c r="I15" s="71"/>
      <c r="J15" s="71"/>
      <c r="K15" s="71"/>
      <c r="L15" s="109"/>
      <c r="M15" s="109"/>
      <c r="N15" s="109"/>
      <c r="O15" s="109"/>
      <c r="P15" s="71"/>
      <c r="Q15" s="71"/>
      <c r="U15" s="234"/>
    </row>
    <row r="16" spans="1:29" s="10" customFormat="1" ht="11.25" x14ac:dyDescent="0.2">
      <c r="A16" s="79"/>
      <c r="B16" s="80"/>
      <c r="C16" s="81"/>
      <c r="D16" s="403"/>
      <c r="E16" s="128">
        <v>2002</v>
      </c>
      <c r="F16" s="128">
        <v>2003</v>
      </c>
      <c r="G16" s="128">
        <v>2004</v>
      </c>
      <c r="H16" s="128">
        <v>2005</v>
      </c>
      <c r="I16" s="128">
        <v>2006</v>
      </c>
      <c r="J16" s="128">
        <v>2007</v>
      </c>
      <c r="K16" s="128">
        <v>2008</v>
      </c>
      <c r="L16" s="128">
        <v>2009</v>
      </c>
      <c r="M16" s="128">
        <v>2010</v>
      </c>
      <c r="N16" s="128">
        <v>2011</v>
      </c>
      <c r="O16" s="128">
        <v>2012</v>
      </c>
      <c r="P16" s="128">
        <v>2013</v>
      </c>
      <c r="Q16" s="128">
        <v>2014</v>
      </c>
      <c r="R16" s="128">
        <v>2015</v>
      </c>
      <c r="S16" s="128">
        <v>2016</v>
      </c>
      <c r="T16" s="128">
        <v>2017</v>
      </c>
      <c r="U16" s="128">
        <v>2018</v>
      </c>
      <c r="V16" s="129">
        <v>2019</v>
      </c>
    </row>
    <row r="17" spans="1:23" s="10" customFormat="1" ht="11.25" x14ac:dyDescent="0.2">
      <c r="A17" s="79"/>
      <c r="B17" s="80"/>
      <c r="C17" s="81"/>
      <c r="D17" s="181" t="s">
        <v>791</v>
      </c>
      <c r="E17" s="413">
        <v>114</v>
      </c>
      <c r="F17" s="413">
        <v>112</v>
      </c>
      <c r="G17" s="413">
        <v>100</v>
      </c>
      <c r="H17" s="413">
        <v>87</v>
      </c>
      <c r="I17" s="413">
        <v>109</v>
      </c>
      <c r="J17" s="413">
        <v>82</v>
      </c>
      <c r="K17" s="414">
        <v>91</v>
      </c>
      <c r="L17" s="414">
        <v>93</v>
      </c>
      <c r="M17" s="414">
        <v>116</v>
      </c>
      <c r="N17" s="414">
        <v>123</v>
      </c>
      <c r="O17" s="414">
        <v>142</v>
      </c>
      <c r="P17" s="414">
        <v>161</v>
      </c>
      <c r="Q17" s="415">
        <v>152</v>
      </c>
      <c r="R17" s="415">
        <v>166</v>
      </c>
      <c r="S17" s="415">
        <v>181</v>
      </c>
      <c r="T17" s="413">
        <v>182</v>
      </c>
      <c r="U17" s="413">
        <v>145</v>
      </c>
      <c r="V17" s="416">
        <v>182</v>
      </c>
    </row>
    <row r="18" spans="1:23" s="10" customFormat="1" ht="11.25" x14ac:dyDescent="0.2">
      <c r="A18" s="79"/>
      <c r="B18" s="80"/>
      <c r="C18" s="81"/>
      <c r="D18" s="181" t="s">
        <v>119</v>
      </c>
      <c r="E18" s="413">
        <v>52</v>
      </c>
      <c r="F18" s="413">
        <v>64</v>
      </c>
      <c r="G18" s="413">
        <v>59</v>
      </c>
      <c r="H18" s="413">
        <v>55</v>
      </c>
      <c r="I18" s="413">
        <v>34</v>
      </c>
      <c r="J18" s="413">
        <v>44</v>
      </c>
      <c r="K18" s="414">
        <v>31</v>
      </c>
      <c r="L18" s="417">
        <v>59</v>
      </c>
      <c r="M18" s="417">
        <v>76</v>
      </c>
      <c r="N18" s="417">
        <v>84</v>
      </c>
      <c r="O18" s="417">
        <v>73</v>
      </c>
      <c r="P18" s="417">
        <v>40</v>
      </c>
      <c r="Q18" s="413">
        <v>66</v>
      </c>
      <c r="R18" s="413">
        <v>48</v>
      </c>
      <c r="S18" s="413">
        <v>65</v>
      </c>
      <c r="T18" s="415">
        <v>60</v>
      </c>
      <c r="U18" s="415">
        <v>46</v>
      </c>
      <c r="V18" s="418">
        <v>37</v>
      </c>
    </row>
    <row r="19" spans="1:23" s="10" customFormat="1" ht="11.25" x14ac:dyDescent="0.2">
      <c r="A19" s="79"/>
      <c r="B19" s="80"/>
      <c r="C19" s="81"/>
      <c r="D19" s="181" t="s">
        <v>792</v>
      </c>
      <c r="E19" s="413">
        <v>35</v>
      </c>
      <c r="F19" s="413">
        <v>35</v>
      </c>
      <c r="G19" s="413">
        <v>56</v>
      </c>
      <c r="H19" s="413">
        <v>55</v>
      </c>
      <c r="I19" s="413">
        <v>59</v>
      </c>
      <c r="J19" s="413">
        <v>58</v>
      </c>
      <c r="K19" s="414">
        <v>53</v>
      </c>
      <c r="L19" s="414">
        <v>49</v>
      </c>
      <c r="M19" s="414">
        <v>53</v>
      </c>
      <c r="N19" s="414">
        <v>53</v>
      </c>
      <c r="O19" s="414">
        <v>65</v>
      </c>
      <c r="P19" s="414">
        <v>54</v>
      </c>
      <c r="Q19" s="415">
        <v>50</v>
      </c>
      <c r="R19" s="415">
        <v>59</v>
      </c>
      <c r="S19" s="415">
        <v>70</v>
      </c>
      <c r="T19" s="413">
        <v>50</v>
      </c>
      <c r="U19" s="413">
        <v>73</v>
      </c>
      <c r="V19" s="416">
        <v>69</v>
      </c>
    </row>
    <row r="20" spans="1:23" s="10" customFormat="1" ht="11.25" x14ac:dyDescent="0.2">
      <c r="A20" s="79"/>
      <c r="B20" s="80"/>
      <c r="C20" s="81"/>
      <c r="D20" s="181" t="s">
        <v>232</v>
      </c>
      <c r="E20" s="413">
        <v>8</v>
      </c>
      <c r="F20" s="413">
        <v>32</v>
      </c>
      <c r="G20" s="413">
        <v>21</v>
      </c>
      <c r="H20" s="413">
        <v>37</v>
      </c>
      <c r="I20" s="413">
        <v>28</v>
      </c>
      <c r="J20" s="413">
        <v>37</v>
      </c>
      <c r="K20" s="414">
        <v>38</v>
      </c>
      <c r="L20" s="417">
        <v>47</v>
      </c>
      <c r="M20" s="417">
        <v>34</v>
      </c>
      <c r="N20" s="417">
        <v>44</v>
      </c>
      <c r="O20" s="417">
        <v>73</v>
      </c>
      <c r="P20" s="417">
        <v>47</v>
      </c>
      <c r="Q20" s="413">
        <v>52</v>
      </c>
      <c r="R20" s="413">
        <v>61</v>
      </c>
      <c r="S20" s="413">
        <v>50</v>
      </c>
      <c r="T20" s="415">
        <v>52</v>
      </c>
      <c r="U20" s="415">
        <v>39</v>
      </c>
      <c r="V20" s="418">
        <v>29</v>
      </c>
    </row>
    <row r="21" spans="1:23" s="10" customFormat="1" ht="11.25" x14ac:dyDescent="0.2">
      <c r="A21" s="79"/>
      <c r="B21" s="80"/>
      <c r="C21" s="81"/>
      <c r="D21" s="181" t="s">
        <v>128</v>
      </c>
      <c r="E21" s="413">
        <v>11</v>
      </c>
      <c r="F21" s="413">
        <v>11</v>
      </c>
      <c r="G21" s="413">
        <v>18</v>
      </c>
      <c r="H21" s="413">
        <v>22</v>
      </c>
      <c r="I21" s="413">
        <v>21</v>
      </c>
      <c r="J21" s="413">
        <v>23</v>
      </c>
      <c r="K21" s="414">
        <v>34</v>
      </c>
      <c r="L21" s="414">
        <v>26</v>
      </c>
      <c r="M21" s="414">
        <v>40</v>
      </c>
      <c r="N21" s="414">
        <v>41</v>
      </c>
      <c r="O21" s="414">
        <v>44</v>
      </c>
      <c r="P21" s="414">
        <v>36</v>
      </c>
      <c r="Q21" s="413">
        <v>41</v>
      </c>
      <c r="R21" s="413">
        <v>27</v>
      </c>
      <c r="S21" s="413">
        <v>27</v>
      </c>
      <c r="T21" s="413">
        <v>26</v>
      </c>
      <c r="U21" s="413">
        <v>36</v>
      </c>
      <c r="V21" s="416">
        <v>27</v>
      </c>
    </row>
    <row r="22" spans="1:23" s="10" customFormat="1" ht="11.25" x14ac:dyDescent="0.2">
      <c r="A22" s="79"/>
      <c r="B22" s="80"/>
      <c r="C22" s="81"/>
      <c r="D22" s="181" t="s">
        <v>97</v>
      </c>
      <c r="E22" s="413">
        <v>19</v>
      </c>
      <c r="F22" s="413">
        <v>16</v>
      </c>
      <c r="G22" s="413">
        <v>24</v>
      </c>
      <c r="H22" s="413">
        <v>15</v>
      </c>
      <c r="I22" s="413">
        <v>8</v>
      </c>
      <c r="J22" s="413">
        <v>7</v>
      </c>
      <c r="K22" s="414">
        <v>10</v>
      </c>
      <c r="L22" s="414">
        <v>9</v>
      </c>
      <c r="M22" s="414">
        <v>6</v>
      </c>
      <c r="N22" s="414">
        <v>7</v>
      </c>
      <c r="O22" s="414">
        <v>9</v>
      </c>
      <c r="P22" s="414">
        <v>6</v>
      </c>
      <c r="Q22" s="419"/>
      <c r="R22" s="419">
        <v>9</v>
      </c>
      <c r="S22" s="419">
        <v>12</v>
      </c>
      <c r="T22" s="413">
        <v>8</v>
      </c>
      <c r="U22" s="413">
        <v>11</v>
      </c>
      <c r="V22" s="416">
        <v>20</v>
      </c>
    </row>
    <row r="23" spans="1:23" s="10" customFormat="1" ht="11.25" x14ac:dyDescent="0.2">
      <c r="A23" s="79"/>
      <c r="B23" s="80"/>
      <c r="C23" s="81"/>
      <c r="D23" s="181" t="s">
        <v>102</v>
      </c>
      <c r="E23" s="413">
        <v>8</v>
      </c>
      <c r="F23" s="419">
        <v>18</v>
      </c>
      <c r="G23" s="419">
        <v>13</v>
      </c>
      <c r="H23" s="419">
        <v>13</v>
      </c>
      <c r="I23" s="419">
        <v>4</v>
      </c>
      <c r="J23" s="419">
        <v>10</v>
      </c>
      <c r="K23" s="420">
        <v>6</v>
      </c>
      <c r="L23" s="420">
        <v>7</v>
      </c>
      <c r="M23" s="420">
        <v>14</v>
      </c>
      <c r="N23" s="420">
        <v>13</v>
      </c>
      <c r="O23" s="420">
        <v>25</v>
      </c>
      <c r="P23" s="420">
        <v>13</v>
      </c>
      <c r="Q23" s="419">
        <v>7</v>
      </c>
      <c r="R23" s="419">
        <v>23</v>
      </c>
      <c r="S23" s="419">
        <v>11</v>
      </c>
      <c r="T23" s="419"/>
      <c r="U23" s="419"/>
      <c r="V23" s="421">
        <v>4</v>
      </c>
    </row>
    <row r="24" spans="1:23" s="10" customFormat="1" ht="11.25" x14ac:dyDescent="0.2">
      <c r="A24" s="79"/>
      <c r="B24" s="80"/>
      <c r="C24" s="81"/>
      <c r="D24" s="181" t="s">
        <v>793</v>
      </c>
      <c r="E24" s="413">
        <v>10</v>
      </c>
      <c r="F24" s="419">
        <v>12</v>
      </c>
      <c r="G24" s="419">
        <v>7</v>
      </c>
      <c r="H24" s="419">
        <v>6</v>
      </c>
      <c r="I24" s="419">
        <v>10</v>
      </c>
      <c r="J24" s="419">
        <v>9</v>
      </c>
      <c r="K24" s="420">
        <v>6</v>
      </c>
      <c r="L24" s="420">
        <v>2</v>
      </c>
      <c r="M24" s="420">
        <v>6</v>
      </c>
      <c r="N24" s="420">
        <v>8</v>
      </c>
      <c r="O24" s="420">
        <v>9</v>
      </c>
      <c r="P24" s="420">
        <v>6</v>
      </c>
      <c r="Q24" s="419">
        <v>6</v>
      </c>
      <c r="R24" s="419">
        <v>7</v>
      </c>
      <c r="S24" s="419">
        <v>4</v>
      </c>
      <c r="T24" s="419">
        <v>4</v>
      </c>
      <c r="U24" s="419">
        <v>3</v>
      </c>
      <c r="V24" s="421">
        <v>3</v>
      </c>
    </row>
    <row r="25" spans="1:23" s="10" customFormat="1" ht="11.25" x14ac:dyDescent="0.2">
      <c r="A25" s="79"/>
      <c r="B25" s="80"/>
      <c r="C25" s="81"/>
      <c r="D25" s="181" t="s">
        <v>794</v>
      </c>
      <c r="E25" s="413">
        <v>5</v>
      </c>
      <c r="F25" s="419">
        <v>9</v>
      </c>
      <c r="G25" s="419">
        <v>8</v>
      </c>
      <c r="H25" s="419">
        <v>13</v>
      </c>
      <c r="I25" s="419">
        <v>7</v>
      </c>
      <c r="J25" s="419">
        <v>11</v>
      </c>
      <c r="K25" s="420">
        <v>10</v>
      </c>
      <c r="L25" s="420">
        <v>16</v>
      </c>
      <c r="M25" s="420">
        <v>16</v>
      </c>
      <c r="N25" s="420">
        <v>15</v>
      </c>
      <c r="O25" s="420">
        <v>21</v>
      </c>
      <c r="P25" s="420">
        <v>27</v>
      </c>
      <c r="Q25" s="419">
        <v>25</v>
      </c>
      <c r="R25" s="419">
        <v>16</v>
      </c>
      <c r="S25" s="419">
        <v>18</v>
      </c>
      <c r="T25" s="419">
        <v>16</v>
      </c>
      <c r="U25" s="419">
        <v>21</v>
      </c>
      <c r="V25" s="421">
        <v>13</v>
      </c>
    </row>
    <row r="26" spans="1:23" s="10" customFormat="1" ht="11.25" x14ac:dyDescent="0.2">
      <c r="A26" s="79"/>
      <c r="B26" s="80"/>
      <c r="C26" s="81"/>
      <c r="D26" s="181" t="s">
        <v>105</v>
      </c>
      <c r="E26" s="413">
        <v>5</v>
      </c>
      <c r="F26" s="419">
        <v>10</v>
      </c>
      <c r="G26" s="419">
        <v>7</v>
      </c>
      <c r="H26" s="419">
        <v>7</v>
      </c>
      <c r="I26" s="419">
        <v>6</v>
      </c>
      <c r="J26" s="419">
        <v>9</v>
      </c>
      <c r="K26" s="420">
        <v>12</v>
      </c>
      <c r="L26" s="420">
        <v>16</v>
      </c>
      <c r="M26" s="420">
        <v>12</v>
      </c>
      <c r="N26" s="420">
        <v>14</v>
      </c>
      <c r="O26" s="420">
        <v>21</v>
      </c>
      <c r="P26" s="420">
        <v>11</v>
      </c>
      <c r="Q26" s="419">
        <v>9</v>
      </c>
      <c r="R26" s="419">
        <v>8</v>
      </c>
      <c r="S26" s="419">
        <v>6</v>
      </c>
      <c r="T26" s="419">
        <v>9</v>
      </c>
      <c r="U26" s="419">
        <v>12</v>
      </c>
      <c r="V26" s="421">
        <v>8</v>
      </c>
    </row>
    <row r="27" spans="1:23" s="10" customFormat="1" ht="11.25" x14ac:dyDescent="0.2">
      <c r="A27" s="79"/>
      <c r="B27" s="80"/>
      <c r="C27" s="81"/>
      <c r="D27" s="181" t="s">
        <v>795</v>
      </c>
      <c r="E27" s="413">
        <v>1</v>
      </c>
      <c r="F27" s="419">
        <v>6</v>
      </c>
      <c r="G27" s="419"/>
      <c r="H27" s="419">
        <v>10</v>
      </c>
      <c r="I27" s="419">
        <v>12</v>
      </c>
      <c r="J27" s="419">
        <v>12</v>
      </c>
      <c r="K27" s="420">
        <v>17</v>
      </c>
      <c r="L27" s="420">
        <v>5</v>
      </c>
      <c r="M27" s="420">
        <v>7</v>
      </c>
      <c r="N27" s="420">
        <v>7</v>
      </c>
      <c r="O27" s="420">
        <v>9</v>
      </c>
      <c r="P27" s="420">
        <v>20</v>
      </c>
      <c r="Q27" s="419">
        <v>17</v>
      </c>
      <c r="R27" s="419">
        <v>18</v>
      </c>
      <c r="S27" s="419">
        <v>10</v>
      </c>
      <c r="T27" s="419">
        <v>2</v>
      </c>
      <c r="U27" s="419">
        <v>8</v>
      </c>
      <c r="V27" s="421">
        <v>13</v>
      </c>
    </row>
    <row r="28" spans="1:23" s="10" customFormat="1" ht="11.25" x14ac:dyDescent="0.2">
      <c r="A28" s="79"/>
      <c r="B28" s="80"/>
      <c r="C28" s="81"/>
      <c r="D28" s="422" t="s">
        <v>144</v>
      </c>
      <c r="E28" s="413">
        <v>8</v>
      </c>
      <c r="F28" s="419">
        <v>9</v>
      </c>
      <c r="G28" s="423"/>
      <c r="H28" s="419">
        <v>2</v>
      </c>
      <c r="I28" s="419">
        <v>8</v>
      </c>
      <c r="J28" s="419">
        <v>10</v>
      </c>
      <c r="K28" s="420">
        <v>18</v>
      </c>
      <c r="L28" s="420">
        <v>23</v>
      </c>
      <c r="M28" s="420">
        <v>30</v>
      </c>
      <c r="N28" s="420">
        <v>26</v>
      </c>
      <c r="O28" s="420">
        <v>36</v>
      </c>
      <c r="P28" s="420">
        <v>63</v>
      </c>
      <c r="Q28" s="419">
        <v>50</v>
      </c>
      <c r="R28" s="419">
        <v>23</v>
      </c>
      <c r="S28" s="419">
        <v>21</v>
      </c>
      <c r="T28" s="419">
        <v>16</v>
      </c>
      <c r="U28" s="419">
        <v>18</v>
      </c>
      <c r="V28" s="421">
        <v>11</v>
      </c>
    </row>
    <row r="29" spans="1:23" s="10" customFormat="1" ht="11.25" x14ac:dyDescent="0.2">
      <c r="A29" s="79"/>
      <c r="B29" s="80"/>
      <c r="C29" s="81"/>
      <c r="D29" s="424" t="s">
        <v>796</v>
      </c>
      <c r="E29" s="4301">
        <v>57</v>
      </c>
      <c r="F29" s="3347">
        <v>61</v>
      </c>
      <c r="G29" s="4302">
        <v>48</v>
      </c>
      <c r="H29" s="3347">
        <v>44</v>
      </c>
      <c r="I29" s="3347">
        <v>48</v>
      </c>
      <c r="J29" s="3347">
        <v>44</v>
      </c>
      <c r="K29" s="4241">
        <v>77</v>
      </c>
      <c r="L29" s="4241">
        <v>55</v>
      </c>
      <c r="M29" s="4241">
        <v>85</v>
      </c>
      <c r="N29" s="4241">
        <v>88</v>
      </c>
      <c r="O29" s="4241">
        <v>85</v>
      </c>
      <c r="P29" s="4241">
        <v>132</v>
      </c>
      <c r="Q29" s="3347">
        <v>149</v>
      </c>
      <c r="R29" s="3347">
        <v>134</v>
      </c>
      <c r="S29" s="3347">
        <v>143</v>
      </c>
      <c r="T29" s="3347">
        <v>188</v>
      </c>
      <c r="U29" s="3347">
        <v>219</v>
      </c>
      <c r="V29" s="3404"/>
    </row>
    <row r="30" spans="1:23" s="10" customFormat="1" ht="11.25" x14ac:dyDescent="0.2">
      <c r="A30" s="79"/>
      <c r="B30" s="80"/>
      <c r="C30" s="81"/>
      <c r="D30" s="3405" t="s">
        <v>50</v>
      </c>
      <c r="E30" s="3665">
        <f>SUM(E17:E29)</f>
        <v>333</v>
      </c>
      <c r="F30" s="3665">
        <f t="shared" ref="F30:T30" si="0">SUM(F17:F29)</f>
        <v>395</v>
      </c>
      <c r="G30" s="3665">
        <f t="shared" si="0"/>
        <v>361</v>
      </c>
      <c r="H30" s="3665">
        <f t="shared" si="0"/>
        <v>366</v>
      </c>
      <c r="I30" s="3665">
        <f t="shared" si="0"/>
        <v>354</v>
      </c>
      <c r="J30" s="3665">
        <f t="shared" si="0"/>
        <v>356</v>
      </c>
      <c r="K30" s="3665">
        <f t="shared" si="0"/>
        <v>403</v>
      </c>
      <c r="L30" s="3665">
        <f t="shared" si="0"/>
        <v>407</v>
      </c>
      <c r="M30" s="3665">
        <f t="shared" si="0"/>
        <v>495</v>
      </c>
      <c r="N30" s="3665">
        <f t="shared" si="0"/>
        <v>523</v>
      </c>
      <c r="O30" s="3665">
        <f t="shared" si="0"/>
        <v>612</v>
      </c>
      <c r="P30" s="3665">
        <f t="shared" si="0"/>
        <v>616</v>
      </c>
      <c r="Q30" s="3665">
        <f t="shared" si="0"/>
        <v>624</v>
      </c>
      <c r="R30" s="3665">
        <f t="shared" si="0"/>
        <v>599</v>
      </c>
      <c r="S30" s="3665">
        <f t="shared" si="0"/>
        <v>618</v>
      </c>
      <c r="T30" s="3665">
        <f t="shared" si="0"/>
        <v>613</v>
      </c>
      <c r="U30" s="3665">
        <v>631</v>
      </c>
      <c r="V30" s="3665"/>
      <c r="W30" s="422"/>
    </row>
    <row r="31" spans="1:23" s="10" customFormat="1" ht="11.25" x14ac:dyDescent="0.2">
      <c r="A31" s="79"/>
      <c r="B31" s="80"/>
      <c r="C31" s="81"/>
      <c r="D31" s="71"/>
      <c r="E31" s="413"/>
      <c r="F31" s="413"/>
      <c r="G31" s="413"/>
      <c r="H31" s="413"/>
      <c r="I31" s="413"/>
      <c r="J31" s="413"/>
      <c r="K31" s="413"/>
      <c r="L31" s="413"/>
      <c r="M31" s="413"/>
      <c r="N31" s="413"/>
      <c r="O31" s="413"/>
      <c r="P31" s="413"/>
      <c r="Q31" s="88"/>
      <c r="R31" s="88"/>
      <c r="S31" s="88"/>
      <c r="T31" s="88"/>
    </row>
    <row r="32" spans="1:23" s="10" customFormat="1" ht="11.25" x14ac:dyDescent="0.2">
      <c r="A32" s="79"/>
      <c r="B32" s="80"/>
      <c r="C32" s="81"/>
      <c r="D32" s="71"/>
      <c r="E32" s="413"/>
      <c r="F32" s="413"/>
      <c r="G32" s="413"/>
      <c r="H32" s="413"/>
      <c r="I32" s="413"/>
      <c r="J32" s="413"/>
      <c r="K32" s="413"/>
      <c r="L32" s="413"/>
      <c r="M32" s="413"/>
      <c r="N32" s="413"/>
      <c r="O32" s="413"/>
      <c r="P32" s="413"/>
      <c r="Q32" s="88"/>
      <c r="R32" s="88"/>
      <c r="S32" s="88"/>
      <c r="T32" s="88"/>
    </row>
    <row r="33" spans="1:32" s="10" customFormat="1" ht="12.75" x14ac:dyDescent="0.2">
      <c r="A33" s="4303">
        <v>5</v>
      </c>
      <c r="B33" s="4304" t="s">
        <v>797</v>
      </c>
      <c r="C33" s="480"/>
      <c r="D33" s="474" t="s">
        <v>656</v>
      </c>
      <c r="E33" s="474" t="s">
        <v>798</v>
      </c>
      <c r="F33" s="426"/>
      <c r="G33" s="414"/>
      <c r="H33" s="414"/>
      <c r="I33" s="414"/>
      <c r="J33" s="414"/>
      <c r="K33" s="414"/>
      <c r="L33" s="414"/>
      <c r="M33" s="414"/>
      <c r="N33" s="414"/>
      <c r="O33" s="414"/>
      <c r="P33" s="414"/>
      <c r="Q33" s="462"/>
      <c r="R33" s="462"/>
      <c r="S33" s="462"/>
      <c r="T33" s="462"/>
      <c r="U33" s="426"/>
      <c r="V33" s="426"/>
      <c r="W33" s="426"/>
      <c r="X33" s="426"/>
      <c r="Y33" s="426"/>
      <c r="Z33" s="870"/>
      <c r="AA33" s="870"/>
    </row>
    <row r="34" spans="1:32" s="10" customFormat="1" ht="12.75" x14ac:dyDescent="0.2">
      <c r="A34" s="4303"/>
      <c r="B34" s="4304"/>
      <c r="C34" s="480"/>
      <c r="D34" s="4305"/>
      <c r="E34" s="2243" t="s">
        <v>799</v>
      </c>
      <c r="F34" s="2243" t="s">
        <v>800</v>
      </c>
      <c r="G34" s="2243" t="s">
        <v>801</v>
      </c>
      <c r="H34" s="4306" t="s">
        <v>802</v>
      </c>
      <c r="I34" s="414"/>
      <c r="J34" s="414"/>
      <c r="K34" s="414"/>
      <c r="L34" s="414"/>
      <c r="M34" s="414"/>
      <c r="N34" s="414"/>
      <c r="O34" s="414"/>
      <c r="P34" s="414"/>
      <c r="Q34" s="414"/>
      <c r="R34" s="414"/>
      <c r="S34" s="462"/>
      <c r="T34" s="462"/>
      <c r="U34" s="462"/>
      <c r="V34" s="462"/>
      <c r="W34" s="426"/>
      <c r="X34" s="426"/>
      <c r="Y34" s="426"/>
      <c r="Z34" s="870"/>
      <c r="AA34" s="870"/>
    </row>
    <row r="35" spans="1:32" s="10" customFormat="1" ht="11.25" x14ac:dyDescent="0.2">
      <c r="A35" s="4307"/>
      <c r="B35" s="492"/>
      <c r="C35" s="480"/>
      <c r="D35" s="4308" t="s">
        <v>803</v>
      </c>
      <c r="E35" s="4309" t="s">
        <v>804</v>
      </c>
      <c r="F35" s="2030" t="s">
        <v>804</v>
      </c>
      <c r="G35" s="2030" t="s">
        <v>804</v>
      </c>
      <c r="H35" s="4310" t="s">
        <v>804</v>
      </c>
      <c r="I35" s="414"/>
      <c r="J35" s="414"/>
      <c r="K35" s="414"/>
      <c r="L35" s="414"/>
      <c r="M35" s="414"/>
      <c r="N35" s="414"/>
      <c r="O35" s="414"/>
      <c r="P35" s="414"/>
      <c r="Q35" s="414"/>
      <c r="R35" s="414"/>
      <c r="S35" s="462"/>
      <c r="T35" s="462"/>
      <c r="U35" s="462"/>
      <c r="V35" s="462"/>
      <c r="W35" s="426"/>
      <c r="X35" s="426"/>
      <c r="Y35" s="426"/>
      <c r="Z35" s="870"/>
      <c r="AA35" s="870"/>
    </row>
    <row r="36" spans="1:32" s="10" customFormat="1" ht="11.25" x14ac:dyDescent="0.2">
      <c r="A36" s="4307"/>
      <c r="B36" s="492"/>
      <c r="C36" s="480"/>
      <c r="D36" s="4311" t="s">
        <v>805</v>
      </c>
      <c r="E36" s="4312">
        <v>6.86</v>
      </c>
      <c r="F36" s="414">
        <v>9.99</v>
      </c>
      <c r="G36" s="414">
        <v>9.61</v>
      </c>
      <c r="H36" s="515"/>
      <c r="I36" s="414"/>
      <c r="J36" s="414"/>
      <c r="K36" s="414"/>
      <c r="L36" s="414"/>
      <c r="M36" s="414"/>
      <c r="N36" s="414"/>
      <c r="O36" s="414"/>
      <c r="P36" s="414"/>
      <c r="Q36" s="414"/>
      <c r="R36" s="414"/>
      <c r="S36" s="462"/>
      <c r="T36" s="462"/>
      <c r="U36" s="462"/>
      <c r="V36" s="462"/>
      <c r="W36" s="426"/>
      <c r="X36" s="426"/>
      <c r="Y36" s="426"/>
      <c r="Z36" s="870"/>
      <c r="AA36" s="870"/>
    </row>
    <row r="37" spans="1:32" s="10" customFormat="1" ht="15.75" x14ac:dyDescent="0.2">
      <c r="A37" s="4307"/>
      <c r="B37" s="492"/>
      <c r="C37" s="480"/>
      <c r="D37" s="4311" t="s">
        <v>806</v>
      </c>
      <c r="E37" s="4312">
        <v>6.71</v>
      </c>
      <c r="F37" s="414">
        <v>5.15</v>
      </c>
      <c r="G37" s="414">
        <v>5.2</v>
      </c>
      <c r="H37" s="515"/>
      <c r="I37" s="414"/>
      <c r="J37" s="414"/>
      <c r="K37" s="414"/>
      <c r="L37" s="414"/>
      <c r="M37" s="414"/>
      <c r="N37" s="414"/>
      <c r="O37" s="414"/>
      <c r="P37" s="414"/>
      <c r="Q37" s="414"/>
      <c r="R37" s="414"/>
      <c r="S37" s="462"/>
      <c r="T37" s="462"/>
      <c r="U37" s="462"/>
      <c r="V37" s="462"/>
      <c r="W37" s="426"/>
      <c r="X37" s="426"/>
      <c r="Y37" s="426"/>
      <c r="Z37" s="870"/>
      <c r="AA37" s="870"/>
      <c r="AC37" s="426"/>
      <c r="AE37" s="427"/>
      <c r="AF37" s="428"/>
    </row>
    <row r="38" spans="1:32" s="10" customFormat="1" ht="11.25" x14ac:dyDescent="0.2">
      <c r="A38" s="4307"/>
      <c r="B38" s="492"/>
      <c r="C38" s="480"/>
      <c r="D38" s="4311" t="s">
        <v>807</v>
      </c>
      <c r="E38" s="4312">
        <v>6.4</v>
      </c>
      <c r="F38" s="414">
        <v>4.95</v>
      </c>
      <c r="G38" s="414">
        <v>4.97</v>
      </c>
      <c r="H38" s="515"/>
      <c r="I38" s="414"/>
      <c r="J38" s="414"/>
      <c r="K38" s="414"/>
      <c r="L38" s="414"/>
      <c r="M38" s="414"/>
      <c r="N38" s="414"/>
      <c r="O38" s="414"/>
      <c r="P38" s="414"/>
      <c r="Q38" s="414"/>
      <c r="R38" s="414"/>
      <c r="S38" s="462"/>
      <c r="T38" s="462"/>
      <c r="U38" s="462"/>
      <c r="V38" s="462"/>
      <c r="W38" s="426"/>
      <c r="X38" s="426"/>
      <c r="Y38" s="426"/>
      <c r="Z38" s="870"/>
      <c r="AA38" s="870"/>
      <c r="AE38" s="429"/>
      <c r="AF38" s="430"/>
    </row>
    <row r="39" spans="1:32" s="10" customFormat="1" ht="11.25" x14ac:dyDescent="0.2">
      <c r="A39" s="4307"/>
      <c r="B39" s="492"/>
      <c r="C39" s="480"/>
      <c r="D39" s="4311" t="s">
        <v>808</v>
      </c>
      <c r="E39" s="4312">
        <v>6.17</v>
      </c>
      <c r="F39" s="414">
        <v>5.7</v>
      </c>
      <c r="G39" s="414">
        <v>5.72</v>
      </c>
      <c r="H39" s="515"/>
      <c r="I39" s="414"/>
      <c r="J39" s="414"/>
      <c r="K39" s="414"/>
      <c r="L39" s="414"/>
      <c r="M39" s="414"/>
      <c r="N39" s="414"/>
      <c r="O39" s="414"/>
      <c r="P39" s="414"/>
      <c r="Q39" s="414"/>
      <c r="R39" s="414"/>
      <c r="S39" s="462"/>
      <c r="T39" s="462"/>
      <c r="U39" s="462"/>
      <c r="V39" s="462"/>
      <c r="W39" s="426"/>
      <c r="X39" s="426"/>
      <c r="Y39" s="426"/>
      <c r="Z39" s="870"/>
      <c r="AA39" s="870"/>
      <c r="AE39" s="429"/>
      <c r="AF39" s="430"/>
    </row>
    <row r="40" spans="1:32" s="10" customFormat="1" ht="11.25" x14ac:dyDescent="0.2">
      <c r="A40" s="4307"/>
      <c r="B40" s="492"/>
      <c r="C40" s="480"/>
      <c r="D40" s="4311" t="s">
        <v>809</v>
      </c>
      <c r="E40" s="4312">
        <v>5.54</v>
      </c>
      <c r="F40" s="414">
        <v>5.01</v>
      </c>
      <c r="G40" s="414">
        <v>5.09</v>
      </c>
      <c r="H40" s="515"/>
      <c r="I40" s="414"/>
      <c r="J40" s="414"/>
      <c r="K40" s="414"/>
      <c r="L40" s="414"/>
      <c r="M40" s="414"/>
      <c r="N40" s="414"/>
      <c r="O40" s="414"/>
      <c r="P40" s="414"/>
      <c r="Q40" s="414"/>
      <c r="R40" s="414"/>
      <c r="S40" s="462"/>
      <c r="T40" s="462"/>
      <c r="U40" s="462"/>
      <c r="V40" s="462"/>
      <c r="W40" s="426"/>
      <c r="X40" s="426"/>
      <c r="Y40" s="426"/>
      <c r="Z40" s="870"/>
      <c r="AA40" s="870"/>
      <c r="AE40" s="429"/>
      <c r="AF40" s="430"/>
    </row>
    <row r="41" spans="1:32" s="10" customFormat="1" ht="11.25" x14ac:dyDescent="0.2">
      <c r="A41" s="4307"/>
      <c r="B41" s="492"/>
      <c r="C41" s="480"/>
      <c r="D41" s="4311" t="s">
        <v>810</v>
      </c>
      <c r="E41" s="4312">
        <v>4.92</v>
      </c>
      <c r="F41" s="414">
        <v>5.75</v>
      </c>
      <c r="G41" s="414">
        <v>5.55</v>
      </c>
      <c r="H41" s="515"/>
      <c r="I41" s="414"/>
      <c r="J41" s="414"/>
      <c r="K41" s="414"/>
      <c r="L41" s="414"/>
      <c r="M41" s="414"/>
      <c r="N41" s="414"/>
      <c r="O41" s="414"/>
      <c r="P41" s="414"/>
      <c r="Q41" s="414"/>
      <c r="R41" s="414"/>
      <c r="S41" s="462"/>
      <c r="T41" s="462"/>
      <c r="U41" s="462"/>
      <c r="V41" s="462"/>
      <c r="W41" s="426"/>
      <c r="X41" s="426"/>
      <c r="Y41" s="426"/>
      <c r="Z41" s="870"/>
      <c r="AA41" s="870"/>
      <c r="AE41" s="429"/>
      <c r="AF41" s="430"/>
    </row>
    <row r="42" spans="1:32" s="10" customFormat="1" ht="11.25" x14ac:dyDescent="0.2">
      <c r="A42" s="4307"/>
      <c r="B42" s="492"/>
      <c r="C42" s="480"/>
      <c r="D42" s="4311" t="s">
        <v>811</v>
      </c>
      <c r="E42" s="4312">
        <v>4.47</v>
      </c>
      <c r="F42" s="414">
        <v>5.57</v>
      </c>
      <c r="G42" s="414">
        <v>5.36</v>
      </c>
      <c r="H42" s="515"/>
      <c r="I42" s="414"/>
      <c r="J42" s="414"/>
      <c r="K42" s="414"/>
      <c r="L42" s="414"/>
      <c r="M42" s="414"/>
      <c r="N42" s="414"/>
      <c r="O42" s="414"/>
      <c r="P42" s="414"/>
      <c r="Q42" s="414"/>
      <c r="R42" s="414"/>
      <c r="S42" s="462"/>
      <c r="T42" s="462"/>
      <c r="U42" s="462"/>
      <c r="V42" s="462"/>
      <c r="W42" s="426"/>
      <c r="X42" s="426"/>
      <c r="Y42" s="426"/>
      <c r="Z42" s="870"/>
      <c r="AA42" s="870"/>
      <c r="AE42" s="429"/>
      <c r="AF42" s="430"/>
    </row>
    <row r="43" spans="1:32" s="10" customFormat="1" ht="11.25" x14ac:dyDescent="0.2">
      <c r="A43" s="4307"/>
      <c r="B43" s="492"/>
      <c r="C43" s="480"/>
      <c r="D43" s="4311" t="s">
        <v>812</v>
      </c>
      <c r="E43" s="4312">
        <v>4.53</v>
      </c>
      <c r="F43" s="414">
        <v>4.7699999999999996</v>
      </c>
      <c r="G43" s="414">
        <v>4.7300000000000004</v>
      </c>
      <c r="H43" s="515"/>
      <c r="I43" s="414"/>
      <c r="J43" s="414"/>
      <c r="K43" s="414"/>
      <c r="L43" s="414"/>
      <c r="M43" s="414"/>
      <c r="N43" s="414"/>
      <c r="O43" s="414"/>
      <c r="P43" s="414"/>
      <c r="Q43" s="414"/>
      <c r="R43" s="414"/>
      <c r="S43" s="462"/>
      <c r="T43" s="462"/>
      <c r="U43" s="462"/>
      <c r="V43" s="462"/>
      <c r="W43" s="426"/>
      <c r="X43" s="426"/>
      <c r="Y43" s="426"/>
      <c r="Z43" s="870"/>
      <c r="AA43" s="870"/>
      <c r="AE43" s="429"/>
      <c r="AF43" s="430"/>
    </row>
    <row r="44" spans="1:32" s="10" customFormat="1" ht="11.25" x14ac:dyDescent="0.2">
      <c r="A44" s="4307"/>
      <c r="B44" s="492"/>
      <c r="C44" s="480"/>
      <c r="D44" s="4311" t="s">
        <v>813</v>
      </c>
      <c r="E44" s="4312">
        <v>3.78</v>
      </c>
      <c r="F44" s="414">
        <v>4.32</v>
      </c>
      <c r="G44" s="414">
        <v>4.33</v>
      </c>
      <c r="H44" s="515"/>
      <c r="I44" s="414"/>
      <c r="J44" s="414"/>
      <c r="K44" s="414"/>
      <c r="L44" s="414"/>
      <c r="M44" s="414"/>
      <c r="N44" s="414"/>
      <c r="O44" s="414"/>
      <c r="P44" s="414"/>
      <c r="Q44" s="414"/>
      <c r="R44" s="414"/>
      <c r="S44" s="462"/>
      <c r="T44" s="462"/>
      <c r="U44" s="462"/>
      <c r="V44" s="462"/>
      <c r="W44" s="426"/>
      <c r="X44" s="426"/>
      <c r="Y44" s="426"/>
      <c r="Z44" s="870"/>
      <c r="AA44" s="870"/>
      <c r="AE44" s="429"/>
      <c r="AF44" s="430"/>
    </row>
    <row r="45" spans="1:32" s="10" customFormat="1" ht="22.5" x14ac:dyDescent="0.2">
      <c r="A45" s="4307"/>
      <c r="B45" s="492"/>
      <c r="C45" s="480"/>
      <c r="D45" s="4311" t="s">
        <v>814</v>
      </c>
      <c r="E45" s="4312">
        <v>3.62</v>
      </c>
      <c r="F45" s="414">
        <v>3.97</v>
      </c>
      <c r="G45" s="414">
        <v>3.95</v>
      </c>
      <c r="H45" s="515"/>
      <c r="I45" s="414"/>
      <c r="J45" s="414"/>
      <c r="K45" s="414"/>
      <c r="L45" s="414"/>
      <c r="M45" s="414"/>
      <c r="N45" s="414"/>
      <c r="O45" s="414"/>
      <c r="P45" s="414"/>
      <c r="Q45" s="414"/>
      <c r="R45" s="414"/>
      <c r="S45" s="462"/>
      <c r="T45" s="462"/>
      <c r="U45" s="462"/>
      <c r="V45" s="462"/>
      <c r="W45" s="426"/>
      <c r="X45" s="426"/>
      <c r="Y45" s="426"/>
      <c r="Z45" s="870"/>
      <c r="AA45" s="870"/>
      <c r="AE45" s="429"/>
      <c r="AF45" s="430"/>
    </row>
    <row r="46" spans="1:32" s="10" customFormat="1" ht="11.25" x14ac:dyDescent="0.2">
      <c r="A46" s="4307"/>
      <c r="B46" s="492"/>
      <c r="C46" s="480"/>
      <c r="D46" s="4313" t="s">
        <v>796</v>
      </c>
      <c r="E46" s="4314">
        <v>47</v>
      </c>
      <c r="F46" s="522">
        <v>44.82</v>
      </c>
      <c r="G46" s="522">
        <v>45.49</v>
      </c>
      <c r="H46" s="4315"/>
      <c r="I46" s="414"/>
      <c r="J46" s="414"/>
      <c r="K46" s="414"/>
      <c r="L46" s="414"/>
      <c r="M46" s="414"/>
      <c r="N46" s="414"/>
      <c r="O46" s="414"/>
      <c r="P46" s="414"/>
      <c r="Q46" s="414"/>
      <c r="R46" s="414"/>
      <c r="S46" s="462"/>
      <c r="T46" s="462"/>
      <c r="U46" s="462"/>
      <c r="V46" s="462"/>
      <c r="W46" s="426"/>
      <c r="X46" s="426"/>
      <c r="Y46" s="426"/>
      <c r="Z46" s="870"/>
      <c r="AA46" s="870"/>
      <c r="AE46" s="429"/>
      <c r="AF46" s="430"/>
    </row>
    <row r="47" spans="1:32" s="10" customFormat="1" ht="11.25" x14ac:dyDescent="0.2">
      <c r="A47" s="4307"/>
      <c r="B47" s="492"/>
      <c r="C47" s="480"/>
      <c r="D47" s="474"/>
      <c r="E47" s="414"/>
      <c r="F47" s="414"/>
      <c r="G47" s="414"/>
      <c r="H47" s="414"/>
      <c r="I47" s="414"/>
      <c r="J47" s="414"/>
      <c r="K47" s="414"/>
      <c r="L47" s="414"/>
      <c r="M47" s="414"/>
      <c r="N47" s="414"/>
      <c r="O47" s="414"/>
      <c r="P47" s="414"/>
      <c r="Q47" s="462"/>
      <c r="R47" s="462"/>
      <c r="S47" s="462"/>
      <c r="T47" s="462"/>
      <c r="U47" s="426"/>
      <c r="V47" s="426"/>
      <c r="W47" s="426"/>
      <c r="X47" s="426"/>
      <c r="Y47" s="426"/>
      <c r="Z47" s="870"/>
      <c r="AA47" s="870"/>
      <c r="AC47" s="429"/>
      <c r="AD47" s="430"/>
    </row>
    <row r="48" spans="1:32" s="10" customFormat="1" ht="11.25" x14ac:dyDescent="0.2">
      <c r="A48" s="4307"/>
      <c r="B48" s="492"/>
      <c r="C48" s="480"/>
      <c r="D48" s="474"/>
      <c r="E48" s="414"/>
      <c r="F48" s="414"/>
      <c r="G48" s="414"/>
      <c r="H48" s="414"/>
      <c r="I48" s="414"/>
      <c r="J48" s="414"/>
      <c r="K48" s="414"/>
      <c r="L48" s="414"/>
      <c r="M48" s="414"/>
      <c r="N48" s="414"/>
      <c r="O48" s="414"/>
      <c r="P48" s="414"/>
      <c r="Q48" s="462"/>
      <c r="R48" s="462"/>
      <c r="S48" s="462"/>
      <c r="T48" s="462"/>
      <c r="U48" s="426"/>
      <c r="V48" s="426"/>
      <c r="W48" s="426"/>
      <c r="X48" s="426"/>
      <c r="Y48" s="426"/>
      <c r="Z48" s="870"/>
      <c r="AA48" s="870"/>
      <c r="AC48" s="429"/>
      <c r="AD48" s="430"/>
    </row>
    <row r="49" spans="1:44" s="10" customFormat="1" ht="11.25" x14ac:dyDescent="0.2">
      <c r="A49" s="79"/>
      <c r="B49" s="80"/>
      <c r="C49" s="81"/>
      <c r="D49" s="71" t="s">
        <v>663</v>
      </c>
      <c r="E49" s="71" t="s">
        <v>815</v>
      </c>
      <c r="F49" s="413"/>
      <c r="G49" s="413"/>
      <c r="H49" s="413"/>
      <c r="I49" s="413"/>
      <c r="J49" s="413"/>
      <c r="K49" s="413"/>
      <c r="L49" s="413"/>
      <c r="M49" s="413"/>
      <c r="N49" s="413"/>
      <c r="O49" s="413"/>
      <c r="P49" s="413"/>
      <c r="Q49" s="88"/>
      <c r="R49" s="88"/>
      <c r="S49" s="88"/>
      <c r="T49" s="88"/>
    </row>
    <row r="50" spans="1:44" s="10" customFormat="1" ht="11.25" x14ac:dyDescent="0.2">
      <c r="A50" s="79"/>
      <c r="B50" s="80"/>
      <c r="C50" s="81"/>
      <c r="D50" s="431"/>
      <c r="E50" s="4316">
        <v>1997</v>
      </c>
      <c r="F50" s="4316">
        <v>1998</v>
      </c>
      <c r="G50" s="4316">
        <v>1999</v>
      </c>
      <c r="H50" s="4316">
        <v>2000</v>
      </c>
      <c r="I50" s="4316">
        <v>2001</v>
      </c>
      <c r="J50" s="4316">
        <v>2002</v>
      </c>
      <c r="K50" s="4316">
        <v>2003</v>
      </c>
      <c r="L50" s="4316">
        <v>2004</v>
      </c>
      <c r="M50" s="4316">
        <v>2005</v>
      </c>
      <c r="N50" s="4316">
        <v>2006</v>
      </c>
      <c r="O50" s="4316">
        <v>2007</v>
      </c>
      <c r="P50" s="4316">
        <v>2008</v>
      </c>
      <c r="Q50" s="4316">
        <v>2009</v>
      </c>
      <c r="R50" s="4316">
        <v>2010</v>
      </c>
      <c r="S50" s="4316">
        <v>2011</v>
      </c>
      <c r="T50" s="4316">
        <v>2012</v>
      </c>
      <c r="U50" s="4316">
        <v>2013</v>
      </c>
      <c r="V50" s="4316">
        <v>2014</v>
      </c>
      <c r="W50" s="4317">
        <v>2015</v>
      </c>
      <c r="X50" s="4317">
        <v>2016</v>
      </c>
      <c r="Y50" s="4317">
        <v>2017</v>
      </c>
      <c r="Z50" s="4317">
        <v>2018</v>
      </c>
      <c r="AA50" s="4317">
        <v>2019</v>
      </c>
      <c r="AB50" s="4317">
        <v>2020</v>
      </c>
      <c r="AC50" s="3406">
        <v>2021</v>
      </c>
    </row>
    <row r="51" spans="1:44" s="10" customFormat="1" ht="11.25" x14ac:dyDescent="0.2">
      <c r="A51" s="79"/>
      <c r="B51" s="80"/>
      <c r="C51" s="81"/>
      <c r="D51" s="425" t="s">
        <v>816</v>
      </c>
      <c r="E51" s="432">
        <v>355</v>
      </c>
      <c r="F51" s="433">
        <v>200</v>
      </c>
      <c r="G51" s="433">
        <v>140</v>
      </c>
      <c r="H51" s="434">
        <v>902</v>
      </c>
      <c r="I51" s="434">
        <v>968</v>
      </c>
      <c r="J51" s="434">
        <v>983</v>
      </c>
      <c r="K51" s="434">
        <v>924</v>
      </c>
      <c r="L51" s="434">
        <v>957</v>
      </c>
      <c r="M51" s="434" t="s">
        <v>817</v>
      </c>
      <c r="N51" s="434">
        <v>868</v>
      </c>
      <c r="O51" s="434">
        <v>918</v>
      </c>
      <c r="P51" s="434">
        <v>863</v>
      </c>
      <c r="Q51" s="434">
        <v>833</v>
      </c>
      <c r="R51" s="434">
        <v>822</v>
      </c>
      <c r="S51" s="434">
        <v>567</v>
      </c>
      <c r="T51" s="434">
        <v>685</v>
      </c>
      <c r="U51" s="434">
        <v>474</v>
      </c>
      <c r="V51" s="434">
        <v>445</v>
      </c>
      <c r="W51" s="433">
        <v>453</v>
      </c>
      <c r="X51" s="433">
        <v>403</v>
      </c>
      <c r="Y51" s="433">
        <v>595</v>
      </c>
      <c r="Z51" s="433">
        <v>451</v>
      </c>
      <c r="AA51" s="433">
        <v>694</v>
      </c>
      <c r="AB51" s="433">
        <v>313</v>
      </c>
      <c r="AC51" s="435">
        <v>565</v>
      </c>
    </row>
    <row r="52" spans="1:44" s="441" customFormat="1" ht="12" x14ac:dyDescent="0.2">
      <c r="A52" s="436"/>
      <c r="B52" s="437"/>
      <c r="C52" s="438"/>
      <c r="D52" s="439" t="s">
        <v>499</v>
      </c>
      <c r="E52" s="4318">
        <v>38</v>
      </c>
      <c r="F52" s="4319">
        <v>37</v>
      </c>
      <c r="G52" s="4319">
        <v>43</v>
      </c>
      <c r="H52" s="4320">
        <v>21</v>
      </c>
      <c r="I52" s="4320">
        <v>20</v>
      </c>
      <c r="J52" s="4320">
        <v>18</v>
      </c>
      <c r="K52" s="4320">
        <v>22</v>
      </c>
      <c r="L52" s="4320">
        <v>19</v>
      </c>
      <c r="M52" s="4320">
        <v>23</v>
      </c>
      <c r="N52" s="4320">
        <v>25</v>
      </c>
      <c r="O52" s="4320">
        <v>24</v>
      </c>
      <c r="P52" s="4320">
        <v>23</v>
      </c>
      <c r="Q52" s="4320">
        <v>26</v>
      </c>
      <c r="R52" s="4320">
        <v>26</v>
      </c>
      <c r="S52" s="4320">
        <v>30</v>
      </c>
      <c r="T52" s="4320">
        <v>26</v>
      </c>
      <c r="U52" s="4320">
        <v>31</v>
      </c>
      <c r="V52" s="4320">
        <v>31</v>
      </c>
      <c r="W52" s="4319">
        <v>30</v>
      </c>
      <c r="X52" s="4319"/>
      <c r="Y52" s="4319"/>
      <c r="Z52" s="4319"/>
      <c r="AA52" s="4319"/>
      <c r="AB52" s="4319"/>
      <c r="AC52" s="3407"/>
      <c r="AD52" s="440"/>
      <c r="AE52" s="440"/>
    </row>
    <row r="53" spans="1:44" s="10" customFormat="1" ht="12" x14ac:dyDescent="0.2">
      <c r="A53" s="79"/>
      <c r="B53" s="80"/>
      <c r="C53" s="81"/>
      <c r="D53" s="425" t="s">
        <v>818</v>
      </c>
      <c r="E53" s="442">
        <v>6917</v>
      </c>
      <c r="F53" s="443" t="s">
        <v>819</v>
      </c>
      <c r="G53" s="443" t="s">
        <v>820</v>
      </c>
      <c r="H53" s="444" t="s">
        <v>821</v>
      </c>
      <c r="I53" s="444" t="s">
        <v>822</v>
      </c>
      <c r="J53" s="444" t="s">
        <v>823</v>
      </c>
      <c r="K53" s="444" t="s">
        <v>824</v>
      </c>
      <c r="L53" s="444">
        <v>846</v>
      </c>
      <c r="M53" s="444">
        <v>821</v>
      </c>
      <c r="N53" s="444">
        <v>572</v>
      </c>
      <c r="O53" s="444">
        <v>537</v>
      </c>
      <c r="P53" s="444">
        <v>879</v>
      </c>
      <c r="Q53" s="444">
        <v>806</v>
      </c>
      <c r="R53" s="444">
        <v>4509</v>
      </c>
      <c r="S53" s="444">
        <v>4729</v>
      </c>
      <c r="T53" s="444">
        <v>5520</v>
      </c>
      <c r="U53" s="444">
        <v>4282</v>
      </c>
      <c r="V53" s="444">
        <v>4620</v>
      </c>
      <c r="W53" s="443">
        <v>4046</v>
      </c>
      <c r="X53" s="443">
        <v>3852</v>
      </c>
      <c r="Y53" s="443">
        <v>4940</v>
      </c>
      <c r="Z53" s="443">
        <v>4295</v>
      </c>
      <c r="AA53" s="443">
        <v>5468</v>
      </c>
      <c r="AB53" s="443">
        <v>3153</v>
      </c>
      <c r="AC53" s="445">
        <v>5542</v>
      </c>
      <c r="AD53" s="446"/>
      <c r="AE53" s="447"/>
    </row>
    <row r="54" spans="1:44" s="441" customFormat="1" ht="12" x14ac:dyDescent="0.2">
      <c r="A54" s="436"/>
      <c r="B54" s="437"/>
      <c r="C54" s="438"/>
      <c r="D54" s="439" t="s">
        <v>499</v>
      </c>
      <c r="E54" s="4318">
        <v>14</v>
      </c>
      <c r="F54" s="4319">
        <v>7</v>
      </c>
      <c r="G54" s="4319">
        <v>7</v>
      </c>
      <c r="H54" s="4320">
        <v>15</v>
      </c>
      <c r="I54" s="4320">
        <v>18</v>
      </c>
      <c r="J54" s="4320">
        <v>11</v>
      </c>
      <c r="K54" s="4320">
        <v>11</v>
      </c>
      <c r="L54" s="4320">
        <v>24</v>
      </c>
      <c r="M54" s="4320">
        <v>26</v>
      </c>
      <c r="N54" s="4320">
        <v>31</v>
      </c>
      <c r="O54" s="4320">
        <v>29</v>
      </c>
      <c r="P54" s="4320">
        <v>30</v>
      </c>
      <c r="Q54" s="4320">
        <v>29</v>
      </c>
      <c r="R54" s="4320">
        <v>12</v>
      </c>
      <c r="S54" s="4320">
        <v>12</v>
      </c>
      <c r="T54" s="4320">
        <v>11</v>
      </c>
      <c r="U54" s="4320">
        <v>14</v>
      </c>
      <c r="V54" s="4320">
        <v>14</v>
      </c>
      <c r="W54" s="4319">
        <v>14</v>
      </c>
      <c r="X54" s="4319"/>
      <c r="Y54" s="4319"/>
      <c r="Z54" s="4319"/>
      <c r="AA54" s="4319"/>
      <c r="AB54" s="4319"/>
      <c r="AC54" s="3407"/>
      <c r="AD54" s="446"/>
      <c r="AE54" s="446"/>
    </row>
    <row r="55" spans="1:44" s="10" customFormat="1" ht="12" x14ac:dyDescent="0.2">
      <c r="A55" s="79"/>
      <c r="B55" s="80"/>
      <c r="C55" s="81"/>
      <c r="D55" s="425" t="s">
        <v>825</v>
      </c>
      <c r="E55" s="442">
        <v>458</v>
      </c>
      <c r="F55" s="443">
        <v>379</v>
      </c>
      <c r="G55" s="443">
        <v>386</v>
      </c>
      <c r="H55" s="444">
        <v>420</v>
      </c>
      <c r="I55" s="444">
        <v>415</v>
      </c>
      <c r="J55" s="444">
        <v>425</v>
      </c>
      <c r="K55" s="444">
        <v>433</v>
      </c>
      <c r="L55" s="444">
        <v>431</v>
      </c>
      <c r="M55" s="444">
        <v>483</v>
      </c>
      <c r="N55" s="444">
        <v>378</v>
      </c>
      <c r="O55" s="444">
        <v>428</v>
      </c>
      <c r="P55" s="444">
        <v>467</v>
      </c>
      <c r="Q55" s="444">
        <v>415</v>
      </c>
      <c r="R55" s="444">
        <v>559</v>
      </c>
      <c r="S55" s="444">
        <v>555</v>
      </c>
      <c r="T55" s="444">
        <v>667</v>
      </c>
      <c r="U55" s="444">
        <v>965</v>
      </c>
      <c r="V55" s="444">
        <v>889</v>
      </c>
      <c r="W55" s="443">
        <v>773</v>
      </c>
      <c r="X55" s="443">
        <v>674</v>
      </c>
      <c r="Y55" s="443">
        <v>835</v>
      </c>
      <c r="Z55" s="443">
        <v>992</v>
      </c>
      <c r="AA55" s="443">
        <v>861</v>
      </c>
      <c r="AB55" s="443">
        <v>710</v>
      </c>
      <c r="AC55" s="445">
        <v>747</v>
      </c>
      <c r="AD55" s="446"/>
      <c r="AE55" s="447"/>
    </row>
    <row r="56" spans="1:44" s="441" customFormat="1" ht="12" x14ac:dyDescent="0.2">
      <c r="A56" s="436"/>
      <c r="B56" s="437"/>
      <c r="C56" s="438"/>
      <c r="D56" s="448" t="s">
        <v>499</v>
      </c>
      <c r="E56" s="449">
        <v>21</v>
      </c>
      <c r="F56" s="449">
        <v>22</v>
      </c>
      <c r="G56" s="449">
        <v>21</v>
      </c>
      <c r="H56" s="450">
        <v>21</v>
      </c>
      <c r="I56" s="450">
        <v>22</v>
      </c>
      <c r="J56" s="450">
        <v>23</v>
      </c>
      <c r="K56" s="450">
        <v>26</v>
      </c>
      <c r="L56" s="450">
        <v>26</v>
      </c>
      <c r="M56" s="450">
        <v>25</v>
      </c>
      <c r="N56" s="450">
        <v>28</v>
      </c>
      <c r="O56" s="450">
        <v>28</v>
      </c>
      <c r="P56" s="450">
        <v>27</v>
      </c>
      <c r="Q56" s="450">
        <v>32</v>
      </c>
      <c r="R56" s="450">
        <v>29</v>
      </c>
      <c r="S56" s="450">
        <v>30</v>
      </c>
      <c r="T56" s="450">
        <v>28</v>
      </c>
      <c r="U56" s="450">
        <v>26</v>
      </c>
      <c r="V56" s="450">
        <v>27</v>
      </c>
      <c r="W56" s="451">
        <v>29</v>
      </c>
      <c r="X56" s="451"/>
      <c r="Y56" s="451"/>
      <c r="Z56" s="451"/>
      <c r="AA56" s="451"/>
      <c r="AB56" s="451"/>
      <c r="AC56" s="452"/>
      <c r="AD56" s="446"/>
      <c r="AE56" s="446"/>
    </row>
    <row r="57" spans="1:44" s="441" customFormat="1" ht="12" x14ac:dyDescent="0.2">
      <c r="A57" s="436"/>
      <c r="B57" s="437"/>
      <c r="C57" s="438"/>
      <c r="D57" s="453"/>
      <c r="E57" s="454"/>
      <c r="F57" s="454"/>
      <c r="G57" s="454"/>
      <c r="H57" s="454"/>
      <c r="I57" s="454"/>
      <c r="J57" s="454"/>
      <c r="K57" s="454"/>
      <c r="L57" s="454"/>
      <c r="M57" s="454"/>
      <c r="N57" s="454"/>
      <c r="O57" s="454"/>
      <c r="P57" s="454"/>
      <c r="Q57" s="454"/>
      <c r="R57" s="454"/>
      <c r="S57" s="454"/>
      <c r="T57" s="454"/>
      <c r="U57" s="454"/>
      <c r="V57" s="454"/>
      <c r="W57" s="455"/>
      <c r="X57" s="446"/>
      <c r="Y57" s="446"/>
      <c r="Z57" s="446"/>
      <c r="AA57" s="446"/>
      <c r="AB57" s="446"/>
      <c r="AC57" s="453"/>
      <c r="AD57" s="454"/>
      <c r="AE57" s="454"/>
      <c r="AF57" s="454"/>
      <c r="AG57" s="454"/>
      <c r="AH57" s="454"/>
      <c r="AI57" s="454"/>
      <c r="AJ57" s="454"/>
      <c r="AK57" s="454"/>
      <c r="AL57" s="454"/>
      <c r="AM57" s="454"/>
      <c r="AN57" s="454"/>
      <c r="AO57" s="454"/>
      <c r="AP57" s="454"/>
      <c r="AQ57" s="454"/>
      <c r="AR57" s="454"/>
    </row>
    <row r="58" spans="1:44" ht="12.75" customHeight="1" x14ac:dyDescent="0.25">
      <c r="A58" s="69">
        <v>6</v>
      </c>
      <c r="B58" s="70" t="s">
        <v>52</v>
      </c>
      <c r="C58" s="69"/>
      <c r="D58" s="4603" t="s">
        <v>642</v>
      </c>
      <c r="E58" s="4604"/>
      <c r="F58" s="4604"/>
      <c r="G58" s="4604"/>
      <c r="H58" s="4604"/>
      <c r="I58" s="4604"/>
      <c r="J58" s="4604"/>
      <c r="K58" s="4604"/>
      <c r="L58" s="4604"/>
      <c r="M58" s="4604"/>
      <c r="N58" s="4604"/>
      <c r="O58" s="4604"/>
      <c r="P58" s="4604"/>
      <c r="Q58" s="4604"/>
      <c r="R58" s="4604"/>
      <c r="S58" s="4604"/>
      <c r="T58" s="4604"/>
      <c r="U58" s="4604"/>
      <c r="V58" s="4604"/>
      <c r="W58" s="4604"/>
      <c r="X58" s="4604"/>
      <c r="Y58" s="4605"/>
      <c r="Z58" s="4176"/>
      <c r="AA58" s="4176"/>
      <c r="AB58" s="446"/>
      <c r="AC58" s="447"/>
      <c r="AD58" s="446"/>
    </row>
    <row r="59" spans="1:44" ht="39.75" customHeight="1" x14ac:dyDescent="0.25">
      <c r="A59" s="90">
        <v>7</v>
      </c>
      <c r="B59" s="91" t="s">
        <v>54</v>
      </c>
      <c r="C59" s="90"/>
      <c r="D59" s="4737" t="s">
        <v>826</v>
      </c>
      <c r="E59" s="4738"/>
      <c r="F59" s="4738"/>
      <c r="G59" s="4738"/>
      <c r="H59" s="4738"/>
      <c r="I59" s="4738"/>
      <c r="J59" s="4738"/>
      <c r="K59" s="4738"/>
      <c r="L59" s="4738"/>
      <c r="M59" s="4738"/>
      <c r="N59" s="4738"/>
      <c r="O59" s="4738"/>
      <c r="P59" s="4738"/>
      <c r="Q59" s="4738"/>
      <c r="R59" s="4738"/>
      <c r="S59" s="4738"/>
      <c r="T59" s="4738"/>
      <c r="U59" s="4738"/>
      <c r="V59" s="4738"/>
      <c r="W59" s="4738"/>
      <c r="X59" s="4738"/>
      <c r="Y59" s="4739"/>
      <c r="Z59" s="344"/>
      <c r="AA59" s="344"/>
      <c r="AB59" s="447"/>
      <c r="AC59" s="446"/>
      <c r="AD59" s="447"/>
      <c r="AE59" s="446"/>
      <c r="AF59" s="447"/>
      <c r="AG59" s="446"/>
    </row>
    <row r="60" spans="1:44" ht="21.95" customHeight="1" x14ac:dyDescent="0.25">
      <c r="A60" s="69">
        <v>8</v>
      </c>
      <c r="B60" s="70" t="s">
        <v>56</v>
      </c>
      <c r="C60" s="69"/>
      <c r="D60" s="4737" t="s">
        <v>827</v>
      </c>
      <c r="E60" s="4738"/>
      <c r="F60" s="4738"/>
      <c r="G60" s="4738"/>
      <c r="H60" s="4738"/>
      <c r="I60" s="4738"/>
      <c r="J60" s="4738"/>
      <c r="K60" s="4738"/>
      <c r="L60" s="4738"/>
      <c r="M60" s="4738"/>
      <c r="N60" s="4738"/>
      <c r="O60" s="4738"/>
      <c r="P60" s="4738"/>
      <c r="Q60" s="4738"/>
      <c r="R60" s="4738"/>
      <c r="S60" s="4738"/>
      <c r="T60" s="4738"/>
      <c r="U60" s="4738"/>
      <c r="V60" s="4738"/>
      <c r="W60" s="4738"/>
      <c r="X60" s="4738"/>
      <c r="Y60" s="4739"/>
      <c r="Z60" s="344"/>
      <c r="AA60" s="344"/>
      <c r="AB60" s="447"/>
      <c r="AC60" s="446"/>
      <c r="AD60" s="447"/>
      <c r="AE60" s="446"/>
      <c r="AF60" s="447"/>
      <c r="AG60" s="446"/>
    </row>
    <row r="61" spans="1:44" ht="46.35" customHeight="1" x14ac:dyDescent="0.25">
      <c r="A61" s="69">
        <v>9</v>
      </c>
      <c r="B61" s="70" t="s">
        <v>355</v>
      </c>
      <c r="D61" s="4737" t="s">
        <v>828</v>
      </c>
      <c r="E61" s="4738"/>
      <c r="F61" s="4738"/>
      <c r="G61" s="4738"/>
      <c r="H61" s="4738"/>
      <c r="I61" s="4738"/>
      <c r="J61" s="4738"/>
      <c r="K61" s="4738"/>
      <c r="L61" s="4738"/>
      <c r="M61" s="4738"/>
      <c r="N61" s="4738"/>
      <c r="O61" s="4738"/>
      <c r="P61" s="4738"/>
      <c r="Q61" s="4738"/>
      <c r="R61" s="4738"/>
      <c r="S61" s="4738"/>
      <c r="T61" s="4738"/>
      <c r="U61" s="4738"/>
      <c r="V61" s="4738"/>
      <c r="W61" s="4738"/>
      <c r="X61" s="4738"/>
      <c r="Y61" s="4739"/>
      <c r="Z61" s="344"/>
      <c r="AA61" s="344"/>
      <c r="AB61" s="447"/>
      <c r="AC61" s="446"/>
      <c r="AD61" s="447"/>
      <c r="AE61" s="446"/>
      <c r="AF61" s="447"/>
      <c r="AG61" s="446"/>
    </row>
  </sheetData>
  <mergeCells count="7">
    <mergeCell ref="D61:Y61"/>
    <mergeCell ref="D2:Z2"/>
    <mergeCell ref="D3:Z3"/>
    <mergeCell ref="D4:Z4"/>
    <mergeCell ref="D58:Y58"/>
    <mergeCell ref="D59:Y59"/>
    <mergeCell ref="D60:Y60"/>
  </mergeCells>
  <pageMargins left="0.74803149606299202" right="0.74803149606299202" top="0.98425196850393704" bottom="0.98425196850393704" header="0.511811023622047" footer="0.511811023622047"/>
  <pageSetup paperSize="9" scale="40"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D6C06-6EDD-4AC7-AFD9-1AF6C8E10E03}">
  <sheetPr>
    <tabColor rgb="FFFF0000"/>
    <pageSetUpPr fitToPage="1"/>
  </sheetPr>
  <dimension ref="A2:AK62"/>
  <sheetViews>
    <sheetView showGridLines="0" view="pageBreakPreview" topLeftCell="C13" zoomScaleNormal="100" zoomScaleSheetLayoutView="100" workbookViewId="0">
      <selection activeCell="S28" sqref="S28"/>
    </sheetView>
  </sheetViews>
  <sheetFormatPr defaultColWidth="9.140625" defaultRowHeight="14.25" x14ac:dyDescent="0.2"/>
  <cols>
    <col min="1" max="1" width="3.85546875" style="3004" customWidth="1"/>
    <col min="2" max="2" width="11.140625" style="507" customWidth="1"/>
    <col min="3" max="3" width="3.85546875" style="507" customWidth="1"/>
    <col min="4" max="4" width="24.5703125" style="508" customWidth="1"/>
    <col min="5" max="6" width="8.5703125" style="508" customWidth="1"/>
    <col min="7" max="7" width="9" style="508" customWidth="1"/>
    <col min="8" max="9" width="8.5703125" style="508" customWidth="1"/>
    <col min="10" max="10" width="9" style="508" customWidth="1"/>
    <col min="11" max="12" width="8.5703125" style="508" customWidth="1"/>
    <col min="13" max="13" width="9" style="508" hidden="1" customWidth="1"/>
    <col min="14" max="15" width="8.5703125" style="508" hidden="1" customWidth="1"/>
    <col min="16" max="16" width="9" style="508" customWidth="1"/>
    <col min="17" max="18" width="8.5703125" style="508" customWidth="1"/>
    <col min="19" max="19" width="9" style="508" customWidth="1"/>
    <col min="20" max="21" width="8.5703125" style="508" customWidth="1"/>
    <col min="22" max="25" width="9" style="508" customWidth="1"/>
    <col min="26" max="26" width="8.5703125" style="508" customWidth="1"/>
    <col min="27" max="27" width="8.85546875" style="508" customWidth="1"/>
    <col min="28" max="34" width="9" style="508" customWidth="1"/>
    <col min="35" max="35" width="11" style="508" bestFit="1" customWidth="1"/>
    <col min="36" max="258" width="9.140625" style="508"/>
    <col min="259" max="259" width="3.85546875" style="508" customWidth="1"/>
    <col min="260" max="260" width="12.85546875" style="508" customWidth="1"/>
    <col min="261" max="261" width="3.85546875" style="508" customWidth="1"/>
    <col min="262" max="262" width="20.85546875" style="508" customWidth="1"/>
    <col min="263" max="264" width="8.5703125" style="508" customWidth="1"/>
    <col min="265" max="265" width="9" style="508" customWidth="1"/>
    <col min="266" max="267" width="8.5703125" style="508" customWidth="1"/>
    <col min="268" max="268" width="9" style="508" customWidth="1"/>
    <col min="269" max="270" width="8.5703125" style="508" customWidth="1"/>
    <col min="271" max="271" width="9" style="508" customWidth="1"/>
    <col min="272" max="273" width="8.5703125" style="508" customWidth="1"/>
    <col min="274" max="274" width="9" style="508" customWidth="1"/>
    <col min="275" max="276" width="8.5703125" style="508" customWidth="1"/>
    <col min="277" max="277" width="9" style="508" customWidth="1"/>
    <col min="278" max="279" width="8.5703125" style="508" customWidth="1"/>
    <col min="280" max="280" width="9" style="508" customWidth="1"/>
    <col min="281" max="282" width="8.5703125" style="508" customWidth="1"/>
    <col min="283" max="283" width="9" style="508" customWidth="1"/>
    <col min="284" max="514" width="9.140625" style="508"/>
    <col min="515" max="515" width="3.85546875" style="508" customWidth="1"/>
    <col min="516" max="516" width="12.85546875" style="508" customWidth="1"/>
    <col min="517" max="517" width="3.85546875" style="508" customWidth="1"/>
    <col min="518" max="518" width="20.85546875" style="508" customWidth="1"/>
    <col min="519" max="520" width="8.5703125" style="508" customWidth="1"/>
    <col min="521" max="521" width="9" style="508" customWidth="1"/>
    <col min="522" max="523" width="8.5703125" style="508" customWidth="1"/>
    <col min="524" max="524" width="9" style="508" customWidth="1"/>
    <col min="525" max="526" width="8.5703125" style="508" customWidth="1"/>
    <col min="527" max="527" width="9" style="508" customWidth="1"/>
    <col min="528" max="529" width="8.5703125" style="508" customWidth="1"/>
    <col min="530" max="530" width="9" style="508" customWidth="1"/>
    <col min="531" max="532" width="8.5703125" style="508" customWidth="1"/>
    <col min="533" max="533" width="9" style="508" customWidth="1"/>
    <col min="534" max="535" width="8.5703125" style="508" customWidth="1"/>
    <col min="536" max="536" width="9" style="508" customWidth="1"/>
    <col min="537" max="538" width="8.5703125" style="508" customWidth="1"/>
    <col min="539" max="539" width="9" style="508" customWidth="1"/>
    <col min="540" max="770" width="9.140625" style="508"/>
    <col min="771" max="771" width="3.85546875" style="508" customWidth="1"/>
    <col min="772" max="772" width="12.85546875" style="508" customWidth="1"/>
    <col min="773" max="773" width="3.85546875" style="508" customWidth="1"/>
    <col min="774" max="774" width="20.85546875" style="508" customWidth="1"/>
    <col min="775" max="776" width="8.5703125" style="508" customWidth="1"/>
    <col min="777" max="777" width="9" style="508" customWidth="1"/>
    <col min="778" max="779" width="8.5703125" style="508" customWidth="1"/>
    <col min="780" max="780" width="9" style="508" customWidth="1"/>
    <col min="781" max="782" width="8.5703125" style="508" customWidth="1"/>
    <col min="783" max="783" width="9" style="508" customWidth="1"/>
    <col min="784" max="785" width="8.5703125" style="508" customWidth="1"/>
    <col min="786" max="786" width="9" style="508" customWidth="1"/>
    <col min="787" max="788" width="8.5703125" style="508" customWidth="1"/>
    <col min="789" max="789" width="9" style="508" customWidth="1"/>
    <col min="790" max="791" width="8.5703125" style="508" customWidth="1"/>
    <col min="792" max="792" width="9" style="508" customWidth="1"/>
    <col min="793" max="794" width="8.5703125" style="508" customWidth="1"/>
    <col min="795" max="795" width="9" style="508" customWidth="1"/>
    <col min="796" max="1026" width="9.140625" style="508"/>
    <col min="1027" max="1027" width="3.85546875" style="508" customWidth="1"/>
    <col min="1028" max="1028" width="12.85546875" style="508" customWidth="1"/>
    <col min="1029" max="1029" width="3.85546875" style="508" customWidth="1"/>
    <col min="1030" max="1030" width="20.85546875" style="508" customWidth="1"/>
    <col min="1031" max="1032" width="8.5703125" style="508" customWidth="1"/>
    <col min="1033" max="1033" width="9" style="508" customWidth="1"/>
    <col min="1034" max="1035" width="8.5703125" style="508" customWidth="1"/>
    <col min="1036" max="1036" width="9" style="508" customWidth="1"/>
    <col min="1037" max="1038" width="8.5703125" style="508" customWidth="1"/>
    <col min="1039" max="1039" width="9" style="508" customWidth="1"/>
    <col min="1040" max="1041" width="8.5703125" style="508" customWidth="1"/>
    <col min="1042" max="1042" width="9" style="508" customWidth="1"/>
    <col min="1043" max="1044" width="8.5703125" style="508" customWidth="1"/>
    <col min="1045" max="1045" width="9" style="508" customWidth="1"/>
    <col min="1046" max="1047" width="8.5703125" style="508" customWidth="1"/>
    <col min="1048" max="1048" width="9" style="508" customWidth="1"/>
    <col min="1049" max="1050" width="8.5703125" style="508" customWidth="1"/>
    <col min="1051" max="1051" width="9" style="508" customWidth="1"/>
    <col min="1052" max="1282" width="9.140625" style="508"/>
    <col min="1283" max="1283" width="3.85546875" style="508" customWidth="1"/>
    <col min="1284" max="1284" width="12.85546875" style="508" customWidth="1"/>
    <col min="1285" max="1285" width="3.85546875" style="508" customWidth="1"/>
    <col min="1286" max="1286" width="20.85546875" style="508" customWidth="1"/>
    <col min="1287" max="1288" width="8.5703125" style="508" customWidth="1"/>
    <col min="1289" max="1289" width="9" style="508" customWidth="1"/>
    <col min="1290" max="1291" width="8.5703125" style="508" customWidth="1"/>
    <col min="1292" max="1292" width="9" style="508" customWidth="1"/>
    <col min="1293" max="1294" width="8.5703125" style="508" customWidth="1"/>
    <col min="1295" max="1295" width="9" style="508" customWidth="1"/>
    <col min="1296" max="1297" width="8.5703125" style="508" customWidth="1"/>
    <col min="1298" max="1298" width="9" style="508" customWidth="1"/>
    <col min="1299" max="1300" width="8.5703125" style="508" customWidth="1"/>
    <col min="1301" max="1301" width="9" style="508" customWidth="1"/>
    <col min="1302" max="1303" width="8.5703125" style="508" customWidth="1"/>
    <col min="1304" max="1304" width="9" style="508" customWidth="1"/>
    <col min="1305" max="1306" width="8.5703125" style="508" customWidth="1"/>
    <col min="1307" max="1307" width="9" style="508" customWidth="1"/>
    <col min="1308" max="1538" width="9.140625" style="508"/>
    <col min="1539" max="1539" width="3.85546875" style="508" customWidth="1"/>
    <col min="1540" max="1540" width="12.85546875" style="508" customWidth="1"/>
    <col min="1541" max="1541" width="3.85546875" style="508" customWidth="1"/>
    <col min="1542" max="1542" width="20.85546875" style="508" customWidth="1"/>
    <col min="1543" max="1544" width="8.5703125" style="508" customWidth="1"/>
    <col min="1545" max="1545" width="9" style="508" customWidth="1"/>
    <col min="1546" max="1547" width="8.5703125" style="508" customWidth="1"/>
    <col min="1548" max="1548" width="9" style="508" customWidth="1"/>
    <col min="1549" max="1550" width="8.5703125" style="508" customWidth="1"/>
    <col min="1551" max="1551" width="9" style="508" customWidth="1"/>
    <col min="1552" max="1553" width="8.5703125" style="508" customWidth="1"/>
    <col min="1554" max="1554" width="9" style="508" customWidth="1"/>
    <col min="1555" max="1556" width="8.5703125" style="508" customWidth="1"/>
    <col min="1557" max="1557" width="9" style="508" customWidth="1"/>
    <col min="1558" max="1559" width="8.5703125" style="508" customWidth="1"/>
    <col min="1560" max="1560" width="9" style="508" customWidth="1"/>
    <col min="1561" max="1562" width="8.5703125" style="508" customWidth="1"/>
    <col min="1563" max="1563" width="9" style="508" customWidth="1"/>
    <col min="1564" max="1794" width="9.140625" style="508"/>
    <col min="1795" max="1795" width="3.85546875" style="508" customWidth="1"/>
    <col min="1796" max="1796" width="12.85546875" style="508" customWidth="1"/>
    <col min="1797" max="1797" width="3.85546875" style="508" customWidth="1"/>
    <col min="1798" max="1798" width="20.85546875" style="508" customWidth="1"/>
    <col min="1799" max="1800" width="8.5703125" style="508" customWidth="1"/>
    <col min="1801" max="1801" width="9" style="508" customWidth="1"/>
    <col min="1802" max="1803" width="8.5703125" style="508" customWidth="1"/>
    <col min="1804" max="1804" width="9" style="508" customWidth="1"/>
    <col min="1805" max="1806" width="8.5703125" style="508" customWidth="1"/>
    <col min="1807" max="1807" width="9" style="508" customWidth="1"/>
    <col min="1808" max="1809" width="8.5703125" style="508" customWidth="1"/>
    <col min="1810" max="1810" width="9" style="508" customWidth="1"/>
    <col min="1811" max="1812" width="8.5703125" style="508" customWidth="1"/>
    <col min="1813" max="1813" width="9" style="508" customWidth="1"/>
    <col min="1814" max="1815" width="8.5703125" style="508" customWidth="1"/>
    <col min="1816" max="1816" width="9" style="508" customWidth="1"/>
    <col min="1817" max="1818" width="8.5703125" style="508" customWidth="1"/>
    <col min="1819" max="1819" width="9" style="508" customWidth="1"/>
    <col min="1820" max="2050" width="9.140625" style="508"/>
    <col min="2051" max="2051" width="3.85546875" style="508" customWidth="1"/>
    <col min="2052" max="2052" width="12.85546875" style="508" customWidth="1"/>
    <col min="2053" max="2053" width="3.85546875" style="508" customWidth="1"/>
    <col min="2054" max="2054" width="20.85546875" style="508" customWidth="1"/>
    <col min="2055" max="2056" width="8.5703125" style="508" customWidth="1"/>
    <col min="2057" max="2057" width="9" style="508" customWidth="1"/>
    <col min="2058" max="2059" width="8.5703125" style="508" customWidth="1"/>
    <col min="2060" max="2060" width="9" style="508" customWidth="1"/>
    <col min="2061" max="2062" width="8.5703125" style="508" customWidth="1"/>
    <col min="2063" max="2063" width="9" style="508" customWidth="1"/>
    <col min="2064" max="2065" width="8.5703125" style="508" customWidth="1"/>
    <col min="2066" max="2066" width="9" style="508" customWidth="1"/>
    <col min="2067" max="2068" width="8.5703125" style="508" customWidth="1"/>
    <col min="2069" max="2069" width="9" style="508" customWidth="1"/>
    <col min="2070" max="2071" width="8.5703125" style="508" customWidth="1"/>
    <col min="2072" max="2072" width="9" style="508" customWidth="1"/>
    <col min="2073" max="2074" width="8.5703125" style="508" customWidth="1"/>
    <col min="2075" max="2075" width="9" style="508" customWidth="1"/>
    <col min="2076" max="2306" width="9.140625" style="508"/>
    <col min="2307" max="2307" width="3.85546875" style="508" customWidth="1"/>
    <col min="2308" max="2308" width="12.85546875" style="508" customWidth="1"/>
    <col min="2309" max="2309" width="3.85546875" style="508" customWidth="1"/>
    <col min="2310" max="2310" width="20.85546875" style="508" customWidth="1"/>
    <col min="2311" max="2312" width="8.5703125" style="508" customWidth="1"/>
    <col min="2313" max="2313" width="9" style="508" customWidth="1"/>
    <col min="2314" max="2315" width="8.5703125" style="508" customWidth="1"/>
    <col min="2316" max="2316" width="9" style="508" customWidth="1"/>
    <col min="2317" max="2318" width="8.5703125" style="508" customWidth="1"/>
    <col min="2319" max="2319" width="9" style="508" customWidth="1"/>
    <col min="2320" max="2321" width="8.5703125" style="508" customWidth="1"/>
    <col min="2322" max="2322" width="9" style="508" customWidth="1"/>
    <col min="2323" max="2324" width="8.5703125" style="508" customWidth="1"/>
    <col min="2325" max="2325" width="9" style="508" customWidth="1"/>
    <col min="2326" max="2327" width="8.5703125" style="508" customWidth="1"/>
    <col min="2328" max="2328" width="9" style="508" customWidth="1"/>
    <col min="2329" max="2330" width="8.5703125" style="508" customWidth="1"/>
    <col min="2331" max="2331" width="9" style="508" customWidth="1"/>
    <col min="2332" max="2562" width="9.140625" style="508"/>
    <col min="2563" max="2563" width="3.85546875" style="508" customWidth="1"/>
    <col min="2564" max="2564" width="12.85546875" style="508" customWidth="1"/>
    <col min="2565" max="2565" width="3.85546875" style="508" customWidth="1"/>
    <col min="2566" max="2566" width="20.85546875" style="508" customWidth="1"/>
    <col min="2567" max="2568" width="8.5703125" style="508" customWidth="1"/>
    <col min="2569" max="2569" width="9" style="508" customWidth="1"/>
    <col min="2570" max="2571" width="8.5703125" style="508" customWidth="1"/>
    <col min="2572" max="2572" width="9" style="508" customWidth="1"/>
    <col min="2573" max="2574" width="8.5703125" style="508" customWidth="1"/>
    <col min="2575" max="2575" width="9" style="508" customWidth="1"/>
    <col min="2576" max="2577" width="8.5703125" style="508" customWidth="1"/>
    <col min="2578" max="2578" width="9" style="508" customWidth="1"/>
    <col min="2579" max="2580" width="8.5703125" style="508" customWidth="1"/>
    <col min="2581" max="2581" width="9" style="508" customWidth="1"/>
    <col min="2582" max="2583" width="8.5703125" style="508" customWidth="1"/>
    <col min="2584" max="2584" width="9" style="508" customWidth="1"/>
    <col min="2585" max="2586" width="8.5703125" style="508" customWidth="1"/>
    <col min="2587" max="2587" width="9" style="508" customWidth="1"/>
    <col min="2588" max="2818" width="9.140625" style="508"/>
    <col min="2819" max="2819" width="3.85546875" style="508" customWidth="1"/>
    <col min="2820" max="2820" width="12.85546875" style="508" customWidth="1"/>
    <col min="2821" max="2821" width="3.85546875" style="508" customWidth="1"/>
    <col min="2822" max="2822" width="20.85546875" style="508" customWidth="1"/>
    <col min="2823" max="2824" width="8.5703125" style="508" customWidth="1"/>
    <col min="2825" max="2825" width="9" style="508" customWidth="1"/>
    <col min="2826" max="2827" width="8.5703125" style="508" customWidth="1"/>
    <col min="2828" max="2828" width="9" style="508" customWidth="1"/>
    <col min="2829" max="2830" width="8.5703125" style="508" customWidth="1"/>
    <col min="2831" max="2831" width="9" style="508" customWidth="1"/>
    <col min="2832" max="2833" width="8.5703125" style="508" customWidth="1"/>
    <col min="2834" max="2834" width="9" style="508" customWidth="1"/>
    <col min="2835" max="2836" width="8.5703125" style="508" customWidth="1"/>
    <col min="2837" max="2837" width="9" style="508" customWidth="1"/>
    <col min="2838" max="2839" width="8.5703125" style="508" customWidth="1"/>
    <col min="2840" max="2840" width="9" style="508" customWidth="1"/>
    <col min="2841" max="2842" width="8.5703125" style="508" customWidth="1"/>
    <col min="2843" max="2843" width="9" style="508" customWidth="1"/>
    <col min="2844" max="3074" width="9.140625" style="508"/>
    <col min="3075" max="3075" width="3.85546875" style="508" customWidth="1"/>
    <col min="3076" max="3076" width="12.85546875" style="508" customWidth="1"/>
    <col min="3077" max="3077" width="3.85546875" style="508" customWidth="1"/>
    <col min="3078" max="3078" width="20.85546875" style="508" customWidth="1"/>
    <col min="3079" max="3080" width="8.5703125" style="508" customWidth="1"/>
    <col min="3081" max="3081" width="9" style="508" customWidth="1"/>
    <col min="3082" max="3083" width="8.5703125" style="508" customWidth="1"/>
    <col min="3084" max="3084" width="9" style="508" customWidth="1"/>
    <col min="3085" max="3086" width="8.5703125" style="508" customWidth="1"/>
    <col min="3087" max="3087" width="9" style="508" customWidth="1"/>
    <col min="3088" max="3089" width="8.5703125" style="508" customWidth="1"/>
    <col min="3090" max="3090" width="9" style="508" customWidth="1"/>
    <col min="3091" max="3092" width="8.5703125" style="508" customWidth="1"/>
    <col min="3093" max="3093" width="9" style="508" customWidth="1"/>
    <col min="3094" max="3095" width="8.5703125" style="508" customWidth="1"/>
    <col min="3096" max="3096" width="9" style="508" customWidth="1"/>
    <col min="3097" max="3098" width="8.5703125" style="508" customWidth="1"/>
    <col min="3099" max="3099" width="9" style="508" customWidth="1"/>
    <col min="3100" max="3330" width="9.140625" style="508"/>
    <col min="3331" max="3331" width="3.85546875" style="508" customWidth="1"/>
    <col min="3332" max="3332" width="12.85546875" style="508" customWidth="1"/>
    <col min="3333" max="3333" width="3.85546875" style="508" customWidth="1"/>
    <col min="3334" max="3334" width="20.85546875" style="508" customWidth="1"/>
    <col min="3335" max="3336" width="8.5703125" style="508" customWidth="1"/>
    <col min="3337" max="3337" width="9" style="508" customWidth="1"/>
    <col min="3338" max="3339" width="8.5703125" style="508" customWidth="1"/>
    <col min="3340" max="3340" width="9" style="508" customWidth="1"/>
    <col min="3341" max="3342" width="8.5703125" style="508" customWidth="1"/>
    <col min="3343" max="3343" width="9" style="508" customWidth="1"/>
    <col min="3344" max="3345" width="8.5703125" style="508" customWidth="1"/>
    <col min="3346" max="3346" width="9" style="508" customWidth="1"/>
    <col min="3347" max="3348" width="8.5703125" style="508" customWidth="1"/>
    <col min="3349" max="3349" width="9" style="508" customWidth="1"/>
    <col min="3350" max="3351" width="8.5703125" style="508" customWidth="1"/>
    <col min="3352" max="3352" width="9" style="508" customWidth="1"/>
    <col min="3353" max="3354" width="8.5703125" style="508" customWidth="1"/>
    <col min="3355" max="3355" width="9" style="508" customWidth="1"/>
    <col min="3356" max="3586" width="9.140625" style="508"/>
    <col min="3587" max="3587" width="3.85546875" style="508" customWidth="1"/>
    <col min="3588" max="3588" width="12.85546875" style="508" customWidth="1"/>
    <col min="3589" max="3589" width="3.85546875" style="508" customWidth="1"/>
    <col min="3590" max="3590" width="20.85546875" style="508" customWidth="1"/>
    <col min="3591" max="3592" width="8.5703125" style="508" customWidth="1"/>
    <col min="3593" max="3593" width="9" style="508" customWidth="1"/>
    <col min="3594" max="3595" width="8.5703125" style="508" customWidth="1"/>
    <col min="3596" max="3596" width="9" style="508" customWidth="1"/>
    <col min="3597" max="3598" width="8.5703125" style="508" customWidth="1"/>
    <col min="3599" max="3599" width="9" style="508" customWidth="1"/>
    <col min="3600" max="3601" width="8.5703125" style="508" customWidth="1"/>
    <col min="3602" max="3602" width="9" style="508" customWidth="1"/>
    <col min="3603" max="3604" width="8.5703125" style="508" customWidth="1"/>
    <col min="3605" max="3605" width="9" style="508" customWidth="1"/>
    <col min="3606" max="3607" width="8.5703125" style="508" customWidth="1"/>
    <col min="3608" max="3608" width="9" style="508" customWidth="1"/>
    <col min="3609" max="3610" width="8.5703125" style="508" customWidth="1"/>
    <col min="3611" max="3611" width="9" style="508" customWidth="1"/>
    <col min="3612" max="3842" width="9.140625" style="508"/>
    <col min="3843" max="3843" width="3.85546875" style="508" customWidth="1"/>
    <col min="3844" max="3844" width="12.85546875" style="508" customWidth="1"/>
    <col min="3845" max="3845" width="3.85546875" style="508" customWidth="1"/>
    <col min="3846" max="3846" width="20.85546875" style="508" customWidth="1"/>
    <col min="3847" max="3848" width="8.5703125" style="508" customWidth="1"/>
    <col min="3849" max="3849" width="9" style="508" customWidth="1"/>
    <col min="3850" max="3851" width="8.5703125" style="508" customWidth="1"/>
    <col min="3852" max="3852" width="9" style="508" customWidth="1"/>
    <col min="3853" max="3854" width="8.5703125" style="508" customWidth="1"/>
    <col min="3855" max="3855" width="9" style="508" customWidth="1"/>
    <col min="3856" max="3857" width="8.5703125" style="508" customWidth="1"/>
    <col min="3858" max="3858" width="9" style="508" customWidth="1"/>
    <col min="3859" max="3860" width="8.5703125" style="508" customWidth="1"/>
    <col min="3861" max="3861" width="9" style="508" customWidth="1"/>
    <col min="3862" max="3863" width="8.5703125" style="508" customWidth="1"/>
    <col min="3864" max="3864" width="9" style="508" customWidth="1"/>
    <col min="3865" max="3866" width="8.5703125" style="508" customWidth="1"/>
    <col min="3867" max="3867" width="9" style="508" customWidth="1"/>
    <col min="3868" max="4098" width="9.140625" style="508"/>
    <col min="4099" max="4099" width="3.85546875" style="508" customWidth="1"/>
    <col min="4100" max="4100" width="12.85546875" style="508" customWidth="1"/>
    <col min="4101" max="4101" width="3.85546875" style="508" customWidth="1"/>
    <col min="4102" max="4102" width="20.85546875" style="508" customWidth="1"/>
    <col min="4103" max="4104" width="8.5703125" style="508" customWidth="1"/>
    <col min="4105" max="4105" width="9" style="508" customWidth="1"/>
    <col min="4106" max="4107" width="8.5703125" style="508" customWidth="1"/>
    <col min="4108" max="4108" width="9" style="508" customWidth="1"/>
    <col min="4109" max="4110" width="8.5703125" style="508" customWidth="1"/>
    <col min="4111" max="4111" width="9" style="508" customWidth="1"/>
    <col min="4112" max="4113" width="8.5703125" style="508" customWidth="1"/>
    <col min="4114" max="4114" width="9" style="508" customWidth="1"/>
    <col min="4115" max="4116" width="8.5703125" style="508" customWidth="1"/>
    <col min="4117" max="4117" width="9" style="508" customWidth="1"/>
    <col min="4118" max="4119" width="8.5703125" style="508" customWidth="1"/>
    <col min="4120" max="4120" width="9" style="508" customWidth="1"/>
    <col min="4121" max="4122" width="8.5703125" style="508" customWidth="1"/>
    <col min="4123" max="4123" width="9" style="508" customWidth="1"/>
    <col min="4124" max="4354" width="9.140625" style="508"/>
    <col min="4355" max="4355" width="3.85546875" style="508" customWidth="1"/>
    <col min="4356" max="4356" width="12.85546875" style="508" customWidth="1"/>
    <col min="4357" max="4357" width="3.85546875" style="508" customWidth="1"/>
    <col min="4358" max="4358" width="20.85546875" style="508" customWidth="1"/>
    <col min="4359" max="4360" width="8.5703125" style="508" customWidth="1"/>
    <col min="4361" max="4361" width="9" style="508" customWidth="1"/>
    <col min="4362" max="4363" width="8.5703125" style="508" customWidth="1"/>
    <col min="4364" max="4364" width="9" style="508" customWidth="1"/>
    <col min="4365" max="4366" width="8.5703125" style="508" customWidth="1"/>
    <col min="4367" max="4367" width="9" style="508" customWidth="1"/>
    <col min="4368" max="4369" width="8.5703125" style="508" customWidth="1"/>
    <col min="4370" max="4370" width="9" style="508" customWidth="1"/>
    <col min="4371" max="4372" width="8.5703125" style="508" customWidth="1"/>
    <col min="4373" max="4373" width="9" style="508" customWidth="1"/>
    <col min="4374" max="4375" width="8.5703125" style="508" customWidth="1"/>
    <col min="4376" max="4376" width="9" style="508" customWidth="1"/>
    <col min="4377" max="4378" width="8.5703125" style="508" customWidth="1"/>
    <col min="4379" max="4379" width="9" style="508" customWidth="1"/>
    <col min="4380" max="4610" width="9.140625" style="508"/>
    <col min="4611" max="4611" width="3.85546875" style="508" customWidth="1"/>
    <col min="4612" max="4612" width="12.85546875" style="508" customWidth="1"/>
    <col min="4613" max="4613" width="3.85546875" style="508" customWidth="1"/>
    <col min="4614" max="4614" width="20.85546875" style="508" customWidth="1"/>
    <col min="4615" max="4616" width="8.5703125" style="508" customWidth="1"/>
    <col min="4617" max="4617" width="9" style="508" customWidth="1"/>
    <col min="4618" max="4619" width="8.5703125" style="508" customWidth="1"/>
    <col min="4620" max="4620" width="9" style="508" customWidth="1"/>
    <col min="4621" max="4622" width="8.5703125" style="508" customWidth="1"/>
    <col min="4623" max="4623" width="9" style="508" customWidth="1"/>
    <col min="4624" max="4625" width="8.5703125" style="508" customWidth="1"/>
    <col min="4626" max="4626" width="9" style="508" customWidth="1"/>
    <col min="4627" max="4628" width="8.5703125" style="508" customWidth="1"/>
    <col min="4629" max="4629" width="9" style="508" customWidth="1"/>
    <col min="4630" max="4631" width="8.5703125" style="508" customWidth="1"/>
    <col min="4632" max="4632" width="9" style="508" customWidth="1"/>
    <col min="4633" max="4634" width="8.5703125" style="508" customWidth="1"/>
    <col min="4635" max="4635" width="9" style="508" customWidth="1"/>
    <col min="4636" max="4866" width="9.140625" style="508"/>
    <col min="4867" max="4867" width="3.85546875" style="508" customWidth="1"/>
    <col min="4868" max="4868" width="12.85546875" style="508" customWidth="1"/>
    <col min="4869" max="4869" width="3.85546875" style="508" customWidth="1"/>
    <col min="4870" max="4870" width="20.85546875" style="508" customWidth="1"/>
    <col min="4871" max="4872" width="8.5703125" style="508" customWidth="1"/>
    <col min="4873" max="4873" width="9" style="508" customWidth="1"/>
    <col min="4874" max="4875" width="8.5703125" style="508" customWidth="1"/>
    <col min="4876" max="4876" width="9" style="508" customWidth="1"/>
    <col min="4877" max="4878" width="8.5703125" style="508" customWidth="1"/>
    <col min="4879" max="4879" width="9" style="508" customWidth="1"/>
    <col min="4880" max="4881" width="8.5703125" style="508" customWidth="1"/>
    <col min="4882" max="4882" width="9" style="508" customWidth="1"/>
    <col min="4883" max="4884" width="8.5703125" style="508" customWidth="1"/>
    <col min="4885" max="4885" width="9" style="508" customWidth="1"/>
    <col min="4886" max="4887" width="8.5703125" style="508" customWidth="1"/>
    <col min="4888" max="4888" width="9" style="508" customWidth="1"/>
    <col min="4889" max="4890" width="8.5703125" style="508" customWidth="1"/>
    <col min="4891" max="4891" width="9" style="508" customWidth="1"/>
    <col min="4892" max="5122" width="9.140625" style="508"/>
    <col min="5123" max="5123" width="3.85546875" style="508" customWidth="1"/>
    <col min="5124" max="5124" width="12.85546875" style="508" customWidth="1"/>
    <col min="5125" max="5125" width="3.85546875" style="508" customWidth="1"/>
    <col min="5126" max="5126" width="20.85546875" style="508" customWidth="1"/>
    <col min="5127" max="5128" width="8.5703125" style="508" customWidth="1"/>
    <col min="5129" max="5129" width="9" style="508" customWidth="1"/>
    <col min="5130" max="5131" width="8.5703125" style="508" customWidth="1"/>
    <col min="5132" max="5132" width="9" style="508" customWidth="1"/>
    <col min="5133" max="5134" width="8.5703125" style="508" customWidth="1"/>
    <col min="5135" max="5135" width="9" style="508" customWidth="1"/>
    <col min="5136" max="5137" width="8.5703125" style="508" customWidth="1"/>
    <col min="5138" max="5138" width="9" style="508" customWidth="1"/>
    <col min="5139" max="5140" width="8.5703125" style="508" customWidth="1"/>
    <col min="5141" max="5141" width="9" style="508" customWidth="1"/>
    <col min="5142" max="5143" width="8.5703125" style="508" customWidth="1"/>
    <col min="5144" max="5144" width="9" style="508" customWidth="1"/>
    <col min="5145" max="5146" width="8.5703125" style="508" customWidth="1"/>
    <col min="5147" max="5147" width="9" style="508" customWidth="1"/>
    <col min="5148" max="5378" width="9.140625" style="508"/>
    <col min="5379" max="5379" width="3.85546875" style="508" customWidth="1"/>
    <col min="5380" max="5380" width="12.85546875" style="508" customWidth="1"/>
    <col min="5381" max="5381" width="3.85546875" style="508" customWidth="1"/>
    <col min="5382" max="5382" width="20.85546875" style="508" customWidth="1"/>
    <col min="5383" max="5384" width="8.5703125" style="508" customWidth="1"/>
    <col min="5385" max="5385" width="9" style="508" customWidth="1"/>
    <col min="5386" max="5387" width="8.5703125" style="508" customWidth="1"/>
    <col min="5388" max="5388" width="9" style="508" customWidth="1"/>
    <col min="5389" max="5390" width="8.5703125" style="508" customWidth="1"/>
    <col min="5391" max="5391" width="9" style="508" customWidth="1"/>
    <col min="5392" max="5393" width="8.5703125" style="508" customWidth="1"/>
    <col min="5394" max="5394" width="9" style="508" customWidth="1"/>
    <col min="5395" max="5396" width="8.5703125" style="508" customWidth="1"/>
    <col min="5397" max="5397" width="9" style="508" customWidth="1"/>
    <col min="5398" max="5399" width="8.5703125" style="508" customWidth="1"/>
    <col min="5400" max="5400" width="9" style="508" customWidth="1"/>
    <col min="5401" max="5402" width="8.5703125" style="508" customWidth="1"/>
    <col min="5403" max="5403" width="9" style="508" customWidth="1"/>
    <col min="5404" max="5634" width="9.140625" style="508"/>
    <col min="5635" max="5635" width="3.85546875" style="508" customWidth="1"/>
    <col min="5636" max="5636" width="12.85546875" style="508" customWidth="1"/>
    <col min="5637" max="5637" width="3.85546875" style="508" customWidth="1"/>
    <col min="5638" max="5638" width="20.85546875" style="508" customWidth="1"/>
    <col min="5639" max="5640" width="8.5703125" style="508" customWidth="1"/>
    <col min="5641" max="5641" width="9" style="508" customWidth="1"/>
    <col min="5642" max="5643" width="8.5703125" style="508" customWidth="1"/>
    <col min="5644" max="5644" width="9" style="508" customWidth="1"/>
    <col min="5645" max="5646" width="8.5703125" style="508" customWidth="1"/>
    <col min="5647" max="5647" width="9" style="508" customWidth="1"/>
    <col min="5648" max="5649" width="8.5703125" style="508" customWidth="1"/>
    <col min="5650" max="5650" width="9" style="508" customWidth="1"/>
    <col min="5651" max="5652" width="8.5703125" style="508" customWidth="1"/>
    <col min="5653" max="5653" width="9" style="508" customWidth="1"/>
    <col min="5654" max="5655" width="8.5703125" style="508" customWidth="1"/>
    <col min="5656" max="5656" width="9" style="508" customWidth="1"/>
    <col min="5657" max="5658" width="8.5703125" style="508" customWidth="1"/>
    <col min="5659" max="5659" width="9" style="508" customWidth="1"/>
    <col min="5660" max="5890" width="9.140625" style="508"/>
    <col min="5891" max="5891" width="3.85546875" style="508" customWidth="1"/>
    <col min="5892" max="5892" width="12.85546875" style="508" customWidth="1"/>
    <col min="5893" max="5893" width="3.85546875" style="508" customWidth="1"/>
    <col min="5894" max="5894" width="20.85546875" style="508" customWidth="1"/>
    <col min="5895" max="5896" width="8.5703125" style="508" customWidth="1"/>
    <col min="5897" max="5897" width="9" style="508" customWidth="1"/>
    <col min="5898" max="5899" width="8.5703125" style="508" customWidth="1"/>
    <col min="5900" max="5900" width="9" style="508" customWidth="1"/>
    <col min="5901" max="5902" width="8.5703125" style="508" customWidth="1"/>
    <col min="5903" max="5903" width="9" style="508" customWidth="1"/>
    <col min="5904" max="5905" width="8.5703125" style="508" customWidth="1"/>
    <col min="5906" max="5906" width="9" style="508" customWidth="1"/>
    <col min="5907" max="5908" width="8.5703125" style="508" customWidth="1"/>
    <col min="5909" max="5909" width="9" style="508" customWidth="1"/>
    <col min="5910" max="5911" width="8.5703125" style="508" customWidth="1"/>
    <col min="5912" max="5912" width="9" style="508" customWidth="1"/>
    <col min="5913" max="5914" width="8.5703125" style="508" customWidth="1"/>
    <col min="5915" max="5915" width="9" style="508" customWidth="1"/>
    <col min="5916" max="6146" width="9.140625" style="508"/>
    <col min="6147" max="6147" width="3.85546875" style="508" customWidth="1"/>
    <col min="6148" max="6148" width="12.85546875" style="508" customWidth="1"/>
    <col min="6149" max="6149" width="3.85546875" style="508" customWidth="1"/>
    <col min="6150" max="6150" width="20.85546875" style="508" customWidth="1"/>
    <col min="6151" max="6152" width="8.5703125" style="508" customWidth="1"/>
    <col min="6153" max="6153" width="9" style="508" customWidth="1"/>
    <col min="6154" max="6155" width="8.5703125" style="508" customWidth="1"/>
    <col min="6156" max="6156" width="9" style="508" customWidth="1"/>
    <col min="6157" max="6158" width="8.5703125" style="508" customWidth="1"/>
    <col min="6159" max="6159" width="9" style="508" customWidth="1"/>
    <col min="6160" max="6161" width="8.5703125" style="508" customWidth="1"/>
    <col min="6162" max="6162" width="9" style="508" customWidth="1"/>
    <col min="6163" max="6164" width="8.5703125" style="508" customWidth="1"/>
    <col min="6165" max="6165" width="9" style="508" customWidth="1"/>
    <col min="6166" max="6167" width="8.5703125" style="508" customWidth="1"/>
    <col min="6168" max="6168" width="9" style="508" customWidth="1"/>
    <col min="6169" max="6170" width="8.5703125" style="508" customWidth="1"/>
    <col min="6171" max="6171" width="9" style="508" customWidth="1"/>
    <col min="6172" max="6402" width="9.140625" style="508"/>
    <col min="6403" max="6403" width="3.85546875" style="508" customWidth="1"/>
    <col min="6404" max="6404" width="12.85546875" style="508" customWidth="1"/>
    <col min="6405" max="6405" width="3.85546875" style="508" customWidth="1"/>
    <col min="6406" max="6406" width="20.85546875" style="508" customWidth="1"/>
    <col min="6407" max="6408" width="8.5703125" style="508" customWidth="1"/>
    <col min="6409" max="6409" width="9" style="508" customWidth="1"/>
    <col min="6410" max="6411" width="8.5703125" style="508" customWidth="1"/>
    <col min="6412" max="6412" width="9" style="508" customWidth="1"/>
    <col min="6413" max="6414" width="8.5703125" style="508" customWidth="1"/>
    <col min="6415" max="6415" width="9" style="508" customWidth="1"/>
    <col min="6416" max="6417" width="8.5703125" style="508" customWidth="1"/>
    <col min="6418" max="6418" width="9" style="508" customWidth="1"/>
    <col min="6419" max="6420" width="8.5703125" style="508" customWidth="1"/>
    <col min="6421" max="6421" width="9" style="508" customWidth="1"/>
    <col min="6422" max="6423" width="8.5703125" style="508" customWidth="1"/>
    <col min="6424" max="6424" width="9" style="508" customWidth="1"/>
    <col min="6425" max="6426" width="8.5703125" style="508" customWidth="1"/>
    <col min="6427" max="6427" width="9" style="508" customWidth="1"/>
    <col min="6428" max="6658" width="9.140625" style="508"/>
    <col min="6659" max="6659" width="3.85546875" style="508" customWidth="1"/>
    <col min="6660" max="6660" width="12.85546875" style="508" customWidth="1"/>
    <col min="6661" max="6661" width="3.85546875" style="508" customWidth="1"/>
    <col min="6662" max="6662" width="20.85546875" style="508" customWidth="1"/>
    <col min="6663" max="6664" width="8.5703125" style="508" customWidth="1"/>
    <col min="6665" max="6665" width="9" style="508" customWidth="1"/>
    <col min="6666" max="6667" width="8.5703125" style="508" customWidth="1"/>
    <col min="6668" max="6668" width="9" style="508" customWidth="1"/>
    <col min="6669" max="6670" width="8.5703125" style="508" customWidth="1"/>
    <col min="6671" max="6671" width="9" style="508" customWidth="1"/>
    <col min="6672" max="6673" width="8.5703125" style="508" customWidth="1"/>
    <col min="6674" max="6674" width="9" style="508" customWidth="1"/>
    <col min="6675" max="6676" width="8.5703125" style="508" customWidth="1"/>
    <col min="6677" max="6677" width="9" style="508" customWidth="1"/>
    <col min="6678" max="6679" width="8.5703125" style="508" customWidth="1"/>
    <col min="6680" max="6680" width="9" style="508" customWidth="1"/>
    <col min="6681" max="6682" width="8.5703125" style="508" customWidth="1"/>
    <col min="6683" max="6683" width="9" style="508" customWidth="1"/>
    <col min="6684" max="6914" width="9.140625" style="508"/>
    <col min="6915" max="6915" width="3.85546875" style="508" customWidth="1"/>
    <col min="6916" max="6916" width="12.85546875" style="508" customWidth="1"/>
    <col min="6917" max="6917" width="3.85546875" style="508" customWidth="1"/>
    <col min="6918" max="6918" width="20.85546875" style="508" customWidth="1"/>
    <col min="6919" max="6920" width="8.5703125" style="508" customWidth="1"/>
    <col min="6921" max="6921" width="9" style="508" customWidth="1"/>
    <col min="6922" max="6923" width="8.5703125" style="508" customWidth="1"/>
    <col min="6924" max="6924" width="9" style="508" customWidth="1"/>
    <col min="6925" max="6926" width="8.5703125" style="508" customWidth="1"/>
    <col min="6927" max="6927" width="9" style="508" customWidth="1"/>
    <col min="6928" max="6929" width="8.5703125" style="508" customWidth="1"/>
    <col min="6930" max="6930" width="9" style="508" customWidth="1"/>
    <col min="6931" max="6932" width="8.5703125" style="508" customWidth="1"/>
    <col min="6933" max="6933" width="9" style="508" customWidth="1"/>
    <col min="6934" max="6935" width="8.5703125" style="508" customWidth="1"/>
    <col min="6936" max="6936" width="9" style="508" customWidth="1"/>
    <col min="6937" max="6938" width="8.5703125" style="508" customWidth="1"/>
    <col min="6939" max="6939" width="9" style="508" customWidth="1"/>
    <col min="6940" max="7170" width="9.140625" style="508"/>
    <col min="7171" max="7171" width="3.85546875" style="508" customWidth="1"/>
    <col min="7172" max="7172" width="12.85546875" style="508" customWidth="1"/>
    <col min="7173" max="7173" width="3.85546875" style="508" customWidth="1"/>
    <col min="7174" max="7174" width="20.85546875" style="508" customWidth="1"/>
    <col min="7175" max="7176" width="8.5703125" style="508" customWidth="1"/>
    <col min="7177" max="7177" width="9" style="508" customWidth="1"/>
    <col min="7178" max="7179" width="8.5703125" style="508" customWidth="1"/>
    <col min="7180" max="7180" width="9" style="508" customWidth="1"/>
    <col min="7181" max="7182" width="8.5703125" style="508" customWidth="1"/>
    <col min="7183" max="7183" width="9" style="508" customWidth="1"/>
    <col min="7184" max="7185" width="8.5703125" style="508" customWidth="1"/>
    <col min="7186" max="7186" width="9" style="508" customWidth="1"/>
    <col min="7187" max="7188" width="8.5703125" style="508" customWidth="1"/>
    <col min="7189" max="7189" width="9" style="508" customWidth="1"/>
    <col min="7190" max="7191" width="8.5703125" style="508" customWidth="1"/>
    <col min="7192" max="7192" width="9" style="508" customWidth="1"/>
    <col min="7193" max="7194" width="8.5703125" style="508" customWidth="1"/>
    <col min="7195" max="7195" width="9" style="508" customWidth="1"/>
    <col min="7196" max="7426" width="9.140625" style="508"/>
    <col min="7427" max="7427" width="3.85546875" style="508" customWidth="1"/>
    <col min="7428" max="7428" width="12.85546875" style="508" customWidth="1"/>
    <col min="7429" max="7429" width="3.85546875" style="508" customWidth="1"/>
    <col min="7430" max="7430" width="20.85546875" style="508" customWidth="1"/>
    <col min="7431" max="7432" width="8.5703125" style="508" customWidth="1"/>
    <col min="7433" max="7433" width="9" style="508" customWidth="1"/>
    <col min="7434" max="7435" width="8.5703125" style="508" customWidth="1"/>
    <col min="7436" max="7436" width="9" style="508" customWidth="1"/>
    <col min="7437" max="7438" width="8.5703125" style="508" customWidth="1"/>
    <col min="7439" max="7439" width="9" style="508" customWidth="1"/>
    <col min="7440" max="7441" width="8.5703125" style="508" customWidth="1"/>
    <col min="7442" max="7442" width="9" style="508" customWidth="1"/>
    <col min="7443" max="7444" width="8.5703125" style="508" customWidth="1"/>
    <col min="7445" max="7445" width="9" style="508" customWidth="1"/>
    <col min="7446" max="7447" width="8.5703125" style="508" customWidth="1"/>
    <col min="7448" max="7448" width="9" style="508" customWidth="1"/>
    <col min="7449" max="7450" width="8.5703125" style="508" customWidth="1"/>
    <col min="7451" max="7451" width="9" style="508" customWidth="1"/>
    <col min="7452" max="7682" width="9.140625" style="508"/>
    <col min="7683" max="7683" width="3.85546875" style="508" customWidth="1"/>
    <col min="7684" max="7684" width="12.85546875" style="508" customWidth="1"/>
    <col min="7685" max="7685" width="3.85546875" style="508" customWidth="1"/>
    <col min="7686" max="7686" width="20.85546875" style="508" customWidth="1"/>
    <col min="7687" max="7688" width="8.5703125" style="508" customWidth="1"/>
    <col min="7689" max="7689" width="9" style="508" customWidth="1"/>
    <col min="7690" max="7691" width="8.5703125" style="508" customWidth="1"/>
    <col min="7692" max="7692" width="9" style="508" customWidth="1"/>
    <col min="7693" max="7694" width="8.5703125" style="508" customWidth="1"/>
    <col min="7695" max="7695" width="9" style="508" customWidth="1"/>
    <col min="7696" max="7697" width="8.5703125" style="508" customWidth="1"/>
    <col min="7698" max="7698" width="9" style="508" customWidth="1"/>
    <col min="7699" max="7700" width="8.5703125" style="508" customWidth="1"/>
    <col min="7701" max="7701" width="9" style="508" customWidth="1"/>
    <col min="7702" max="7703" width="8.5703125" style="508" customWidth="1"/>
    <col min="7704" max="7704" width="9" style="508" customWidth="1"/>
    <col min="7705" max="7706" width="8.5703125" style="508" customWidth="1"/>
    <col min="7707" max="7707" width="9" style="508" customWidth="1"/>
    <col min="7708" max="7938" width="9.140625" style="508"/>
    <col min="7939" max="7939" width="3.85546875" style="508" customWidth="1"/>
    <col min="7940" max="7940" width="12.85546875" style="508" customWidth="1"/>
    <col min="7941" max="7941" width="3.85546875" style="508" customWidth="1"/>
    <col min="7942" max="7942" width="20.85546875" style="508" customWidth="1"/>
    <col min="7943" max="7944" width="8.5703125" style="508" customWidth="1"/>
    <col min="7945" max="7945" width="9" style="508" customWidth="1"/>
    <col min="7946" max="7947" width="8.5703125" style="508" customWidth="1"/>
    <col min="7948" max="7948" width="9" style="508" customWidth="1"/>
    <col min="7949" max="7950" width="8.5703125" style="508" customWidth="1"/>
    <col min="7951" max="7951" width="9" style="508" customWidth="1"/>
    <col min="7952" max="7953" width="8.5703125" style="508" customWidth="1"/>
    <col min="7954" max="7954" width="9" style="508" customWidth="1"/>
    <col min="7955" max="7956" width="8.5703125" style="508" customWidth="1"/>
    <col min="7957" max="7957" width="9" style="508" customWidth="1"/>
    <col min="7958" max="7959" width="8.5703125" style="508" customWidth="1"/>
    <col min="7960" max="7960" width="9" style="508" customWidth="1"/>
    <col min="7961" max="7962" width="8.5703125" style="508" customWidth="1"/>
    <col min="7963" max="7963" width="9" style="508" customWidth="1"/>
    <col min="7964" max="8194" width="9.140625" style="508"/>
    <col min="8195" max="8195" width="3.85546875" style="508" customWidth="1"/>
    <col min="8196" max="8196" width="12.85546875" style="508" customWidth="1"/>
    <col min="8197" max="8197" width="3.85546875" style="508" customWidth="1"/>
    <col min="8198" max="8198" width="20.85546875" style="508" customWidth="1"/>
    <col min="8199" max="8200" width="8.5703125" style="508" customWidth="1"/>
    <col min="8201" max="8201" width="9" style="508" customWidth="1"/>
    <col min="8202" max="8203" width="8.5703125" style="508" customWidth="1"/>
    <col min="8204" max="8204" width="9" style="508" customWidth="1"/>
    <col min="8205" max="8206" width="8.5703125" style="508" customWidth="1"/>
    <col min="8207" max="8207" width="9" style="508" customWidth="1"/>
    <col min="8208" max="8209" width="8.5703125" style="508" customWidth="1"/>
    <col min="8210" max="8210" width="9" style="508" customWidth="1"/>
    <col min="8211" max="8212" width="8.5703125" style="508" customWidth="1"/>
    <col min="8213" max="8213" width="9" style="508" customWidth="1"/>
    <col min="8214" max="8215" width="8.5703125" style="508" customWidth="1"/>
    <col min="8216" max="8216" width="9" style="508" customWidth="1"/>
    <col min="8217" max="8218" width="8.5703125" style="508" customWidth="1"/>
    <col min="8219" max="8219" width="9" style="508" customWidth="1"/>
    <col min="8220" max="8450" width="9.140625" style="508"/>
    <col min="8451" max="8451" width="3.85546875" style="508" customWidth="1"/>
    <col min="8452" max="8452" width="12.85546875" style="508" customWidth="1"/>
    <col min="8453" max="8453" width="3.85546875" style="508" customWidth="1"/>
    <col min="8454" max="8454" width="20.85546875" style="508" customWidth="1"/>
    <col min="8455" max="8456" width="8.5703125" style="508" customWidth="1"/>
    <col min="8457" max="8457" width="9" style="508" customWidth="1"/>
    <col min="8458" max="8459" width="8.5703125" style="508" customWidth="1"/>
    <col min="8460" max="8460" width="9" style="508" customWidth="1"/>
    <col min="8461" max="8462" width="8.5703125" style="508" customWidth="1"/>
    <col min="8463" max="8463" width="9" style="508" customWidth="1"/>
    <col min="8464" max="8465" width="8.5703125" style="508" customWidth="1"/>
    <col min="8466" max="8466" width="9" style="508" customWidth="1"/>
    <col min="8467" max="8468" width="8.5703125" style="508" customWidth="1"/>
    <col min="8469" max="8469" width="9" style="508" customWidth="1"/>
    <col min="8470" max="8471" width="8.5703125" style="508" customWidth="1"/>
    <col min="8472" max="8472" width="9" style="508" customWidth="1"/>
    <col min="8473" max="8474" width="8.5703125" style="508" customWidth="1"/>
    <col min="8475" max="8475" width="9" style="508" customWidth="1"/>
    <col min="8476" max="8706" width="9.140625" style="508"/>
    <col min="8707" max="8707" width="3.85546875" style="508" customWidth="1"/>
    <col min="8708" max="8708" width="12.85546875" style="508" customWidth="1"/>
    <col min="8709" max="8709" width="3.85546875" style="508" customWidth="1"/>
    <col min="8710" max="8710" width="20.85546875" style="508" customWidth="1"/>
    <col min="8711" max="8712" width="8.5703125" style="508" customWidth="1"/>
    <col min="8713" max="8713" width="9" style="508" customWidth="1"/>
    <col min="8714" max="8715" width="8.5703125" style="508" customWidth="1"/>
    <col min="8716" max="8716" width="9" style="508" customWidth="1"/>
    <col min="8717" max="8718" width="8.5703125" style="508" customWidth="1"/>
    <col min="8719" max="8719" width="9" style="508" customWidth="1"/>
    <col min="8720" max="8721" width="8.5703125" style="508" customWidth="1"/>
    <col min="8722" max="8722" width="9" style="508" customWidth="1"/>
    <col min="8723" max="8724" width="8.5703125" style="508" customWidth="1"/>
    <col min="8725" max="8725" width="9" style="508" customWidth="1"/>
    <col min="8726" max="8727" width="8.5703125" style="508" customWidth="1"/>
    <col min="8728" max="8728" width="9" style="508" customWidth="1"/>
    <col min="8729" max="8730" width="8.5703125" style="508" customWidth="1"/>
    <col min="8731" max="8731" width="9" style="508" customWidth="1"/>
    <col min="8732" max="8962" width="9.140625" style="508"/>
    <col min="8963" max="8963" width="3.85546875" style="508" customWidth="1"/>
    <col min="8964" max="8964" width="12.85546875" style="508" customWidth="1"/>
    <col min="8965" max="8965" width="3.85546875" style="508" customWidth="1"/>
    <col min="8966" max="8966" width="20.85546875" style="508" customWidth="1"/>
    <col min="8967" max="8968" width="8.5703125" style="508" customWidth="1"/>
    <col min="8969" max="8969" width="9" style="508" customWidth="1"/>
    <col min="8970" max="8971" width="8.5703125" style="508" customWidth="1"/>
    <col min="8972" max="8972" width="9" style="508" customWidth="1"/>
    <col min="8973" max="8974" width="8.5703125" style="508" customWidth="1"/>
    <col min="8975" max="8975" width="9" style="508" customWidth="1"/>
    <col min="8976" max="8977" width="8.5703125" style="508" customWidth="1"/>
    <col min="8978" max="8978" width="9" style="508" customWidth="1"/>
    <col min="8979" max="8980" width="8.5703125" style="508" customWidth="1"/>
    <col min="8981" max="8981" width="9" style="508" customWidth="1"/>
    <col min="8982" max="8983" width="8.5703125" style="508" customWidth="1"/>
    <col min="8984" max="8984" width="9" style="508" customWidth="1"/>
    <col min="8985" max="8986" width="8.5703125" style="508" customWidth="1"/>
    <col min="8987" max="8987" width="9" style="508" customWidth="1"/>
    <col min="8988" max="9218" width="9.140625" style="508"/>
    <col min="9219" max="9219" width="3.85546875" style="508" customWidth="1"/>
    <col min="9220" max="9220" width="12.85546875" style="508" customWidth="1"/>
    <col min="9221" max="9221" width="3.85546875" style="508" customWidth="1"/>
    <col min="9222" max="9222" width="20.85546875" style="508" customWidth="1"/>
    <col min="9223" max="9224" width="8.5703125" style="508" customWidth="1"/>
    <col min="9225" max="9225" width="9" style="508" customWidth="1"/>
    <col min="9226" max="9227" width="8.5703125" style="508" customWidth="1"/>
    <col min="9228" max="9228" width="9" style="508" customWidth="1"/>
    <col min="9229" max="9230" width="8.5703125" style="508" customWidth="1"/>
    <col min="9231" max="9231" width="9" style="508" customWidth="1"/>
    <col min="9232" max="9233" width="8.5703125" style="508" customWidth="1"/>
    <col min="9234" max="9234" width="9" style="508" customWidth="1"/>
    <col min="9235" max="9236" width="8.5703125" style="508" customWidth="1"/>
    <col min="9237" max="9237" width="9" style="508" customWidth="1"/>
    <col min="9238" max="9239" width="8.5703125" style="508" customWidth="1"/>
    <col min="9240" max="9240" width="9" style="508" customWidth="1"/>
    <col min="9241" max="9242" width="8.5703125" style="508" customWidth="1"/>
    <col min="9243" max="9243" width="9" style="508" customWidth="1"/>
    <col min="9244" max="9474" width="9.140625" style="508"/>
    <col min="9475" max="9475" width="3.85546875" style="508" customWidth="1"/>
    <col min="9476" max="9476" width="12.85546875" style="508" customWidth="1"/>
    <col min="9477" max="9477" width="3.85546875" style="508" customWidth="1"/>
    <col min="9478" max="9478" width="20.85546875" style="508" customWidth="1"/>
    <col min="9479" max="9480" width="8.5703125" style="508" customWidth="1"/>
    <col min="9481" max="9481" width="9" style="508" customWidth="1"/>
    <col min="9482" max="9483" width="8.5703125" style="508" customWidth="1"/>
    <col min="9484" max="9484" width="9" style="508" customWidth="1"/>
    <col min="9485" max="9486" width="8.5703125" style="508" customWidth="1"/>
    <col min="9487" max="9487" width="9" style="508" customWidth="1"/>
    <col min="9488" max="9489" width="8.5703125" style="508" customWidth="1"/>
    <col min="9490" max="9490" width="9" style="508" customWidth="1"/>
    <col min="9491" max="9492" width="8.5703125" style="508" customWidth="1"/>
    <col min="9493" max="9493" width="9" style="508" customWidth="1"/>
    <col min="9494" max="9495" width="8.5703125" style="508" customWidth="1"/>
    <col min="9496" max="9496" width="9" style="508" customWidth="1"/>
    <col min="9497" max="9498" width="8.5703125" style="508" customWidth="1"/>
    <col min="9499" max="9499" width="9" style="508" customWidth="1"/>
    <col min="9500" max="9730" width="9.140625" style="508"/>
    <col min="9731" max="9731" width="3.85546875" style="508" customWidth="1"/>
    <col min="9732" max="9732" width="12.85546875" style="508" customWidth="1"/>
    <col min="9733" max="9733" width="3.85546875" style="508" customWidth="1"/>
    <col min="9734" max="9734" width="20.85546875" style="508" customWidth="1"/>
    <col min="9735" max="9736" width="8.5703125" style="508" customWidth="1"/>
    <col min="9737" max="9737" width="9" style="508" customWidth="1"/>
    <col min="9738" max="9739" width="8.5703125" style="508" customWidth="1"/>
    <col min="9740" max="9740" width="9" style="508" customWidth="1"/>
    <col min="9741" max="9742" width="8.5703125" style="508" customWidth="1"/>
    <col min="9743" max="9743" width="9" style="508" customWidth="1"/>
    <col min="9744" max="9745" width="8.5703125" style="508" customWidth="1"/>
    <col min="9746" max="9746" width="9" style="508" customWidth="1"/>
    <col min="9747" max="9748" width="8.5703125" style="508" customWidth="1"/>
    <col min="9749" max="9749" width="9" style="508" customWidth="1"/>
    <col min="9750" max="9751" width="8.5703125" style="508" customWidth="1"/>
    <col min="9752" max="9752" width="9" style="508" customWidth="1"/>
    <col min="9753" max="9754" width="8.5703125" style="508" customWidth="1"/>
    <col min="9755" max="9755" width="9" style="508" customWidth="1"/>
    <col min="9756" max="9986" width="9.140625" style="508"/>
    <col min="9987" max="9987" width="3.85546875" style="508" customWidth="1"/>
    <col min="9988" max="9988" width="12.85546875" style="508" customWidth="1"/>
    <col min="9989" max="9989" width="3.85546875" style="508" customWidth="1"/>
    <col min="9990" max="9990" width="20.85546875" style="508" customWidth="1"/>
    <col min="9991" max="9992" width="8.5703125" style="508" customWidth="1"/>
    <col min="9993" max="9993" width="9" style="508" customWidth="1"/>
    <col min="9994" max="9995" width="8.5703125" style="508" customWidth="1"/>
    <col min="9996" max="9996" width="9" style="508" customWidth="1"/>
    <col min="9997" max="9998" width="8.5703125" style="508" customWidth="1"/>
    <col min="9999" max="9999" width="9" style="508" customWidth="1"/>
    <col min="10000" max="10001" width="8.5703125" style="508" customWidth="1"/>
    <col min="10002" max="10002" width="9" style="508" customWidth="1"/>
    <col min="10003" max="10004" width="8.5703125" style="508" customWidth="1"/>
    <col min="10005" max="10005" width="9" style="508" customWidth="1"/>
    <col min="10006" max="10007" width="8.5703125" style="508" customWidth="1"/>
    <col min="10008" max="10008" width="9" style="508" customWidth="1"/>
    <col min="10009" max="10010" width="8.5703125" style="508" customWidth="1"/>
    <col min="10011" max="10011" width="9" style="508" customWidth="1"/>
    <col min="10012" max="10242" width="9.140625" style="508"/>
    <col min="10243" max="10243" width="3.85546875" style="508" customWidth="1"/>
    <col min="10244" max="10244" width="12.85546875" style="508" customWidth="1"/>
    <col min="10245" max="10245" width="3.85546875" style="508" customWidth="1"/>
    <col min="10246" max="10246" width="20.85546875" style="508" customWidth="1"/>
    <col min="10247" max="10248" width="8.5703125" style="508" customWidth="1"/>
    <col min="10249" max="10249" width="9" style="508" customWidth="1"/>
    <col min="10250" max="10251" width="8.5703125" style="508" customWidth="1"/>
    <col min="10252" max="10252" width="9" style="508" customWidth="1"/>
    <col min="10253" max="10254" width="8.5703125" style="508" customWidth="1"/>
    <col min="10255" max="10255" width="9" style="508" customWidth="1"/>
    <col min="10256" max="10257" width="8.5703125" style="508" customWidth="1"/>
    <col min="10258" max="10258" width="9" style="508" customWidth="1"/>
    <col min="10259" max="10260" width="8.5703125" style="508" customWidth="1"/>
    <col min="10261" max="10261" width="9" style="508" customWidth="1"/>
    <col min="10262" max="10263" width="8.5703125" style="508" customWidth="1"/>
    <col min="10264" max="10264" width="9" style="508" customWidth="1"/>
    <col min="10265" max="10266" width="8.5703125" style="508" customWidth="1"/>
    <col min="10267" max="10267" width="9" style="508" customWidth="1"/>
    <col min="10268" max="10498" width="9.140625" style="508"/>
    <col min="10499" max="10499" width="3.85546875" style="508" customWidth="1"/>
    <col min="10500" max="10500" width="12.85546875" style="508" customWidth="1"/>
    <col min="10501" max="10501" width="3.85546875" style="508" customWidth="1"/>
    <col min="10502" max="10502" width="20.85546875" style="508" customWidth="1"/>
    <col min="10503" max="10504" width="8.5703125" style="508" customWidth="1"/>
    <col min="10505" max="10505" width="9" style="508" customWidth="1"/>
    <col min="10506" max="10507" width="8.5703125" style="508" customWidth="1"/>
    <col min="10508" max="10508" width="9" style="508" customWidth="1"/>
    <col min="10509" max="10510" width="8.5703125" style="508" customWidth="1"/>
    <col min="10511" max="10511" width="9" style="508" customWidth="1"/>
    <col min="10512" max="10513" width="8.5703125" style="508" customWidth="1"/>
    <col min="10514" max="10514" width="9" style="508" customWidth="1"/>
    <col min="10515" max="10516" width="8.5703125" style="508" customWidth="1"/>
    <col min="10517" max="10517" width="9" style="508" customWidth="1"/>
    <col min="10518" max="10519" width="8.5703125" style="508" customWidth="1"/>
    <col min="10520" max="10520" width="9" style="508" customWidth="1"/>
    <col min="10521" max="10522" width="8.5703125" style="508" customWidth="1"/>
    <col min="10523" max="10523" width="9" style="508" customWidth="1"/>
    <col min="10524" max="10754" width="9.140625" style="508"/>
    <col min="10755" max="10755" width="3.85546875" style="508" customWidth="1"/>
    <col min="10756" max="10756" width="12.85546875" style="508" customWidth="1"/>
    <col min="10757" max="10757" width="3.85546875" style="508" customWidth="1"/>
    <col min="10758" max="10758" width="20.85546875" style="508" customWidth="1"/>
    <col min="10759" max="10760" width="8.5703125" style="508" customWidth="1"/>
    <col min="10761" max="10761" width="9" style="508" customWidth="1"/>
    <col min="10762" max="10763" width="8.5703125" style="508" customWidth="1"/>
    <col min="10764" max="10764" width="9" style="508" customWidth="1"/>
    <col min="10765" max="10766" width="8.5703125" style="508" customWidth="1"/>
    <col min="10767" max="10767" width="9" style="508" customWidth="1"/>
    <col min="10768" max="10769" width="8.5703125" style="508" customWidth="1"/>
    <col min="10770" max="10770" width="9" style="508" customWidth="1"/>
    <col min="10771" max="10772" width="8.5703125" style="508" customWidth="1"/>
    <col min="10773" max="10773" width="9" style="508" customWidth="1"/>
    <col min="10774" max="10775" width="8.5703125" style="508" customWidth="1"/>
    <col min="10776" max="10776" width="9" style="508" customWidth="1"/>
    <col min="10777" max="10778" width="8.5703125" style="508" customWidth="1"/>
    <col min="10779" max="10779" width="9" style="508" customWidth="1"/>
    <col min="10780" max="11010" width="9.140625" style="508"/>
    <col min="11011" max="11011" width="3.85546875" style="508" customWidth="1"/>
    <col min="11012" max="11012" width="12.85546875" style="508" customWidth="1"/>
    <col min="11013" max="11013" width="3.85546875" style="508" customWidth="1"/>
    <col min="11014" max="11014" width="20.85546875" style="508" customWidth="1"/>
    <col min="11015" max="11016" width="8.5703125" style="508" customWidth="1"/>
    <col min="11017" max="11017" width="9" style="508" customWidth="1"/>
    <col min="11018" max="11019" width="8.5703125" style="508" customWidth="1"/>
    <col min="11020" max="11020" width="9" style="508" customWidth="1"/>
    <col min="11021" max="11022" width="8.5703125" style="508" customWidth="1"/>
    <col min="11023" max="11023" width="9" style="508" customWidth="1"/>
    <col min="11024" max="11025" width="8.5703125" style="508" customWidth="1"/>
    <col min="11026" max="11026" width="9" style="508" customWidth="1"/>
    <col min="11027" max="11028" width="8.5703125" style="508" customWidth="1"/>
    <col min="11029" max="11029" width="9" style="508" customWidth="1"/>
    <col min="11030" max="11031" width="8.5703125" style="508" customWidth="1"/>
    <col min="11032" max="11032" width="9" style="508" customWidth="1"/>
    <col min="11033" max="11034" width="8.5703125" style="508" customWidth="1"/>
    <col min="11035" max="11035" width="9" style="508" customWidth="1"/>
    <col min="11036" max="11266" width="9.140625" style="508"/>
    <col min="11267" max="11267" width="3.85546875" style="508" customWidth="1"/>
    <col min="11268" max="11268" width="12.85546875" style="508" customWidth="1"/>
    <col min="11269" max="11269" width="3.85546875" style="508" customWidth="1"/>
    <col min="11270" max="11270" width="20.85546875" style="508" customWidth="1"/>
    <col min="11271" max="11272" width="8.5703125" style="508" customWidth="1"/>
    <col min="11273" max="11273" width="9" style="508" customWidth="1"/>
    <col min="11274" max="11275" width="8.5703125" style="508" customWidth="1"/>
    <col min="11276" max="11276" width="9" style="508" customWidth="1"/>
    <col min="11277" max="11278" width="8.5703125" style="508" customWidth="1"/>
    <col min="11279" max="11279" width="9" style="508" customWidth="1"/>
    <col min="11280" max="11281" width="8.5703125" style="508" customWidth="1"/>
    <col min="11282" max="11282" width="9" style="508" customWidth="1"/>
    <col min="11283" max="11284" width="8.5703125" style="508" customWidth="1"/>
    <col min="11285" max="11285" width="9" style="508" customWidth="1"/>
    <col min="11286" max="11287" width="8.5703125" style="508" customWidth="1"/>
    <col min="11288" max="11288" width="9" style="508" customWidth="1"/>
    <col min="11289" max="11290" width="8.5703125" style="508" customWidth="1"/>
    <col min="11291" max="11291" width="9" style="508" customWidth="1"/>
    <col min="11292" max="11522" width="9.140625" style="508"/>
    <col min="11523" max="11523" width="3.85546875" style="508" customWidth="1"/>
    <col min="11524" max="11524" width="12.85546875" style="508" customWidth="1"/>
    <col min="11525" max="11525" width="3.85546875" style="508" customWidth="1"/>
    <col min="11526" max="11526" width="20.85546875" style="508" customWidth="1"/>
    <col min="11527" max="11528" width="8.5703125" style="508" customWidth="1"/>
    <col min="11529" max="11529" width="9" style="508" customWidth="1"/>
    <col min="11530" max="11531" width="8.5703125" style="508" customWidth="1"/>
    <col min="11532" max="11532" width="9" style="508" customWidth="1"/>
    <col min="11533" max="11534" width="8.5703125" style="508" customWidth="1"/>
    <col min="11535" max="11535" width="9" style="508" customWidth="1"/>
    <col min="11536" max="11537" width="8.5703125" style="508" customWidth="1"/>
    <col min="11538" max="11538" width="9" style="508" customWidth="1"/>
    <col min="11539" max="11540" width="8.5703125" style="508" customWidth="1"/>
    <col min="11541" max="11541" width="9" style="508" customWidth="1"/>
    <col min="11542" max="11543" width="8.5703125" style="508" customWidth="1"/>
    <col min="11544" max="11544" width="9" style="508" customWidth="1"/>
    <col min="11545" max="11546" width="8.5703125" style="508" customWidth="1"/>
    <col min="11547" max="11547" width="9" style="508" customWidth="1"/>
    <col min="11548" max="11778" width="9.140625" style="508"/>
    <col min="11779" max="11779" width="3.85546875" style="508" customWidth="1"/>
    <col min="11780" max="11780" width="12.85546875" style="508" customWidth="1"/>
    <col min="11781" max="11781" width="3.85546875" style="508" customWidth="1"/>
    <col min="11782" max="11782" width="20.85546875" style="508" customWidth="1"/>
    <col min="11783" max="11784" width="8.5703125" style="508" customWidth="1"/>
    <col min="11785" max="11785" width="9" style="508" customWidth="1"/>
    <col min="11786" max="11787" width="8.5703125" style="508" customWidth="1"/>
    <col min="11788" max="11788" width="9" style="508" customWidth="1"/>
    <col min="11789" max="11790" width="8.5703125" style="508" customWidth="1"/>
    <col min="11791" max="11791" width="9" style="508" customWidth="1"/>
    <col min="11792" max="11793" width="8.5703125" style="508" customWidth="1"/>
    <col min="11794" max="11794" width="9" style="508" customWidth="1"/>
    <col min="11795" max="11796" width="8.5703125" style="508" customWidth="1"/>
    <col min="11797" max="11797" width="9" style="508" customWidth="1"/>
    <col min="11798" max="11799" width="8.5703125" style="508" customWidth="1"/>
    <col min="11800" max="11800" width="9" style="508" customWidth="1"/>
    <col min="11801" max="11802" width="8.5703125" style="508" customWidth="1"/>
    <col min="11803" max="11803" width="9" style="508" customWidth="1"/>
    <col min="11804" max="12034" width="9.140625" style="508"/>
    <col min="12035" max="12035" width="3.85546875" style="508" customWidth="1"/>
    <col min="12036" max="12036" width="12.85546875" style="508" customWidth="1"/>
    <col min="12037" max="12037" width="3.85546875" style="508" customWidth="1"/>
    <col min="12038" max="12038" width="20.85546875" style="508" customWidth="1"/>
    <col min="12039" max="12040" width="8.5703125" style="508" customWidth="1"/>
    <col min="12041" max="12041" width="9" style="508" customWidth="1"/>
    <col min="12042" max="12043" width="8.5703125" style="508" customWidth="1"/>
    <col min="12044" max="12044" width="9" style="508" customWidth="1"/>
    <col min="12045" max="12046" width="8.5703125" style="508" customWidth="1"/>
    <col min="12047" max="12047" width="9" style="508" customWidth="1"/>
    <col min="12048" max="12049" width="8.5703125" style="508" customWidth="1"/>
    <col min="12050" max="12050" width="9" style="508" customWidth="1"/>
    <col min="12051" max="12052" width="8.5703125" style="508" customWidth="1"/>
    <col min="12053" max="12053" width="9" style="508" customWidth="1"/>
    <col min="12054" max="12055" width="8.5703125" style="508" customWidth="1"/>
    <col min="12056" max="12056" width="9" style="508" customWidth="1"/>
    <col min="12057" max="12058" width="8.5703125" style="508" customWidth="1"/>
    <col min="12059" max="12059" width="9" style="508" customWidth="1"/>
    <col min="12060" max="12290" width="9.140625" style="508"/>
    <col min="12291" max="12291" width="3.85546875" style="508" customWidth="1"/>
    <col min="12292" max="12292" width="12.85546875" style="508" customWidth="1"/>
    <col min="12293" max="12293" width="3.85546875" style="508" customWidth="1"/>
    <col min="12294" max="12294" width="20.85546875" style="508" customWidth="1"/>
    <col min="12295" max="12296" width="8.5703125" style="508" customWidth="1"/>
    <col min="12297" max="12297" width="9" style="508" customWidth="1"/>
    <col min="12298" max="12299" width="8.5703125" style="508" customWidth="1"/>
    <col min="12300" max="12300" width="9" style="508" customWidth="1"/>
    <col min="12301" max="12302" width="8.5703125" style="508" customWidth="1"/>
    <col min="12303" max="12303" width="9" style="508" customWidth="1"/>
    <col min="12304" max="12305" width="8.5703125" style="508" customWidth="1"/>
    <col min="12306" max="12306" width="9" style="508" customWidth="1"/>
    <col min="12307" max="12308" width="8.5703125" style="508" customWidth="1"/>
    <col min="12309" max="12309" width="9" style="508" customWidth="1"/>
    <col min="12310" max="12311" width="8.5703125" style="508" customWidth="1"/>
    <col min="12312" max="12312" width="9" style="508" customWidth="1"/>
    <col min="12313" max="12314" width="8.5703125" style="508" customWidth="1"/>
    <col min="12315" max="12315" width="9" style="508" customWidth="1"/>
    <col min="12316" max="12546" width="9.140625" style="508"/>
    <col min="12547" max="12547" width="3.85546875" style="508" customWidth="1"/>
    <col min="12548" max="12548" width="12.85546875" style="508" customWidth="1"/>
    <col min="12549" max="12549" width="3.85546875" style="508" customWidth="1"/>
    <col min="12550" max="12550" width="20.85546875" style="508" customWidth="1"/>
    <col min="12551" max="12552" width="8.5703125" style="508" customWidth="1"/>
    <col min="12553" max="12553" width="9" style="508" customWidth="1"/>
    <col min="12554" max="12555" width="8.5703125" style="508" customWidth="1"/>
    <col min="12556" max="12556" width="9" style="508" customWidth="1"/>
    <col min="12557" max="12558" width="8.5703125" style="508" customWidth="1"/>
    <col min="12559" max="12559" width="9" style="508" customWidth="1"/>
    <col min="12560" max="12561" width="8.5703125" style="508" customWidth="1"/>
    <col min="12562" max="12562" width="9" style="508" customWidth="1"/>
    <col min="12563" max="12564" width="8.5703125" style="508" customWidth="1"/>
    <col min="12565" max="12565" width="9" style="508" customWidth="1"/>
    <col min="12566" max="12567" width="8.5703125" style="508" customWidth="1"/>
    <col min="12568" max="12568" width="9" style="508" customWidth="1"/>
    <col min="12569" max="12570" width="8.5703125" style="508" customWidth="1"/>
    <col min="12571" max="12571" width="9" style="508" customWidth="1"/>
    <col min="12572" max="12802" width="9.140625" style="508"/>
    <col min="12803" max="12803" width="3.85546875" style="508" customWidth="1"/>
    <col min="12804" max="12804" width="12.85546875" style="508" customWidth="1"/>
    <col min="12805" max="12805" width="3.85546875" style="508" customWidth="1"/>
    <col min="12806" max="12806" width="20.85546875" style="508" customWidth="1"/>
    <col min="12807" max="12808" width="8.5703125" style="508" customWidth="1"/>
    <col min="12809" max="12809" width="9" style="508" customWidth="1"/>
    <col min="12810" max="12811" width="8.5703125" style="508" customWidth="1"/>
    <col min="12812" max="12812" width="9" style="508" customWidth="1"/>
    <col min="12813" max="12814" width="8.5703125" style="508" customWidth="1"/>
    <col min="12815" max="12815" width="9" style="508" customWidth="1"/>
    <col min="12816" max="12817" width="8.5703125" style="508" customWidth="1"/>
    <col min="12818" max="12818" width="9" style="508" customWidth="1"/>
    <col min="12819" max="12820" width="8.5703125" style="508" customWidth="1"/>
    <col min="12821" max="12821" width="9" style="508" customWidth="1"/>
    <col min="12822" max="12823" width="8.5703125" style="508" customWidth="1"/>
    <col min="12824" max="12824" width="9" style="508" customWidth="1"/>
    <col min="12825" max="12826" width="8.5703125" style="508" customWidth="1"/>
    <col min="12827" max="12827" width="9" style="508" customWidth="1"/>
    <col min="12828" max="13058" width="9.140625" style="508"/>
    <col min="13059" max="13059" width="3.85546875" style="508" customWidth="1"/>
    <col min="13060" max="13060" width="12.85546875" style="508" customWidth="1"/>
    <col min="13061" max="13061" width="3.85546875" style="508" customWidth="1"/>
    <col min="13062" max="13062" width="20.85546875" style="508" customWidth="1"/>
    <col min="13063" max="13064" width="8.5703125" style="508" customWidth="1"/>
    <col min="13065" max="13065" width="9" style="508" customWidth="1"/>
    <col min="13066" max="13067" width="8.5703125" style="508" customWidth="1"/>
    <col min="13068" max="13068" width="9" style="508" customWidth="1"/>
    <col min="13069" max="13070" width="8.5703125" style="508" customWidth="1"/>
    <col min="13071" max="13071" width="9" style="508" customWidth="1"/>
    <col min="13072" max="13073" width="8.5703125" style="508" customWidth="1"/>
    <col min="13074" max="13074" width="9" style="508" customWidth="1"/>
    <col min="13075" max="13076" width="8.5703125" style="508" customWidth="1"/>
    <col min="13077" max="13077" width="9" style="508" customWidth="1"/>
    <col min="13078" max="13079" width="8.5703125" style="508" customWidth="1"/>
    <col min="13080" max="13080" width="9" style="508" customWidth="1"/>
    <col min="13081" max="13082" width="8.5703125" style="508" customWidth="1"/>
    <col min="13083" max="13083" width="9" style="508" customWidth="1"/>
    <col min="13084" max="13314" width="9.140625" style="508"/>
    <col min="13315" max="13315" width="3.85546875" style="508" customWidth="1"/>
    <col min="13316" max="13316" width="12.85546875" style="508" customWidth="1"/>
    <col min="13317" max="13317" width="3.85546875" style="508" customWidth="1"/>
    <col min="13318" max="13318" width="20.85546875" style="508" customWidth="1"/>
    <col min="13319" max="13320" width="8.5703125" style="508" customWidth="1"/>
    <col min="13321" max="13321" width="9" style="508" customWidth="1"/>
    <col min="13322" max="13323" width="8.5703125" style="508" customWidth="1"/>
    <col min="13324" max="13324" width="9" style="508" customWidth="1"/>
    <col min="13325" max="13326" width="8.5703125" style="508" customWidth="1"/>
    <col min="13327" max="13327" width="9" style="508" customWidth="1"/>
    <col min="13328" max="13329" width="8.5703125" style="508" customWidth="1"/>
    <col min="13330" max="13330" width="9" style="508" customWidth="1"/>
    <col min="13331" max="13332" width="8.5703125" style="508" customWidth="1"/>
    <col min="13333" max="13333" width="9" style="508" customWidth="1"/>
    <col min="13334" max="13335" width="8.5703125" style="508" customWidth="1"/>
    <col min="13336" max="13336" width="9" style="508" customWidth="1"/>
    <col min="13337" max="13338" width="8.5703125" style="508" customWidth="1"/>
    <col min="13339" max="13339" width="9" style="508" customWidth="1"/>
    <col min="13340" max="13570" width="9.140625" style="508"/>
    <col min="13571" max="13571" width="3.85546875" style="508" customWidth="1"/>
    <col min="13572" max="13572" width="12.85546875" style="508" customWidth="1"/>
    <col min="13573" max="13573" width="3.85546875" style="508" customWidth="1"/>
    <col min="13574" max="13574" width="20.85546875" style="508" customWidth="1"/>
    <col min="13575" max="13576" width="8.5703125" style="508" customWidth="1"/>
    <col min="13577" max="13577" width="9" style="508" customWidth="1"/>
    <col min="13578" max="13579" width="8.5703125" style="508" customWidth="1"/>
    <col min="13580" max="13580" width="9" style="508" customWidth="1"/>
    <col min="13581" max="13582" width="8.5703125" style="508" customWidth="1"/>
    <col min="13583" max="13583" width="9" style="508" customWidth="1"/>
    <col min="13584" max="13585" width="8.5703125" style="508" customWidth="1"/>
    <col min="13586" max="13586" width="9" style="508" customWidth="1"/>
    <col min="13587" max="13588" width="8.5703125" style="508" customWidth="1"/>
    <col min="13589" max="13589" width="9" style="508" customWidth="1"/>
    <col min="13590" max="13591" width="8.5703125" style="508" customWidth="1"/>
    <col min="13592" max="13592" width="9" style="508" customWidth="1"/>
    <col min="13593" max="13594" width="8.5703125" style="508" customWidth="1"/>
    <col min="13595" max="13595" width="9" style="508" customWidth="1"/>
    <col min="13596" max="13826" width="9.140625" style="508"/>
    <col min="13827" max="13827" width="3.85546875" style="508" customWidth="1"/>
    <col min="13828" max="13828" width="12.85546875" style="508" customWidth="1"/>
    <col min="13829" max="13829" width="3.85546875" style="508" customWidth="1"/>
    <col min="13830" max="13830" width="20.85546875" style="508" customWidth="1"/>
    <col min="13831" max="13832" width="8.5703125" style="508" customWidth="1"/>
    <col min="13833" max="13833" width="9" style="508" customWidth="1"/>
    <col min="13834" max="13835" width="8.5703125" style="508" customWidth="1"/>
    <col min="13836" max="13836" width="9" style="508" customWidth="1"/>
    <col min="13837" max="13838" width="8.5703125" style="508" customWidth="1"/>
    <col min="13839" max="13839" width="9" style="508" customWidth="1"/>
    <col min="13840" max="13841" width="8.5703125" style="508" customWidth="1"/>
    <col min="13842" max="13842" width="9" style="508" customWidth="1"/>
    <col min="13843" max="13844" width="8.5703125" style="508" customWidth="1"/>
    <col min="13845" max="13845" width="9" style="508" customWidth="1"/>
    <col min="13846" max="13847" width="8.5703125" style="508" customWidth="1"/>
    <col min="13848" max="13848" width="9" style="508" customWidth="1"/>
    <col min="13849" max="13850" width="8.5703125" style="508" customWidth="1"/>
    <col min="13851" max="13851" width="9" style="508" customWidth="1"/>
    <col min="13852" max="14082" width="9.140625" style="508"/>
    <col min="14083" max="14083" width="3.85546875" style="508" customWidth="1"/>
    <col min="14084" max="14084" width="12.85546875" style="508" customWidth="1"/>
    <col min="14085" max="14085" width="3.85546875" style="508" customWidth="1"/>
    <col min="14086" max="14086" width="20.85546875" style="508" customWidth="1"/>
    <col min="14087" max="14088" width="8.5703125" style="508" customWidth="1"/>
    <col min="14089" max="14089" width="9" style="508" customWidth="1"/>
    <col min="14090" max="14091" width="8.5703125" style="508" customWidth="1"/>
    <col min="14092" max="14092" width="9" style="508" customWidth="1"/>
    <col min="14093" max="14094" width="8.5703125" style="508" customWidth="1"/>
    <col min="14095" max="14095" width="9" style="508" customWidth="1"/>
    <col min="14096" max="14097" width="8.5703125" style="508" customWidth="1"/>
    <col min="14098" max="14098" width="9" style="508" customWidth="1"/>
    <col min="14099" max="14100" width="8.5703125" style="508" customWidth="1"/>
    <col min="14101" max="14101" width="9" style="508" customWidth="1"/>
    <col min="14102" max="14103" width="8.5703125" style="508" customWidth="1"/>
    <col min="14104" max="14104" width="9" style="508" customWidth="1"/>
    <col min="14105" max="14106" width="8.5703125" style="508" customWidth="1"/>
    <col min="14107" max="14107" width="9" style="508" customWidth="1"/>
    <col min="14108" max="14338" width="9.140625" style="508"/>
    <col min="14339" max="14339" width="3.85546875" style="508" customWidth="1"/>
    <col min="14340" max="14340" width="12.85546875" style="508" customWidth="1"/>
    <col min="14341" max="14341" width="3.85546875" style="508" customWidth="1"/>
    <col min="14342" max="14342" width="20.85546875" style="508" customWidth="1"/>
    <col min="14343" max="14344" width="8.5703125" style="508" customWidth="1"/>
    <col min="14345" max="14345" width="9" style="508" customWidth="1"/>
    <col min="14346" max="14347" width="8.5703125" style="508" customWidth="1"/>
    <col min="14348" max="14348" width="9" style="508" customWidth="1"/>
    <col min="14349" max="14350" width="8.5703125" style="508" customWidth="1"/>
    <col min="14351" max="14351" width="9" style="508" customWidth="1"/>
    <col min="14352" max="14353" width="8.5703125" style="508" customWidth="1"/>
    <col min="14354" max="14354" width="9" style="508" customWidth="1"/>
    <col min="14355" max="14356" width="8.5703125" style="508" customWidth="1"/>
    <col min="14357" max="14357" width="9" style="508" customWidth="1"/>
    <col min="14358" max="14359" width="8.5703125" style="508" customWidth="1"/>
    <col min="14360" max="14360" width="9" style="508" customWidth="1"/>
    <col min="14361" max="14362" width="8.5703125" style="508" customWidth="1"/>
    <col min="14363" max="14363" width="9" style="508" customWidth="1"/>
    <col min="14364" max="14594" width="9.140625" style="508"/>
    <col min="14595" max="14595" width="3.85546875" style="508" customWidth="1"/>
    <col min="14596" max="14596" width="12.85546875" style="508" customWidth="1"/>
    <col min="14597" max="14597" width="3.85546875" style="508" customWidth="1"/>
    <col min="14598" max="14598" width="20.85546875" style="508" customWidth="1"/>
    <col min="14599" max="14600" width="8.5703125" style="508" customWidth="1"/>
    <col min="14601" max="14601" width="9" style="508" customWidth="1"/>
    <col min="14602" max="14603" width="8.5703125" style="508" customWidth="1"/>
    <col min="14604" max="14604" width="9" style="508" customWidth="1"/>
    <col min="14605" max="14606" width="8.5703125" style="508" customWidth="1"/>
    <col min="14607" max="14607" width="9" style="508" customWidth="1"/>
    <col min="14608" max="14609" width="8.5703125" style="508" customWidth="1"/>
    <col min="14610" max="14610" width="9" style="508" customWidth="1"/>
    <col min="14611" max="14612" width="8.5703125" style="508" customWidth="1"/>
    <col min="14613" max="14613" width="9" style="508" customWidth="1"/>
    <col min="14614" max="14615" width="8.5703125" style="508" customWidth="1"/>
    <col min="14616" max="14616" width="9" style="508" customWidth="1"/>
    <col min="14617" max="14618" width="8.5703125" style="508" customWidth="1"/>
    <col min="14619" max="14619" width="9" style="508" customWidth="1"/>
    <col min="14620" max="14850" width="9.140625" style="508"/>
    <col min="14851" max="14851" width="3.85546875" style="508" customWidth="1"/>
    <col min="14852" max="14852" width="12.85546875" style="508" customWidth="1"/>
    <col min="14853" max="14853" width="3.85546875" style="508" customWidth="1"/>
    <col min="14854" max="14854" width="20.85546875" style="508" customWidth="1"/>
    <col min="14855" max="14856" width="8.5703125" style="508" customWidth="1"/>
    <col min="14857" max="14857" width="9" style="508" customWidth="1"/>
    <col min="14858" max="14859" width="8.5703125" style="508" customWidth="1"/>
    <col min="14860" max="14860" width="9" style="508" customWidth="1"/>
    <col min="14861" max="14862" width="8.5703125" style="508" customWidth="1"/>
    <col min="14863" max="14863" width="9" style="508" customWidth="1"/>
    <col min="14864" max="14865" width="8.5703125" style="508" customWidth="1"/>
    <col min="14866" max="14866" width="9" style="508" customWidth="1"/>
    <col min="14867" max="14868" width="8.5703125" style="508" customWidth="1"/>
    <col min="14869" max="14869" width="9" style="508" customWidth="1"/>
    <col min="14870" max="14871" width="8.5703125" style="508" customWidth="1"/>
    <col min="14872" max="14872" width="9" style="508" customWidth="1"/>
    <col min="14873" max="14874" width="8.5703125" style="508" customWidth="1"/>
    <col min="14875" max="14875" width="9" style="508" customWidth="1"/>
    <col min="14876" max="15106" width="9.140625" style="508"/>
    <col min="15107" max="15107" width="3.85546875" style="508" customWidth="1"/>
    <col min="15108" max="15108" width="12.85546875" style="508" customWidth="1"/>
    <col min="15109" max="15109" width="3.85546875" style="508" customWidth="1"/>
    <col min="15110" max="15110" width="20.85546875" style="508" customWidth="1"/>
    <col min="15111" max="15112" width="8.5703125" style="508" customWidth="1"/>
    <col min="15113" max="15113" width="9" style="508" customWidth="1"/>
    <col min="15114" max="15115" width="8.5703125" style="508" customWidth="1"/>
    <col min="15116" max="15116" width="9" style="508" customWidth="1"/>
    <col min="15117" max="15118" width="8.5703125" style="508" customWidth="1"/>
    <col min="15119" max="15119" width="9" style="508" customWidth="1"/>
    <col min="15120" max="15121" width="8.5703125" style="508" customWidth="1"/>
    <col min="15122" max="15122" width="9" style="508" customWidth="1"/>
    <col min="15123" max="15124" width="8.5703125" style="508" customWidth="1"/>
    <col min="15125" max="15125" width="9" style="508" customWidth="1"/>
    <col min="15126" max="15127" width="8.5703125" style="508" customWidth="1"/>
    <col min="15128" max="15128" width="9" style="508" customWidth="1"/>
    <col min="15129" max="15130" width="8.5703125" style="508" customWidth="1"/>
    <col min="15131" max="15131" width="9" style="508" customWidth="1"/>
    <col min="15132" max="15362" width="9.140625" style="508"/>
    <col min="15363" max="15363" width="3.85546875" style="508" customWidth="1"/>
    <col min="15364" max="15364" width="12.85546875" style="508" customWidth="1"/>
    <col min="15365" max="15365" width="3.85546875" style="508" customWidth="1"/>
    <col min="15366" max="15366" width="20.85546875" style="508" customWidth="1"/>
    <col min="15367" max="15368" width="8.5703125" style="508" customWidth="1"/>
    <col min="15369" max="15369" width="9" style="508" customWidth="1"/>
    <col min="15370" max="15371" width="8.5703125" style="508" customWidth="1"/>
    <col min="15372" max="15372" width="9" style="508" customWidth="1"/>
    <col min="15373" max="15374" width="8.5703125" style="508" customWidth="1"/>
    <col min="15375" max="15375" width="9" style="508" customWidth="1"/>
    <col min="15376" max="15377" width="8.5703125" style="508" customWidth="1"/>
    <col min="15378" max="15378" width="9" style="508" customWidth="1"/>
    <col min="15379" max="15380" width="8.5703125" style="508" customWidth="1"/>
    <col min="15381" max="15381" width="9" style="508" customWidth="1"/>
    <col min="15382" max="15383" width="8.5703125" style="508" customWidth="1"/>
    <col min="15384" max="15384" width="9" style="508" customWidth="1"/>
    <col min="15385" max="15386" width="8.5703125" style="508" customWidth="1"/>
    <col min="15387" max="15387" width="9" style="508" customWidth="1"/>
    <col min="15388" max="15618" width="9.140625" style="508"/>
    <col min="15619" max="15619" width="3.85546875" style="508" customWidth="1"/>
    <col min="15620" max="15620" width="12.85546875" style="508" customWidth="1"/>
    <col min="15621" max="15621" width="3.85546875" style="508" customWidth="1"/>
    <col min="15622" max="15622" width="20.85546875" style="508" customWidth="1"/>
    <col min="15623" max="15624" width="8.5703125" style="508" customWidth="1"/>
    <col min="15625" max="15625" width="9" style="508" customWidth="1"/>
    <col min="15626" max="15627" width="8.5703125" style="508" customWidth="1"/>
    <col min="15628" max="15628" width="9" style="508" customWidth="1"/>
    <col min="15629" max="15630" width="8.5703125" style="508" customWidth="1"/>
    <col min="15631" max="15631" width="9" style="508" customWidth="1"/>
    <col min="15632" max="15633" width="8.5703125" style="508" customWidth="1"/>
    <col min="15634" max="15634" width="9" style="508" customWidth="1"/>
    <col min="15635" max="15636" width="8.5703125" style="508" customWidth="1"/>
    <col min="15637" max="15637" width="9" style="508" customWidth="1"/>
    <col min="15638" max="15639" width="8.5703125" style="508" customWidth="1"/>
    <col min="15640" max="15640" width="9" style="508" customWidth="1"/>
    <col min="15641" max="15642" width="8.5703125" style="508" customWidth="1"/>
    <col min="15643" max="15643" width="9" style="508" customWidth="1"/>
    <col min="15644" max="15874" width="9.140625" style="508"/>
    <col min="15875" max="15875" width="3.85546875" style="508" customWidth="1"/>
    <col min="15876" max="15876" width="12.85546875" style="508" customWidth="1"/>
    <col min="15877" max="15877" width="3.85546875" style="508" customWidth="1"/>
    <col min="15878" max="15878" width="20.85546875" style="508" customWidth="1"/>
    <col min="15879" max="15880" width="8.5703125" style="508" customWidth="1"/>
    <col min="15881" max="15881" width="9" style="508" customWidth="1"/>
    <col min="15882" max="15883" width="8.5703125" style="508" customWidth="1"/>
    <col min="15884" max="15884" width="9" style="508" customWidth="1"/>
    <col min="15885" max="15886" width="8.5703125" style="508" customWidth="1"/>
    <col min="15887" max="15887" width="9" style="508" customWidth="1"/>
    <col min="15888" max="15889" width="8.5703125" style="508" customWidth="1"/>
    <col min="15890" max="15890" width="9" style="508" customWidth="1"/>
    <col min="15891" max="15892" width="8.5703125" style="508" customWidth="1"/>
    <col min="15893" max="15893" width="9" style="508" customWidth="1"/>
    <col min="15894" max="15895" width="8.5703125" style="508" customWidth="1"/>
    <col min="15896" max="15896" width="9" style="508" customWidth="1"/>
    <col min="15897" max="15898" width="8.5703125" style="508" customWidth="1"/>
    <col min="15899" max="15899" width="9" style="508" customWidth="1"/>
    <col min="15900" max="16130" width="9.140625" style="508"/>
    <col min="16131" max="16131" width="3.85546875" style="508" customWidth="1"/>
    <col min="16132" max="16132" width="12.85546875" style="508" customWidth="1"/>
    <col min="16133" max="16133" width="3.85546875" style="508" customWidth="1"/>
    <col min="16134" max="16134" width="20.85546875" style="508" customWidth="1"/>
    <col min="16135" max="16136" width="8.5703125" style="508" customWidth="1"/>
    <col min="16137" max="16137" width="9" style="508" customWidth="1"/>
    <col min="16138" max="16139" width="8.5703125" style="508" customWidth="1"/>
    <col min="16140" max="16140" width="9" style="508" customWidth="1"/>
    <col min="16141" max="16142" width="8.5703125" style="508" customWidth="1"/>
    <col min="16143" max="16143" width="9" style="508" customWidth="1"/>
    <col min="16144" max="16145" width="8.5703125" style="508" customWidth="1"/>
    <col min="16146" max="16146" width="9" style="508" customWidth="1"/>
    <col min="16147" max="16148" width="8.5703125" style="508" customWidth="1"/>
    <col min="16149" max="16149" width="9" style="508" customWidth="1"/>
    <col min="16150" max="16151" width="8.5703125" style="508" customWidth="1"/>
    <col min="16152" max="16152" width="9" style="508" customWidth="1"/>
    <col min="16153" max="16154" width="8.5703125" style="508" customWidth="1"/>
    <col min="16155" max="16155" width="9" style="508" customWidth="1"/>
    <col min="16156" max="16384" width="9.140625" style="508"/>
  </cols>
  <sheetData>
    <row r="2" spans="1:37" ht="15" customHeight="1" x14ac:dyDescent="0.2">
      <c r="A2" s="2387">
        <v>1</v>
      </c>
      <c r="B2" s="509" t="s">
        <v>829</v>
      </c>
      <c r="C2" s="509">
        <v>27</v>
      </c>
      <c r="D2" s="4757" t="s">
        <v>830</v>
      </c>
      <c r="E2" s="4758"/>
      <c r="F2" s="4758"/>
      <c r="G2" s="4758"/>
      <c r="H2" s="4758"/>
      <c r="I2" s="4758"/>
      <c r="J2" s="4758"/>
      <c r="K2" s="4758"/>
      <c r="L2" s="4758"/>
      <c r="M2" s="4758"/>
      <c r="N2" s="4758"/>
      <c r="O2" s="4758"/>
      <c r="P2" s="4758"/>
      <c r="Q2" s="4758"/>
      <c r="R2" s="4758"/>
      <c r="S2" s="4758"/>
      <c r="T2" s="4758"/>
      <c r="U2" s="4758"/>
      <c r="V2" s="4758"/>
      <c r="W2" s="4758"/>
      <c r="X2" s="4758"/>
      <c r="Y2" s="4758"/>
      <c r="Z2" s="4758"/>
      <c r="AA2" s="4758"/>
      <c r="AB2" s="4758"/>
      <c r="AC2" s="4758"/>
      <c r="AD2" s="4758"/>
      <c r="AE2" s="4758"/>
      <c r="AF2" s="4758"/>
      <c r="AG2" s="4759"/>
    </row>
    <row r="3" spans="1:37" ht="15" customHeight="1" x14ac:dyDescent="0.2">
      <c r="A3" s="2387">
        <v>2</v>
      </c>
      <c r="B3" s="509" t="s">
        <v>831</v>
      </c>
      <c r="C3" s="509"/>
      <c r="D3" s="4757" t="s">
        <v>832</v>
      </c>
      <c r="E3" s="4758"/>
      <c r="F3" s="4758"/>
      <c r="G3" s="4758"/>
      <c r="H3" s="4758"/>
      <c r="I3" s="4758"/>
      <c r="J3" s="4758"/>
      <c r="K3" s="4758"/>
      <c r="L3" s="4758"/>
      <c r="M3" s="4758"/>
      <c r="N3" s="4758"/>
      <c r="O3" s="4758"/>
      <c r="P3" s="4758"/>
      <c r="Q3" s="4758"/>
      <c r="R3" s="4758"/>
      <c r="S3" s="4758"/>
      <c r="T3" s="4758"/>
      <c r="U3" s="4758"/>
      <c r="V3" s="4758"/>
      <c r="W3" s="4758"/>
      <c r="X3" s="4758"/>
      <c r="Y3" s="4758"/>
      <c r="Z3" s="4758"/>
      <c r="AA3" s="4758"/>
      <c r="AB3" s="4758"/>
      <c r="AC3" s="4758"/>
      <c r="AD3" s="4758"/>
      <c r="AE3" s="4758"/>
      <c r="AF3" s="4758"/>
      <c r="AG3" s="4759"/>
    </row>
    <row r="4" spans="1:37" ht="15" customHeight="1" x14ac:dyDescent="0.2">
      <c r="A4" s="2387">
        <v>3</v>
      </c>
      <c r="B4" s="509" t="s">
        <v>4</v>
      </c>
      <c r="C4" s="509"/>
      <c r="D4" s="4757" t="s">
        <v>833</v>
      </c>
      <c r="E4" s="4758"/>
      <c r="F4" s="4758"/>
      <c r="G4" s="4758"/>
      <c r="H4" s="4758"/>
      <c r="I4" s="4758"/>
      <c r="J4" s="4758"/>
      <c r="K4" s="4758"/>
      <c r="L4" s="4758"/>
      <c r="M4" s="4758"/>
      <c r="N4" s="4758"/>
      <c r="O4" s="4758"/>
      <c r="P4" s="4758"/>
      <c r="Q4" s="4758"/>
      <c r="R4" s="4758"/>
      <c r="S4" s="4758"/>
      <c r="T4" s="4758"/>
      <c r="U4" s="4758"/>
      <c r="V4" s="4758"/>
      <c r="W4" s="4758"/>
      <c r="X4" s="4758"/>
      <c r="Y4" s="4758"/>
      <c r="Z4" s="4758"/>
      <c r="AA4" s="4758"/>
      <c r="AB4" s="4758"/>
      <c r="AC4" s="4758"/>
      <c r="AD4" s="4758"/>
      <c r="AE4" s="4758"/>
      <c r="AF4" s="4758"/>
      <c r="AG4" s="4759"/>
    </row>
    <row r="5" spans="1:37" hidden="1" x14ac:dyDescent="0.2">
      <c r="A5" s="2387">
        <v>4</v>
      </c>
      <c r="B5" s="509" t="s">
        <v>62</v>
      </c>
      <c r="C5" s="509"/>
      <c r="D5" s="4760"/>
      <c r="E5" s="4761"/>
      <c r="F5" s="4761"/>
      <c r="G5" s="4761"/>
      <c r="H5" s="4761"/>
      <c r="I5" s="4761"/>
      <c r="J5" s="4761"/>
      <c r="K5" s="4761"/>
      <c r="L5" s="4761"/>
      <c r="M5" s="4761"/>
      <c r="N5" s="4761"/>
      <c r="O5" s="4761"/>
      <c r="P5" s="4761"/>
      <c r="Q5" s="4761"/>
      <c r="R5" s="4761"/>
      <c r="S5" s="4761"/>
      <c r="T5" s="4761"/>
      <c r="U5" s="4761"/>
      <c r="V5" s="4761"/>
      <c r="W5" s="4761"/>
      <c r="X5" s="4761"/>
      <c r="Y5" s="4761"/>
      <c r="Z5" s="4761"/>
      <c r="AA5" s="4761"/>
      <c r="AB5" s="4761"/>
      <c r="AC5" s="4762"/>
    </row>
    <row r="6" spans="1:37" ht="15" hidden="1" customHeight="1" x14ac:dyDescent="0.2">
      <c r="A6" s="2387"/>
      <c r="B6" s="509"/>
      <c r="C6" s="509"/>
      <c r="D6" s="510"/>
      <c r="E6" s="510"/>
      <c r="F6" s="510"/>
      <c r="G6" s="510"/>
      <c r="H6" s="510"/>
      <c r="I6" s="510"/>
      <c r="J6" s="510"/>
      <c r="K6" s="510"/>
      <c r="L6" s="510"/>
      <c r="M6" s="510"/>
      <c r="N6" s="510"/>
      <c r="O6" s="510"/>
      <c r="P6" s="510"/>
      <c r="Q6" s="510"/>
      <c r="R6" s="510"/>
      <c r="S6" s="510"/>
      <c r="T6" s="510"/>
      <c r="U6" s="510"/>
      <c r="V6" s="510"/>
      <c r="W6" s="510"/>
      <c r="X6" s="510"/>
      <c r="Y6" s="510"/>
      <c r="Z6" s="510"/>
      <c r="AA6" s="510"/>
    </row>
    <row r="7" spans="1:37" ht="18.75" customHeight="1" x14ac:dyDescent="0.25">
      <c r="A7" s="2916">
        <v>5</v>
      </c>
      <c r="B7" s="509" t="s">
        <v>6</v>
      </c>
      <c r="C7" s="509"/>
      <c r="D7" s="4763"/>
      <c r="E7" s="4763"/>
      <c r="F7" s="4763"/>
      <c r="G7" s="4763"/>
      <c r="H7" s="4763"/>
      <c r="I7" s="4763"/>
      <c r="J7" s="4763"/>
      <c r="K7" s="4763"/>
      <c r="L7" s="4763"/>
      <c r="M7" s="4763"/>
      <c r="N7" s="4763"/>
      <c r="O7" s="4763"/>
      <c r="P7" s="4763"/>
      <c r="Q7" s="4763"/>
      <c r="R7" s="4763"/>
      <c r="S7" s="4763"/>
      <c r="T7" s="4763"/>
      <c r="U7" s="4763"/>
      <c r="V7" s="4763"/>
      <c r="W7" s="4763"/>
      <c r="X7" s="4763"/>
      <c r="Y7" s="4763"/>
      <c r="Z7" s="4763"/>
      <c r="AA7" s="4763"/>
    </row>
    <row r="8" spans="1:37" ht="16.5" customHeight="1" x14ac:dyDescent="0.2">
      <c r="A8" s="507"/>
      <c r="B8" s="2377"/>
      <c r="C8" s="2377"/>
      <c r="D8" s="72" t="s">
        <v>80</v>
      </c>
      <c r="E8" s="72" t="s">
        <v>834</v>
      </c>
      <c r="F8" s="1123"/>
      <c r="G8" s="1123"/>
      <c r="H8" s="1123"/>
      <c r="I8" s="1123"/>
      <c r="J8" s="1123"/>
      <c r="K8" s="1123"/>
      <c r="L8" s="1123"/>
      <c r="M8" s="1123"/>
      <c r="N8" s="1123"/>
      <c r="O8" s="1123"/>
      <c r="P8" s="1123"/>
      <c r="Q8" s="1123"/>
      <c r="R8" s="1123"/>
      <c r="S8" s="1123"/>
      <c r="T8" s="1123"/>
      <c r="U8" s="131"/>
      <c r="V8" s="95"/>
      <c r="W8" s="95"/>
      <c r="X8" s="95"/>
      <c r="Y8" s="88"/>
      <c r="Z8" s="88"/>
      <c r="AA8" s="88"/>
      <c r="AB8" s="88"/>
      <c r="AC8" s="88"/>
      <c r="AD8" s="88"/>
      <c r="AE8" s="88"/>
      <c r="AF8" s="88"/>
      <c r="AG8" s="88"/>
      <c r="AH8" s="88"/>
      <c r="AI8" s="88"/>
      <c r="AJ8" s="88"/>
    </row>
    <row r="9" spans="1:37" ht="12.75" customHeight="1" x14ac:dyDescent="0.2">
      <c r="A9" s="507"/>
      <c r="B9" s="2377"/>
      <c r="C9" s="2377"/>
      <c r="D9" s="1170"/>
      <c r="E9" s="2975">
        <v>1994</v>
      </c>
      <c r="F9" s="2976">
        <v>1995</v>
      </c>
      <c r="G9" s="2976">
        <v>1996</v>
      </c>
      <c r="H9" s="2976">
        <v>1997</v>
      </c>
      <c r="I9" s="2976">
        <v>1998</v>
      </c>
      <c r="J9" s="2976">
        <v>1999</v>
      </c>
      <c r="K9" s="2976">
        <v>2000</v>
      </c>
      <c r="L9" s="2976">
        <v>2001</v>
      </c>
      <c r="M9" s="4199">
        <v>2002</v>
      </c>
      <c r="N9" s="4199">
        <v>2003</v>
      </c>
      <c r="O9" s="4199">
        <v>2004</v>
      </c>
      <c r="P9" s="4199">
        <v>2005</v>
      </c>
      <c r="Q9" s="4199">
        <v>2006</v>
      </c>
      <c r="R9" s="4199">
        <v>2007</v>
      </c>
      <c r="S9" s="4199">
        <v>2008</v>
      </c>
      <c r="T9" s="4199">
        <v>2009</v>
      </c>
      <c r="U9" s="4200">
        <v>2010</v>
      </c>
      <c r="V9" s="4200">
        <v>2011</v>
      </c>
      <c r="W9" s="4201">
        <v>2012</v>
      </c>
      <c r="X9" s="4201">
        <v>2013</v>
      </c>
      <c r="Y9" s="4201">
        <v>2014</v>
      </c>
      <c r="Z9" s="4201">
        <v>2015</v>
      </c>
      <c r="AA9" s="4201">
        <v>2016</v>
      </c>
      <c r="AB9" s="4201">
        <v>2017</v>
      </c>
      <c r="AC9" s="4201">
        <v>2018</v>
      </c>
      <c r="AD9" s="4202">
        <v>2019</v>
      </c>
      <c r="AE9" s="4202">
        <v>2020</v>
      </c>
      <c r="AF9" s="4202">
        <v>2021</v>
      </c>
      <c r="AG9" s="4202">
        <v>2022</v>
      </c>
      <c r="AH9" s="88"/>
      <c r="AI9" s="88"/>
      <c r="AJ9" s="88"/>
      <c r="AK9" s="88"/>
    </row>
    <row r="10" spans="1:37" ht="12" customHeight="1" x14ac:dyDescent="0.25">
      <c r="A10" s="507"/>
      <c r="B10" s="2978"/>
      <c r="C10" s="2979"/>
      <c r="D10" s="2378" t="s">
        <v>835</v>
      </c>
      <c r="E10" s="954"/>
      <c r="F10" s="994"/>
      <c r="G10" s="955"/>
      <c r="H10" s="955"/>
      <c r="I10" s="955"/>
      <c r="J10" s="955"/>
      <c r="K10" s="994"/>
      <c r="L10" s="1307"/>
      <c r="M10" s="4203">
        <v>11194350</v>
      </c>
      <c r="N10" s="4203">
        <v>11459337</v>
      </c>
      <c r="O10" s="4203">
        <v>11718329</v>
      </c>
      <c r="P10" s="4203">
        <v>11976990</v>
      </c>
      <c r="Q10" s="4203">
        <v>12243215</v>
      </c>
      <c r="R10" s="4203">
        <v>12522491</v>
      </c>
      <c r="S10" s="4203">
        <v>12819285</v>
      </c>
      <c r="T10" s="4203">
        <v>13128396</v>
      </c>
      <c r="U10" s="4203">
        <v>13455659</v>
      </c>
      <c r="V10" s="4203">
        <v>13797320</v>
      </c>
      <c r="W10" s="4203">
        <v>14151736</v>
      </c>
      <c r="X10" s="4203">
        <v>14521185</v>
      </c>
      <c r="Y10" s="4203">
        <v>14903733</v>
      </c>
      <c r="Z10" s="4203">
        <v>15307483</v>
      </c>
      <c r="AA10" s="4204">
        <v>15743677</v>
      </c>
      <c r="AB10" s="4204">
        <v>16199107</v>
      </c>
      <c r="AC10" s="4204">
        <v>16670853.6913475</v>
      </c>
      <c r="AD10" s="4205">
        <v>17162983.263316602</v>
      </c>
      <c r="AE10" s="4205">
        <v>17418232.7220365</v>
      </c>
      <c r="AF10" s="4205"/>
      <c r="AG10" s="4205"/>
      <c r="AH10" s="2890"/>
      <c r="AI10" s="2980"/>
      <c r="AJ10" s="2980"/>
      <c r="AK10" s="2980"/>
    </row>
    <row r="11" spans="1:37" ht="13.5" customHeight="1" x14ac:dyDescent="0.25">
      <c r="A11" s="507"/>
      <c r="B11" s="79"/>
      <c r="C11" s="2979"/>
      <c r="D11" s="2378" t="s">
        <v>836</v>
      </c>
      <c r="E11" s="2981"/>
      <c r="F11" s="994"/>
      <c r="G11" s="994"/>
      <c r="H11" s="955"/>
      <c r="I11" s="955"/>
      <c r="J11" s="955"/>
      <c r="K11" s="994"/>
      <c r="L11" s="2982"/>
      <c r="M11" s="4203">
        <v>8271581</v>
      </c>
      <c r="N11" s="4203">
        <v>8367247</v>
      </c>
      <c r="O11" s="4203">
        <v>8584241</v>
      </c>
      <c r="P11" s="4203">
        <v>8516089</v>
      </c>
      <c r="Q11" s="4203">
        <v>9403036</v>
      </c>
      <c r="R11" s="4203">
        <v>9453226</v>
      </c>
      <c r="S11" s="4203">
        <v>10119091</v>
      </c>
      <c r="T11" s="4203">
        <v>9903887</v>
      </c>
      <c r="U11" s="4203">
        <v>10400960</v>
      </c>
      <c r="V11" s="4203">
        <v>10703012</v>
      </c>
      <c r="W11" s="4203">
        <v>10751995</v>
      </c>
      <c r="X11" s="4203">
        <v>11275787</v>
      </c>
      <c r="Y11" s="4203">
        <v>11817439</v>
      </c>
      <c r="Z11" s="4203">
        <v>11946882</v>
      </c>
      <c r="AA11" s="4203">
        <v>12470883</v>
      </c>
      <c r="AB11" s="4203">
        <v>12968417</v>
      </c>
      <c r="AC11" s="4203">
        <v>13521738.5028941</v>
      </c>
      <c r="AD11" s="4206">
        <v>14064081.953474902</v>
      </c>
      <c r="AE11" s="4206">
        <v>14622062.389469597</v>
      </c>
      <c r="AF11" s="4206">
        <v>14999480.580987001</v>
      </c>
      <c r="AG11" s="4206"/>
      <c r="AH11" s="2983"/>
      <c r="AI11" s="2980"/>
      <c r="AJ11" s="2980"/>
      <c r="AK11" s="2980"/>
    </row>
    <row r="12" spans="1:37" ht="27.6" customHeight="1" x14ac:dyDescent="0.25">
      <c r="A12" s="507"/>
      <c r="B12" s="313"/>
      <c r="C12" s="2979"/>
      <c r="D12" s="2379" t="s">
        <v>837</v>
      </c>
      <c r="E12" s="3543"/>
      <c r="F12" s="4160"/>
      <c r="G12" s="4161"/>
      <c r="H12" s="4161"/>
      <c r="I12" s="4161"/>
      <c r="J12" s="4161"/>
      <c r="K12" s="4160"/>
      <c r="L12" s="4162"/>
      <c r="M12" s="4207">
        <v>73.959999999999994</v>
      </c>
      <c r="N12" s="4207">
        <v>73.05</v>
      </c>
      <c r="O12" s="4207">
        <v>73.290000000000006</v>
      </c>
      <c r="P12" s="4207">
        <v>71.180000000000007</v>
      </c>
      <c r="Q12" s="4207">
        <v>76.959999999999994</v>
      </c>
      <c r="R12" s="4207">
        <v>76.05</v>
      </c>
      <c r="S12" s="4207">
        <v>79.180000000000007</v>
      </c>
      <c r="T12" s="4207">
        <v>75.44</v>
      </c>
      <c r="U12" s="4207">
        <v>77.3</v>
      </c>
      <c r="V12" s="4207">
        <v>78.349999999999994</v>
      </c>
      <c r="W12" s="4207">
        <v>76.760000000000005</v>
      </c>
      <c r="X12" s="4207">
        <v>77.650000000000006</v>
      </c>
      <c r="Y12" s="4207">
        <v>79.290000000000006</v>
      </c>
      <c r="Z12" s="4207">
        <v>78.05</v>
      </c>
      <c r="AA12" s="4207">
        <v>79.209999999999994</v>
      </c>
      <c r="AB12" s="4207">
        <v>80.06</v>
      </c>
      <c r="AC12" s="4207">
        <v>81.099999999999994</v>
      </c>
      <c r="AD12" s="4208">
        <v>81.900000000000006</v>
      </c>
      <c r="AE12" s="4208">
        <v>83.9</v>
      </c>
      <c r="AF12" s="4208">
        <v>83.6</v>
      </c>
      <c r="AG12" s="4208"/>
      <c r="AH12" s="2980"/>
      <c r="AI12" s="2980"/>
      <c r="AJ12" s="2980"/>
      <c r="AK12" s="2980"/>
    </row>
    <row r="13" spans="1:37" ht="24.6" customHeight="1" x14ac:dyDescent="0.2">
      <c r="A13" s="507"/>
      <c r="B13" s="313"/>
      <c r="C13" s="2979"/>
      <c r="D13" s="579" t="s">
        <v>838</v>
      </c>
      <c r="E13" s="2984"/>
      <c r="F13" s="87"/>
      <c r="G13" s="2380"/>
      <c r="H13" s="2380"/>
      <c r="I13" s="2380"/>
      <c r="J13" s="2380"/>
      <c r="K13" s="994"/>
      <c r="L13" s="2380"/>
      <c r="M13" s="4209"/>
      <c r="N13" s="4209"/>
      <c r="O13" s="4209"/>
      <c r="P13" s="4209"/>
      <c r="Q13" s="4209"/>
      <c r="R13" s="4209"/>
      <c r="S13" s="4209"/>
      <c r="T13" s="4209"/>
      <c r="U13" s="4209"/>
      <c r="V13" s="4209"/>
      <c r="W13" s="4209"/>
      <c r="X13" s="4209"/>
      <c r="Y13" s="4209"/>
      <c r="Z13" s="4209"/>
      <c r="AA13" s="4209"/>
      <c r="AB13" s="4209"/>
      <c r="AC13" s="4209"/>
      <c r="AD13" s="4210"/>
      <c r="AE13" s="4210"/>
      <c r="AF13" s="4210"/>
      <c r="AG13" s="4210"/>
      <c r="AH13" s="2980"/>
      <c r="AI13" s="2980"/>
      <c r="AJ13" s="2980"/>
      <c r="AK13" s="2980"/>
    </row>
    <row r="14" spans="1:37" ht="13.5" customHeight="1" x14ac:dyDescent="0.2">
      <c r="A14" s="507"/>
      <c r="B14" s="313"/>
      <c r="C14" s="2979"/>
      <c r="D14" s="2985" t="s">
        <v>839</v>
      </c>
      <c r="E14" s="954"/>
      <c r="F14" s="831"/>
      <c r="G14" s="831"/>
      <c r="H14" s="831"/>
      <c r="I14" s="831"/>
      <c r="J14" s="831"/>
      <c r="K14" s="831"/>
      <c r="L14" s="831"/>
      <c r="M14" s="4163">
        <v>53.55</v>
      </c>
      <c r="N14" s="4163">
        <v>56.96</v>
      </c>
      <c r="O14" s="4163">
        <v>55.06</v>
      </c>
      <c r="P14" s="4163">
        <v>56.98</v>
      </c>
      <c r="Q14" s="4163">
        <v>59.35</v>
      </c>
      <c r="R14" s="4163">
        <v>57.36</v>
      </c>
      <c r="S14" s="4163">
        <v>61.02</v>
      </c>
      <c r="T14" s="4163">
        <v>54.91</v>
      </c>
      <c r="U14" s="4163">
        <v>56.89</v>
      </c>
      <c r="V14" s="4163">
        <v>52.82</v>
      </c>
      <c r="W14" s="4163">
        <v>53.92</v>
      </c>
      <c r="X14" s="4163">
        <v>54.16</v>
      </c>
      <c r="Y14" s="4163">
        <v>54.54</v>
      </c>
      <c r="Z14" s="4163">
        <v>53.03</v>
      </c>
      <c r="AA14" s="4163">
        <v>53.34</v>
      </c>
      <c r="AB14" s="4163">
        <v>53.47</v>
      </c>
      <c r="AC14" s="4163">
        <v>54.2</v>
      </c>
      <c r="AD14" s="4164">
        <v>57.8</v>
      </c>
      <c r="AE14" s="4164">
        <v>63.7</v>
      </c>
      <c r="AF14" s="4164">
        <v>62.4</v>
      </c>
      <c r="AG14" s="4164"/>
      <c r="AH14" s="2980"/>
      <c r="AI14" s="2986"/>
      <c r="AJ14" s="2980"/>
      <c r="AK14" s="2980"/>
    </row>
    <row r="15" spans="1:37" ht="13.5" customHeight="1" x14ac:dyDescent="0.25">
      <c r="A15" s="507"/>
      <c r="B15" s="313"/>
      <c r="C15" s="2979"/>
      <c r="D15" s="2985" t="s">
        <v>840</v>
      </c>
      <c r="E15" s="2987"/>
      <c r="F15" s="955"/>
      <c r="G15" s="955"/>
      <c r="H15" s="2988"/>
      <c r="I15" s="2988"/>
      <c r="J15" s="2988"/>
      <c r="K15" s="955"/>
      <c r="L15" s="955"/>
      <c r="M15" s="4163">
        <v>15.26</v>
      </c>
      <c r="N15" s="4163">
        <v>13.23</v>
      </c>
      <c r="O15" s="4163">
        <v>11.55</v>
      </c>
      <c r="P15" s="4163">
        <v>11.95</v>
      </c>
      <c r="Q15" s="4163">
        <v>10.3</v>
      </c>
      <c r="R15" s="4163">
        <v>9.7100000000000009</v>
      </c>
      <c r="S15" s="4163">
        <v>12.28</v>
      </c>
      <c r="T15" s="4163">
        <v>11.05</v>
      </c>
      <c r="U15" s="4163">
        <v>11.48</v>
      </c>
      <c r="V15" s="4163">
        <v>10.46</v>
      </c>
      <c r="W15" s="4163">
        <v>11.12</v>
      </c>
      <c r="X15" s="4163">
        <v>11.51</v>
      </c>
      <c r="Y15" s="4163">
        <v>10.66</v>
      </c>
      <c r="Z15" s="4163">
        <v>9.83</v>
      </c>
      <c r="AA15" s="4163">
        <v>8.9499999999999993</v>
      </c>
      <c r="AB15" s="4163">
        <v>8.76</v>
      </c>
      <c r="AC15" s="4163">
        <v>8.1999999999999993</v>
      </c>
      <c r="AD15" s="4164">
        <v>3</v>
      </c>
      <c r="AE15" s="4164">
        <v>9</v>
      </c>
      <c r="AF15" s="4164">
        <v>9</v>
      </c>
      <c r="AG15" s="4164"/>
      <c r="AH15" s="2980"/>
      <c r="AI15" s="2986"/>
      <c r="AJ15" s="2980"/>
      <c r="AK15" s="2980"/>
    </row>
    <row r="16" spans="1:37" ht="13.5" customHeight="1" x14ac:dyDescent="0.2">
      <c r="A16" s="507"/>
      <c r="B16" s="313"/>
      <c r="C16" s="2979"/>
      <c r="D16" s="2985" t="s">
        <v>841</v>
      </c>
      <c r="E16" s="2989"/>
      <c r="F16" s="994"/>
      <c r="G16" s="994"/>
      <c r="H16" s="955"/>
      <c r="I16" s="955"/>
      <c r="J16" s="955"/>
      <c r="K16" s="994"/>
      <c r="L16" s="831"/>
      <c r="M16" s="4163">
        <v>19.61</v>
      </c>
      <c r="N16" s="4163">
        <v>19.559999999999999</v>
      </c>
      <c r="O16" s="4163">
        <v>21.19</v>
      </c>
      <c r="P16" s="4163">
        <v>20.81</v>
      </c>
      <c r="Q16" s="4163">
        <v>20.260000000000002</v>
      </c>
      <c r="R16" s="4163">
        <v>22.97</v>
      </c>
      <c r="S16" s="4163">
        <v>18.97</v>
      </c>
      <c r="T16" s="4163">
        <v>21.77</v>
      </c>
      <c r="U16" s="4163">
        <v>21.35</v>
      </c>
      <c r="V16" s="4163">
        <v>21.73</v>
      </c>
      <c r="W16" s="4163">
        <v>22.1</v>
      </c>
      <c r="X16" s="4163">
        <v>22.53</v>
      </c>
      <c r="Y16" s="4163">
        <v>22.52</v>
      </c>
      <c r="Z16" s="4163">
        <v>23.73</v>
      </c>
      <c r="AA16" s="4163">
        <v>24.33</v>
      </c>
      <c r="AB16" s="4163">
        <v>24.69</v>
      </c>
      <c r="AC16" s="4163">
        <v>25.3</v>
      </c>
      <c r="AD16" s="4164">
        <v>27.1</v>
      </c>
      <c r="AE16" s="4164">
        <v>17.600000000000001</v>
      </c>
      <c r="AF16" s="4164">
        <v>18.5</v>
      </c>
      <c r="AG16" s="4164"/>
      <c r="AH16" s="2980"/>
      <c r="AI16" s="2986"/>
      <c r="AJ16" s="2980"/>
      <c r="AK16" s="2980"/>
    </row>
    <row r="17" spans="1:37" ht="13.5" customHeight="1" x14ac:dyDescent="0.2">
      <c r="A17" s="507"/>
      <c r="B17" s="313"/>
      <c r="C17" s="2979"/>
      <c r="D17" s="2990" t="s">
        <v>694</v>
      </c>
      <c r="E17" s="3544"/>
      <c r="F17" s="4160"/>
      <c r="G17" s="4165"/>
      <c r="H17" s="4165"/>
      <c r="I17" s="4165"/>
      <c r="J17" s="4165"/>
      <c r="K17" s="4160"/>
      <c r="L17" s="4165"/>
      <c r="M17" s="4207">
        <v>11.57</v>
      </c>
      <c r="N17" s="4207">
        <v>10.25</v>
      </c>
      <c r="O17" s="4207">
        <v>12.21</v>
      </c>
      <c r="P17" s="4207">
        <v>10.27</v>
      </c>
      <c r="Q17" s="4207">
        <v>10.09</v>
      </c>
      <c r="R17" s="4207">
        <v>9.9600000000000009</v>
      </c>
      <c r="S17" s="4207">
        <v>7.73</v>
      </c>
      <c r="T17" s="4207">
        <v>12.27</v>
      </c>
      <c r="U17" s="4207">
        <v>10.28</v>
      </c>
      <c r="V17" s="4207">
        <v>15</v>
      </c>
      <c r="W17" s="4207">
        <v>12.85</v>
      </c>
      <c r="X17" s="4207">
        <v>11.81</v>
      </c>
      <c r="Y17" s="4207">
        <v>12.28</v>
      </c>
      <c r="Z17" s="4207">
        <v>13.41</v>
      </c>
      <c r="AA17" s="4207">
        <v>13.39</v>
      </c>
      <c r="AB17" s="4207">
        <v>13.08</v>
      </c>
      <c r="AC17" s="4207">
        <v>12.3</v>
      </c>
      <c r="AD17" s="4208">
        <v>12.1</v>
      </c>
      <c r="AE17" s="4208">
        <v>9.6999999999999993</v>
      </c>
      <c r="AF17" s="4208">
        <v>10.1</v>
      </c>
      <c r="AG17" s="4208"/>
      <c r="AH17" s="2980"/>
      <c r="AI17" s="2986"/>
      <c r="AJ17" s="2980"/>
      <c r="AK17" s="2980"/>
    </row>
    <row r="18" spans="1:37" ht="13.5" customHeight="1" x14ac:dyDescent="0.25">
      <c r="A18" s="507"/>
      <c r="B18" s="2978"/>
      <c r="C18" s="2979"/>
      <c r="D18" s="3666" t="s">
        <v>842</v>
      </c>
      <c r="E18" s="3667"/>
      <c r="F18" s="955"/>
      <c r="G18" s="955"/>
      <c r="H18" s="2988"/>
      <c r="I18" s="2988"/>
      <c r="J18" s="2988"/>
      <c r="K18" s="955"/>
      <c r="L18" s="1307"/>
      <c r="M18" s="4211">
        <v>1417442</v>
      </c>
      <c r="N18" s="4211">
        <v>1610046</v>
      </c>
      <c r="O18" s="4211">
        <v>1525319</v>
      </c>
      <c r="P18" s="4211">
        <v>1877222</v>
      </c>
      <c r="Q18" s="4211">
        <v>1409779</v>
      </c>
      <c r="R18" s="4211">
        <v>1577606</v>
      </c>
      <c r="S18" s="4211">
        <v>1277042</v>
      </c>
      <c r="T18" s="4211">
        <v>1818271</v>
      </c>
      <c r="U18" s="4211">
        <v>1771349</v>
      </c>
      <c r="V18" s="4211">
        <v>1652115</v>
      </c>
      <c r="W18" s="4211">
        <v>1985250</v>
      </c>
      <c r="X18" s="4211">
        <v>1988504</v>
      </c>
      <c r="Y18" s="4211">
        <v>1937964</v>
      </c>
      <c r="Z18" s="4211">
        <v>2198138</v>
      </c>
      <c r="AA18" s="4211">
        <v>2222021</v>
      </c>
      <c r="AB18" s="4211">
        <v>2203827</v>
      </c>
      <c r="AC18" s="4211">
        <v>2183620.6206445</v>
      </c>
      <c r="AD18" s="4212">
        <v>2170292.6675626002</v>
      </c>
      <c r="AE18" s="4212">
        <v>1979045.3124294002</v>
      </c>
      <c r="AF18" s="4212">
        <v>2104278.1512763998</v>
      </c>
      <c r="AG18" s="4212"/>
      <c r="AH18" s="2980"/>
      <c r="AI18" s="2980"/>
      <c r="AJ18" s="2980"/>
      <c r="AK18" s="2980"/>
    </row>
    <row r="19" spans="1:37" ht="13.5" customHeight="1" x14ac:dyDescent="0.25">
      <c r="A19" s="507"/>
      <c r="B19" s="2978"/>
      <c r="C19" s="2979"/>
      <c r="D19" s="2991"/>
      <c r="E19" s="954"/>
      <c r="F19" s="955"/>
      <c r="G19" s="2381"/>
      <c r="H19" s="2381"/>
      <c r="I19" s="2381"/>
      <c r="J19" s="2381"/>
      <c r="K19" s="1353"/>
      <c r="L19" s="2382"/>
      <c r="M19" s="4163">
        <v>12.67</v>
      </c>
      <c r="N19" s="4163">
        <v>14.06</v>
      </c>
      <c r="O19" s="4163">
        <v>13.02</v>
      </c>
      <c r="P19" s="4163">
        <v>15.69</v>
      </c>
      <c r="Q19" s="4163">
        <v>11.54</v>
      </c>
      <c r="R19" s="4163">
        <v>12.69</v>
      </c>
      <c r="S19" s="4163">
        <v>9.99</v>
      </c>
      <c r="T19" s="4163">
        <v>13.85</v>
      </c>
      <c r="U19" s="4163">
        <v>13.16</v>
      </c>
      <c r="V19" s="4163">
        <v>12.09</v>
      </c>
      <c r="W19" s="4163">
        <v>14.17</v>
      </c>
      <c r="X19" s="4163">
        <v>13.69</v>
      </c>
      <c r="Y19" s="4163">
        <v>13</v>
      </c>
      <c r="Z19" s="4163">
        <v>14.36</v>
      </c>
      <c r="AA19" s="4163">
        <v>14.11</v>
      </c>
      <c r="AB19" s="4163">
        <v>13.6</v>
      </c>
      <c r="AC19" s="4163">
        <v>13.1</v>
      </c>
      <c r="AD19" s="4164">
        <v>12.6</v>
      </c>
      <c r="AE19" s="4164">
        <v>11.4</v>
      </c>
      <c r="AF19" s="4164">
        <v>11.7</v>
      </c>
      <c r="AG19" s="4164"/>
      <c r="AH19" s="2980"/>
      <c r="AI19" s="2980"/>
      <c r="AJ19" s="2980"/>
      <c r="AK19" s="2980"/>
    </row>
    <row r="20" spans="1:37" ht="11.25" customHeight="1" x14ac:dyDescent="0.25">
      <c r="A20" s="507"/>
      <c r="B20" s="2978"/>
      <c r="C20" s="2979"/>
      <c r="D20" s="2992" t="s">
        <v>843</v>
      </c>
      <c r="E20" s="2993"/>
      <c r="F20" s="955"/>
      <c r="G20" s="955"/>
      <c r="H20" s="2988"/>
      <c r="I20" s="2988"/>
      <c r="J20" s="2988"/>
      <c r="L20" s="1307"/>
      <c r="M20" s="4203">
        <v>1213515</v>
      </c>
      <c r="N20" s="4203">
        <v>1231503</v>
      </c>
      <c r="O20" s="4203">
        <v>1362968</v>
      </c>
      <c r="P20" s="4203">
        <v>1299656</v>
      </c>
      <c r="Q20" s="4203">
        <v>1171200</v>
      </c>
      <c r="R20" s="4203">
        <v>1169556</v>
      </c>
      <c r="S20" s="4203">
        <v>1278422</v>
      </c>
      <c r="T20" s="4203">
        <v>1288884</v>
      </c>
      <c r="U20" s="4203">
        <v>1205634</v>
      </c>
      <c r="V20" s="4203">
        <v>1267343</v>
      </c>
      <c r="W20" s="4203">
        <v>1134473</v>
      </c>
      <c r="X20" s="4203">
        <v>1125380</v>
      </c>
      <c r="Y20" s="4203">
        <v>1004276</v>
      </c>
      <c r="Z20" s="4203">
        <v>1025869</v>
      </c>
      <c r="AA20" s="4211">
        <v>905344</v>
      </c>
      <c r="AB20" s="4211">
        <v>897592</v>
      </c>
      <c r="AC20" s="4211">
        <v>830854.53641399997</v>
      </c>
      <c r="AD20" s="4212">
        <v>875132.90034429997</v>
      </c>
      <c r="AE20" s="4212">
        <v>740164.95845549996</v>
      </c>
      <c r="AF20" s="4212">
        <v>747985.45865849999</v>
      </c>
      <c r="AG20" s="4212"/>
      <c r="AH20" s="2980"/>
      <c r="AI20" s="2980"/>
      <c r="AJ20" s="2980"/>
      <c r="AK20" s="2980"/>
    </row>
    <row r="21" spans="1:37" ht="11.25" customHeight="1" x14ac:dyDescent="0.25">
      <c r="A21" s="507"/>
      <c r="B21" s="2978"/>
      <c r="C21" s="2979"/>
      <c r="D21" s="2994"/>
      <c r="E21" s="2995"/>
      <c r="F21" s="1360"/>
      <c r="G21" s="2383"/>
      <c r="H21" s="2383"/>
      <c r="I21" s="2383"/>
      <c r="J21" s="2383"/>
      <c r="K21" s="2383"/>
      <c r="L21" s="2384"/>
      <c r="M21" s="4213">
        <v>10.85</v>
      </c>
      <c r="N21" s="4213">
        <v>10.75</v>
      </c>
      <c r="O21" s="4213">
        <v>11.64</v>
      </c>
      <c r="P21" s="4213">
        <v>10.86</v>
      </c>
      <c r="Q21" s="4213">
        <v>9.59</v>
      </c>
      <c r="R21" s="4213">
        <v>9.41</v>
      </c>
      <c r="S21" s="4213">
        <v>10</v>
      </c>
      <c r="T21" s="4213">
        <v>9.82</v>
      </c>
      <c r="U21" s="4213">
        <v>8.9600000000000009</v>
      </c>
      <c r="V21" s="4213">
        <v>9.2799999999999994</v>
      </c>
      <c r="W21" s="4213">
        <v>8.1</v>
      </c>
      <c r="X21" s="4213">
        <v>7.75</v>
      </c>
      <c r="Y21" s="4213">
        <v>6.74</v>
      </c>
      <c r="Z21" s="4213">
        <v>6.7</v>
      </c>
      <c r="AA21" s="4213">
        <v>5.75</v>
      </c>
      <c r="AB21" s="4213">
        <v>5.54</v>
      </c>
      <c r="AC21" s="4213">
        <v>5</v>
      </c>
      <c r="AD21" s="4214">
        <v>5.0999999999999996</v>
      </c>
      <c r="AE21" s="4214">
        <v>4.2</v>
      </c>
      <c r="AF21" s="4214">
        <v>4.2</v>
      </c>
      <c r="AG21" s="4214"/>
      <c r="AH21" s="2980"/>
      <c r="AI21" s="2980"/>
      <c r="AJ21" s="2980"/>
      <c r="AK21" s="2980"/>
    </row>
    <row r="22" spans="1:37" ht="11.25" customHeight="1" x14ac:dyDescent="0.25">
      <c r="A22" s="507"/>
      <c r="B22" s="2978"/>
      <c r="C22" s="2979"/>
      <c r="D22" s="1549"/>
      <c r="E22" s="1549"/>
      <c r="F22" s="955"/>
      <c r="G22" s="2381"/>
      <c r="H22" s="2381"/>
      <c r="I22" s="2381"/>
      <c r="J22" s="2381"/>
      <c r="K22" s="2381"/>
      <c r="L22" s="2381"/>
      <c r="M22" s="2381"/>
      <c r="N22" s="2381"/>
      <c r="O22" s="2381"/>
      <c r="P22" s="2381"/>
      <c r="Q22" s="2381"/>
      <c r="R22" s="2381"/>
      <c r="S22" s="2980"/>
      <c r="T22" s="2381"/>
      <c r="U22" s="2381"/>
      <c r="V22" s="2381"/>
      <c r="W22" s="2381"/>
      <c r="X22" s="2381"/>
      <c r="Y22" s="2381"/>
      <c r="Z22" s="2980"/>
      <c r="AA22" s="2980"/>
      <c r="AB22" s="88"/>
      <c r="AC22" s="109">
        <f>+AD18-AG18</f>
        <v>2170292.6675626002</v>
      </c>
      <c r="AD22" s="88"/>
      <c r="AE22" s="88"/>
      <c r="AF22" s="88"/>
      <c r="AG22" s="88"/>
      <c r="AH22" s="88"/>
      <c r="AI22" s="88"/>
      <c r="AJ22" s="88"/>
    </row>
    <row r="23" spans="1:37" ht="11.25" customHeight="1" x14ac:dyDescent="0.25">
      <c r="A23" s="507"/>
      <c r="B23" s="2978"/>
      <c r="C23" s="2979"/>
      <c r="D23" s="1549"/>
      <c r="E23" s="1549"/>
      <c r="F23" s="955"/>
      <c r="G23" s="2381"/>
      <c r="H23" s="2381"/>
      <c r="I23" s="2381"/>
      <c r="J23" s="2381"/>
      <c r="K23" s="2381"/>
      <c r="L23" s="2381"/>
      <c r="M23" s="2381"/>
      <c r="N23" s="2381"/>
      <c r="O23" s="2381"/>
      <c r="P23" s="2381"/>
      <c r="Q23" s="2381"/>
      <c r="R23" s="2381"/>
      <c r="S23" s="2980"/>
      <c r="T23" s="2381"/>
      <c r="U23" s="2381"/>
      <c r="V23" s="2381"/>
      <c r="W23" s="2381"/>
      <c r="X23" s="2381"/>
      <c r="Y23" s="2381"/>
      <c r="Z23" s="2980"/>
      <c r="AA23" s="2980"/>
      <c r="AB23" s="88"/>
      <c r="AC23" s="88"/>
      <c r="AD23" s="88"/>
      <c r="AE23" s="88"/>
      <c r="AF23" s="88"/>
      <c r="AG23" s="88"/>
      <c r="AH23" s="88"/>
      <c r="AI23" s="88"/>
      <c r="AJ23" s="88"/>
    </row>
    <row r="24" spans="1:37" ht="11.25" customHeight="1" x14ac:dyDescent="0.2">
      <c r="A24" s="507"/>
      <c r="B24" s="2978"/>
      <c r="C24" s="2979"/>
      <c r="D24" s="71" t="s">
        <v>267</v>
      </c>
      <c r="E24" s="71" t="s">
        <v>844</v>
      </c>
      <c r="F24" s="955"/>
      <c r="G24" s="2381"/>
      <c r="H24" s="2381"/>
      <c r="I24" s="2381"/>
      <c r="J24" s="2381"/>
      <c r="K24" s="2381"/>
      <c r="L24" s="2381"/>
      <c r="M24" s="2381"/>
      <c r="N24" s="2381"/>
      <c r="O24" s="2381"/>
      <c r="P24" s="2381"/>
      <c r="Q24" s="2381"/>
      <c r="R24" s="2381"/>
      <c r="S24" s="2980"/>
      <c r="T24" s="2381"/>
      <c r="U24" s="2381"/>
      <c r="V24" s="2381"/>
      <c r="W24" s="2381"/>
      <c r="X24" s="2381"/>
      <c r="Y24" s="2381"/>
      <c r="Z24" s="2980"/>
      <c r="AA24" s="2980"/>
      <c r="AB24" s="88"/>
      <c r="AC24" s="88"/>
      <c r="AD24" s="88"/>
      <c r="AE24" s="88"/>
      <c r="AF24" s="88"/>
      <c r="AG24" s="88"/>
      <c r="AH24" s="88"/>
      <c r="AI24" s="88"/>
      <c r="AJ24" s="88"/>
    </row>
    <row r="25" spans="1:37" ht="12.75" customHeight="1" x14ac:dyDescent="0.2">
      <c r="A25" s="507"/>
      <c r="B25" s="2377"/>
      <c r="C25" s="1091"/>
      <c r="D25" s="1170"/>
      <c r="E25" s="2977" t="s">
        <v>395</v>
      </c>
      <c r="F25" s="2977" t="s">
        <v>396</v>
      </c>
      <c r="G25" s="2977" t="s">
        <v>9</v>
      </c>
      <c r="H25" s="2977" t="s">
        <v>10</v>
      </c>
      <c r="I25" s="2977" t="s">
        <v>11</v>
      </c>
      <c r="J25" s="2977" t="s">
        <v>12</v>
      </c>
      <c r="K25" s="2977" t="s">
        <v>13</v>
      </c>
      <c r="L25" s="2977" t="s">
        <v>14</v>
      </c>
      <c r="M25" s="2977" t="s">
        <v>15</v>
      </c>
      <c r="N25" s="2977" t="s">
        <v>845</v>
      </c>
      <c r="O25" s="2977" t="s">
        <v>17</v>
      </c>
      <c r="P25" s="2977" t="s">
        <v>18</v>
      </c>
      <c r="Q25" s="2977" t="s">
        <v>19</v>
      </c>
      <c r="R25" s="2977" t="s">
        <v>20</v>
      </c>
      <c r="S25" s="2977" t="s">
        <v>21</v>
      </c>
      <c r="T25" s="2977" t="s">
        <v>22</v>
      </c>
      <c r="U25" s="2996" t="s">
        <v>23</v>
      </c>
      <c r="V25" s="2996" t="s">
        <v>24</v>
      </c>
      <c r="W25" s="2996" t="s">
        <v>25</v>
      </c>
      <c r="X25" s="2996" t="s">
        <v>26</v>
      </c>
      <c r="Y25" s="2996" t="s">
        <v>27</v>
      </c>
      <c r="Z25" s="2997" t="s">
        <v>28</v>
      </c>
      <c r="AA25" s="2997" t="s">
        <v>29</v>
      </c>
      <c r="AB25" s="2997" t="s">
        <v>30</v>
      </c>
      <c r="AC25" s="2997" t="s">
        <v>31</v>
      </c>
      <c r="AD25" s="2997" t="s">
        <v>32</v>
      </c>
      <c r="AE25" s="2997" t="s">
        <v>33</v>
      </c>
      <c r="AF25" s="2997" t="s">
        <v>59</v>
      </c>
      <c r="AG25" s="2997" t="s">
        <v>35</v>
      </c>
      <c r="AH25" s="88"/>
      <c r="AI25" s="88"/>
      <c r="AJ25" s="88"/>
    </row>
    <row r="26" spans="1:37" ht="12.75" customHeight="1" x14ac:dyDescent="0.2">
      <c r="A26" s="507"/>
      <c r="B26" s="2377"/>
      <c r="C26" s="1091"/>
      <c r="D26" s="2378" t="s">
        <v>846</v>
      </c>
      <c r="E26" s="4215"/>
      <c r="F26" s="4215"/>
      <c r="G26" s="4215"/>
      <c r="H26" s="4215"/>
      <c r="I26" s="4215"/>
      <c r="J26" s="4215"/>
      <c r="K26" s="4215"/>
      <c r="L26" s="4215"/>
      <c r="M26" s="4215"/>
      <c r="N26" s="3810">
        <v>1350844</v>
      </c>
      <c r="O26" s="3810">
        <v>1515250</v>
      </c>
      <c r="P26" s="3810">
        <v>1684560</v>
      </c>
      <c r="Q26" s="3810">
        <v>1847258</v>
      </c>
      <c r="R26" s="3810">
        <v>1935671</v>
      </c>
      <c r="S26" s="3810">
        <v>2077938</v>
      </c>
      <c r="T26" s="3810">
        <v>2194542</v>
      </c>
      <c r="U26" s="3810">
        <v>2303674</v>
      </c>
      <c r="V26" s="3810">
        <v>2432446</v>
      </c>
      <c r="W26" s="3810">
        <v>2561218</v>
      </c>
      <c r="X26" s="3810">
        <v>2669926</v>
      </c>
      <c r="Y26" s="3810">
        <v>2808197</v>
      </c>
      <c r="Z26" s="3808">
        <v>2908106</v>
      </c>
      <c r="AA26" s="3808">
        <v>2982744</v>
      </c>
      <c r="AB26" s="3808">
        <v>3053489</v>
      </c>
      <c r="AC26" s="3808">
        <v>3119993</v>
      </c>
      <c r="AD26" s="3808">
        <v>3177184</v>
      </c>
      <c r="AE26" s="3808">
        <v>3200462</v>
      </c>
      <c r="AF26" s="3808"/>
      <c r="AG26" s="3808"/>
      <c r="AH26" s="88"/>
      <c r="AI26" s="88"/>
      <c r="AJ26" s="88"/>
    </row>
    <row r="27" spans="1:37" ht="22.5" customHeight="1" x14ac:dyDescent="0.2">
      <c r="A27" s="507"/>
      <c r="B27" s="2978"/>
      <c r="C27" s="2961"/>
      <c r="D27" s="3668" t="s">
        <v>847</v>
      </c>
      <c r="E27" s="4216"/>
      <c r="F27" s="4216">
        <f>E28+F28</f>
        <v>135229</v>
      </c>
      <c r="G27" s="4216">
        <f t="shared" ref="G27:V27" si="0">F27+G28</f>
        <v>264422</v>
      </c>
      <c r="H27" s="4216">
        <f t="shared" si="0"/>
        <v>473422</v>
      </c>
      <c r="I27" s="4216">
        <f t="shared" si="0"/>
        <v>709057</v>
      </c>
      <c r="J27" s="4216">
        <f t="shared" si="0"/>
        <v>870629</v>
      </c>
      <c r="K27" s="4216">
        <f t="shared" si="0"/>
        <v>1041561</v>
      </c>
      <c r="L27" s="4216">
        <f t="shared" si="0"/>
        <v>1184842</v>
      </c>
      <c r="M27" s="4216">
        <f t="shared" si="0"/>
        <v>1316626</v>
      </c>
      <c r="N27" s="4216">
        <f t="shared" si="0"/>
        <v>1467399</v>
      </c>
      <c r="O27" s="4216">
        <f t="shared" si="0"/>
        <v>1615652</v>
      </c>
      <c r="P27" s="4216">
        <f t="shared" si="0"/>
        <v>1749675</v>
      </c>
      <c r="Q27" s="4216">
        <f t="shared" si="0"/>
        <v>1903049</v>
      </c>
      <c r="R27" s="4216">
        <f t="shared" si="0"/>
        <v>2049514</v>
      </c>
      <c r="S27" s="4216">
        <f t="shared" si="0"/>
        <v>2209917</v>
      </c>
      <c r="T27" s="4216">
        <f t="shared" si="0"/>
        <v>2371771</v>
      </c>
      <c r="U27" s="4216">
        <f t="shared" si="0"/>
        <v>2493650</v>
      </c>
      <c r="V27" s="4216">
        <f t="shared" si="0"/>
        <v>2614260</v>
      </c>
      <c r="W27" s="4216">
        <f>V27+W28</f>
        <v>2729339</v>
      </c>
      <c r="X27" s="4216">
        <f t="shared" ref="X27:AG27" si="1">W27+X28</f>
        <v>2835275</v>
      </c>
      <c r="Y27" s="4216">
        <f t="shared" si="1"/>
        <v>2930477</v>
      </c>
      <c r="Z27" s="4216">
        <f t="shared" si="1"/>
        <v>3030784</v>
      </c>
      <c r="AA27" s="4216">
        <f t="shared" si="1"/>
        <v>3120124</v>
      </c>
      <c r="AB27" s="4216">
        <f t="shared" si="1"/>
        <v>3206003</v>
      </c>
      <c r="AC27" s="4216">
        <f t="shared" si="1"/>
        <v>3283629</v>
      </c>
      <c r="AD27" s="4216">
        <f t="shared" si="1"/>
        <v>3352954</v>
      </c>
      <c r="AE27" s="4216">
        <f t="shared" si="1"/>
        <v>3398543</v>
      </c>
      <c r="AF27" s="4216">
        <f t="shared" si="1"/>
        <v>3443159</v>
      </c>
      <c r="AG27" s="4216">
        <f t="shared" si="1"/>
        <v>3481791</v>
      </c>
      <c r="AH27" s="2980"/>
      <c r="AI27" s="2980"/>
      <c r="AJ27" s="2980"/>
    </row>
    <row r="28" spans="1:37" ht="14.25" customHeight="1" x14ac:dyDescent="0.2">
      <c r="A28" s="507"/>
      <c r="B28" s="2978"/>
      <c r="C28" s="2961"/>
      <c r="D28" s="2990" t="s">
        <v>848</v>
      </c>
      <c r="E28" s="4217">
        <v>60820</v>
      </c>
      <c r="F28" s="4218">
        <v>74409</v>
      </c>
      <c r="G28" s="4217">
        <v>129193</v>
      </c>
      <c r="H28" s="4217">
        <v>209000</v>
      </c>
      <c r="I28" s="4217">
        <v>235635</v>
      </c>
      <c r="J28" s="4217">
        <v>161572</v>
      </c>
      <c r="K28" s="4217">
        <v>170932</v>
      </c>
      <c r="L28" s="4219">
        <v>143281</v>
      </c>
      <c r="M28" s="4217">
        <v>131784</v>
      </c>
      <c r="N28" s="4217">
        <v>150773</v>
      </c>
      <c r="O28" s="4217">
        <v>148253</v>
      </c>
      <c r="P28" s="4217">
        <v>134023</v>
      </c>
      <c r="Q28" s="4217">
        <v>153374</v>
      </c>
      <c r="R28" s="4217">
        <v>146465</v>
      </c>
      <c r="S28" s="4217">
        <v>160403</v>
      </c>
      <c r="T28" s="4217">
        <v>161854</v>
      </c>
      <c r="U28" s="4217">
        <v>121879</v>
      </c>
      <c r="V28" s="4217">
        <v>120610</v>
      </c>
      <c r="W28" s="4217">
        <v>115079</v>
      </c>
      <c r="X28" s="4217">
        <v>105936</v>
      </c>
      <c r="Y28" s="4217">
        <v>95202</v>
      </c>
      <c r="Z28" s="4217">
        <v>100307</v>
      </c>
      <c r="AA28" s="4217">
        <v>89340</v>
      </c>
      <c r="AB28" s="4217">
        <v>85879</v>
      </c>
      <c r="AC28" s="4217">
        <v>77626</v>
      </c>
      <c r="AD28" s="4217">
        <v>69325</v>
      </c>
      <c r="AE28" s="4217">
        <v>45589</v>
      </c>
      <c r="AF28" s="4217">
        <v>44616</v>
      </c>
      <c r="AG28" s="4217">
        <v>38632</v>
      </c>
      <c r="AH28" s="2980"/>
      <c r="AI28" s="2980"/>
      <c r="AJ28" s="2980"/>
    </row>
    <row r="29" spans="1:37" ht="22.5" customHeight="1" x14ac:dyDescent="0.2">
      <c r="A29" s="507"/>
      <c r="B29" s="2978"/>
      <c r="C29" s="2961"/>
      <c r="D29" s="2378" t="s">
        <v>849</v>
      </c>
      <c r="E29" s="3810"/>
      <c r="F29" s="3810">
        <f>E29+F30</f>
        <v>0</v>
      </c>
      <c r="G29" s="3810">
        <f t="shared" ref="G29:AA29" si="2">F29+G30</f>
        <v>0</v>
      </c>
      <c r="H29" s="3810">
        <f t="shared" si="2"/>
        <v>0</v>
      </c>
      <c r="I29" s="3810">
        <f t="shared" si="2"/>
        <v>12756</v>
      </c>
      <c r="J29" s="3810">
        <f t="shared" si="2"/>
        <v>12756</v>
      </c>
      <c r="K29" s="3810">
        <f t="shared" si="2"/>
        <v>32467</v>
      </c>
      <c r="L29" s="3810">
        <f t="shared" si="2"/>
        <v>32467</v>
      </c>
      <c r="M29" s="3810">
        <f t="shared" si="2"/>
        <v>114753</v>
      </c>
      <c r="N29" s="3810">
        <f t="shared" si="2"/>
        <v>157595</v>
      </c>
      <c r="O29" s="3810">
        <f t="shared" si="2"/>
        <v>244879</v>
      </c>
      <c r="P29" s="3810">
        <f t="shared" si="2"/>
        <v>354545</v>
      </c>
      <c r="Q29" s="3810">
        <f t="shared" si="2"/>
        <v>472390</v>
      </c>
      <c r="R29" s="3810">
        <f t="shared" si="2"/>
        <v>554688</v>
      </c>
      <c r="S29" s="3810">
        <f t="shared" si="2"/>
        <v>623157</v>
      </c>
      <c r="T29" s="3810">
        <f t="shared" si="2"/>
        <v>687519</v>
      </c>
      <c r="U29" s="3810">
        <f t="shared" si="2"/>
        <v>751065</v>
      </c>
      <c r="V29" s="3810">
        <f t="shared" si="2"/>
        <v>809652</v>
      </c>
      <c r="W29" s="3810">
        <f t="shared" si="2"/>
        <v>855350</v>
      </c>
      <c r="X29" s="3810">
        <f t="shared" si="2"/>
        <v>903543</v>
      </c>
      <c r="Y29" s="3810">
        <f t="shared" si="2"/>
        <v>953128</v>
      </c>
      <c r="Z29" s="3810">
        <f t="shared" si="2"/>
        <v>1005477</v>
      </c>
      <c r="AA29" s="3810">
        <f t="shared" si="2"/>
        <v>1062569</v>
      </c>
      <c r="AB29" s="3810">
        <f>AA29+AB30</f>
        <v>1114470</v>
      </c>
      <c r="AC29" s="3810">
        <f t="shared" ref="AC29:AG29" si="3">AB29+AC30</f>
        <v>1162525</v>
      </c>
      <c r="AD29" s="3810">
        <f t="shared" si="3"/>
        <v>1213691</v>
      </c>
      <c r="AE29" s="3810">
        <f t="shared" si="3"/>
        <v>1253306</v>
      </c>
      <c r="AF29" s="3810">
        <f t="shared" si="3"/>
        <v>1298328</v>
      </c>
      <c r="AG29" s="3810">
        <f t="shared" si="3"/>
        <v>1329152</v>
      </c>
      <c r="AH29" s="2980"/>
      <c r="AI29" s="2980"/>
      <c r="AJ29" s="2980"/>
    </row>
    <row r="30" spans="1:37" x14ac:dyDescent="0.2">
      <c r="A30" s="507"/>
      <c r="B30" s="2978"/>
      <c r="C30" s="2961"/>
      <c r="D30" s="2998" t="s">
        <v>850</v>
      </c>
      <c r="E30" s="4220">
        <v>0</v>
      </c>
      <c r="F30" s="4220">
        <v>0</v>
      </c>
      <c r="G30" s="4220">
        <v>0</v>
      </c>
      <c r="H30" s="4220">
        <v>0</v>
      </c>
      <c r="I30" s="4220">
        <v>12756</v>
      </c>
      <c r="J30" s="4220">
        <v>0</v>
      </c>
      <c r="K30" s="4220">
        <v>19711</v>
      </c>
      <c r="L30" s="4220">
        <v>0</v>
      </c>
      <c r="M30" s="4220">
        <v>82286</v>
      </c>
      <c r="N30" s="4220">
        <v>42842</v>
      </c>
      <c r="O30" s="4220">
        <v>87284</v>
      </c>
      <c r="P30" s="4220">
        <v>109666</v>
      </c>
      <c r="Q30" s="4220">
        <v>117845</v>
      </c>
      <c r="R30" s="4220">
        <v>82298</v>
      </c>
      <c r="S30" s="4220">
        <v>68469</v>
      </c>
      <c r="T30" s="4220">
        <v>64362</v>
      </c>
      <c r="U30" s="4220">
        <v>63546</v>
      </c>
      <c r="V30" s="4220">
        <v>58587</v>
      </c>
      <c r="W30" s="4220">
        <v>45698</v>
      </c>
      <c r="X30" s="4220">
        <v>48193</v>
      </c>
      <c r="Y30" s="4220">
        <v>49585</v>
      </c>
      <c r="Z30" s="4220">
        <v>52349</v>
      </c>
      <c r="AA30" s="4220">
        <v>57092</v>
      </c>
      <c r="AB30" s="4220">
        <v>51901</v>
      </c>
      <c r="AC30" s="4220">
        <v>48055</v>
      </c>
      <c r="AD30" s="4220">
        <v>51166</v>
      </c>
      <c r="AE30" s="4220">
        <v>39615</v>
      </c>
      <c r="AF30" s="4220">
        <v>45022</v>
      </c>
      <c r="AG30" s="4220">
        <v>30824</v>
      </c>
      <c r="AH30" s="2980"/>
      <c r="AI30" s="2980"/>
      <c r="AJ30" s="2980"/>
    </row>
    <row r="31" spans="1:37" ht="14.25" customHeight="1" x14ac:dyDescent="0.2">
      <c r="A31" s="507"/>
      <c r="B31" s="2978"/>
      <c r="C31" s="2979"/>
      <c r="D31" s="135"/>
      <c r="E31" s="135"/>
      <c r="F31" s="831"/>
      <c r="G31" s="831"/>
      <c r="H31" s="831"/>
      <c r="I31" s="831"/>
      <c r="J31" s="831"/>
      <c r="K31" s="831"/>
      <c r="L31" s="831"/>
      <c r="M31" s="831"/>
      <c r="N31" s="831"/>
      <c r="O31" s="831"/>
      <c r="P31" s="831"/>
      <c r="Q31" s="831"/>
      <c r="R31" s="831"/>
      <c r="S31" s="831"/>
      <c r="T31" s="831"/>
      <c r="U31" s="831"/>
      <c r="V31" s="831"/>
      <c r="W31" s="831"/>
      <c r="X31" s="831"/>
      <c r="Y31" s="831"/>
    </row>
    <row r="32" spans="1:37" ht="14.25" customHeight="1" x14ac:dyDescent="0.2">
      <c r="A32" s="507"/>
      <c r="B32" s="2978"/>
      <c r="C32" s="2979"/>
      <c r="D32" s="135"/>
      <c r="E32" s="135"/>
      <c r="F32" s="831"/>
      <c r="G32" s="831"/>
      <c r="H32" s="831"/>
      <c r="I32" s="831"/>
      <c r="J32" s="831"/>
      <c r="K32" s="831"/>
      <c r="L32" s="831"/>
      <c r="M32" s="831"/>
      <c r="N32" s="831"/>
      <c r="O32" s="831"/>
      <c r="P32" s="831"/>
      <c r="Q32" s="831"/>
      <c r="R32" s="831"/>
      <c r="S32" s="831"/>
      <c r="T32" s="831"/>
      <c r="U32" s="831"/>
      <c r="V32" s="831"/>
      <c r="W32" s="831"/>
      <c r="X32" s="831"/>
      <c r="Y32" s="831"/>
    </row>
    <row r="33" spans="1:35" x14ac:dyDescent="0.2">
      <c r="A33" s="507"/>
      <c r="D33" s="71" t="s">
        <v>656</v>
      </c>
      <c r="E33" s="71" t="s">
        <v>851</v>
      </c>
      <c r="F33" s="955"/>
      <c r="V33" s="1320"/>
    </row>
    <row r="34" spans="1:35" x14ac:dyDescent="0.2">
      <c r="A34" s="2387"/>
      <c r="B34" s="509"/>
      <c r="C34" s="509"/>
      <c r="D34" s="2999"/>
      <c r="E34" s="2977" t="s">
        <v>395</v>
      </c>
      <c r="F34" s="2977" t="s">
        <v>396</v>
      </c>
      <c r="G34" s="2977" t="s">
        <v>9</v>
      </c>
      <c r="H34" s="2977" t="s">
        <v>10</v>
      </c>
      <c r="I34" s="2977" t="s">
        <v>11</v>
      </c>
      <c r="J34" s="2977" t="s">
        <v>12</v>
      </c>
      <c r="K34" s="2977" t="s">
        <v>13</v>
      </c>
      <c r="L34" s="2977" t="s">
        <v>14</v>
      </c>
      <c r="M34" s="2977" t="s">
        <v>15</v>
      </c>
      <c r="N34" s="2977" t="s">
        <v>845</v>
      </c>
      <c r="O34" s="2977" t="s">
        <v>17</v>
      </c>
      <c r="P34" s="2977" t="s">
        <v>18</v>
      </c>
      <c r="Q34" s="2977" t="s">
        <v>19</v>
      </c>
      <c r="R34" s="2977" t="s">
        <v>20</v>
      </c>
      <c r="S34" s="2977" t="s">
        <v>21</v>
      </c>
      <c r="T34" s="2977" t="s">
        <v>22</v>
      </c>
      <c r="U34" s="2996" t="s">
        <v>23</v>
      </c>
      <c r="V34" s="2996" t="s">
        <v>24</v>
      </c>
      <c r="W34" s="2996" t="s">
        <v>25</v>
      </c>
      <c r="X34" s="2996" t="s">
        <v>26</v>
      </c>
      <c r="Y34" s="2996" t="s">
        <v>27</v>
      </c>
      <c r="Z34" s="2997" t="s">
        <v>28</v>
      </c>
      <c r="AA34" s="2997" t="s">
        <v>29</v>
      </c>
      <c r="AB34" s="2997" t="s">
        <v>30</v>
      </c>
      <c r="AC34" s="2997" t="s">
        <v>31</v>
      </c>
      <c r="AD34" s="2997" t="s">
        <v>32</v>
      </c>
      <c r="AE34" s="2997" t="s">
        <v>33</v>
      </c>
      <c r="AF34" s="2997" t="s">
        <v>59</v>
      </c>
      <c r="AG34" s="2997" t="s">
        <v>35</v>
      </c>
      <c r="AH34" s="3000"/>
    </row>
    <row r="35" spans="1:35" x14ac:dyDescent="0.2">
      <c r="A35" s="3001"/>
      <c r="D35" s="3409" t="s">
        <v>276</v>
      </c>
      <c r="E35" s="2385">
        <v>0</v>
      </c>
      <c r="F35" s="2385">
        <v>0</v>
      </c>
      <c r="G35" s="2385">
        <v>0</v>
      </c>
      <c r="H35" s="2385">
        <v>0</v>
      </c>
      <c r="I35" s="2385">
        <v>0</v>
      </c>
      <c r="J35" s="2385">
        <v>0</v>
      </c>
      <c r="K35" s="2385">
        <v>9409</v>
      </c>
      <c r="L35" s="2385">
        <v>0</v>
      </c>
      <c r="M35" s="2385">
        <v>31500</v>
      </c>
      <c r="N35" s="2385">
        <v>14045</v>
      </c>
      <c r="O35" s="2385">
        <v>14882</v>
      </c>
      <c r="P35" s="3002">
        <v>2951</v>
      </c>
      <c r="Q35" s="3002">
        <v>2068</v>
      </c>
      <c r="R35" s="3002">
        <v>1432</v>
      </c>
      <c r="S35" s="3002">
        <v>6421</v>
      </c>
      <c r="T35" s="3002">
        <v>11327</v>
      </c>
      <c r="U35" s="3002">
        <v>12979</v>
      </c>
      <c r="V35" s="3002">
        <v>5990</v>
      </c>
      <c r="W35" s="4221">
        <v>10458</v>
      </c>
      <c r="X35" s="4221">
        <v>11720</v>
      </c>
      <c r="Y35" s="4221">
        <v>12581</v>
      </c>
      <c r="Z35" s="4221">
        <v>10388</v>
      </c>
      <c r="AA35" s="4221">
        <v>10114</v>
      </c>
      <c r="AB35" s="4221">
        <v>8649</v>
      </c>
      <c r="AC35" s="4221">
        <v>7511</v>
      </c>
      <c r="AD35" s="4221">
        <v>6754</v>
      </c>
      <c r="AE35" s="4221">
        <v>4820</v>
      </c>
      <c r="AF35" s="4221">
        <v>4538</v>
      </c>
      <c r="AG35" s="4221"/>
    </row>
    <row r="36" spans="1:35" x14ac:dyDescent="0.2">
      <c r="A36" s="3001"/>
      <c r="D36" s="1759" t="s">
        <v>277</v>
      </c>
      <c r="E36" s="2386">
        <v>0</v>
      </c>
      <c r="F36" s="2386">
        <v>0</v>
      </c>
      <c r="G36" s="2386">
        <v>0</v>
      </c>
      <c r="H36" s="2386">
        <v>0</v>
      </c>
      <c r="I36" s="2386">
        <v>0</v>
      </c>
      <c r="J36" s="2386">
        <v>0</v>
      </c>
      <c r="K36" s="2386">
        <v>0</v>
      </c>
      <c r="L36" s="2386">
        <v>0</v>
      </c>
      <c r="M36" s="2386">
        <v>0</v>
      </c>
      <c r="N36" s="2386">
        <v>0</v>
      </c>
      <c r="O36" s="2386">
        <v>0</v>
      </c>
      <c r="P36" s="3002">
        <v>2901</v>
      </c>
      <c r="Q36" s="3002">
        <v>7992</v>
      </c>
      <c r="R36" s="3002">
        <v>0</v>
      </c>
      <c r="S36" s="3002">
        <v>0</v>
      </c>
      <c r="T36" s="3002">
        <v>0</v>
      </c>
      <c r="U36" s="3002">
        <v>0</v>
      </c>
      <c r="V36" s="3002">
        <v>7400</v>
      </c>
      <c r="W36" s="4221">
        <v>5070</v>
      </c>
      <c r="X36" s="4221">
        <v>7203</v>
      </c>
      <c r="Y36" s="4221">
        <v>5692</v>
      </c>
      <c r="Z36" s="4221">
        <v>4106</v>
      </c>
      <c r="AA36" s="4221">
        <v>2811</v>
      </c>
      <c r="AB36" s="4221">
        <v>6661</v>
      </c>
      <c r="AC36" s="4221">
        <v>2915</v>
      </c>
      <c r="AD36" s="4221">
        <v>6371</v>
      </c>
      <c r="AE36" s="4221">
        <v>4083</v>
      </c>
      <c r="AF36" s="4221">
        <v>6100</v>
      </c>
      <c r="AG36" s="4221"/>
    </row>
    <row r="37" spans="1:35" x14ac:dyDescent="0.2">
      <c r="A37" s="3001"/>
      <c r="D37" s="1759" t="s">
        <v>278</v>
      </c>
      <c r="E37" s="2386">
        <v>0</v>
      </c>
      <c r="F37" s="2386">
        <v>0</v>
      </c>
      <c r="G37" s="2386">
        <v>0</v>
      </c>
      <c r="H37" s="2386">
        <v>0</v>
      </c>
      <c r="I37" s="2386">
        <v>0</v>
      </c>
      <c r="J37" s="2386">
        <v>0</v>
      </c>
      <c r="K37" s="2386">
        <v>0</v>
      </c>
      <c r="L37" s="2386">
        <v>0</v>
      </c>
      <c r="M37" s="2386">
        <v>0</v>
      </c>
      <c r="N37" s="2386">
        <v>17263</v>
      </c>
      <c r="O37" s="2386">
        <v>41892</v>
      </c>
      <c r="P37" s="3002">
        <v>43281</v>
      </c>
      <c r="Q37" s="3002">
        <v>31752</v>
      </c>
      <c r="R37" s="3002">
        <v>26830</v>
      </c>
      <c r="S37" s="3002">
        <v>28165</v>
      </c>
      <c r="T37" s="3002">
        <v>12819</v>
      </c>
      <c r="U37" s="3002">
        <v>21866</v>
      </c>
      <c r="V37" s="3002">
        <v>15803</v>
      </c>
      <c r="W37" s="4221">
        <v>7677</v>
      </c>
      <c r="X37" s="4221">
        <v>8959</v>
      </c>
      <c r="Y37" s="4221">
        <v>5397</v>
      </c>
      <c r="Z37" s="4221">
        <v>10048</v>
      </c>
      <c r="AA37" s="4221">
        <v>8843</v>
      </c>
      <c r="AB37" s="4221">
        <v>9315</v>
      </c>
      <c r="AC37" s="4221">
        <v>11968</v>
      </c>
      <c r="AD37" s="4221">
        <v>10104</v>
      </c>
      <c r="AE37" s="4221">
        <v>7282</v>
      </c>
      <c r="AF37" s="4221">
        <v>12991</v>
      </c>
      <c r="AG37" s="4221"/>
    </row>
    <row r="38" spans="1:35" x14ac:dyDescent="0.2">
      <c r="A38" s="3003"/>
      <c r="D38" s="1759" t="s">
        <v>641</v>
      </c>
      <c r="E38" s="2386">
        <v>0</v>
      </c>
      <c r="F38" s="2386">
        <v>0</v>
      </c>
      <c r="G38" s="2386">
        <v>0</v>
      </c>
      <c r="H38" s="2386">
        <v>0</v>
      </c>
      <c r="I38" s="2386">
        <v>0</v>
      </c>
      <c r="J38" s="2386">
        <v>0</v>
      </c>
      <c r="K38" s="2386">
        <v>0</v>
      </c>
      <c r="L38" s="2386">
        <v>0</v>
      </c>
      <c r="M38" s="2386">
        <v>13346</v>
      </c>
      <c r="N38" s="2386">
        <v>0</v>
      </c>
      <c r="O38" s="2386">
        <v>0</v>
      </c>
      <c r="P38" s="3002">
        <v>14271</v>
      </c>
      <c r="Q38" s="3002">
        <v>17273</v>
      </c>
      <c r="R38" s="3002">
        <v>12097</v>
      </c>
      <c r="S38" s="3002">
        <v>9117</v>
      </c>
      <c r="T38" s="3002">
        <v>3806</v>
      </c>
      <c r="U38" s="3002">
        <v>4028</v>
      </c>
      <c r="V38" s="3002">
        <v>5426</v>
      </c>
      <c r="W38" s="4221">
        <v>6063</v>
      </c>
      <c r="X38" s="4221">
        <v>2790</v>
      </c>
      <c r="Y38" s="4221">
        <v>4013</v>
      </c>
      <c r="Z38" s="4221">
        <v>6879</v>
      </c>
      <c r="AA38" s="4221">
        <v>6484</v>
      </c>
      <c r="AB38" s="4221">
        <v>6766</v>
      </c>
      <c r="AC38" s="4221">
        <v>5574</v>
      </c>
      <c r="AD38" s="4221">
        <v>5983</v>
      </c>
      <c r="AE38" s="4221">
        <v>4838</v>
      </c>
      <c r="AF38" s="4221">
        <v>2050</v>
      </c>
      <c r="AG38" s="4221"/>
    </row>
    <row r="39" spans="1:35" x14ac:dyDescent="0.2">
      <c r="D39" s="1759" t="s">
        <v>280</v>
      </c>
      <c r="E39" s="2386">
        <v>0</v>
      </c>
      <c r="F39" s="2386">
        <v>0</v>
      </c>
      <c r="G39" s="2386">
        <v>0</v>
      </c>
      <c r="H39" s="2386">
        <v>0</v>
      </c>
      <c r="I39" s="2386">
        <v>12756</v>
      </c>
      <c r="J39" s="2386">
        <v>0</v>
      </c>
      <c r="K39" s="2386">
        <v>7593</v>
      </c>
      <c r="L39" s="2386">
        <v>0</v>
      </c>
      <c r="M39" s="2386">
        <v>6696</v>
      </c>
      <c r="N39" s="2386">
        <v>925</v>
      </c>
      <c r="O39" s="2386">
        <v>4238</v>
      </c>
      <c r="P39" s="3002">
        <v>0</v>
      </c>
      <c r="Q39" s="3002">
        <v>9556</v>
      </c>
      <c r="R39" s="3002">
        <v>9264</v>
      </c>
      <c r="S39" s="3002">
        <v>5745</v>
      </c>
      <c r="T39" s="3002">
        <v>3123</v>
      </c>
      <c r="U39" s="3002">
        <v>2334</v>
      </c>
      <c r="V39" s="3002">
        <v>1752</v>
      </c>
      <c r="W39" s="4221">
        <v>1951</v>
      </c>
      <c r="X39" s="4221">
        <v>68</v>
      </c>
      <c r="Y39" s="4221">
        <v>0</v>
      </c>
      <c r="Z39" s="4221">
        <v>1437</v>
      </c>
      <c r="AA39" s="4221">
        <v>4067</v>
      </c>
      <c r="AB39" s="4221">
        <v>3147</v>
      </c>
      <c r="AC39" s="4221">
        <v>2533</v>
      </c>
      <c r="AD39" s="4221">
        <v>5807</v>
      </c>
      <c r="AE39" s="4221">
        <v>1426</v>
      </c>
      <c r="AF39" s="4221">
        <v>2525</v>
      </c>
      <c r="AG39" s="4221"/>
    </row>
    <row r="40" spans="1:35" x14ac:dyDescent="0.2">
      <c r="D40" s="1759" t="s">
        <v>281</v>
      </c>
      <c r="E40" s="2386">
        <v>0</v>
      </c>
      <c r="F40" s="2386">
        <v>0</v>
      </c>
      <c r="G40" s="2386">
        <v>0</v>
      </c>
      <c r="H40" s="2386">
        <v>0</v>
      </c>
      <c r="I40" s="2386">
        <v>0</v>
      </c>
      <c r="J40" s="2386">
        <v>0</v>
      </c>
      <c r="K40" s="2386">
        <v>2709</v>
      </c>
      <c r="L40" s="2386">
        <v>0</v>
      </c>
      <c r="M40" s="2386">
        <v>10007</v>
      </c>
      <c r="N40" s="2386">
        <v>6954</v>
      </c>
      <c r="O40" s="2386">
        <v>5777</v>
      </c>
      <c r="P40" s="3002">
        <v>0</v>
      </c>
      <c r="Q40" s="3002">
        <v>3362</v>
      </c>
      <c r="R40" s="3002">
        <v>3725</v>
      </c>
      <c r="S40" s="3002">
        <v>847</v>
      </c>
      <c r="T40" s="3002">
        <v>0</v>
      </c>
      <c r="U40" s="3002">
        <v>2159</v>
      </c>
      <c r="V40" s="3002">
        <v>1515</v>
      </c>
      <c r="W40" s="4221">
        <v>1998</v>
      </c>
      <c r="X40" s="4221">
        <v>7578</v>
      </c>
      <c r="Y40" s="4221">
        <v>7012</v>
      </c>
      <c r="Z40" s="4221">
        <v>5987</v>
      </c>
      <c r="AA40" s="4221">
        <v>8182</v>
      </c>
      <c r="AB40" s="4221">
        <v>4230</v>
      </c>
      <c r="AC40" s="4221">
        <v>2339</v>
      </c>
      <c r="AD40" s="4221">
        <v>3902</v>
      </c>
      <c r="AE40" s="4221">
        <v>2102</v>
      </c>
      <c r="AF40" s="4221">
        <v>3907</v>
      </c>
      <c r="AG40" s="4221"/>
    </row>
    <row r="41" spans="1:35" x14ac:dyDescent="0.2">
      <c r="D41" s="1759" t="s">
        <v>283</v>
      </c>
      <c r="E41" s="2386">
        <v>0</v>
      </c>
      <c r="F41" s="2386">
        <v>0</v>
      </c>
      <c r="G41" s="2386">
        <v>0</v>
      </c>
      <c r="H41" s="2386">
        <v>0</v>
      </c>
      <c r="I41" s="2386">
        <v>0</v>
      </c>
      <c r="J41" s="2386">
        <v>0</v>
      </c>
      <c r="K41" s="2386">
        <v>0</v>
      </c>
      <c r="L41" s="2386">
        <v>0</v>
      </c>
      <c r="M41" s="2386">
        <v>0</v>
      </c>
      <c r="N41" s="2386">
        <v>0</v>
      </c>
      <c r="O41" s="2386">
        <v>402</v>
      </c>
      <c r="P41" s="3002">
        <v>7160</v>
      </c>
      <c r="Q41" s="3002">
        <v>1585</v>
      </c>
      <c r="R41" s="3002">
        <v>6222</v>
      </c>
      <c r="S41" s="3002">
        <v>1941</v>
      </c>
      <c r="T41" s="3002">
        <v>1794</v>
      </c>
      <c r="U41" s="3002">
        <v>2176</v>
      </c>
      <c r="V41" s="3002">
        <v>1456</v>
      </c>
      <c r="W41" s="4221">
        <v>2019</v>
      </c>
      <c r="X41" s="4221">
        <v>2875</v>
      </c>
      <c r="Y41" s="4221">
        <v>3025</v>
      </c>
      <c r="Z41" s="4221">
        <v>660</v>
      </c>
      <c r="AA41" s="4221">
        <v>2099</v>
      </c>
      <c r="AB41" s="4221">
        <v>1440</v>
      </c>
      <c r="AC41" s="4221">
        <v>2179</v>
      </c>
      <c r="AD41" s="4221">
        <v>931</v>
      </c>
      <c r="AE41" s="4221">
        <v>3272</v>
      </c>
      <c r="AF41" s="4221">
        <v>2676</v>
      </c>
      <c r="AG41" s="4221"/>
    </row>
    <row r="42" spans="1:35" x14ac:dyDescent="0.2">
      <c r="D42" s="1759" t="s">
        <v>282</v>
      </c>
      <c r="E42" s="2386">
        <v>0</v>
      </c>
      <c r="F42" s="2386">
        <v>0</v>
      </c>
      <c r="G42" s="2386">
        <v>0</v>
      </c>
      <c r="H42" s="2386">
        <v>0</v>
      </c>
      <c r="I42" s="2386">
        <v>0</v>
      </c>
      <c r="J42" s="2386">
        <v>0</v>
      </c>
      <c r="K42" s="2386">
        <v>0</v>
      </c>
      <c r="L42" s="2386">
        <v>0</v>
      </c>
      <c r="M42" s="2386">
        <v>13863</v>
      </c>
      <c r="N42" s="2386">
        <v>1229</v>
      </c>
      <c r="O42" s="2386">
        <v>3167</v>
      </c>
      <c r="P42" s="3002">
        <v>20690</v>
      </c>
      <c r="Q42" s="3002">
        <v>25714</v>
      </c>
      <c r="R42" s="3002">
        <v>4664</v>
      </c>
      <c r="S42" s="3002">
        <v>936</v>
      </c>
      <c r="T42" s="3002">
        <v>16414</v>
      </c>
      <c r="U42" s="3002">
        <v>6376</v>
      </c>
      <c r="V42" s="3002">
        <v>10559</v>
      </c>
      <c r="W42" s="4221">
        <v>2209</v>
      </c>
      <c r="X42" s="4221">
        <v>305</v>
      </c>
      <c r="Y42" s="4221">
        <v>4564</v>
      </c>
      <c r="Z42" s="4221">
        <v>6564</v>
      </c>
      <c r="AA42" s="4221">
        <v>5978</v>
      </c>
      <c r="AB42" s="4221">
        <v>3694</v>
      </c>
      <c r="AC42" s="4221">
        <v>4164</v>
      </c>
      <c r="AD42" s="4221">
        <v>5472</v>
      </c>
      <c r="AE42" s="4221">
        <v>6588</v>
      </c>
      <c r="AF42" s="4221">
        <v>0</v>
      </c>
      <c r="AG42" s="4221"/>
    </row>
    <row r="43" spans="1:35" x14ac:dyDescent="0.2">
      <c r="D43" s="3005" t="s">
        <v>284</v>
      </c>
      <c r="E43" s="2386">
        <v>0</v>
      </c>
      <c r="F43" s="2386">
        <v>0</v>
      </c>
      <c r="G43" s="2386">
        <v>0</v>
      </c>
      <c r="H43" s="2386">
        <v>0</v>
      </c>
      <c r="I43" s="2386">
        <v>0</v>
      </c>
      <c r="J43" s="2386">
        <v>0</v>
      </c>
      <c r="K43" s="2386">
        <v>0</v>
      </c>
      <c r="L43" s="2386">
        <v>0</v>
      </c>
      <c r="M43" s="2386">
        <v>6874</v>
      </c>
      <c r="N43" s="2386">
        <v>2426</v>
      </c>
      <c r="O43" s="2386">
        <v>16926</v>
      </c>
      <c r="P43" s="3002">
        <v>18412</v>
      </c>
      <c r="Q43" s="3002">
        <v>18543</v>
      </c>
      <c r="R43" s="3002">
        <v>18064</v>
      </c>
      <c r="S43" s="3002">
        <v>15297</v>
      </c>
      <c r="T43" s="3002">
        <v>15079</v>
      </c>
      <c r="U43" s="3002">
        <v>11628</v>
      </c>
      <c r="V43" s="3002">
        <v>8686</v>
      </c>
      <c r="W43" s="4221">
        <v>8253</v>
      </c>
      <c r="X43" s="4221">
        <v>6695</v>
      </c>
      <c r="Y43" s="4221">
        <v>7301</v>
      </c>
      <c r="Z43" s="4221">
        <v>6280</v>
      </c>
      <c r="AA43" s="4221">
        <v>8514</v>
      </c>
      <c r="AB43" s="4221">
        <v>7999</v>
      </c>
      <c r="AC43" s="4221">
        <v>8872</v>
      </c>
      <c r="AD43" s="4221">
        <v>5842</v>
      </c>
      <c r="AE43" s="4221">
        <v>5204</v>
      </c>
      <c r="AF43" s="4221">
        <v>3036</v>
      </c>
      <c r="AG43" s="4221"/>
    </row>
    <row r="44" spans="1:35" x14ac:dyDescent="0.2">
      <c r="D44" s="3410" t="s">
        <v>50</v>
      </c>
      <c r="E44" s="4166">
        <v>0</v>
      </c>
      <c r="F44" s="4166">
        <v>0</v>
      </c>
      <c r="G44" s="4166">
        <v>0</v>
      </c>
      <c r="H44" s="4166">
        <v>0</v>
      </c>
      <c r="I44" s="4166">
        <v>12756</v>
      </c>
      <c r="J44" s="4166">
        <v>0</v>
      </c>
      <c r="K44" s="4166">
        <v>19711</v>
      </c>
      <c r="L44" s="4166">
        <v>0</v>
      </c>
      <c r="M44" s="4166">
        <v>82286</v>
      </c>
      <c r="N44" s="4166">
        <v>42842</v>
      </c>
      <c r="O44" s="3669">
        <v>87284</v>
      </c>
      <c r="P44" s="3669">
        <v>109666</v>
      </c>
      <c r="Q44" s="3669">
        <v>117845</v>
      </c>
      <c r="R44" s="3669">
        <v>82298</v>
      </c>
      <c r="S44" s="3669">
        <v>68469</v>
      </c>
      <c r="T44" s="3669">
        <v>64362</v>
      </c>
      <c r="U44" s="3669">
        <v>63546</v>
      </c>
      <c r="V44" s="3669">
        <v>58587</v>
      </c>
      <c r="W44" s="4167">
        <v>45698</v>
      </c>
      <c r="X44" s="4167">
        <v>48193</v>
      </c>
      <c r="Y44" s="4167">
        <v>49585</v>
      </c>
      <c r="Z44" s="4167">
        <v>52349</v>
      </c>
      <c r="AA44" s="4167">
        <v>57092</v>
      </c>
      <c r="AB44" s="4167">
        <v>51901</v>
      </c>
      <c r="AC44" s="4167">
        <v>48055</v>
      </c>
      <c r="AD44" s="4167">
        <v>51166</v>
      </c>
      <c r="AE44" s="4167">
        <v>39615</v>
      </c>
      <c r="AF44" s="4167">
        <v>37823</v>
      </c>
      <c r="AG44" s="4167"/>
      <c r="AI44" s="1320"/>
    </row>
    <row r="45" spans="1:35" x14ac:dyDescent="0.2">
      <c r="D45" s="71"/>
      <c r="E45" s="1129"/>
      <c r="F45" s="1129"/>
      <c r="G45" s="1129"/>
      <c r="H45" s="1129"/>
      <c r="I45" s="1129"/>
      <c r="J45" s="1129"/>
      <c r="K45" s="1129"/>
      <c r="L45" s="1129"/>
      <c r="M45" s="1129"/>
      <c r="N45" s="1129"/>
      <c r="O45" s="1129"/>
      <c r="P45" s="1129"/>
      <c r="Q45" s="1129"/>
      <c r="R45" s="1129"/>
      <c r="S45" s="1129"/>
      <c r="T45" s="1129"/>
      <c r="U45" s="1129"/>
      <c r="V45" s="1129"/>
      <c r="W45" s="4222"/>
      <c r="X45" s="4222"/>
      <c r="Y45" s="4222"/>
      <c r="Z45" s="4222"/>
      <c r="AA45" s="4222"/>
      <c r="AB45" s="4222"/>
      <c r="AC45" s="4222"/>
      <c r="AD45" s="4222"/>
      <c r="AE45" s="4222"/>
      <c r="AF45" s="4222"/>
      <c r="AG45" s="4222"/>
      <c r="AI45" s="1320"/>
    </row>
    <row r="46" spans="1:35" x14ac:dyDescent="0.2">
      <c r="A46" s="507"/>
      <c r="D46" s="71" t="s">
        <v>663</v>
      </c>
      <c r="E46" s="71" t="s">
        <v>852</v>
      </c>
      <c r="F46" s="955"/>
      <c r="V46" s="1320"/>
      <c r="W46" s="4223"/>
      <c r="X46" s="4223"/>
      <c r="Y46" s="4223"/>
      <c r="Z46" s="4223"/>
      <c r="AA46" s="4223"/>
      <c r="AB46" s="4223"/>
      <c r="AC46" s="4223"/>
      <c r="AD46" s="4223"/>
      <c r="AE46" s="4223"/>
      <c r="AF46" s="4223"/>
      <c r="AG46" s="4223"/>
    </row>
    <row r="47" spans="1:35" x14ac:dyDescent="0.2">
      <c r="A47" s="2387"/>
      <c r="B47" s="509"/>
      <c r="C47" s="509"/>
      <c r="D47" s="2999"/>
      <c r="E47" s="2977" t="s">
        <v>395</v>
      </c>
      <c r="F47" s="2977" t="s">
        <v>396</v>
      </c>
      <c r="G47" s="2977" t="s">
        <v>9</v>
      </c>
      <c r="H47" s="2977" t="s">
        <v>10</v>
      </c>
      <c r="I47" s="2977" t="s">
        <v>11</v>
      </c>
      <c r="J47" s="2977" t="s">
        <v>12</v>
      </c>
      <c r="K47" s="2977" t="s">
        <v>13</v>
      </c>
      <c r="L47" s="2977" t="s">
        <v>14</v>
      </c>
      <c r="M47" s="2977" t="s">
        <v>15</v>
      </c>
      <c r="N47" s="2977" t="s">
        <v>845</v>
      </c>
      <c r="O47" s="2977" t="s">
        <v>17</v>
      </c>
      <c r="P47" s="2977" t="s">
        <v>18</v>
      </c>
      <c r="Q47" s="2977" t="s">
        <v>19</v>
      </c>
      <c r="R47" s="2977" t="s">
        <v>20</v>
      </c>
      <c r="S47" s="2977" t="s">
        <v>21</v>
      </c>
      <c r="T47" s="2977" t="s">
        <v>22</v>
      </c>
      <c r="U47" s="2996" t="s">
        <v>23</v>
      </c>
      <c r="V47" s="2996" t="s">
        <v>24</v>
      </c>
      <c r="W47" s="4224" t="s">
        <v>25</v>
      </c>
      <c r="X47" s="4224" t="s">
        <v>26</v>
      </c>
      <c r="Y47" s="4224" t="s">
        <v>27</v>
      </c>
      <c r="Z47" s="4225" t="s">
        <v>28</v>
      </c>
      <c r="AA47" s="4225" t="s">
        <v>29</v>
      </c>
      <c r="AB47" s="4225" t="s">
        <v>30</v>
      </c>
      <c r="AC47" s="4225" t="s">
        <v>31</v>
      </c>
      <c r="AD47" s="4225" t="s">
        <v>32</v>
      </c>
      <c r="AE47" s="4225" t="s">
        <v>33</v>
      </c>
      <c r="AF47" s="4225" t="s">
        <v>59</v>
      </c>
      <c r="AG47" s="4225" t="s">
        <v>35</v>
      </c>
      <c r="AH47" s="3000"/>
    </row>
    <row r="48" spans="1:35" x14ac:dyDescent="0.2">
      <c r="A48" s="3001"/>
      <c r="D48" s="3409" t="s">
        <v>276</v>
      </c>
      <c r="E48" s="2385">
        <v>2267</v>
      </c>
      <c r="F48" s="2385">
        <v>2775</v>
      </c>
      <c r="G48" s="2385">
        <v>10925</v>
      </c>
      <c r="H48" s="2385">
        <v>22767</v>
      </c>
      <c r="I48" s="2385">
        <v>24659</v>
      </c>
      <c r="J48" s="2385">
        <v>20345</v>
      </c>
      <c r="K48" s="2385">
        <v>24612</v>
      </c>
      <c r="L48" s="2385">
        <v>10816</v>
      </c>
      <c r="M48" s="2385">
        <v>27162</v>
      </c>
      <c r="N48" s="2385">
        <v>13074</v>
      </c>
      <c r="O48" s="2385">
        <v>22642</v>
      </c>
      <c r="P48" s="3002">
        <v>16874</v>
      </c>
      <c r="Q48" s="3002">
        <v>14458</v>
      </c>
      <c r="R48" s="3002">
        <v>11252</v>
      </c>
      <c r="S48" s="3002">
        <v>15759</v>
      </c>
      <c r="T48" s="3002">
        <v>18965</v>
      </c>
      <c r="U48" s="3002">
        <v>10784</v>
      </c>
      <c r="V48" s="3002">
        <v>14498</v>
      </c>
      <c r="W48" s="4221">
        <v>12084</v>
      </c>
      <c r="X48" s="4221">
        <v>12646</v>
      </c>
      <c r="Y48" s="4221">
        <v>13469</v>
      </c>
      <c r="Z48" s="4221">
        <v>13198</v>
      </c>
      <c r="AA48" s="4221">
        <v>12491</v>
      </c>
      <c r="AB48" s="4221">
        <v>11123</v>
      </c>
      <c r="AC48" s="4221">
        <v>9817</v>
      </c>
      <c r="AD48" s="4221">
        <v>8757</v>
      </c>
      <c r="AE48" s="4221">
        <v>5427</v>
      </c>
      <c r="AF48" s="4221">
        <v>6521</v>
      </c>
      <c r="AG48" s="4221"/>
    </row>
    <row r="49" spans="1:36" x14ac:dyDescent="0.2">
      <c r="A49" s="3001"/>
      <c r="D49" s="1759" t="s">
        <v>277</v>
      </c>
      <c r="E49" s="2386">
        <v>4543</v>
      </c>
      <c r="F49" s="2386">
        <v>5558</v>
      </c>
      <c r="G49" s="2386">
        <v>8224</v>
      </c>
      <c r="H49" s="2386">
        <v>12718</v>
      </c>
      <c r="I49" s="2386">
        <v>17391</v>
      </c>
      <c r="J49" s="2386">
        <v>7177</v>
      </c>
      <c r="K49" s="2386">
        <v>16088</v>
      </c>
      <c r="L49" s="2386">
        <v>7005</v>
      </c>
      <c r="M49" s="2386">
        <v>9155</v>
      </c>
      <c r="N49" s="2386">
        <v>16746</v>
      </c>
      <c r="O49" s="2386">
        <v>16447</v>
      </c>
      <c r="P49" s="3002">
        <v>17635</v>
      </c>
      <c r="Q49" s="3002">
        <v>11670</v>
      </c>
      <c r="R49" s="3002">
        <v>12482</v>
      </c>
      <c r="S49" s="3002">
        <v>14667</v>
      </c>
      <c r="T49" s="3002">
        <v>20232</v>
      </c>
      <c r="U49" s="3002">
        <v>5136</v>
      </c>
      <c r="V49" s="3002">
        <v>9070</v>
      </c>
      <c r="W49" s="4221">
        <v>5477</v>
      </c>
      <c r="X49" s="4221">
        <v>6920</v>
      </c>
      <c r="Y49" s="4221">
        <v>5308</v>
      </c>
      <c r="Z49" s="4221">
        <v>5322</v>
      </c>
      <c r="AA49" s="4221">
        <v>4064</v>
      </c>
      <c r="AB49" s="4221">
        <v>3330</v>
      </c>
      <c r="AC49" s="4221">
        <v>3695</v>
      </c>
      <c r="AD49" s="4221">
        <v>2290</v>
      </c>
      <c r="AE49" s="4221">
        <v>1890</v>
      </c>
      <c r="AF49" s="4221">
        <v>481</v>
      </c>
      <c r="AG49" s="4221"/>
    </row>
    <row r="50" spans="1:36" x14ac:dyDescent="0.2">
      <c r="A50" s="3001"/>
      <c r="D50" s="1759" t="s">
        <v>278</v>
      </c>
      <c r="E50" s="2386">
        <v>19589</v>
      </c>
      <c r="F50" s="2386">
        <v>23966</v>
      </c>
      <c r="G50" s="2386">
        <v>33498</v>
      </c>
      <c r="H50" s="2386">
        <v>50110</v>
      </c>
      <c r="I50" s="2386">
        <v>58170</v>
      </c>
      <c r="J50" s="2386">
        <v>45384</v>
      </c>
      <c r="K50" s="2386">
        <v>38547</v>
      </c>
      <c r="L50" s="2386">
        <v>46723</v>
      </c>
      <c r="M50" s="2386">
        <v>34826</v>
      </c>
      <c r="N50" s="2386">
        <v>31771</v>
      </c>
      <c r="O50" s="2386">
        <v>24846</v>
      </c>
      <c r="P50" s="3002">
        <v>20430</v>
      </c>
      <c r="Q50" s="3002">
        <v>45292</v>
      </c>
      <c r="R50" s="3002">
        <v>43969</v>
      </c>
      <c r="S50" s="3002">
        <v>39768</v>
      </c>
      <c r="T50" s="3002">
        <v>33654</v>
      </c>
      <c r="U50" s="3002">
        <v>25117</v>
      </c>
      <c r="V50" s="3002">
        <v>22521</v>
      </c>
      <c r="W50" s="4221">
        <v>21220</v>
      </c>
      <c r="X50" s="4221">
        <v>22352</v>
      </c>
      <c r="Y50" s="4221">
        <v>14984</v>
      </c>
      <c r="Z50" s="4221">
        <v>14968</v>
      </c>
      <c r="AA50" s="4221">
        <v>16003</v>
      </c>
      <c r="AB50" s="4221">
        <v>17606</v>
      </c>
      <c r="AC50" s="4221">
        <v>9623</v>
      </c>
      <c r="AD50" s="4221">
        <v>12153</v>
      </c>
      <c r="AE50" s="4221">
        <v>9495</v>
      </c>
      <c r="AF50" s="4221">
        <v>7330</v>
      </c>
      <c r="AG50" s="4221"/>
    </row>
    <row r="51" spans="1:36" x14ac:dyDescent="0.2">
      <c r="A51" s="3003"/>
      <c r="D51" s="1759" t="s">
        <v>641</v>
      </c>
      <c r="E51" s="2386">
        <v>6114</v>
      </c>
      <c r="F51" s="2386">
        <v>12432</v>
      </c>
      <c r="G51" s="2386">
        <v>22035</v>
      </c>
      <c r="H51" s="2386">
        <v>55440</v>
      </c>
      <c r="I51" s="2386">
        <v>53105</v>
      </c>
      <c r="J51" s="2386">
        <v>28997</v>
      </c>
      <c r="K51" s="2386">
        <v>28547</v>
      </c>
      <c r="L51" s="2386">
        <v>14379</v>
      </c>
      <c r="M51" s="2386">
        <v>11139</v>
      </c>
      <c r="N51" s="2386">
        <v>33668</v>
      </c>
      <c r="O51" s="2386">
        <v>36734</v>
      </c>
      <c r="P51" s="3002">
        <v>21601</v>
      </c>
      <c r="Q51" s="3002">
        <v>21017</v>
      </c>
      <c r="R51" s="3002">
        <v>22374</v>
      </c>
      <c r="S51" s="3002">
        <v>26951</v>
      </c>
      <c r="T51" s="3002">
        <v>23639</v>
      </c>
      <c r="U51" s="3002">
        <v>20991</v>
      </c>
      <c r="V51" s="3002">
        <v>22119</v>
      </c>
      <c r="W51" s="4221">
        <v>25940</v>
      </c>
      <c r="X51" s="4221">
        <v>29151</v>
      </c>
      <c r="Y51" s="4221">
        <v>29312</v>
      </c>
      <c r="Z51" s="4221">
        <v>26552</v>
      </c>
      <c r="AA51" s="4221">
        <v>22467</v>
      </c>
      <c r="AB51" s="4221">
        <v>20290</v>
      </c>
      <c r="AC51" s="4221">
        <v>20564</v>
      </c>
      <c r="AD51" s="4221">
        <v>15737</v>
      </c>
      <c r="AE51" s="4221">
        <v>10315</v>
      </c>
      <c r="AF51" s="4221">
        <v>3141</v>
      </c>
      <c r="AG51" s="4221"/>
    </row>
    <row r="52" spans="1:36" x14ac:dyDescent="0.2">
      <c r="D52" s="1759" t="s">
        <v>280</v>
      </c>
      <c r="E52" s="2386">
        <v>3869</v>
      </c>
      <c r="F52" s="2386">
        <v>4734</v>
      </c>
      <c r="G52" s="2386">
        <v>7125</v>
      </c>
      <c r="H52" s="2386">
        <v>11123</v>
      </c>
      <c r="I52" s="2386">
        <v>10143</v>
      </c>
      <c r="J52" s="2386">
        <v>12401</v>
      </c>
      <c r="K52" s="2386">
        <v>13403</v>
      </c>
      <c r="L52" s="2386">
        <v>16667</v>
      </c>
      <c r="M52" s="2386">
        <v>8257</v>
      </c>
      <c r="N52" s="2386">
        <v>14885</v>
      </c>
      <c r="O52" s="2386">
        <v>12276</v>
      </c>
      <c r="P52" s="3002">
        <v>10112</v>
      </c>
      <c r="Q52" s="3002">
        <v>14053</v>
      </c>
      <c r="R52" s="3002">
        <v>9706</v>
      </c>
      <c r="S52" s="3002">
        <v>10941</v>
      </c>
      <c r="T52" s="3002">
        <v>19978</v>
      </c>
      <c r="U52" s="3002">
        <v>15647</v>
      </c>
      <c r="V52" s="3002">
        <v>13619</v>
      </c>
      <c r="W52" s="4221">
        <v>12009</v>
      </c>
      <c r="X52" s="4221">
        <v>3080</v>
      </c>
      <c r="Y52" s="4221">
        <v>2149</v>
      </c>
      <c r="Z52" s="4221">
        <v>8476</v>
      </c>
      <c r="AA52" s="4221">
        <v>10251</v>
      </c>
      <c r="AB52" s="4221">
        <v>9050</v>
      </c>
      <c r="AC52" s="4221">
        <v>10513</v>
      </c>
      <c r="AD52" s="4221">
        <v>8135</v>
      </c>
      <c r="AE52" s="4221">
        <v>4518</v>
      </c>
      <c r="AF52" s="4221">
        <v>4250</v>
      </c>
      <c r="AG52" s="4221"/>
    </row>
    <row r="53" spans="1:36" x14ac:dyDescent="0.2">
      <c r="D53" s="1759" t="s">
        <v>281</v>
      </c>
      <c r="E53" s="2386">
        <v>5881</v>
      </c>
      <c r="F53" s="2386">
        <v>4702</v>
      </c>
      <c r="G53" s="2386">
        <v>12492</v>
      </c>
      <c r="H53" s="2386">
        <v>7682</v>
      </c>
      <c r="I53" s="2386">
        <v>16838</v>
      </c>
      <c r="J53" s="2386">
        <v>4808</v>
      </c>
      <c r="K53" s="2386">
        <v>13748</v>
      </c>
      <c r="L53" s="2386">
        <v>14584</v>
      </c>
      <c r="M53" s="2386">
        <v>11642</v>
      </c>
      <c r="N53" s="2386">
        <v>14278</v>
      </c>
      <c r="O53" s="2386">
        <v>12223</v>
      </c>
      <c r="P53" s="3002">
        <v>14986</v>
      </c>
      <c r="Q53" s="3002">
        <v>7289</v>
      </c>
      <c r="R53" s="3002">
        <v>12844</v>
      </c>
      <c r="S53" s="3002">
        <v>16779</v>
      </c>
      <c r="T53" s="3002">
        <v>7800</v>
      </c>
      <c r="U53" s="3002">
        <v>9860</v>
      </c>
      <c r="V53" s="3002">
        <v>7702</v>
      </c>
      <c r="W53" s="4221">
        <v>7571</v>
      </c>
      <c r="X53" s="4221">
        <v>8126</v>
      </c>
      <c r="Y53" s="4221">
        <v>8293</v>
      </c>
      <c r="Z53" s="4221">
        <v>9226</v>
      </c>
      <c r="AA53" s="4221">
        <v>3670</v>
      </c>
      <c r="AB53" s="4221">
        <v>8739</v>
      </c>
      <c r="AC53" s="4221">
        <v>8522</v>
      </c>
      <c r="AD53" s="4221">
        <v>6710</v>
      </c>
      <c r="AE53" s="4221">
        <v>4522</v>
      </c>
      <c r="AF53" s="4221">
        <v>2212</v>
      </c>
      <c r="AG53" s="4221"/>
    </row>
    <row r="54" spans="1:36" x14ac:dyDescent="0.2">
      <c r="D54" s="1759" t="s">
        <v>283</v>
      </c>
      <c r="E54" s="2386">
        <v>2322</v>
      </c>
      <c r="F54" s="2386">
        <v>2841</v>
      </c>
      <c r="G54" s="2386">
        <v>2902</v>
      </c>
      <c r="H54" s="2386">
        <v>3369</v>
      </c>
      <c r="I54" s="2386">
        <v>2387</v>
      </c>
      <c r="J54" s="2386">
        <v>2600</v>
      </c>
      <c r="K54" s="2386">
        <v>4148</v>
      </c>
      <c r="L54" s="2386">
        <v>2588</v>
      </c>
      <c r="M54" s="2386">
        <v>6056</v>
      </c>
      <c r="N54" s="2386">
        <v>3787</v>
      </c>
      <c r="O54" s="2386">
        <v>3196</v>
      </c>
      <c r="P54" s="3002">
        <v>1507</v>
      </c>
      <c r="Q54" s="3002">
        <v>2295</v>
      </c>
      <c r="R54" s="3002">
        <v>2464</v>
      </c>
      <c r="S54" s="3002">
        <v>2973</v>
      </c>
      <c r="T54" s="3002">
        <v>4463</v>
      </c>
      <c r="U54" s="3002">
        <v>4620</v>
      </c>
      <c r="V54" s="3002">
        <v>3683</v>
      </c>
      <c r="W54" s="4221">
        <v>2820</v>
      </c>
      <c r="X54" s="4221">
        <v>2464</v>
      </c>
      <c r="Y54" s="4221">
        <v>2133</v>
      </c>
      <c r="Z54" s="4221">
        <v>1337</v>
      </c>
      <c r="AA54" s="4221">
        <v>1449</v>
      </c>
      <c r="AB54" s="4221">
        <v>809</v>
      </c>
      <c r="AC54" s="4221">
        <v>541</v>
      </c>
      <c r="AD54" s="4221">
        <v>620</v>
      </c>
      <c r="AE54" s="4221">
        <v>221</v>
      </c>
      <c r="AF54" s="4221">
        <v>122</v>
      </c>
      <c r="AG54" s="4221"/>
    </row>
    <row r="55" spans="1:36" x14ac:dyDescent="0.2">
      <c r="D55" s="1759" t="s">
        <v>282</v>
      </c>
      <c r="E55" s="2386">
        <v>7415</v>
      </c>
      <c r="F55" s="2386">
        <v>4278</v>
      </c>
      <c r="G55" s="2386">
        <v>15750</v>
      </c>
      <c r="H55" s="2386">
        <v>14821</v>
      </c>
      <c r="I55" s="2386">
        <v>18367</v>
      </c>
      <c r="J55" s="2386">
        <v>12944</v>
      </c>
      <c r="K55" s="2386">
        <v>14109</v>
      </c>
      <c r="L55" s="2386">
        <v>13876</v>
      </c>
      <c r="M55" s="2386">
        <v>9921</v>
      </c>
      <c r="N55" s="2386">
        <v>9255</v>
      </c>
      <c r="O55" s="2386">
        <v>6870</v>
      </c>
      <c r="P55" s="3002">
        <v>14825</v>
      </c>
      <c r="Q55" s="3002">
        <v>21258</v>
      </c>
      <c r="R55" s="3002">
        <v>15281</v>
      </c>
      <c r="S55" s="3002">
        <v>16848</v>
      </c>
      <c r="T55" s="3002">
        <v>16557</v>
      </c>
      <c r="U55" s="3002">
        <v>16816</v>
      </c>
      <c r="V55" s="3002">
        <v>16333</v>
      </c>
      <c r="W55" s="4221">
        <v>14424</v>
      </c>
      <c r="X55" s="4221">
        <v>9362</v>
      </c>
      <c r="Y55" s="4221">
        <v>9206</v>
      </c>
      <c r="Z55" s="4221">
        <v>10873</v>
      </c>
      <c r="AA55" s="4221">
        <v>9152</v>
      </c>
      <c r="AB55" s="4221">
        <v>6552</v>
      </c>
      <c r="AC55" s="4221">
        <v>6523</v>
      </c>
      <c r="AD55" s="4221">
        <v>6739</v>
      </c>
      <c r="AE55" s="4221">
        <v>2847</v>
      </c>
      <c r="AF55" s="4221">
        <v>533</v>
      </c>
      <c r="AG55" s="4221"/>
    </row>
    <row r="56" spans="1:36" x14ac:dyDescent="0.2">
      <c r="D56" s="3005" t="s">
        <v>284</v>
      </c>
      <c r="E56" s="2386">
        <v>8820</v>
      </c>
      <c r="F56" s="2386">
        <v>13123</v>
      </c>
      <c r="G56" s="2386">
        <v>16242</v>
      </c>
      <c r="H56" s="2386">
        <v>30970</v>
      </c>
      <c r="I56" s="2386">
        <v>34575</v>
      </c>
      <c r="J56" s="2386">
        <v>26916</v>
      </c>
      <c r="K56" s="2386">
        <v>17730</v>
      </c>
      <c r="L56" s="2386">
        <v>16643</v>
      </c>
      <c r="M56" s="2386">
        <v>13626</v>
      </c>
      <c r="N56" s="2386">
        <v>13309</v>
      </c>
      <c r="O56" s="2386">
        <v>13019</v>
      </c>
      <c r="P56" s="3002">
        <v>16053</v>
      </c>
      <c r="Q56" s="3002">
        <v>16042</v>
      </c>
      <c r="R56" s="3002">
        <v>16093</v>
      </c>
      <c r="S56" s="3002">
        <v>15717</v>
      </c>
      <c r="T56" s="3002">
        <v>16566</v>
      </c>
      <c r="U56" s="3002">
        <v>12908</v>
      </c>
      <c r="V56" s="3002">
        <v>11065</v>
      </c>
      <c r="W56" s="4221">
        <v>13534</v>
      </c>
      <c r="X56" s="4221">
        <v>11835</v>
      </c>
      <c r="Y56" s="4221">
        <v>10348</v>
      </c>
      <c r="Z56" s="4221">
        <v>10355</v>
      </c>
      <c r="AA56" s="4221">
        <v>9793</v>
      </c>
      <c r="AB56" s="4221">
        <v>8380</v>
      </c>
      <c r="AC56" s="4221">
        <v>7828</v>
      </c>
      <c r="AD56" s="4221">
        <v>8184</v>
      </c>
      <c r="AE56" s="4221">
        <v>6354</v>
      </c>
      <c r="AF56" s="4221">
        <v>3761</v>
      </c>
      <c r="AG56" s="4221"/>
    </row>
    <row r="57" spans="1:36" x14ac:dyDescent="0.2">
      <c r="D57" s="3410" t="s">
        <v>50</v>
      </c>
      <c r="E57" s="4166">
        <v>60820</v>
      </c>
      <c r="F57" s="4166">
        <v>74409</v>
      </c>
      <c r="G57" s="4166">
        <v>129193</v>
      </c>
      <c r="H57" s="4166">
        <v>209000</v>
      </c>
      <c r="I57" s="4166">
        <v>235635</v>
      </c>
      <c r="J57" s="4166">
        <v>161572</v>
      </c>
      <c r="K57" s="4166">
        <v>170932</v>
      </c>
      <c r="L57" s="4166">
        <v>143281</v>
      </c>
      <c r="M57" s="4166">
        <v>131784</v>
      </c>
      <c r="N57" s="4166">
        <v>150773</v>
      </c>
      <c r="O57" s="3669">
        <v>148253</v>
      </c>
      <c r="P57" s="3669">
        <v>134023</v>
      </c>
      <c r="Q57" s="3669">
        <v>153374</v>
      </c>
      <c r="R57" s="3669">
        <v>146465</v>
      </c>
      <c r="S57" s="3669">
        <v>160403</v>
      </c>
      <c r="T57" s="3669">
        <v>161854</v>
      </c>
      <c r="U57" s="3669">
        <v>121879</v>
      </c>
      <c r="V57" s="3669">
        <v>120610</v>
      </c>
      <c r="W57" s="4167">
        <v>115079</v>
      </c>
      <c r="X57" s="4167">
        <v>105936</v>
      </c>
      <c r="Y57" s="4167">
        <v>95202</v>
      </c>
      <c r="Z57" s="4167">
        <v>100307</v>
      </c>
      <c r="AA57" s="4167">
        <v>89340</v>
      </c>
      <c r="AB57" s="4167">
        <v>85879</v>
      </c>
      <c r="AC57" s="4167">
        <v>77626</v>
      </c>
      <c r="AD57" s="4167">
        <v>69325</v>
      </c>
      <c r="AE57" s="4167">
        <v>45589</v>
      </c>
      <c r="AF57" s="4167">
        <v>28351</v>
      </c>
      <c r="AG57" s="4167"/>
      <c r="AI57" s="1320"/>
    </row>
    <row r="58" spans="1:36" x14ac:dyDescent="0.2">
      <c r="F58" s="3006"/>
      <c r="G58" s="3006"/>
      <c r="H58" s="3006"/>
      <c r="I58" s="3007"/>
      <c r="J58" s="3006"/>
      <c r="K58" s="3007"/>
      <c r="L58" s="3006"/>
      <c r="M58" s="3006"/>
      <c r="N58" s="3006"/>
      <c r="O58" s="3006"/>
      <c r="P58" s="3006"/>
      <c r="Q58" s="3006"/>
      <c r="R58" s="3006"/>
      <c r="S58" s="3006"/>
      <c r="T58" s="3006"/>
      <c r="U58" s="3006"/>
      <c r="AA58" s="3008"/>
      <c r="AB58" s="831"/>
      <c r="AC58" s="831"/>
      <c r="AD58" s="831"/>
      <c r="AE58" s="831"/>
      <c r="AF58" s="831"/>
      <c r="AG58" s="831"/>
      <c r="AH58" s="831"/>
      <c r="AI58" s="831"/>
      <c r="AJ58" s="831"/>
    </row>
    <row r="59" spans="1:36" ht="15" customHeight="1" x14ac:dyDescent="0.2">
      <c r="A59" s="509">
        <v>6</v>
      </c>
      <c r="B59" s="509" t="s">
        <v>52</v>
      </c>
      <c r="C59" s="509"/>
      <c r="D59" s="4603" t="s">
        <v>853</v>
      </c>
      <c r="E59" s="4604"/>
      <c r="F59" s="4604"/>
      <c r="G59" s="4604"/>
      <c r="H59" s="4604"/>
      <c r="I59" s="4604"/>
      <c r="J59" s="4604"/>
      <c r="K59" s="4604"/>
      <c r="L59" s="4604"/>
      <c r="M59" s="4604"/>
      <c r="N59" s="4604"/>
      <c r="O59" s="4604"/>
      <c r="P59" s="4604"/>
      <c r="Q59" s="4604"/>
      <c r="R59" s="4604"/>
      <c r="S59" s="4604"/>
      <c r="T59" s="4604"/>
      <c r="U59" s="4604"/>
      <c r="V59" s="4604"/>
      <c r="W59" s="4604"/>
      <c r="X59" s="4604"/>
      <c r="Y59" s="4604"/>
      <c r="Z59" s="4604"/>
      <c r="AA59" s="4604"/>
      <c r="AB59" s="4604"/>
      <c r="AC59" s="4605"/>
      <c r="AD59" s="831"/>
      <c r="AE59" s="831"/>
      <c r="AF59" s="831"/>
      <c r="AG59" s="831"/>
      <c r="AH59" s="831"/>
      <c r="AI59" s="831"/>
      <c r="AJ59" s="831"/>
    </row>
    <row r="60" spans="1:36" ht="96" customHeight="1" x14ac:dyDescent="0.2">
      <c r="A60" s="546">
        <v>7</v>
      </c>
      <c r="B60" s="546" t="s">
        <v>54</v>
      </c>
      <c r="C60" s="509"/>
      <c r="D60" s="4603" t="s">
        <v>854</v>
      </c>
      <c r="E60" s="4604"/>
      <c r="F60" s="4604"/>
      <c r="G60" s="4604"/>
      <c r="H60" s="4604"/>
      <c r="I60" s="4604"/>
      <c r="J60" s="4604"/>
      <c r="K60" s="4604"/>
      <c r="L60" s="4604"/>
      <c r="M60" s="4604"/>
      <c r="N60" s="4604"/>
      <c r="O60" s="4604"/>
      <c r="P60" s="4604"/>
      <c r="Q60" s="4604"/>
      <c r="R60" s="4604"/>
      <c r="S60" s="4604"/>
      <c r="T60" s="4604"/>
      <c r="U60" s="4604"/>
      <c r="V60" s="4604"/>
      <c r="W60" s="4604"/>
      <c r="X60" s="4604"/>
      <c r="Y60" s="4604"/>
      <c r="Z60" s="4604"/>
      <c r="AA60" s="4604"/>
      <c r="AB60" s="4604"/>
      <c r="AC60" s="4605"/>
      <c r="AD60" s="831"/>
      <c r="AE60" s="831"/>
      <c r="AF60" s="831"/>
      <c r="AG60" s="831"/>
      <c r="AH60" s="831"/>
      <c r="AI60" s="831"/>
      <c r="AJ60" s="831"/>
    </row>
    <row r="61" spans="1:36" ht="30.75" customHeight="1" x14ac:dyDescent="0.2">
      <c r="A61" s="509">
        <v>8</v>
      </c>
      <c r="B61" s="509" t="s">
        <v>56</v>
      </c>
      <c r="C61" s="509"/>
      <c r="D61" s="4737" t="s">
        <v>855</v>
      </c>
      <c r="E61" s="4738"/>
      <c r="F61" s="4738"/>
      <c r="G61" s="4738"/>
      <c r="H61" s="4738"/>
      <c r="I61" s="4738"/>
      <c r="J61" s="4738"/>
      <c r="K61" s="4738"/>
      <c r="L61" s="4738"/>
      <c r="M61" s="4738"/>
      <c r="N61" s="4738"/>
      <c r="O61" s="4738"/>
      <c r="P61" s="4738"/>
      <c r="Q61" s="4738"/>
      <c r="R61" s="4738"/>
      <c r="S61" s="4738"/>
      <c r="T61" s="4738"/>
      <c r="U61" s="4738"/>
      <c r="V61" s="4738"/>
      <c r="W61" s="4738"/>
      <c r="X61" s="4738"/>
      <c r="Y61" s="4738"/>
      <c r="Z61" s="4738"/>
      <c r="AA61" s="4738"/>
      <c r="AB61" s="4738"/>
      <c r="AC61" s="4739"/>
    </row>
    <row r="62" spans="1:36" ht="44.25" customHeight="1" x14ac:dyDescent="0.2">
      <c r="A62" s="509">
        <v>9</v>
      </c>
      <c r="B62" s="509" t="s">
        <v>409</v>
      </c>
      <c r="C62" s="309"/>
      <c r="D62" s="4737" t="s">
        <v>856</v>
      </c>
      <c r="E62" s="4738"/>
      <c r="F62" s="4738"/>
      <c r="G62" s="4738"/>
      <c r="H62" s="4738"/>
      <c r="I62" s="4738"/>
      <c r="J62" s="4738"/>
      <c r="K62" s="4738"/>
      <c r="L62" s="4738"/>
      <c r="M62" s="4738"/>
      <c r="N62" s="4738"/>
      <c r="O62" s="4738"/>
      <c r="P62" s="4738"/>
      <c r="Q62" s="4738"/>
      <c r="R62" s="4738"/>
      <c r="S62" s="4738"/>
      <c r="T62" s="4738"/>
      <c r="U62" s="4738"/>
      <c r="V62" s="4738"/>
      <c r="W62" s="4738"/>
      <c r="X62" s="4738"/>
      <c r="Y62" s="4738"/>
      <c r="Z62" s="4738"/>
      <c r="AA62" s="4738"/>
      <c r="AB62" s="4738"/>
      <c r="AC62" s="4739"/>
    </row>
  </sheetData>
  <mergeCells count="9">
    <mergeCell ref="D60:AC60"/>
    <mergeCell ref="D61:AC61"/>
    <mergeCell ref="D62:AC62"/>
    <mergeCell ref="D2:AG2"/>
    <mergeCell ref="D3:AG3"/>
    <mergeCell ref="D4:AG4"/>
    <mergeCell ref="D5:AC5"/>
    <mergeCell ref="D7:AA7"/>
    <mergeCell ref="D59:AC59"/>
  </mergeCells>
  <pageMargins left="0.7" right="0.7" top="0.75" bottom="0.75" header="0.3" footer="0.3"/>
  <pageSetup paperSize="8" scale="68"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3E764-5859-4B5E-A1B0-8FC7EDAD2E11}">
  <sheetPr>
    <tabColor rgb="FFFF0000"/>
    <pageSetUpPr fitToPage="1"/>
  </sheetPr>
  <dimension ref="A1:EE54"/>
  <sheetViews>
    <sheetView showGridLines="0" view="pageBreakPreview" zoomScaleNormal="100" zoomScaleSheetLayoutView="100" workbookViewId="0">
      <selection activeCell="Y31" sqref="Y31"/>
    </sheetView>
  </sheetViews>
  <sheetFormatPr defaultColWidth="9.140625" defaultRowHeight="15" x14ac:dyDescent="0.2"/>
  <cols>
    <col min="1" max="1" width="3.85546875" style="1117" customWidth="1"/>
    <col min="2" max="2" width="14.42578125" style="1118" customWidth="1"/>
    <col min="3" max="3" width="3.85546875" style="1118" customWidth="1"/>
    <col min="4" max="4" width="21" style="1081" customWidth="1"/>
    <col min="5" max="5" width="8.85546875" style="1081" customWidth="1"/>
    <col min="6" max="7" width="7.85546875" style="1081" bestFit="1" customWidth="1"/>
    <col min="8" max="8" width="8.85546875" style="1081" bestFit="1" customWidth="1"/>
    <col min="9" max="9" width="8.85546875" style="1081" customWidth="1"/>
    <col min="10" max="17" width="8.85546875" style="1081" bestFit="1" customWidth="1"/>
    <col min="18" max="19" width="8.85546875" style="1081" customWidth="1"/>
    <col min="20" max="22" width="8.85546875" style="1081" bestFit="1" customWidth="1"/>
    <col min="23" max="29" width="10" style="1081" customWidth="1"/>
    <col min="30" max="32" width="9.140625" style="1081" customWidth="1"/>
    <col min="33" max="33" width="10.140625" style="1081" customWidth="1"/>
    <col min="34" max="44" width="9.140625" style="1081" customWidth="1"/>
    <col min="45" max="45" width="10.140625" style="1081" customWidth="1"/>
    <col min="46" max="50" width="9.140625" style="1081" customWidth="1"/>
    <col min="51" max="51" width="10.140625" style="1081" customWidth="1"/>
    <col min="52" max="56" width="9.140625" style="1081" customWidth="1"/>
    <col min="57" max="57" width="10.140625" style="1081" customWidth="1"/>
    <col min="58" max="62" width="9.140625" style="1081" customWidth="1"/>
    <col min="63" max="63" width="10.140625" style="1081" customWidth="1"/>
    <col min="64" max="75" width="9.140625" style="1081" customWidth="1"/>
    <col min="76" max="77" width="9.140625" style="1081"/>
    <col min="78" max="78" width="10.85546875" style="1081" customWidth="1"/>
    <col min="79" max="16384" width="9.140625" style="1081"/>
  </cols>
  <sheetData>
    <row r="1" spans="1:29" x14ac:dyDescent="0.25">
      <c r="B1" s="507"/>
      <c r="C1" s="507"/>
      <c r="D1" s="508"/>
      <c r="E1" s="508"/>
      <c r="F1" s="508"/>
      <c r="G1" s="508"/>
      <c r="H1" s="508"/>
      <c r="I1" s="508"/>
      <c r="J1" s="508"/>
      <c r="K1" s="508"/>
      <c r="L1" s="508"/>
      <c r="M1" s="508"/>
      <c r="N1" s="508"/>
      <c r="O1" s="508"/>
      <c r="P1" s="508"/>
      <c r="Q1" s="1188"/>
      <c r="R1" s="68"/>
      <c r="S1" s="508"/>
    </row>
    <row r="2" spans="1:29" ht="15" customHeight="1" x14ac:dyDescent="0.2">
      <c r="A2" s="821">
        <v>1</v>
      </c>
      <c r="B2" s="509" t="s">
        <v>0</v>
      </c>
      <c r="C2" s="509">
        <v>28</v>
      </c>
      <c r="D2" s="4767" t="s">
        <v>857</v>
      </c>
      <c r="E2" s="4767"/>
      <c r="F2" s="4767"/>
      <c r="G2" s="4767"/>
      <c r="H2" s="4767"/>
      <c r="I2" s="4767"/>
      <c r="J2" s="4767"/>
      <c r="K2" s="4767"/>
      <c r="L2" s="4767"/>
      <c r="M2" s="4767"/>
      <c r="N2" s="4767"/>
      <c r="O2" s="4767"/>
      <c r="P2" s="4767"/>
      <c r="Q2" s="4767"/>
      <c r="R2" s="4767"/>
      <c r="S2" s="4767"/>
      <c r="T2" s="4767"/>
      <c r="U2" s="4767"/>
      <c r="V2" s="4767"/>
      <c r="W2" s="4767"/>
      <c r="X2" s="4767"/>
      <c r="Y2" s="4767"/>
      <c r="Z2" s="880"/>
      <c r="AA2" s="880"/>
      <c r="AB2" s="880"/>
      <c r="AC2" s="880"/>
    </row>
    <row r="3" spans="1:29" ht="15" customHeight="1" x14ac:dyDescent="0.2">
      <c r="A3" s="821">
        <v>2</v>
      </c>
      <c r="B3" s="509" t="s">
        <v>2</v>
      </c>
      <c r="C3" s="509"/>
      <c r="D3" s="4768" t="s">
        <v>832</v>
      </c>
      <c r="E3" s="4768"/>
      <c r="F3" s="4768"/>
      <c r="G3" s="4768"/>
      <c r="H3" s="4768"/>
      <c r="I3" s="4768"/>
      <c r="J3" s="4768"/>
      <c r="K3" s="4768"/>
      <c r="L3" s="4768"/>
      <c r="M3" s="4768"/>
      <c r="N3" s="4768"/>
      <c r="O3" s="4768"/>
      <c r="P3" s="4768"/>
      <c r="Q3" s="4768"/>
      <c r="R3" s="4768"/>
      <c r="S3" s="4768"/>
      <c r="T3" s="4768"/>
      <c r="U3" s="4768"/>
      <c r="V3" s="4768"/>
      <c r="W3" s="4768"/>
      <c r="X3" s="4768"/>
      <c r="Y3" s="4768"/>
      <c r="Z3" s="880"/>
      <c r="AA3" s="880"/>
      <c r="AB3" s="880"/>
      <c r="AC3" s="880"/>
    </row>
    <row r="4" spans="1:29" ht="25.5" customHeight="1" x14ac:dyDescent="0.2">
      <c r="A4" s="821">
        <v>3</v>
      </c>
      <c r="B4" s="509" t="s">
        <v>4</v>
      </c>
      <c r="C4" s="509"/>
      <c r="D4" s="4769" t="s">
        <v>2189</v>
      </c>
      <c r="E4" s="4769"/>
      <c r="F4" s="4769"/>
      <c r="G4" s="4769"/>
      <c r="H4" s="4769"/>
      <c r="I4" s="4769"/>
      <c r="J4" s="4769"/>
      <c r="K4" s="4769"/>
      <c r="L4" s="4769"/>
      <c r="M4" s="4769"/>
      <c r="N4" s="4769"/>
      <c r="O4" s="4769"/>
      <c r="P4" s="4769"/>
      <c r="Q4" s="4769"/>
      <c r="R4" s="4769"/>
      <c r="S4" s="4769"/>
      <c r="T4" s="4769"/>
      <c r="U4" s="4769"/>
      <c r="V4" s="4769"/>
      <c r="W4" s="4769"/>
      <c r="X4" s="4769"/>
      <c r="Y4" s="4769"/>
      <c r="Z4" s="880"/>
      <c r="AA4" s="880"/>
      <c r="AB4" s="880"/>
      <c r="AC4" s="880"/>
    </row>
    <row r="5" spans="1:29" ht="15" customHeight="1" x14ac:dyDescent="0.2">
      <c r="A5" s="821"/>
      <c r="B5" s="509"/>
      <c r="C5" s="509"/>
      <c r="D5" s="2478"/>
      <c r="E5" s="344"/>
      <c r="F5" s="344"/>
      <c r="G5" s="344"/>
      <c r="H5" s="344"/>
      <c r="I5" s="344"/>
      <c r="J5" s="344"/>
      <c r="K5" s="344"/>
      <c r="L5" s="344"/>
      <c r="M5" s="344"/>
      <c r="N5" s="344"/>
      <c r="O5" s="344"/>
      <c r="P5" s="344"/>
      <c r="Q5" s="344"/>
      <c r="R5" s="344"/>
      <c r="S5" s="344"/>
      <c r="T5" s="344"/>
      <c r="U5" s="344"/>
      <c r="V5" s="344"/>
      <c r="W5" s="880"/>
      <c r="X5" s="880"/>
      <c r="Y5" s="880"/>
      <c r="Z5" s="880"/>
      <c r="AA5" s="880"/>
      <c r="AB5" s="880"/>
      <c r="AC5" s="880"/>
    </row>
    <row r="6" spans="1:29" ht="14.25" x14ac:dyDescent="0.2">
      <c r="A6" s="821">
        <v>4</v>
      </c>
      <c r="B6" s="509" t="s">
        <v>6</v>
      </c>
      <c r="C6" s="509"/>
      <c r="D6" s="4770"/>
      <c r="E6" s="4771"/>
      <c r="F6" s="4771"/>
      <c r="G6" s="4771"/>
      <c r="H6" s="4771"/>
      <c r="I6" s="4771"/>
      <c r="J6" s="4771"/>
      <c r="K6" s="4771"/>
      <c r="L6" s="4771"/>
      <c r="M6" s="4771"/>
      <c r="N6" s="4771"/>
      <c r="O6" s="4771"/>
      <c r="P6" s="4771"/>
      <c r="Q6" s="2959"/>
    </row>
    <row r="7" spans="1:29" s="10" customFormat="1" x14ac:dyDescent="0.2">
      <c r="A7" s="835"/>
      <c r="B7" s="506"/>
      <c r="C7" s="506"/>
      <c r="D7" s="71" t="s">
        <v>858</v>
      </c>
      <c r="E7" s="71" t="s">
        <v>859</v>
      </c>
      <c r="F7" s="71"/>
      <c r="G7" s="71"/>
      <c r="H7" s="71"/>
      <c r="I7" s="71"/>
      <c r="J7" s="71"/>
      <c r="K7" s="71"/>
      <c r="L7" s="71"/>
      <c r="M7" s="831"/>
    </row>
    <row r="8" spans="1:29" x14ac:dyDescent="0.2">
      <c r="B8" s="2944"/>
      <c r="C8" s="2944"/>
      <c r="D8" s="2243"/>
      <c r="E8" s="2243"/>
      <c r="F8" s="2960">
        <v>2002</v>
      </c>
      <c r="G8" s="2960">
        <v>2003</v>
      </c>
      <c r="H8" s="2960">
        <v>2004</v>
      </c>
      <c r="I8" s="2960">
        <v>2005</v>
      </c>
      <c r="J8" s="2960">
        <v>2006</v>
      </c>
      <c r="K8" s="2960">
        <v>2007</v>
      </c>
      <c r="L8" s="2960">
        <v>2008</v>
      </c>
      <c r="M8" s="2960">
        <v>2009</v>
      </c>
      <c r="N8" s="2960">
        <v>2010</v>
      </c>
      <c r="O8" s="2960">
        <v>2011</v>
      </c>
      <c r="P8" s="2960">
        <v>2012</v>
      </c>
      <c r="Q8" s="2960">
        <v>2013</v>
      </c>
      <c r="R8" s="2960">
        <v>2014</v>
      </c>
      <c r="S8" s="2960">
        <v>2015</v>
      </c>
      <c r="T8" s="2960">
        <v>2016</v>
      </c>
      <c r="U8" s="2960">
        <v>2017</v>
      </c>
      <c r="V8" s="2960">
        <v>2018</v>
      </c>
      <c r="W8" s="2960">
        <v>2019</v>
      </c>
      <c r="X8" s="2960">
        <v>2020</v>
      </c>
      <c r="Y8" s="2960">
        <v>2021</v>
      </c>
    </row>
    <row r="9" spans="1:29" x14ac:dyDescent="0.25">
      <c r="A9" s="58"/>
      <c r="B9" s="2918"/>
      <c r="C9" s="2961"/>
      <c r="D9" s="2947" t="s">
        <v>276</v>
      </c>
      <c r="E9" s="2962"/>
      <c r="F9" s="2385">
        <v>56.1</v>
      </c>
      <c r="G9" s="2385">
        <v>59.4</v>
      </c>
      <c r="H9" s="2385">
        <v>63.4</v>
      </c>
      <c r="I9" s="2385">
        <v>68.8</v>
      </c>
      <c r="J9" s="2385">
        <v>70.400000000000006</v>
      </c>
      <c r="K9" s="2385">
        <v>74.8</v>
      </c>
      <c r="L9" s="2385">
        <v>70.8</v>
      </c>
      <c r="M9" s="2385">
        <v>74.900000000000006</v>
      </c>
      <c r="N9" s="2385">
        <v>74.900000000000006</v>
      </c>
      <c r="O9" s="2385">
        <v>75.7</v>
      </c>
      <c r="P9" s="2385">
        <v>79.2</v>
      </c>
      <c r="Q9" s="2385">
        <v>80.7</v>
      </c>
      <c r="R9" s="2385">
        <v>78.7</v>
      </c>
      <c r="S9" s="2385">
        <v>75.5</v>
      </c>
      <c r="T9" s="2385">
        <v>76.400000000000006</v>
      </c>
      <c r="U9" s="2385">
        <v>74.2</v>
      </c>
      <c r="V9" s="2385">
        <v>75.061811500000005</v>
      </c>
      <c r="W9" s="2385">
        <v>73.919697265753626</v>
      </c>
      <c r="X9" s="2385">
        <v>72.118384891877568</v>
      </c>
      <c r="Y9" s="2385">
        <v>71.003032390288269</v>
      </c>
    </row>
    <row r="10" spans="1:29" x14ac:dyDescent="0.25">
      <c r="A10" s="58"/>
      <c r="B10" s="2918"/>
      <c r="C10" s="2961"/>
      <c r="D10" s="2947" t="s">
        <v>277</v>
      </c>
      <c r="E10" s="2962"/>
      <c r="F10" s="2386">
        <v>95.6</v>
      </c>
      <c r="G10" s="2386">
        <v>97.2</v>
      </c>
      <c r="H10" s="2386">
        <v>95</v>
      </c>
      <c r="I10" s="2386">
        <v>97</v>
      </c>
      <c r="J10" s="2386">
        <v>97.4</v>
      </c>
      <c r="K10" s="2386">
        <v>96.3</v>
      </c>
      <c r="L10" s="2386">
        <v>97.6</v>
      </c>
      <c r="M10" s="2386">
        <v>95.2</v>
      </c>
      <c r="N10" s="2386">
        <v>96.9</v>
      </c>
      <c r="O10" s="2386">
        <v>96.8</v>
      </c>
      <c r="P10" s="2386">
        <v>96.6</v>
      </c>
      <c r="Q10" s="2386">
        <v>95.9</v>
      </c>
      <c r="R10" s="2386">
        <v>95.2</v>
      </c>
      <c r="S10" s="2386">
        <v>96.2</v>
      </c>
      <c r="T10" s="2386">
        <v>93.2</v>
      </c>
      <c r="U10" s="2386">
        <v>92.8</v>
      </c>
      <c r="V10" s="2386">
        <v>91.127549099999996</v>
      </c>
      <c r="W10" s="2386">
        <v>91.940514988246832</v>
      </c>
      <c r="X10" s="2386">
        <v>93.288947522690421</v>
      </c>
      <c r="Y10" s="2386">
        <v>93.561733585616551</v>
      </c>
    </row>
    <row r="11" spans="1:29" x14ac:dyDescent="0.25">
      <c r="A11" s="58"/>
      <c r="B11" s="2918"/>
      <c r="C11" s="2961"/>
      <c r="D11" s="2947" t="s">
        <v>278</v>
      </c>
      <c r="E11" s="2962"/>
      <c r="F11" s="2386">
        <v>98.7</v>
      </c>
      <c r="G11" s="2386">
        <v>98.9</v>
      </c>
      <c r="H11" s="2386">
        <v>98.8</v>
      </c>
      <c r="I11" s="2386">
        <v>98</v>
      </c>
      <c r="J11" s="2386">
        <v>98</v>
      </c>
      <c r="K11" s="2386">
        <v>97.2</v>
      </c>
      <c r="L11" s="2386">
        <v>97.1</v>
      </c>
      <c r="M11" s="2386">
        <v>98.1</v>
      </c>
      <c r="N11" s="2386">
        <v>97.2</v>
      </c>
      <c r="O11" s="2386">
        <v>97.8</v>
      </c>
      <c r="P11" s="2386">
        <v>97.2</v>
      </c>
      <c r="Q11" s="2386">
        <v>95.9</v>
      </c>
      <c r="R11" s="2386">
        <v>96.5</v>
      </c>
      <c r="S11" s="2386">
        <v>97.7</v>
      </c>
      <c r="T11" s="2386">
        <v>97.5</v>
      </c>
      <c r="U11" s="2386">
        <v>97.1</v>
      </c>
      <c r="V11" s="2386">
        <v>97.129584100000002</v>
      </c>
      <c r="W11" s="2386">
        <v>97.632069346746349</v>
      </c>
      <c r="X11" s="2386">
        <v>97.970188972398915</v>
      </c>
      <c r="Y11" s="2386">
        <v>98.446116845661393</v>
      </c>
    </row>
    <row r="12" spans="1:29" x14ac:dyDescent="0.25">
      <c r="A12" s="58"/>
      <c r="B12" s="2918"/>
      <c r="C12" s="2961"/>
      <c r="D12" s="2947" t="s">
        <v>641</v>
      </c>
      <c r="E12" s="2962"/>
      <c r="F12" s="2386">
        <v>75.400000000000006</v>
      </c>
      <c r="G12" s="2386">
        <v>78.2</v>
      </c>
      <c r="H12" s="2386">
        <v>79.400000000000006</v>
      </c>
      <c r="I12" s="2386">
        <v>81.7</v>
      </c>
      <c r="J12" s="2386">
        <v>81.400000000000006</v>
      </c>
      <c r="K12" s="2386">
        <v>83.4</v>
      </c>
      <c r="L12" s="2386">
        <v>82.1</v>
      </c>
      <c r="M12" s="2386">
        <v>84.1</v>
      </c>
      <c r="N12" s="2386">
        <v>84.1</v>
      </c>
      <c r="O12" s="2386">
        <v>84.2</v>
      </c>
      <c r="P12" s="2386">
        <v>87.8</v>
      </c>
      <c r="Q12" s="2386">
        <v>86.6</v>
      </c>
      <c r="R12" s="2386">
        <v>87</v>
      </c>
      <c r="S12" s="2386">
        <v>85.3</v>
      </c>
      <c r="T12" s="2386">
        <v>84.2</v>
      </c>
      <c r="U12" s="2386">
        <v>84.5</v>
      </c>
      <c r="V12" s="2386">
        <v>86.629678299999995</v>
      </c>
      <c r="W12" s="2386">
        <v>85.42593130898895</v>
      </c>
      <c r="X12" s="2386">
        <v>86.912497593750984</v>
      </c>
      <c r="Y12" s="2386">
        <v>86.995271752404122</v>
      </c>
    </row>
    <row r="13" spans="1:29" x14ac:dyDescent="0.25">
      <c r="A13" s="58"/>
      <c r="B13" s="2918"/>
      <c r="C13" s="2961"/>
      <c r="D13" s="2947" t="s">
        <v>280</v>
      </c>
      <c r="E13" s="2962"/>
      <c r="F13" s="2386">
        <v>73.8</v>
      </c>
      <c r="G13" s="2386">
        <v>79</v>
      </c>
      <c r="H13" s="2386">
        <v>75.400000000000006</v>
      </c>
      <c r="I13" s="2386">
        <v>77.7</v>
      </c>
      <c r="J13" s="2386">
        <v>80.7</v>
      </c>
      <c r="K13" s="2386">
        <v>83.5</v>
      </c>
      <c r="L13" s="2386">
        <v>82.5</v>
      </c>
      <c r="M13" s="2386">
        <v>80.900000000000006</v>
      </c>
      <c r="N13" s="2386">
        <v>84</v>
      </c>
      <c r="O13" s="2386">
        <v>82.9</v>
      </c>
      <c r="P13" s="2386">
        <v>80.099999999999994</v>
      </c>
      <c r="Q13" s="2386">
        <v>77.5</v>
      </c>
      <c r="R13" s="2386">
        <v>79.599999999999994</v>
      </c>
      <c r="S13" s="2386">
        <v>78.8</v>
      </c>
      <c r="T13" s="2386">
        <v>75.099999999999994</v>
      </c>
      <c r="U13" s="2386">
        <v>74.7</v>
      </c>
      <c r="V13" s="2386">
        <v>74.064659300000002</v>
      </c>
      <c r="W13" s="2386">
        <v>70.035469221873896</v>
      </c>
      <c r="X13" s="2386">
        <v>71.328996122014615</v>
      </c>
      <c r="Y13" s="2386">
        <v>69.449317447826132</v>
      </c>
    </row>
    <row r="14" spans="1:29" x14ac:dyDescent="0.25">
      <c r="A14" s="58"/>
      <c r="B14" s="2918"/>
      <c r="C14" s="2961"/>
      <c r="D14" s="2947" t="s">
        <v>281</v>
      </c>
      <c r="E14" s="2962"/>
      <c r="F14" s="2386">
        <v>90.5</v>
      </c>
      <c r="G14" s="2386">
        <v>91.4</v>
      </c>
      <c r="H14" s="2386">
        <v>88.1</v>
      </c>
      <c r="I14" s="2386">
        <v>89.8</v>
      </c>
      <c r="J14" s="2386">
        <v>88.9</v>
      </c>
      <c r="K14" s="2386">
        <v>88.4</v>
      </c>
      <c r="L14" s="2386">
        <v>88.3</v>
      </c>
      <c r="M14" s="2386">
        <v>87.4</v>
      </c>
      <c r="N14" s="2386">
        <v>88.1</v>
      </c>
      <c r="O14" s="2386">
        <v>87.5</v>
      </c>
      <c r="P14" s="2386">
        <v>87.6</v>
      </c>
      <c r="Q14" s="2386">
        <v>86.8</v>
      </c>
      <c r="R14" s="2386">
        <v>87.2</v>
      </c>
      <c r="S14" s="2386">
        <v>85.6</v>
      </c>
      <c r="T14" s="2386">
        <v>85.4</v>
      </c>
      <c r="U14" s="2386">
        <v>85.5</v>
      </c>
      <c r="V14" s="2386">
        <v>86.498187599999994</v>
      </c>
      <c r="W14" s="2386">
        <v>85.225405035140597</v>
      </c>
      <c r="X14" s="2386">
        <v>87.856512279929419</v>
      </c>
      <c r="Y14" s="2386">
        <v>86.193835461023312</v>
      </c>
    </row>
    <row r="15" spans="1:29" x14ac:dyDescent="0.25">
      <c r="A15" s="58"/>
      <c r="B15" s="2918"/>
      <c r="C15" s="2961"/>
      <c r="D15" s="2947" t="s">
        <v>282</v>
      </c>
      <c r="E15" s="2962"/>
      <c r="F15" s="2386">
        <v>85.6</v>
      </c>
      <c r="G15" s="2386">
        <v>90.3</v>
      </c>
      <c r="H15" s="2386">
        <v>88.5</v>
      </c>
      <c r="I15" s="2386">
        <v>87.2</v>
      </c>
      <c r="J15" s="2386">
        <v>90.8</v>
      </c>
      <c r="K15" s="2386">
        <v>89.7</v>
      </c>
      <c r="L15" s="2386">
        <v>90</v>
      </c>
      <c r="M15" s="2386">
        <v>87.9</v>
      </c>
      <c r="N15" s="2386">
        <v>91</v>
      </c>
      <c r="O15" s="2386">
        <v>91.1</v>
      </c>
      <c r="P15" s="2386">
        <v>91.2</v>
      </c>
      <c r="Q15" s="2386">
        <v>88.4</v>
      </c>
      <c r="R15" s="2386">
        <v>87.2</v>
      </c>
      <c r="S15" s="2386">
        <v>86.1</v>
      </c>
      <c r="T15" s="2386">
        <v>86.7</v>
      </c>
      <c r="U15" s="2386">
        <v>85.8</v>
      </c>
      <c r="V15" s="2386">
        <v>85.1746239</v>
      </c>
      <c r="W15" s="2386">
        <v>82.131742802954719</v>
      </c>
      <c r="X15" s="2386">
        <v>87.269981912546484</v>
      </c>
      <c r="Y15" s="2386">
        <v>83.373348550064946</v>
      </c>
    </row>
    <row r="16" spans="1:29" x14ac:dyDescent="0.25">
      <c r="A16" s="58"/>
      <c r="B16" s="2918"/>
      <c r="C16" s="2961"/>
      <c r="D16" s="2947" t="s">
        <v>860</v>
      </c>
      <c r="E16" s="2962"/>
      <c r="F16" s="2386">
        <v>92.5</v>
      </c>
      <c r="G16" s="2386">
        <v>96.1</v>
      </c>
      <c r="H16" s="2386">
        <v>93.2</v>
      </c>
      <c r="I16" s="2386">
        <v>95.4</v>
      </c>
      <c r="J16" s="2386">
        <v>95.4</v>
      </c>
      <c r="K16" s="2386">
        <v>94.8</v>
      </c>
      <c r="L16" s="2386">
        <v>90.7</v>
      </c>
      <c r="M16" s="2386">
        <v>95.9</v>
      </c>
      <c r="N16" s="2386">
        <v>94.1</v>
      </c>
      <c r="O16" s="2386">
        <v>96.2</v>
      </c>
      <c r="P16" s="2386">
        <v>95.7</v>
      </c>
      <c r="Q16" s="2386">
        <v>96.4</v>
      </c>
      <c r="R16" s="2386">
        <v>96</v>
      </c>
      <c r="S16" s="2386">
        <v>96.4</v>
      </c>
      <c r="T16" s="2386">
        <v>96</v>
      </c>
      <c r="U16" s="2386">
        <v>96</v>
      </c>
      <c r="V16" s="2386">
        <v>95.256064000000009</v>
      </c>
      <c r="W16" s="2386">
        <v>93.968628460416454</v>
      </c>
      <c r="X16" s="2386">
        <v>91.760341033287148</v>
      </c>
      <c r="Y16" s="2386">
        <v>90.863981730283967</v>
      </c>
    </row>
    <row r="17" spans="1:135" x14ac:dyDescent="0.25">
      <c r="A17" s="58"/>
      <c r="B17" s="2918"/>
      <c r="C17" s="2961"/>
      <c r="D17" s="2947" t="s">
        <v>861</v>
      </c>
      <c r="E17" s="2962"/>
      <c r="F17" s="2386">
        <v>98.9</v>
      </c>
      <c r="G17" s="2386">
        <v>98.9</v>
      </c>
      <c r="H17" s="2386">
        <v>99.2</v>
      </c>
      <c r="I17" s="2386">
        <v>98.5</v>
      </c>
      <c r="J17" s="2386">
        <v>99.4</v>
      </c>
      <c r="K17" s="2386">
        <v>98</v>
      </c>
      <c r="L17" s="2386">
        <v>98.6</v>
      </c>
      <c r="M17" s="2386">
        <v>99.6</v>
      </c>
      <c r="N17" s="2386">
        <v>98.8</v>
      </c>
      <c r="O17" s="2386">
        <v>99.5</v>
      </c>
      <c r="P17" s="2386">
        <v>98.9</v>
      </c>
      <c r="Q17" s="2386">
        <v>98.7</v>
      </c>
      <c r="R17" s="2386">
        <v>98.9</v>
      </c>
      <c r="S17" s="2386">
        <v>99.3</v>
      </c>
      <c r="T17" s="2386">
        <v>98.7</v>
      </c>
      <c r="U17" s="2386">
        <v>98.7</v>
      </c>
      <c r="V17" s="2386">
        <v>98.673865399999997</v>
      </c>
      <c r="W17" s="2386">
        <v>98.502170545502139</v>
      </c>
      <c r="X17" s="2386">
        <v>98.538663792511741</v>
      </c>
      <c r="Y17" s="2386">
        <v>99.367253973554611</v>
      </c>
    </row>
    <row r="18" spans="1:135" s="2964" customFormat="1" x14ac:dyDescent="0.25">
      <c r="A18" s="58"/>
      <c r="B18" s="2963"/>
      <c r="C18" s="2963"/>
      <c r="D18" s="3670" t="s">
        <v>103</v>
      </c>
      <c r="E18" s="3669"/>
      <c r="F18" s="3713">
        <v>84.4</v>
      </c>
      <c r="G18" s="3713">
        <v>86.6</v>
      </c>
      <c r="H18" s="3713">
        <v>86.5</v>
      </c>
      <c r="I18" s="3713">
        <v>87.9</v>
      </c>
      <c r="J18" s="3713">
        <v>88.8</v>
      </c>
      <c r="K18" s="3713">
        <v>89.4</v>
      </c>
      <c r="L18" s="3713">
        <v>88.7</v>
      </c>
      <c r="M18" s="3713">
        <v>89.6</v>
      </c>
      <c r="N18" s="3713">
        <v>90</v>
      </c>
      <c r="O18" s="3713">
        <v>90.3</v>
      </c>
      <c r="P18" s="3713">
        <v>90.9</v>
      </c>
      <c r="Q18" s="3713">
        <v>89.9</v>
      </c>
      <c r="R18" s="3713">
        <v>90.1</v>
      </c>
      <c r="S18" s="3713">
        <v>89.6</v>
      </c>
      <c r="T18" s="3713">
        <v>89</v>
      </c>
      <c r="U18" s="3713">
        <v>88.6</v>
      </c>
      <c r="V18" s="3713">
        <v>89.006898399999983</v>
      </c>
      <c r="W18" s="3713">
        <v>88.180382975544589</v>
      </c>
      <c r="X18" s="3713">
        <v>89.125352137262993</v>
      </c>
      <c r="Y18" s="3713">
        <v>88.741249337117949</v>
      </c>
    </row>
    <row r="19" spans="1:135" x14ac:dyDescent="0.2">
      <c r="B19" s="2944"/>
      <c r="C19" s="2944"/>
      <c r="D19" s="2918"/>
      <c r="E19" s="2918"/>
      <c r="F19" s="2965"/>
      <c r="G19" s="2918"/>
      <c r="H19" s="2918"/>
      <c r="I19" s="2918"/>
      <c r="J19" s="2919"/>
      <c r="K19" s="2919"/>
      <c r="L19" s="2919"/>
      <c r="M19" s="2919"/>
      <c r="N19" s="2919"/>
      <c r="O19" s="2919"/>
      <c r="P19" s="2919"/>
      <c r="Q19" s="2919"/>
      <c r="R19" s="508"/>
      <c r="S19" s="508"/>
    </row>
    <row r="20" spans="1:135" x14ac:dyDescent="0.2">
      <c r="B20" s="2944"/>
      <c r="C20" s="2944"/>
      <c r="D20" s="71" t="s">
        <v>862</v>
      </c>
      <c r="E20" s="71" t="s">
        <v>863</v>
      </c>
      <c r="F20" s="71"/>
      <c r="G20" s="71"/>
      <c r="H20" s="71"/>
      <c r="I20" s="2918"/>
      <c r="J20" s="2918"/>
      <c r="K20" s="2919"/>
      <c r="L20" s="2919"/>
      <c r="M20" s="2919"/>
      <c r="N20" s="2919"/>
      <c r="O20" s="2919"/>
      <c r="P20" s="2919"/>
      <c r="Q20" s="2919"/>
      <c r="R20" s="508"/>
      <c r="S20" s="508"/>
    </row>
    <row r="21" spans="1:135" x14ac:dyDescent="0.2">
      <c r="B21" s="2944"/>
      <c r="C21" s="2944"/>
      <c r="D21" s="2243"/>
      <c r="E21" s="2243"/>
      <c r="F21" s="2960">
        <v>2002</v>
      </c>
      <c r="G21" s="2960">
        <v>2003</v>
      </c>
      <c r="H21" s="2960">
        <v>2004</v>
      </c>
      <c r="I21" s="2960">
        <v>2005</v>
      </c>
      <c r="J21" s="2960">
        <v>2006</v>
      </c>
      <c r="K21" s="2960">
        <v>2007</v>
      </c>
      <c r="L21" s="2960">
        <v>2008</v>
      </c>
      <c r="M21" s="2960">
        <v>2009</v>
      </c>
      <c r="N21" s="2960">
        <v>2010</v>
      </c>
      <c r="O21" s="2960">
        <v>2011</v>
      </c>
      <c r="P21" s="2960">
        <v>2012</v>
      </c>
      <c r="Q21" s="2960">
        <v>2013</v>
      </c>
      <c r="R21" s="2960">
        <v>2014</v>
      </c>
      <c r="S21" s="2960">
        <v>2015</v>
      </c>
      <c r="T21" s="2960">
        <v>2016</v>
      </c>
      <c r="U21" s="2960">
        <v>2017</v>
      </c>
      <c r="V21" s="2960">
        <v>2018</v>
      </c>
      <c r="W21" s="1138">
        <v>2019</v>
      </c>
      <c r="X21" s="1138">
        <v>2020</v>
      </c>
      <c r="Y21" s="1138">
        <v>2021</v>
      </c>
    </row>
    <row r="22" spans="1:135" x14ac:dyDescent="0.25">
      <c r="A22" s="58"/>
      <c r="B22" s="2918"/>
      <c r="C22" s="2961"/>
      <c r="D22" s="2947" t="s">
        <v>276</v>
      </c>
      <c r="E22" s="2962"/>
      <c r="F22" s="2385">
        <v>845026</v>
      </c>
      <c r="G22" s="2385">
        <v>902020</v>
      </c>
      <c r="H22" s="2385">
        <v>966533</v>
      </c>
      <c r="I22" s="2385">
        <v>1052460</v>
      </c>
      <c r="J22" s="2385">
        <v>1078397</v>
      </c>
      <c r="K22" s="2385">
        <v>1151878</v>
      </c>
      <c r="L22" s="2385">
        <v>1097578</v>
      </c>
      <c r="M22" s="2385">
        <v>1168400</v>
      </c>
      <c r="N22" s="2385">
        <v>1175755</v>
      </c>
      <c r="O22" s="2385">
        <v>1195819</v>
      </c>
      <c r="P22" s="2385">
        <v>1264595</v>
      </c>
      <c r="Q22" s="2385">
        <v>1299907</v>
      </c>
      <c r="R22" s="2385">
        <v>1278740</v>
      </c>
      <c r="S22" s="2385">
        <v>1235693</v>
      </c>
      <c r="T22" s="2385">
        <v>1259362</v>
      </c>
      <c r="U22" s="2385">
        <v>1236910</v>
      </c>
      <c r="V22" s="2385">
        <v>1264903.7081495</v>
      </c>
      <c r="W22" s="2385">
        <v>1258167.6267943</v>
      </c>
      <c r="X22" s="2385">
        <v>1232656.2855412001</v>
      </c>
      <c r="Y22" s="2385">
        <v>1224456.4126710999</v>
      </c>
      <c r="Z22" s="2972"/>
    </row>
    <row r="23" spans="1:135" x14ac:dyDescent="0.25">
      <c r="A23" s="58"/>
      <c r="B23" s="2918"/>
      <c r="C23" s="2961"/>
      <c r="D23" s="2947" t="s">
        <v>277</v>
      </c>
      <c r="E23" s="2962"/>
      <c r="F23" s="2386">
        <v>649484</v>
      </c>
      <c r="G23" s="2386">
        <v>671532</v>
      </c>
      <c r="H23" s="2386">
        <v>668131</v>
      </c>
      <c r="I23" s="2386">
        <v>693391</v>
      </c>
      <c r="J23" s="2386">
        <v>707565</v>
      </c>
      <c r="K23" s="2386">
        <v>711276</v>
      </c>
      <c r="L23" s="2386">
        <v>732878</v>
      </c>
      <c r="M23" s="2386">
        <v>726031</v>
      </c>
      <c r="N23" s="2386">
        <v>751145</v>
      </c>
      <c r="O23" s="2386">
        <v>761721</v>
      </c>
      <c r="P23" s="2386">
        <v>774019</v>
      </c>
      <c r="Q23" s="2386">
        <v>782108</v>
      </c>
      <c r="R23" s="2386">
        <v>789756</v>
      </c>
      <c r="S23" s="2386">
        <v>813240</v>
      </c>
      <c r="T23" s="2386">
        <v>803589</v>
      </c>
      <c r="U23" s="2386">
        <v>818533</v>
      </c>
      <c r="V23" s="2386">
        <v>821349.71536510007</v>
      </c>
      <c r="W23" s="2386">
        <v>846994.67114520003</v>
      </c>
      <c r="X23" s="2386">
        <v>868947.86868489999</v>
      </c>
      <c r="Y23" s="2386">
        <v>891119.84874769987</v>
      </c>
      <c r="Z23" s="2972"/>
    </row>
    <row r="24" spans="1:135" x14ac:dyDescent="0.25">
      <c r="A24" s="58"/>
      <c r="B24" s="2918"/>
      <c r="C24" s="2961"/>
      <c r="D24" s="2947" t="s">
        <v>278</v>
      </c>
      <c r="E24" s="2962"/>
      <c r="F24" s="2386">
        <v>2744403</v>
      </c>
      <c r="G24" s="2386">
        <v>2848782</v>
      </c>
      <c r="H24" s="2386">
        <v>2940792</v>
      </c>
      <c r="I24" s="2386">
        <v>3027280</v>
      </c>
      <c r="J24" s="2386">
        <v>3136953</v>
      </c>
      <c r="K24" s="2386">
        <v>3212724</v>
      </c>
      <c r="L24" s="2386">
        <v>3316887</v>
      </c>
      <c r="M24" s="2386">
        <v>3468516</v>
      </c>
      <c r="N24" s="2386">
        <v>3565400</v>
      </c>
      <c r="O24" s="2386">
        <v>3723644</v>
      </c>
      <c r="P24" s="2386">
        <v>3829016</v>
      </c>
      <c r="Q24" s="2386">
        <v>3906542</v>
      </c>
      <c r="R24" s="2386">
        <v>4072595</v>
      </c>
      <c r="S24" s="2386">
        <v>4275213</v>
      </c>
      <c r="T24" s="2386">
        <v>4430437</v>
      </c>
      <c r="U24" s="2386">
        <v>4570355</v>
      </c>
      <c r="V24" s="2386">
        <v>4743673.6232808996</v>
      </c>
      <c r="W24" s="2386">
        <v>4952046.6335033001</v>
      </c>
      <c r="X24" s="2386">
        <v>5068592.1098915003</v>
      </c>
      <c r="Y24" s="2386">
        <v>5300465.6128379004</v>
      </c>
      <c r="Z24" s="2972"/>
    </row>
    <row r="25" spans="1:135" x14ac:dyDescent="0.25">
      <c r="A25" s="58"/>
      <c r="B25" s="2918"/>
      <c r="C25" s="2961"/>
      <c r="D25" s="2947" t="s">
        <v>641</v>
      </c>
      <c r="E25" s="2962"/>
      <c r="F25" s="2386">
        <v>1560299</v>
      </c>
      <c r="G25" s="2386">
        <v>1644121</v>
      </c>
      <c r="H25" s="2386">
        <v>1695349</v>
      </c>
      <c r="I25" s="2386">
        <v>1771176</v>
      </c>
      <c r="J25" s="2386">
        <v>1789935</v>
      </c>
      <c r="K25" s="2386">
        <v>1867507</v>
      </c>
      <c r="L25" s="2386">
        <v>1874496</v>
      </c>
      <c r="M25" s="2386">
        <v>1961709</v>
      </c>
      <c r="N25" s="2386">
        <v>2004031</v>
      </c>
      <c r="O25" s="2386">
        <v>2049044</v>
      </c>
      <c r="P25" s="2386">
        <v>2189769</v>
      </c>
      <c r="Q25" s="2386">
        <v>2214578</v>
      </c>
      <c r="R25" s="2386">
        <v>2277190</v>
      </c>
      <c r="S25" s="2386">
        <v>2288083</v>
      </c>
      <c r="T25" s="2386">
        <v>2317659</v>
      </c>
      <c r="U25" s="2386">
        <v>2389818</v>
      </c>
      <c r="V25" s="2386">
        <v>2516178.5594958002</v>
      </c>
      <c r="W25" s="2386">
        <v>2549793.9606989003</v>
      </c>
      <c r="X25" s="2386">
        <v>2629828.9285255</v>
      </c>
      <c r="Y25" s="2386">
        <v>2706504.9717929</v>
      </c>
      <c r="Z25" s="2972"/>
    </row>
    <row r="26" spans="1:135" x14ac:dyDescent="0.25">
      <c r="A26" s="58"/>
      <c r="B26" s="2918"/>
      <c r="C26" s="2961"/>
      <c r="D26" s="2947" t="s">
        <v>280</v>
      </c>
      <c r="E26" s="2962"/>
      <c r="F26" s="2386">
        <v>827373</v>
      </c>
      <c r="G26" s="2386">
        <v>902990</v>
      </c>
      <c r="H26" s="2386">
        <v>877090</v>
      </c>
      <c r="I26" s="2386">
        <v>917448</v>
      </c>
      <c r="J26" s="2386">
        <v>966829</v>
      </c>
      <c r="K26" s="2386">
        <v>1020064</v>
      </c>
      <c r="L26" s="2386">
        <v>1029281</v>
      </c>
      <c r="M26" s="2386">
        <v>1029535</v>
      </c>
      <c r="N26" s="2386">
        <v>1090195</v>
      </c>
      <c r="O26" s="2386">
        <v>1097225</v>
      </c>
      <c r="P26" s="2386">
        <v>1086612</v>
      </c>
      <c r="Q26" s="2386">
        <v>1076715</v>
      </c>
      <c r="R26" s="2386">
        <v>1133186</v>
      </c>
      <c r="S26" s="2386">
        <v>1149513</v>
      </c>
      <c r="T26" s="2386">
        <v>1122673</v>
      </c>
      <c r="U26" s="2386">
        <v>1147798</v>
      </c>
      <c r="V26" s="2386">
        <v>1169312.0820207</v>
      </c>
      <c r="W26" s="2386">
        <v>1135008.6039605001</v>
      </c>
      <c r="X26" s="2386">
        <v>1170554.6477901</v>
      </c>
      <c r="Y26" s="2386">
        <v>1169323.1521707999</v>
      </c>
      <c r="Z26" s="2972"/>
    </row>
    <row r="27" spans="1:135" x14ac:dyDescent="0.25">
      <c r="A27" s="58"/>
      <c r="B27" s="2918"/>
      <c r="C27" s="2961"/>
      <c r="D27" s="2947" t="s">
        <v>281</v>
      </c>
      <c r="E27" s="2962"/>
      <c r="F27" s="2386">
        <v>725465</v>
      </c>
      <c r="G27" s="2386">
        <v>755318</v>
      </c>
      <c r="H27" s="2386">
        <v>749555</v>
      </c>
      <c r="I27" s="2386">
        <v>787001</v>
      </c>
      <c r="J27" s="2386">
        <v>801867</v>
      </c>
      <c r="K27" s="2386">
        <v>820783</v>
      </c>
      <c r="L27" s="2386">
        <v>844039</v>
      </c>
      <c r="M27" s="2386">
        <v>859986</v>
      </c>
      <c r="N27" s="2386">
        <v>892441</v>
      </c>
      <c r="O27" s="2386">
        <v>913254</v>
      </c>
      <c r="P27" s="2386">
        <v>940881</v>
      </c>
      <c r="Q27" s="2386">
        <v>959640</v>
      </c>
      <c r="R27" s="2386">
        <v>991538</v>
      </c>
      <c r="S27" s="2386">
        <v>1002649</v>
      </c>
      <c r="T27" s="2386">
        <v>1031570</v>
      </c>
      <c r="U27" s="2386">
        <v>1066302</v>
      </c>
      <c r="V27" s="2386">
        <v>1114842.0911429999</v>
      </c>
      <c r="W27" s="2386">
        <v>1134921.2932088</v>
      </c>
      <c r="X27" s="2386">
        <v>1189191.2399486999</v>
      </c>
      <c r="Y27" s="2386">
        <v>1205431.5643301997</v>
      </c>
      <c r="Z27" s="2972"/>
    </row>
    <row r="28" spans="1:135" x14ac:dyDescent="0.25">
      <c r="A28" s="58"/>
      <c r="B28" s="2918"/>
      <c r="C28" s="2961"/>
      <c r="D28" s="2947" t="s">
        <v>282</v>
      </c>
      <c r="E28" s="2962"/>
      <c r="F28" s="2386">
        <v>656601</v>
      </c>
      <c r="G28" s="2386">
        <v>712816</v>
      </c>
      <c r="H28" s="2386">
        <v>717885</v>
      </c>
      <c r="I28" s="2386">
        <v>727178</v>
      </c>
      <c r="J28" s="2386">
        <v>778872</v>
      </c>
      <c r="K28" s="2386">
        <v>790575</v>
      </c>
      <c r="L28" s="2386">
        <v>814652</v>
      </c>
      <c r="M28" s="2386">
        <v>817468</v>
      </c>
      <c r="N28" s="2386">
        <v>869502</v>
      </c>
      <c r="O28" s="2386">
        <v>894524</v>
      </c>
      <c r="P28" s="2386">
        <v>919712</v>
      </c>
      <c r="Q28" s="2386">
        <v>916682</v>
      </c>
      <c r="R28" s="2386">
        <v>930747</v>
      </c>
      <c r="S28" s="2386">
        <v>946465</v>
      </c>
      <c r="T28" s="2386">
        <v>984532</v>
      </c>
      <c r="U28" s="2386">
        <v>1005885</v>
      </c>
      <c r="V28" s="2386">
        <v>1030208.0100379002</v>
      </c>
      <c r="W28" s="2386">
        <v>1024622.0839117999</v>
      </c>
      <c r="X28" s="2386">
        <v>1106081.7753218</v>
      </c>
      <c r="Y28" s="2386">
        <v>1090718.0744905001</v>
      </c>
      <c r="Z28" s="2972"/>
    </row>
    <row r="29" spans="1:135" x14ac:dyDescent="0.25">
      <c r="A29" s="58"/>
      <c r="B29" s="2918"/>
      <c r="C29" s="2961"/>
      <c r="D29" s="2947" t="s">
        <v>860</v>
      </c>
      <c r="E29" s="2962"/>
      <c r="F29" s="2386">
        <v>228770</v>
      </c>
      <c r="G29" s="2386">
        <v>241836</v>
      </c>
      <c r="H29" s="2386">
        <v>239262</v>
      </c>
      <c r="I29" s="2386">
        <v>249524</v>
      </c>
      <c r="J29" s="2386">
        <v>254063</v>
      </c>
      <c r="K29" s="2386">
        <v>257425</v>
      </c>
      <c r="L29" s="2386">
        <v>251300</v>
      </c>
      <c r="M29" s="2386">
        <v>270566</v>
      </c>
      <c r="N29" s="2386">
        <v>270335</v>
      </c>
      <c r="O29" s="2386">
        <v>281546</v>
      </c>
      <c r="P29" s="2386">
        <v>286022</v>
      </c>
      <c r="Q29" s="2386">
        <v>294221</v>
      </c>
      <c r="R29" s="2386">
        <v>298921</v>
      </c>
      <c r="S29" s="2386">
        <v>306699</v>
      </c>
      <c r="T29" s="2386">
        <v>312351</v>
      </c>
      <c r="U29" s="2386">
        <v>319936</v>
      </c>
      <c r="V29" s="2386">
        <v>325442.8374895</v>
      </c>
      <c r="W29" s="2386">
        <v>328884.64629790001</v>
      </c>
      <c r="X29" s="2386">
        <v>325112.64321920002</v>
      </c>
      <c r="Y29" s="2386">
        <v>329821.51597070001</v>
      </c>
      <c r="Z29" s="2972"/>
    </row>
    <row r="30" spans="1:135" x14ac:dyDescent="0.25">
      <c r="A30" s="58"/>
      <c r="B30" s="2918"/>
      <c r="C30" s="2961"/>
      <c r="D30" s="2947" t="s">
        <v>861</v>
      </c>
      <c r="E30" s="2962"/>
      <c r="F30" s="2386">
        <v>1202920</v>
      </c>
      <c r="G30" s="2386">
        <v>1237044</v>
      </c>
      <c r="H30" s="2386">
        <v>1276154</v>
      </c>
      <c r="I30" s="2386">
        <v>1303491</v>
      </c>
      <c r="J30" s="2386">
        <v>1352546</v>
      </c>
      <c r="K30" s="2386">
        <v>1367002</v>
      </c>
      <c r="L30" s="2386">
        <v>1412239</v>
      </c>
      <c r="M30" s="2386">
        <v>1462166</v>
      </c>
      <c r="N30" s="2386">
        <v>1488667</v>
      </c>
      <c r="O30" s="2386">
        <v>1539887</v>
      </c>
      <c r="P30" s="2386">
        <v>1568180</v>
      </c>
      <c r="Q30" s="2386">
        <v>1604501</v>
      </c>
      <c r="R30" s="2386">
        <v>1651225</v>
      </c>
      <c r="S30" s="2386">
        <v>1705370</v>
      </c>
      <c r="T30" s="2386">
        <v>1747053</v>
      </c>
      <c r="U30" s="2386">
        <v>1799858</v>
      </c>
      <c r="V30" s="2386">
        <v>1852299.1809739002</v>
      </c>
      <c r="W30" s="2386">
        <v>1903944.8521006</v>
      </c>
      <c r="X30" s="2386">
        <v>1933095.7506802999</v>
      </c>
      <c r="Y30" s="2386">
        <v>2008170.4389204001</v>
      </c>
      <c r="Z30" s="2972"/>
    </row>
    <row r="31" spans="1:135" s="2966" customFormat="1" x14ac:dyDescent="0.25">
      <c r="A31" s="58"/>
      <c r="B31" s="2963"/>
      <c r="C31" s="2963"/>
      <c r="D31" s="3670" t="s">
        <v>103</v>
      </c>
      <c r="E31" s="3669"/>
      <c r="F31" s="3713">
        <v>9440342</v>
      </c>
      <c r="G31" s="3713">
        <v>9916459</v>
      </c>
      <c r="H31" s="3713">
        <v>10130751</v>
      </c>
      <c r="I31" s="3713">
        <v>10528949</v>
      </c>
      <c r="J31" s="3713">
        <v>10867028</v>
      </c>
      <c r="K31" s="3713">
        <v>11199235</v>
      </c>
      <c r="L31" s="3713">
        <v>11373350</v>
      </c>
      <c r="M31" s="3713">
        <v>11764378</v>
      </c>
      <c r="N31" s="3713">
        <v>12107470</v>
      </c>
      <c r="O31" s="3713">
        <v>12456665</v>
      </c>
      <c r="P31" s="3713">
        <v>12858807</v>
      </c>
      <c r="Q31" s="3713">
        <v>13054895</v>
      </c>
      <c r="R31" s="3713">
        <v>13423898</v>
      </c>
      <c r="S31" s="3713">
        <v>13722925</v>
      </c>
      <c r="T31" s="3713">
        <v>14009226</v>
      </c>
      <c r="U31" s="3713">
        <v>14355396</v>
      </c>
      <c r="V31" s="3713">
        <v>14838209.8079565</v>
      </c>
      <c r="W31" s="3713">
        <v>15134384.371621201</v>
      </c>
      <c r="X31" s="3713">
        <v>15524061.249603</v>
      </c>
      <c r="Y31" s="3713">
        <v>15926011.591931801</v>
      </c>
      <c r="Z31" s="2972"/>
      <c r="AA31" s="2964"/>
      <c r="AB31" s="2964"/>
      <c r="AC31" s="2964"/>
      <c r="AD31" s="2964"/>
      <c r="AE31" s="2964"/>
      <c r="AF31" s="2964"/>
      <c r="AG31" s="2964"/>
      <c r="AH31" s="2964"/>
      <c r="AI31" s="2964"/>
      <c r="AJ31" s="2964"/>
      <c r="AK31" s="2964"/>
      <c r="AL31" s="2964"/>
      <c r="AM31" s="2964"/>
      <c r="AN31" s="2964"/>
      <c r="AO31" s="2964"/>
      <c r="AP31" s="2964"/>
      <c r="AQ31" s="2964"/>
      <c r="AR31" s="2964"/>
      <c r="AS31" s="2964"/>
      <c r="AT31" s="2964"/>
      <c r="AU31" s="2964"/>
      <c r="AV31" s="2964"/>
      <c r="AW31" s="2964"/>
      <c r="AX31" s="2964"/>
      <c r="AY31" s="2964"/>
      <c r="AZ31" s="2964"/>
      <c r="BA31" s="2964"/>
      <c r="BB31" s="2964"/>
      <c r="BC31" s="2964"/>
      <c r="BD31" s="2964"/>
      <c r="BE31" s="2964"/>
      <c r="BF31" s="2964"/>
      <c r="BG31" s="2964"/>
      <c r="BH31" s="2964"/>
      <c r="BI31" s="2964"/>
      <c r="BJ31" s="2964"/>
      <c r="BK31" s="2964"/>
      <c r="BL31" s="2964"/>
      <c r="BM31" s="2964"/>
      <c r="BN31" s="2964"/>
      <c r="BO31" s="2964"/>
      <c r="BP31" s="2964"/>
      <c r="BQ31" s="2964"/>
      <c r="BR31" s="2964"/>
      <c r="BS31" s="2964"/>
      <c r="BT31" s="2964"/>
      <c r="BU31" s="2964"/>
      <c r="BV31" s="2964"/>
      <c r="BW31" s="2964"/>
      <c r="BX31" s="2964"/>
      <c r="BY31" s="2964"/>
      <c r="BZ31" s="2964"/>
      <c r="CA31" s="2964"/>
      <c r="CB31" s="2964"/>
      <c r="CC31" s="2964"/>
      <c r="CD31" s="2964"/>
      <c r="CE31" s="2964"/>
      <c r="CF31" s="2964"/>
      <c r="CG31" s="2964"/>
      <c r="CH31" s="2964"/>
      <c r="CI31" s="2964"/>
      <c r="CJ31" s="2964"/>
      <c r="CK31" s="2964"/>
      <c r="CL31" s="2964"/>
      <c r="CM31" s="2964"/>
      <c r="CN31" s="2964"/>
      <c r="CO31" s="2964"/>
      <c r="CP31" s="2964"/>
      <c r="CQ31" s="2964"/>
      <c r="CR31" s="2964"/>
      <c r="CS31" s="2964"/>
      <c r="CT31" s="2964"/>
      <c r="CU31" s="2964"/>
      <c r="CV31" s="2964"/>
      <c r="CW31" s="2964"/>
      <c r="CX31" s="2964"/>
      <c r="CY31" s="2964"/>
      <c r="CZ31" s="2964"/>
      <c r="DA31" s="2964"/>
      <c r="DB31" s="2964"/>
      <c r="DC31" s="2964"/>
      <c r="DD31" s="2964"/>
      <c r="DE31" s="2964"/>
      <c r="DF31" s="2964"/>
      <c r="DG31" s="2964"/>
      <c r="DH31" s="2964"/>
      <c r="DI31" s="2964"/>
      <c r="DJ31" s="2964"/>
      <c r="DK31" s="2964"/>
      <c r="DL31" s="2964"/>
      <c r="DM31" s="2964"/>
      <c r="DN31" s="2964"/>
      <c r="DO31" s="2964"/>
      <c r="DP31" s="2964"/>
      <c r="DQ31" s="2964"/>
      <c r="DR31" s="2964"/>
      <c r="DS31" s="2964"/>
      <c r="DT31" s="2964"/>
      <c r="DU31" s="2964"/>
      <c r="DV31" s="2964"/>
      <c r="DW31" s="2964"/>
      <c r="DX31" s="2964"/>
      <c r="DY31" s="2964"/>
      <c r="DZ31" s="2964"/>
      <c r="EA31" s="2964"/>
      <c r="EB31" s="2964"/>
      <c r="EC31" s="2964"/>
      <c r="ED31" s="2964"/>
      <c r="EE31" s="2964"/>
    </row>
    <row r="32" spans="1:135" s="2964" customFormat="1" x14ac:dyDescent="0.25">
      <c r="A32" s="58"/>
      <c r="B32" s="2963"/>
      <c r="C32" s="2963"/>
      <c r="D32" s="2967"/>
      <c r="E32" s="1129"/>
      <c r="F32" s="2969"/>
      <c r="G32" s="2969"/>
      <c r="H32" s="2968"/>
      <c r="I32" s="1129"/>
      <c r="J32" s="1129"/>
      <c r="K32" s="2969"/>
      <c r="L32" s="1129"/>
      <c r="M32" s="2969"/>
      <c r="N32" s="1129"/>
      <c r="O32" s="1129"/>
      <c r="P32" s="2969"/>
      <c r="Q32" s="1129"/>
      <c r="R32" s="2968"/>
      <c r="S32" s="1129"/>
      <c r="T32" s="1129"/>
      <c r="U32" s="2969"/>
      <c r="V32" s="1129"/>
      <c r="W32" s="2968"/>
      <c r="X32" s="2968"/>
      <c r="Y32" s="2973"/>
      <c r="Z32" s="1129"/>
      <c r="AA32" s="1129"/>
      <c r="AB32" s="1129"/>
      <c r="AC32" s="2968"/>
      <c r="AD32" s="1129"/>
      <c r="AE32" s="1129"/>
      <c r="AF32" s="1129"/>
      <c r="AG32" s="1129"/>
      <c r="AH32" s="2968"/>
      <c r="AI32" s="1129"/>
      <c r="AJ32" s="1129"/>
      <c r="AK32" s="1129"/>
      <c r="AL32" s="1129"/>
      <c r="AM32" s="2968"/>
      <c r="AN32" s="1129"/>
      <c r="AO32" s="1129"/>
      <c r="AP32" s="1129"/>
      <c r="AQ32" s="1129"/>
      <c r="AR32" s="2968"/>
      <c r="AS32" s="2968"/>
      <c r="AT32" s="1129"/>
      <c r="AU32" s="1129"/>
      <c r="AV32" s="1129"/>
      <c r="AW32" s="2968"/>
      <c r="AX32" s="2968"/>
      <c r="AY32" s="1129"/>
      <c r="AZ32" s="1892"/>
      <c r="BA32" s="1892"/>
      <c r="BB32" s="2968"/>
      <c r="BC32" s="2970"/>
      <c r="BD32" s="1892"/>
      <c r="BE32" s="1892"/>
      <c r="BF32" s="1892"/>
      <c r="BG32" s="2970"/>
      <c r="BH32" s="2970"/>
      <c r="BI32" s="1892"/>
      <c r="BJ32" s="1892"/>
      <c r="BK32" s="1892"/>
      <c r="BL32" s="2970"/>
      <c r="BM32" s="2970"/>
    </row>
    <row r="33" spans="1:65" s="2964" customFormat="1" x14ac:dyDescent="0.25">
      <c r="A33" s="58"/>
      <c r="B33" s="2963"/>
      <c r="C33" s="2963"/>
      <c r="D33" s="71" t="s">
        <v>864</v>
      </c>
      <c r="E33" s="1129"/>
      <c r="F33" s="2969"/>
      <c r="G33" s="2969"/>
      <c r="H33" s="2968"/>
      <c r="I33" s="1129"/>
      <c r="J33" s="1129"/>
      <c r="K33" s="2969"/>
      <c r="L33" s="1129"/>
      <c r="M33" s="2969"/>
      <c r="N33" s="1129"/>
      <c r="O33" s="1129"/>
      <c r="P33" s="2969"/>
      <c r="Q33" s="1129"/>
      <c r="R33" s="2968"/>
      <c r="S33" s="1129"/>
      <c r="T33" s="1129"/>
      <c r="U33" s="2969"/>
      <c r="V33" s="1129"/>
      <c r="W33" s="2968"/>
      <c r="X33" s="2968"/>
      <c r="Y33" s="1129"/>
      <c r="Z33" s="1129"/>
      <c r="AA33" s="1129"/>
      <c r="AB33" s="1129"/>
      <c r="AC33" s="2968"/>
      <c r="AD33" s="1129"/>
      <c r="AE33" s="1129"/>
      <c r="AF33" s="1129"/>
      <c r="AG33" s="1129"/>
      <c r="AH33" s="2968"/>
      <c r="AI33" s="1129"/>
      <c r="AJ33" s="1129"/>
      <c r="AK33" s="1129"/>
      <c r="AL33" s="1129"/>
      <c r="AM33" s="2968"/>
      <c r="AN33" s="1129"/>
      <c r="AO33" s="1129"/>
      <c r="AP33" s="1129"/>
      <c r="AQ33" s="1129"/>
      <c r="AR33" s="2968"/>
      <c r="AS33" s="2968"/>
      <c r="AT33" s="1129"/>
      <c r="AU33" s="1129"/>
      <c r="AV33" s="1129"/>
      <c r="AW33" s="2968"/>
      <c r="AX33" s="2968"/>
      <c r="AY33" s="1129"/>
      <c r="AZ33" s="1892"/>
      <c r="BA33" s="1892"/>
      <c r="BB33" s="2968"/>
      <c r="BC33" s="2970"/>
      <c r="BD33" s="1892"/>
      <c r="BE33" s="1892"/>
      <c r="BF33" s="1892"/>
      <c r="BG33" s="2970"/>
      <c r="BH33" s="2970"/>
      <c r="BI33" s="1892"/>
      <c r="BJ33" s="1892"/>
      <c r="BK33" s="1892"/>
      <c r="BL33" s="2970"/>
      <c r="BM33" s="2970"/>
    </row>
    <row r="34" spans="1:65" s="2964" customFormat="1" x14ac:dyDescent="0.25">
      <c r="A34" s="58"/>
      <c r="B34" s="2963"/>
      <c r="C34" s="2963"/>
      <c r="D34" s="2967"/>
      <c r="E34" s="1129"/>
      <c r="F34" s="2969"/>
      <c r="G34" s="2969"/>
      <c r="H34" s="2968"/>
      <c r="I34" s="1129"/>
      <c r="J34" s="1129"/>
      <c r="K34" s="2969"/>
      <c r="L34" s="1129"/>
      <c r="M34" s="2969"/>
      <c r="N34" s="1129"/>
      <c r="O34" s="1129"/>
      <c r="P34" s="2969"/>
      <c r="Q34" s="1129"/>
      <c r="R34" s="2968"/>
      <c r="S34" s="1129"/>
      <c r="T34" s="1129"/>
      <c r="U34" s="2969"/>
      <c r="V34" s="1129"/>
      <c r="W34" s="2968"/>
      <c r="X34" s="2968"/>
      <c r="Y34" s="1129"/>
      <c r="Z34" s="1129"/>
      <c r="AA34" s="1129"/>
      <c r="AB34" s="1129"/>
      <c r="AC34" s="2968"/>
      <c r="AD34" s="1129"/>
      <c r="AE34" s="1129"/>
      <c r="AF34" s="1129"/>
      <c r="AG34" s="1129"/>
      <c r="AH34" s="2968"/>
      <c r="AI34" s="1129"/>
      <c r="AJ34" s="1129"/>
      <c r="AK34" s="1129"/>
      <c r="AL34" s="1129"/>
      <c r="AM34" s="2968"/>
      <c r="AN34" s="1129"/>
      <c r="AO34" s="1129"/>
      <c r="AP34" s="1129"/>
      <c r="AQ34" s="1129"/>
      <c r="AR34" s="2968"/>
      <c r="AS34" s="2968"/>
      <c r="AT34" s="1129"/>
      <c r="AU34" s="1129"/>
      <c r="AV34" s="1129"/>
      <c r="AW34" s="2968"/>
      <c r="AX34" s="2968"/>
      <c r="AY34" s="1129"/>
      <c r="AZ34" s="1892"/>
      <c r="BA34" s="1892"/>
      <c r="BB34" s="2968"/>
      <c r="BC34" s="2970"/>
      <c r="BD34" s="1892"/>
      <c r="BE34" s="1892"/>
      <c r="BF34" s="1892"/>
      <c r="BG34" s="2970"/>
      <c r="BH34" s="2970"/>
      <c r="BI34" s="1892"/>
      <c r="BJ34" s="1892"/>
      <c r="BK34" s="1892"/>
      <c r="BL34" s="2970"/>
      <c r="BM34" s="2970"/>
    </row>
    <row r="35" spans="1:65" s="2964" customFormat="1" x14ac:dyDescent="0.25">
      <c r="A35" s="58"/>
      <c r="B35" s="2963"/>
      <c r="C35" s="2963"/>
      <c r="D35" s="2967"/>
      <c r="E35" s="1129"/>
      <c r="F35" s="2969"/>
      <c r="G35" s="2969"/>
      <c r="H35" s="2968"/>
      <c r="I35" s="1129"/>
      <c r="J35" s="1129"/>
      <c r="K35" s="2969"/>
      <c r="L35" s="1129"/>
      <c r="M35" s="2969"/>
      <c r="N35" s="1129"/>
      <c r="O35" s="1129"/>
      <c r="P35" s="2969"/>
      <c r="Q35" s="1129"/>
      <c r="R35" s="2968"/>
      <c r="S35" s="1129"/>
      <c r="T35" s="1129"/>
      <c r="U35" s="2969"/>
      <c r="V35" s="1129"/>
      <c r="W35" s="2968"/>
      <c r="X35" s="2968"/>
      <c r="Y35" s="1129"/>
      <c r="Z35" s="1129"/>
      <c r="AA35" s="1129"/>
      <c r="AB35" s="1129"/>
      <c r="AC35" s="2968"/>
      <c r="AD35" s="1129"/>
      <c r="AE35" s="1129"/>
      <c r="AF35" s="1129"/>
      <c r="AG35" s="1129"/>
      <c r="AH35" s="2968"/>
      <c r="AI35" s="1129"/>
      <c r="AJ35" s="1129"/>
      <c r="AK35" s="1129"/>
      <c r="AL35" s="1129"/>
      <c r="AM35" s="2968"/>
      <c r="AN35" s="1129"/>
      <c r="AO35" s="1129"/>
      <c r="AP35" s="1129"/>
      <c r="AQ35" s="1129"/>
      <c r="AR35" s="2968"/>
      <c r="AS35" s="2968"/>
      <c r="AT35" s="1129"/>
      <c r="AU35" s="1129"/>
      <c r="AV35" s="1129"/>
      <c r="AW35" s="2968"/>
      <c r="AX35" s="2968"/>
      <c r="AY35" s="1129"/>
      <c r="AZ35" s="1892"/>
      <c r="BA35" s="1892"/>
      <c r="BB35" s="2968"/>
      <c r="BC35" s="2970"/>
      <c r="BD35" s="1892"/>
      <c r="BE35" s="1892"/>
      <c r="BF35" s="1892"/>
      <c r="BG35" s="2970"/>
      <c r="BH35" s="2970"/>
      <c r="BI35" s="1892"/>
      <c r="BJ35" s="1892"/>
      <c r="BK35" s="1892"/>
      <c r="BL35" s="2970"/>
      <c r="BM35" s="2970"/>
    </row>
    <row r="36" spans="1:65" s="2964" customFormat="1" x14ac:dyDescent="0.25">
      <c r="A36" s="58"/>
      <c r="B36" s="2963"/>
      <c r="C36" s="2963"/>
      <c r="D36" s="2967"/>
      <c r="E36" s="1129"/>
      <c r="F36" s="2969"/>
      <c r="G36" s="2969"/>
      <c r="H36" s="2968"/>
      <c r="I36" s="1129"/>
      <c r="J36" s="1129"/>
      <c r="K36" s="2969"/>
      <c r="L36" s="1129"/>
      <c r="M36" s="2969"/>
      <c r="N36" s="1129"/>
      <c r="O36" s="1129"/>
      <c r="P36" s="2969"/>
      <c r="Q36" s="1129"/>
      <c r="R36" s="2968"/>
      <c r="S36" s="1129"/>
      <c r="T36" s="1129"/>
      <c r="U36" s="2969"/>
      <c r="V36" s="1129"/>
      <c r="W36" s="2968"/>
      <c r="X36" s="2968"/>
      <c r="Y36" s="1129"/>
      <c r="Z36" s="1129"/>
      <c r="AA36" s="1129"/>
      <c r="AB36" s="1129"/>
      <c r="AC36" s="2968"/>
      <c r="AD36" s="1129"/>
      <c r="AE36" s="1129"/>
      <c r="AF36" s="1129"/>
      <c r="AG36" s="1129"/>
      <c r="AH36" s="2968"/>
      <c r="AI36" s="1129"/>
      <c r="AJ36" s="1129"/>
      <c r="AK36" s="1129"/>
      <c r="AL36" s="1129"/>
      <c r="AM36" s="2968"/>
      <c r="AN36" s="1129"/>
      <c r="AO36" s="1129"/>
      <c r="AP36" s="1129"/>
      <c r="AQ36" s="1129"/>
      <c r="AR36" s="2968"/>
      <c r="AS36" s="2968"/>
      <c r="AT36" s="1129"/>
      <c r="AU36" s="1129"/>
      <c r="AV36" s="1129"/>
      <c r="AW36" s="2968"/>
      <c r="AX36" s="2968"/>
      <c r="AY36" s="1129"/>
      <c r="AZ36" s="1892"/>
      <c r="BA36" s="1892"/>
      <c r="BB36" s="2968"/>
      <c r="BC36" s="2970"/>
      <c r="BD36" s="1892"/>
      <c r="BE36" s="1892"/>
      <c r="BF36" s="1892"/>
      <c r="BG36" s="2970"/>
      <c r="BH36" s="2970"/>
      <c r="BI36" s="1892"/>
      <c r="BJ36" s="1892"/>
      <c r="BK36" s="1892"/>
      <c r="BL36" s="2970"/>
      <c r="BM36" s="2970"/>
    </row>
    <row r="37" spans="1:65" s="2964" customFormat="1" x14ac:dyDescent="0.25">
      <c r="A37" s="58"/>
      <c r="B37" s="2963"/>
      <c r="C37" s="2963"/>
      <c r="D37" s="2967"/>
      <c r="E37" s="1129"/>
      <c r="F37" s="2969"/>
      <c r="G37" s="2969"/>
      <c r="H37" s="2968"/>
      <c r="I37" s="1129"/>
      <c r="J37" s="1129"/>
      <c r="K37" s="2969"/>
      <c r="L37" s="1129"/>
      <c r="M37" s="2969"/>
      <c r="N37" s="1129"/>
      <c r="O37" s="1129"/>
      <c r="P37" s="2969"/>
      <c r="Q37" s="1129"/>
      <c r="R37" s="2968"/>
      <c r="S37" s="1129"/>
      <c r="T37" s="1129"/>
      <c r="U37" s="2969"/>
      <c r="V37" s="1129"/>
      <c r="W37" s="2968"/>
      <c r="X37" s="2968"/>
      <c r="Y37" s="1129"/>
      <c r="Z37" s="1129"/>
      <c r="AA37" s="1129"/>
      <c r="AB37" s="1129"/>
      <c r="AC37" s="2968"/>
      <c r="AD37" s="1129"/>
      <c r="AE37" s="1129"/>
      <c r="AF37" s="1129"/>
      <c r="AG37" s="1129"/>
      <c r="AH37" s="2968"/>
      <c r="AI37" s="1129"/>
      <c r="AJ37" s="1129"/>
      <c r="AK37" s="1129"/>
      <c r="AL37" s="1129"/>
      <c r="AM37" s="2968"/>
      <c r="AN37" s="1129"/>
      <c r="AO37" s="1129"/>
      <c r="AP37" s="1129"/>
      <c r="AQ37" s="1129"/>
      <c r="AR37" s="2968"/>
      <c r="AS37" s="2968"/>
      <c r="AT37" s="1129"/>
      <c r="AU37" s="1129"/>
      <c r="AV37" s="1129"/>
      <c r="AW37" s="2968"/>
      <c r="AX37" s="2968"/>
      <c r="AY37" s="1129"/>
      <c r="AZ37" s="1892"/>
      <c r="BA37" s="1892"/>
      <c r="BB37" s="2968"/>
      <c r="BC37" s="2970"/>
      <c r="BD37" s="1892"/>
      <c r="BE37" s="1892"/>
      <c r="BF37" s="1892"/>
      <c r="BG37" s="2970"/>
      <c r="BH37" s="2970"/>
      <c r="BI37" s="1892"/>
      <c r="BJ37" s="1892"/>
      <c r="BK37" s="1892"/>
      <c r="BL37" s="2970"/>
      <c r="BM37" s="2970"/>
    </row>
    <row r="38" spans="1:65" s="2964" customFormat="1" x14ac:dyDescent="0.25">
      <c r="A38" s="58"/>
      <c r="B38" s="2963"/>
      <c r="C38" s="2963"/>
      <c r="D38" s="2967"/>
      <c r="E38" s="1129"/>
      <c r="F38" s="2969"/>
      <c r="G38" s="2969"/>
      <c r="H38" s="2968"/>
      <c r="I38" s="1129"/>
      <c r="J38" s="1129"/>
      <c r="K38" s="2969"/>
      <c r="L38" s="1129"/>
      <c r="M38" s="2969"/>
      <c r="N38" s="1129"/>
      <c r="O38" s="1129"/>
      <c r="P38" s="2969"/>
      <c r="Q38" s="1129"/>
      <c r="R38" s="2968"/>
      <c r="S38" s="1129"/>
      <c r="T38" s="1129"/>
      <c r="U38" s="2969"/>
      <c r="V38" s="1129"/>
      <c r="W38" s="2968"/>
      <c r="X38" s="2968"/>
      <c r="Y38" s="1129"/>
      <c r="Z38" s="1129"/>
      <c r="AA38" s="1129"/>
      <c r="AB38" s="1129"/>
      <c r="AC38" s="2968"/>
      <c r="AD38" s="1129"/>
      <c r="AE38" s="1129"/>
      <c r="AF38" s="1129"/>
      <c r="AG38" s="1129"/>
      <c r="AH38" s="2968"/>
      <c r="AI38" s="1129"/>
      <c r="AJ38" s="1129"/>
      <c r="AK38" s="1129"/>
      <c r="AL38" s="1129"/>
      <c r="AM38" s="2968"/>
      <c r="AN38" s="1129"/>
      <c r="AO38" s="1129"/>
      <c r="AP38" s="1129"/>
      <c r="AQ38" s="1129"/>
      <c r="AR38" s="2968"/>
      <c r="AS38" s="2968"/>
      <c r="AT38" s="1129"/>
      <c r="AU38" s="1129"/>
      <c r="AV38" s="1129"/>
      <c r="AW38" s="2968"/>
      <c r="AX38" s="2968"/>
      <c r="AY38" s="1129"/>
      <c r="AZ38" s="1892"/>
      <c r="BA38" s="1892"/>
      <c r="BB38" s="2968"/>
      <c r="BC38" s="2970"/>
      <c r="BD38" s="1892"/>
      <c r="BE38" s="1892"/>
      <c r="BF38" s="1892"/>
      <c r="BG38" s="2970"/>
      <c r="BH38" s="2970"/>
      <c r="BI38" s="1892"/>
      <c r="BJ38" s="1892"/>
      <c r="BK38" s="1892"/>
      <c r="BL38" s="2970"/>
      <c r="BM38" s="2970"/>
    </row>
    <row r="39" spans="1:65" s="2964" customFormat="1" x14ac:dyDescent="0.25">
      <c r="A39" s="58"/>
      <c r="B39" s="2963"/>
      <c r="C39" s="2963"/>
      <c r="D39" s="2967"/>
      <c r="E39" s="1129"/>
      <c r="F39" s="2969"/>
      <c r="G39" s="2969"/>
      <c r="H39" s="2968"/>
      <c r="I39" s="1129"/>
      <c r="J39" s="1129"/>
      <c r="K39" s="2969"/>
      <c r="L39" s="1129"/>
      <c r="M39" s="2969"/>
      <c r="N39" s="1129"/>
      <c r="O39" s="1129"/>
      <c r="P39" s="2969"/>
      <c r="Q39" s="1129"/>
      <c r="R39" s="2968"/>
      <c r="S39" s="1129"/>
      <c r="T39" s="1129"/>
      <c r="U39" s="2969"/>
      <c r="V39" s="1129"/>
      <c r="W39" s="2968"/>
      <c r="X39" s="2968"/>
      <c r="Y39" s="1129"/>
      <c r="Z39" s="1129"/>
      <c r="AA39" s="1129"/>
      <c r="AB39" s="1129"/>
      <c r="AC39" s="2968"/>
      <c r="AD39" s="1129"/>
      <c r="AE39" s="1129"/>
      <c r="AF39" s="1129"/>
      <c r="AG39" s="1129"/>
      <c r="AH39" s="2968"/>
      <c r="AI39" s="1129"/>
      <c r="AJ39" s="1129"/>
      <c r="AK39" s="1129"/>
      <c r="AL39" s="1129"/>
      <c r="AM39" s="2968"/>
      <c r="AN39" s="1129"/>
      <c r="AO39" s="1129"/>
      <c r="AP39" s="1129"/>
      <c r="AQ39" s="1129"/>
      <c r="AR39" s="2968"/>
      <c r="AS39" s="2968"/>
      <c r="AT39" s="1129"/>
      <c r="AU39" s="1129"/>
      <c r="AV39" s="1129"/>
      <c r="AW39" s="2968"/>
      <c r="AX39" s="2968"/>
      <c r="AY39" s="1129"/>
      <c r="AZ39" s="1892"/>
      <c r="BA39" s="1892"/>
      <c r="BB39" s="2968"/>
      <c r="BC39" s="2970"/>
      <c r="BD39" s="1892"/>
      <c r="BE39" s="1892"/>
      <c r="BF39" s="1892"/>
      <c r="BG39" s="2970"/>
      <c r="BH39" s="2970"/>
      <c r="BI39" s="1892"/>
      <c r="BJ39" s="1892"/>
      <c r="BK39" s="1892"/>
      <c r="BL39" s="2970"/>
      <c r="BM39" s="2970"/>
    </row>
    <row r="40" spans="1:65" s="2964" customFormat="1" x14ac:dyDescent="0.25">
      <c r="A40" s="58"/>
      <c r="B40" s="2963"/>
      <c r="C40" s="2963"/>
      <c r="D40" s="2967"/>
      <c r="E40" s="1129"/>
      <c r="F40" s="2969"/>
      <c r="G40" s="2969"/>
      <c r="H40" s="2968"/>
      <c r="I40" s="1129"/>
      <c r="J40" s="1129"/>
      <c r="K40" s="2969"/>
      <c r="L40" s="1129"/>
      <c r="M40" s="2969"/>
      <c r="N40" s="1129"/>
      <c r="O40" s="1129"/>
      <c r="P40" s="2969"/>
      <c r="Q40" s="1129"/>
      <c r="R40" s="2968"/>
      <c r="S40" s="1129"/>
      <c r="T40" s="1129"/>
      <c r="U40" s="2969"/>
      <c r="V40" s="1129"/>
      <c r="W40" s="2968"/>
      <c r="X40" s="2968"/>
      <c r="Y40" s="1129"/>
      <c r="Z40" s="1129"/>
      <c r="AA40" s="1129"/>
      <c r="AB40" s="1129"/>
      <c r="AC40" s="2968"/>
      <c r="AD40" s="1129"/>
      <c r="AE40" s="1129"/>
      <c r="AF40" s="1129"/>
      <c r="AG40" s="1129"/>
      <c r="AH40" s="2968"/>
      <c r="AI40" s="1129"/>
      <c r="AJ40" s="1129"/>
      <c r="AK40" s="1129"/>
      <c r="AL40" s="1129"/>
      <c r="AM40" s="2968"/>
      <c r="AN40" s="1129"/>
      <c r="AO40" s="1129"/>
      <c r="AP40" s="1129"/>
      <c r="AQ40" s="1129"/>
      <c r="AR40" s="2968"/>
      <c r="AS40" s="2968"/>
      <c r="AT40" s="1129"/>
      <c r="AU40" s="1129"/>
      <c r="AV40" s="1129"/>
      <c r="AW40" s="2968"/>
      <c r="AX40" s="2968"/>
      <c r="AY40" s="1129"/>
      <c r="AZ40" s="1892"/>
      <c r="BA40" s="1892"/>
      <c r="BB40" s="2968"/>
      <c r="BC40" s="2970"/>
      <c r="BD40" s="1892"/>
      <c r="BE40" s="1892"/>
      <c r="BF40" s="1892"/>
      <c r="BG40" s="2970"/>
      <c r="BH40" s="2970"/>
      <c r="BI40" s="1892"/>
      <c r="BJ40" s="1892"/>
      <c r="BK40" s="1892"/>
      <c r="BL40" s="2970"/>
      <c r="BM40" s="2970"/>
    </row>
    <row r="41" spans="1:65" s="2964" customFormat="1" x14ac:dyDescent="0.25">
      <c r="A41" s="58"/>
      <c r="B41" s="2963"/>
      <c r="C41" s="2963"/>
      <c r="D41" s="2967"/>
      <c r="E41" s="1129"/>
      <c r="F41" s="2969"/>
      <c r="G41" s="2969"/>
      <c r="H41" s="2968"/>
      <c r="I41" s="1129"/>
      <c r="J41" s="1129"/>
      <c r="K41" s="2969"/>
      <c r="L41" s="1129"/>
      <c r="M41" s="2969"/>
      <c r="N41" s="1129"/>
      <c r="O41" s="1129"/>
      <c r="P41" s="2969"/>
      <c r="Q41" s="1129"/>
      <c r="R41" s="2968"/>
      <c r="S41" s="1129"/>
      <c r="T41" s="1129"/>
      <c r="U41" s="2969"/>
      <c r="V41" s="1129"/>
      <c r="W41" s="2968"/>
      <c r="X41" s="2968"/>
      <c r="Y41" s="1129"/>
      <c r="Z41" s="1129"/>
      <c r="AA41" s="1129"/>
      <c r="AB41" s="1129"/>
      <c r="AC41" s="2968"/>
      <c r="AD41" s="1129"/>
      <c r="AE41" s="1129"/>
      <c r="AF41" s="1129"/>
      <c r="AG41" s="1129"/>
      <c r="AH41" s="2968"/>
      <c r="AI41" s="1129"/>
      <c r="AJ41" s="1129"/>
      <c r="AK41" s="1129"/>
      <c r="AL41" s="1129"/>
      <c r="AM41" s="2968"/>
      <c r="AN41" s="1129"/>
      <c r="AO41" s="1129"/>
      <c r="AP41" s="1129"/>
      <c r="AQ41" s="1129"/>
      <c r="AR41" s="2968"/>
      <c r="AS41" s="2968"/>
      <c r="AT41" s="1129"/>
      <c r="AU41" s="1129"/>
      <c r="AV41" s="1129"/>
      <c r="AW41" s="2968"/>
      <c r="AX41" s="2968"/>
      <c r="AY41" s="1129"/>
      <c r="AZ41" s="1892"/>
      <c r="BA41" s="1892"/>
      <c r="BB41" s="2968"/>
      <c r="BC41" s="2970"/>
      <c r="BD41" s="1892"/>
      <c r="BE41" s="1892"/>
      <c r="BF41" s="1892"/>
      <c r="BG41" s="2970"/>
      <c r="BH41" s="2970"/>
      <c r="BI41" s="1892"/>
      <c r="BJ41" s="1892"/>
      <c r="BK41" s="1892"/>
      <c r="BL41" s="2970"/>
      <c r="BM41" s="2970"/>
    </row>
    <row r="42" spans="1:65" s="2964" customFormat="1" x14ac:dyDescent="0.25">
      <c r="A42" s="58"/>
      <c r="B42" s="2963"/>
      <c r="C42" s="2963"/>
      <c r="D42" s="2967"/>
      <c r="E42" s="1129"/>
      <c r="F42" s="2969"/>
      <c r="G42" s="2969"/>
      <c r="H42" s="2968"/>
      <c r="I42" s="1129"/>
      <c r="J42" s="1129"/>
      <c r="K42" s="2969"/>
      <c r="L42" s="1129"/>
      <c r="M42" s="2969"/>
      <c r="N42" s="1129"/>
      <c r="O42" s="1129"/>
      <c r="P42" s="2969"/>
      <c r="Q42" s="1129"/>
      <c r="R42" s="2968"/>
      <c r="S42" s="1129"/>
      <c r="T42" s="1129"/>
      <c r="U42" s="2969"/>
      <c r="V42" s="1129"/>
      <c r="W42" s="2968"/>
      <c r="X42" s="2968"/>
      <c r="Y42" s="1129"/>
      <c r="Z42" s="1129"/>
      <c r="AA42" s="1129"/>
      <c r="AB42" s="1129"/>
      <c r="AC42" s="2968"/>
      <c r="AD42" s="1129"/>
      <c r="AE42" s="1129"/>
      <c r="AF42" s="1129"/>
      <c r="AG42" s="1129"/>
      <c r="AH42" s="2968"/>
      <c r="AI42" s="1129"/>
      <c r="AJ42" s="1129"/>
      <c r="AK42" s="1129"/>
      <c r="AL42" s="1129"/>
      <c r="AM42" s="2968"/>
      <c r="AN42" s="1129"/>
      <c r="AO42" s="1129"/>
      <c r="AP42" s="1129"/>
      <c r="AQ42" s="1129"/>
      <c r="AR42" s="2968"/>
      <c r="AS42" s="2968"/>
      <c r="AT42" s="1129"/>
      <c r="AU42" s="1129"/>
      <c r="AV42" s="1129"/>
      <c r="AW42" s="2968"/>
      <c r="AX42" s="2968"/>
      <c r="AY42" s="1129"/>
      <c r="AZ42" s="1892"/>
      <c r="BA42" s="1892"/>
      <c r="BB42" s="2968"/>
      <c r="BC42" s="2970"/>
      <c r="BD42" s="1892"/>
      <c r="BE42" s="1892"/>
      <c r="BF42" s="1892"/>
      <c r="BG42" s="2970"/>
      <c r="BH42" s="2970"/>
      <c r="BI42" s="1892"/>
      <c r="BJ42" s="1892"/>
      <c r="BK42" s="1892"/>
      <c r="BL42" s="2970"/>
      <c r="BM42" s="2970"/>
    </row>
    <row r="43" spans="1:65" s="2964" customFormat="1" x14ac:dyDescent="0.25">
      <c r="A43" s="58"/>
      <c r="B43" s="2963"/>
      <c r="C43" s="2963"/>
      <c r="D43" s="2967"/>
      <c r="E43" s="1129"/>
      <c r="F43" s="2969"/>
      <c r="G43" s="2969"/>
      <c r="H43" s="2968"/>
      <c r="I43" s="1129"/>
      <c r="J43" s="1129"/>
      <c r="K43" s="2969"/>
      <c r="L43" s="1129"/>
      <c r="M43" s="2969"/>
      <c r="N43" s="1129"/>
      <c r="O43" s="1129"/>
      <c r="P43" s="2969"/>
      <c r="Q43" s="1129"/>
      <c r="R43" s="2968"/>
      <c r="S43" s="1129"/>
      <c r="T43" s="1129"/>
      <c r="U43" s="2969"/>
      <c r="V43" s="1129"/>
      <c r="W43" s="2968"/>
      <c r="X43" s="2968"/>
      <c r="Y43" s="1129"/>
      <c r="Z43" s="1129"/>
      <c r="AA43" s="1129"/>
      <c r="AB43" s="1129"/>
      <c r="AC43" s="2968"/>
      <c r="AD43" s="1129"/>
      <c r="AE43" s="1129"/>
      <c r="AF43" s="1129"/>
      <c r="AG43" s="1129"/>
      <c r="AH43" s="2968"/>
      <c r="AI43" s="1129"/>
      <c r="AJ43" s="1129"/>
      <c r="AK43" s="1129"/>
      <c r="AL43" s="1129"/>
      <c r="AM43" s="2968"/>
      <c r="AN43" s="1129"/>
      <c r="AO43" s="1129"/>
      <c r="AP43" s="1129"/>
      <c r="AQ43" s="1129"/>
      <c r="AR43" s="2968"/>
      <c r="AS43" s="2968"/>
      <c r="AT43" s="1129"/>
      <c r="AU43" s="1129"/>
      <c r="AV43" s="1129"/>
      <c r="AW43" s="2968"/>
      <c r="AX43" s="2968"/>
      <c r="AY43" s="1129"/>
      <c r="AZ43" s="1892"/>
      <c r="BA43" s="1892"/>
      <c r="BB43" s="2968"/>
      <c r="BC43" s="2970"/>
      <c r="BD43" s="1892"/>
      <c r="BE43" s="1892"/>
      <c r="BF43" s="1892"/>
      <c r="BG43" s="2970"/>
      <c r="BH43" s="2970"/>
      <c r="BI43" s="1892"/>
      <c r="BJ43" s="1892"/>
      <c r="BK43" s="1892"/>
      <c r="BL43" s="2970"/>
      <c r="BM43" s="2970"/>
    </row>
    <row r="44" spans="1:65" s="2964" customFormat="1" x14ac:dyDescent="0.25">
      <c r="A44" s="58"/>
      <c r="B44" s="2963"/>
      <c r="C44" s="2963"/>
      <c r="D44" s="2967"/>
      <c r="E44" s="1129"/>
      <c r="F44" s="2969"/>
      <c r="G44" s="2969"/>
      <c r="H44" s="2968"/>
      <c r="I44" s="1129"/>
      <c r="J44" s="1129"/>
      <c r="K44" s="2969"/>
      <c r="L44" s="1129"/>
      <c r="M44" s="2969"/>
      <c r="N44" s="1129"/>
      <c r="O44" s="1129"/>
      <c r="P44" s="2969"/>
      <c r="Q44" s="1129"/>
      <c r="R44" s="2968"/>
      <c r="S44" s="1129"/>
      <c r="T44" s="1129"/>
      <c r="U44" s="2969"/>
      <c r="V44" s="1129"/>
      <c r="W44" s="2968"/>
      <c r="X44" s="2968"/>
      <c r="Y44" s="1129"/>
      <c r="Z44" s="1129"/>
      <c r="AA44" s="1129"/>
      <c r="AB44" s="1129"/>
      <c r="AC44" s="2968"/>
      <c r="AD44" s="1129"/>
      <c r="AE44" s="1129"/>
      <c r="AF44" s="1129"/>
      <c r="AG44" s="1129"/>
      <c r="AH44" s="2968"/>
      <c r="AI44" s="1129"/>
      <c r="AJ44" s="1129"/>
      <c r="AK44" s="1129"/>
      <c r="AL44" s="1129"/>
      <c r="AM44" s="2968"/>
      <c r="AN44" s="1129"/>
      <c r="AO44" s="1129"/>
      <c r="AP44" s="1129"/>
      <c r="AQ44" s="1129"/>
      <c r="AR44" s="2968"/>
      <c r="AS44" s="2968"/>
      <c r="AT44" s="1129"/>
      <c r="AU44" s="1129"/>
      <c r="AV44" s="1129"/>
      <c r="AW44" s="2968"/>
      <c r="AX44" s="2968"/>
      <c r="AY44" s="1129"/>
      <c r="AZ44" s="1892"/>
      <c r="BA44" s="1892"/>
      <c r="BB44" s="2968"/>
      <c r="BC44" s="2970"/>
      <c r="BD44" s="1892"/>
      <c r="BE44" s="1892"/>
      <c r="BF44" s="1892"/>
      <c r="BG44" s="2970"/>
      <c r="BH44" s="2970"/>
      <c r="BI44" s="1892"/>
      <c r="BJ44" s="1892"/>
      <c r="BK44" s="1892"/>
      <c r="BL44" s="2970"/>
      <c r="BM44" s="2970"/>
    </row>
    <row r="45" spans="1:65" s="2964" customFormat="1" x14ac:dyDescent="0.25">
      <c r="A45" s="58"/>
      <c r="B45" s="2963"/>
      <c r="C45" s="2963"/>
      <c r="D45" s="2967"/>
      <c r="E45" s="1129"/>
      <c r="F45" s="2969"/>
      <c r="G45" s="2969"/>
      <c r="H45" s="2968"/>
      <c r="I45" s="1129"/>
      <c r="J45" s="1129"/>
      <c r="K45" s="2969"/>
      <c r="L45" s="1129"/>
      <c r="M45" s="2969"/>
      <c r="N45" s="1129"/>
      <c r="O45" s="1129"/>
      <c r="P45" s="2969"/>
      <c r="Q45" s="1129"/>
      <c r="R45" s="2968"/>
      <c r="S45" s="1129"/>
      <c r="T45" s="1129"/>
      <c r="U45" s="2969"/>
      <c r="V45" s="1129"/>
      <c r="W45" s="2968"/>
      <c r="X45" s="2968"/>
      <c r="Y45" s="1129"/>
      <c r="Z45" s="1129"/>
      <c r="AA45" s="1129"/>
      <c r="AB45" s="1129"/>
      <c r="AC45" s="2968"/>
      <c r="AD45" s="1129"/>
      <c r="AE45" s="1129"/>
      <c r="AF45" s="1129"/>
      <c r="AG45" s="1129"/>
      <c r="AH45" s="2968"/>
      <c r="AI45" s="1129"/>
      <c r="AJ45" s="1129"/>
      <c r="AK45" s="1129"/>
      <c r="AL45" s="1129"/>
      <c r="AM45" s="2968"/>
      <c r="AN45" s="1129"/>
      <c r="AO45" s="1129"/>
      <c r="AP45" s="1129"/>
      <c r="AQ45" s="1129"/>
      <c r="AR45" s="2968"/>
      <c r="AS45" s="2968"/>
      <c r="AT45" s="1129"/>
      <c r="AU45" s="1129"/>
      <c r="AV45" s="1129"/>
      <c r="AW45" s="2968"/>
      <c r="AX45" s="2968"/>
      <c r="AY45" s="1129"/>
      <c r="AZ45" s="1892"/>
      <c r="BA45" s="1892"/>
      <c r="BB45" s="2968"/>
      <c r="BC45" s="2970"/>
      <c r="BD45" s="1892"/>
      <c r="BE45" s="1892"/>
      <c r="BF45" s="1892"/>
      <c r="BG45" s="2970"/>
      <c r="BH45" s="2970"/>
      <c r="BI45" s="1892"/>
      <c r="BJ45" s="1892"/>
      <c r="BK45" s="1892"/>
      <c r="BL45" s="2970"/>
      <c r="BM45" s="2970"/>
    </row>
    <row r="46" spans="1:65" s="2964" customFormat="1" x14ac:dyDescent="0.25">
      <c r="A46" s="58"/>
      <c r="B46" s="2963"/>
      <c r="C46" s="2963"/>
      <c r="D46" s="2967"/>
      <c r="E46" s="1129"/>
      <c r="F46" s="2969"/>
      <c r="G46" s="2969"/>
      <c r="H46" s="2968"/>
      <c r="I46" s="1129"/>
      <c r="J46" s="1129"/>
      <c r="K46" s="2969"/>
      <c r="L46" s="1129"/>
      <c r="M46" s="2969"/>
      <c r="N46" s="1129"/>
      <c r="O46" s="1129"/>
      <c r="P46" s="2969"/>
      <c r="Q46" s="1129"/>
      <c r="R46" s="2968"/>
      <c r="S46" s="1129"/>
      <c r="T46" s="1129"/>
      <c r="U46" s="2969"/>
      <c r="V46" s="1129"/>
      <c r="W46" s="2968"/>
      <c r="X46" s="2968"/>
      <c r="Y46" s="1129"/>
      <c r="Z46" s="1129"/>
      <c r="AA46" s="1129"/>
      <c r="AB46" s="1129"/>
      <c r="AC46" s="2968"/>
      <c r="AD46" s="1129"/>
      <c r="AE46" s="1129"/>
      <c r="AF46" s="1129"/>
      <c r="AG46" s="1129"/>
      <c r="AH46" s="2968"/>
      <c r="AI46" s="1129"/>
      <c r="AJ46" s="1129"/>
      <c r="AK46" s="1129"/>
      <c r="AL46" s="1129"/>
      <c r="AM46" s="2968"/>
      <c r="AN46" s="1129"/>
      <c r="AO46" s="1129"/>
      <c r="AP46" s="1129"/>
      <c r="AQ46" s="1129"/>
      <c r="AR46" s="2968"/>
      <c r="AS46" s="2968"/>
      <c r="AT46" s="1129"/>
      <c r="AU46" s="1129"/>
      <c r="AV46" s="1129"/>
      <c r="AW46" s="2968"/>
      <c r="AX46" s="2968"/>
      <c r="AY46" s="1129"/>
      <c r="AZ46" s="1892"/>
      <c r="BA46" s="1892"/>
      <c r="BB46" s="2968"/>
      <c r="BC46" s="2970"/>
      <c r="BD46" s="1892"/>
      <c r="BE46" s="1892"/>
      <c r="BF46" s="1892"/>
      <c r="BG46" s="2970"/>
      <c r="BH46" s="2970"/>
      <c r="BI46" s="1892"/>
      <c r="BJ46" s="1892"/>
      <c r="BK46" s="1892"/>
      <c r="BL46" s="2970"/>
      <c r="BM46" s="2970"/>
    </row>
    <row r="47" spans="1:65" s="2964" customFormat="1" x14ac:dyDescent="0.25">
      <c r="A47" s="58"/>
      <c r="B47" s="2963"/>
      <c r="C47" s="2963"/>
      <c r="D47" s="2967"/>
      <c r="E47" s="1129"/>
      <c r="F47" s="2969"/>
      <c r="G47" s="2969"/>
      <c r="H47" s="2968"/>
      <c r="I47" s="1129"/>
      <c r="J47" s="1129"/>
      <c r="K47" s="2969"/>
      <c r="L47" s="1129"/>
      <c r="M47" s="2969"/>
      <c r="N47" s="1129"/>
      <c r="O47" s="1129"/>
      <c r="P47" s="2969"/>
      <c r="Q47" s="1129"/>
      <c r="R47" s="2968"/>
      <c r="S47" s="1129"/>
      <c r="T47" s="1129"/>
      <c r="U47" s="2969"/>
      <c r="V47" s="1129"/>
      <c r="W47" s="2968"/>
      <c r="X47" s="2968"/>
      <c r="Y47" s="1129"/>
      <c r="Z47" s="1129"/>
      <c r="AA47" s="1129"/>
      <c r="AB47" s="1129"/>
      <c r="AC47" s="2968"/>
      <c r="AD47" s="1129"/>
      <c r="AE47" s="1129"/>
      <c r="AF47" s="1129"/>
      <c r="AG47" s="1129"/>
      <c r="AH47" s="2968"/>
      <c r="AI47" s="1129"/>
      <c r="AJ47" s="1129"/>
      <c r="AK47" s="1129"/>
      <c r="AL47" s="1129"/>
      <c r="AM47" s="2968"/>
      <c r="AN47" s="1129"/>
      <c r="AO47" s="1129"/>
      <c r="AP47" s="1129"/>
      <c r="AQ47" s="1129"/>
      <c r="AR47" s="2968"/>
      <c r="AS47" s="2968"/>
      <c r="AT47" s="1129"/>
      <c r="AU47" s="1129"/>
      <c r="AV47" s="1129"/>
      <c r="AW47" s="2968"/>
      <c r="AX47" s="2968"/>
      <c r="AY47" s="1129"/>
      <c r="AZ47" s="1892"/>
      <c r="BA47" s="1892"/>
      <c r="BB47" s="2968"/>
      <c r="BC47" s="2970"/>
      <c r="BD47" s="1892"/>
      <c r="BE47" s="1892"/>
      <c r="BF47" s="1892"/>
      <c r="BG47" s="2970"/>
      <c r="BH47" s="2970"/>
      <c r="BI47" s="1892"/>
      <c r="BJ47" s="1892"/>
      <c r="BK47" s="1892"/>
      <c r="BL47" s="2970"/>
      <c r="BM47" s="2970"/>
    </row>
    <row r="48" spans="1:65" ht="15" customHeight="1" x14ac:dyDescent="0.2">
      <c r="A48" s="821">
        <v>7</v>
      </c>
      <c r="B48" s="509" t="s">
        <v>52</v>
      </c>
      <c r="C48" s="509"/>
      <c r="D48" s="4624" t="s">
        <v>865</v>
      </c>
      <c r="E48" s="4625"/>
      <c r="F48" s="4625"/>
      <c r="G48" s="4625"/>
      <c r="H48" s="4625"/>
      <c r="I48" s="4625"/>
      <c r="J48" s="4625"/>
      <c r="K48" s="4625"/>
      <c r="L48" s="4625"/>
      <c r="M48" s="4625"/>
      <c r="N48" s="4625"/>
      <c r="O48" s="4625"/>
      <c r="P48" s="4625"/>
      <c r="Q48" s="4625"/>
      <c r="R48" s="4625"/>
      <c r="S48" s="4625"/>
      <c r="T48" s="4625"/>
      <c r="U48" s="4625"/>
      <c r="V48" s="4626"/>
      <c r="W48" s="880"/>
      <c r="X48" s="880"/>
      <c r="Y48" s="880"/>
      <c r="Z48" s="880"/>
      <c r="AA48" s="880"/>
      <c r="AB48" s="880"/>
      <c r="AC48" s="880"/>
    </row>
    <row r="49" spans="1:29" ht="14.25" x14ac:dyDescent="0.2">
      <c r="A49" s="858">
        <v>8</v>
      </c>
      <c r="B49" s="546" t="s">
        <v>54</v>
      </c>
      <c r="C49" s="546"/>
      <c r="D49" s="4624" t="s">
        <v>866</v>
      </c>
      <c r="E49" s="4625"/>
      <c r="F49" s="4625"/>
      <c r="G49" s="4625"/>
      <c r="H49" s="4625"/>
      <c r="I49" s="4625"/>
      <c r="J49" s="4625"/>
      <c r="K49" s="4625"/>
      <c r="L49" s="4625"/>
      <c r="M49" s="4625"/>
      <c r="N49" s="4625"/>
      <c r="O49" s="4625"/>
      <c r="P49" s="4625"/>
      <c r="Q49" s="4625"/>
      <c r="R49" s="4625"/>
      <c r="S49" s="4625"/>
      <c r="T49" s="4625"/>
      <c r="U49" s="4625"/>
      <c r="V49" s="4626"/>
      <c r="W49" s="880"/>
      <c r="X49" s="880"/>
      <c r="Y49" s="880"/>
      <c r="Z49" s="880"/>
      <c r="AA49" s="880"/>
      <c r="AB49" s="880"/>
      <c r="AC49" s="880"/>
    </row>
    <row r="50" spans="1:29" ht="15" customHeight="1" x14ac:dyDescent="0.2">
      <c r="A50" s="821">
        <v>9</v>
      </c>
      <c r="B50" s="509" t="s">
        <v>56</v>
      </c>
      <c r="C50" s="509"/>
      <c r="D50" s="4764" t="s">
        <v>867</v>
      </c>
      <c r="E50" s="4765"/>
      <c r="F50" s="4765"/>
      <c r="G50" s="4765"/>
      <c r="H50" s="4765"/>
      <c r="I50" s="4765"/>
      <c r="J50" s="4765"/>
      <c r="K50" s="4765"/>
      <c r="L50" s="4765"/>
      <c r="M50" s="4765"/>
      <c r="N50" s="4765"/>
      <c r="O50" s="4765"/>
      <c r="P50" s="4765"/>
      <c r="Q50" s="4765"/>
      <c r="R50" s="4765"/>
      <c r="S50" s="4765"/>
      <c r="T50" s="4765"/>
      <c r="U50" s="4765"/>
      <c r="V50" s="4766"/>
      <c r="W50" s="880"/>
      <c r="X50" s="880"/>
      <c r="Y50" s="880"/>
      <c r="Z50" s="880"/>
      <c r="AA50" s="880"/>
      <c r="AB50" s="880"/>
      <c r="AC50" s="880"/>
    </row>
    <row r="51" spans="1:29" ht="14.25" x14ac:dyDescent="0.2">
      <c r="A51" s="2387">
        <v>10</v>
      </c>
      <c r="B51" s="509" t="s">
        <v>409</v>
      </c>
      <c r="D51" s="4624" t="s">
        <v>868</v>
      </c>
      <c r="E51" s="4625"/>
      <c r="F51" s="4625"/>
      <c r="G51" s="4625"/>
      <c r="H51" s="4625"/>
      <c r="I51" s="4625"/>
      <c r="J51" s="4625"/>
      <c r="K51" s="4625"/>
      <c r="L51" s="4625"/>
      <c r="M51" s="4625"/>
      <c r="N51" s="4625"/>
      <c r="O51" s="4625"/>
      <c r="P51" s="4625"/>
      <c r="Q51" s="4625"/>
      <c r="R51" s="4625"/>
      <c r="S51" s="4625"/>
      <c r="T51" s="4625"/>
      <c r="U51" s="4625"/>
      <c r="V51" s="4626"/>
      <c r="W51" s="880"/>
      <c r="X51" s="880"/>
      <c r="Y51" s="880"/>
      <c r="Z51" s="880"/>
      <c r="AA51" s="880"/>
      <c r="AB51" s="880"/>
      <c r="AC51" s="880"/>
    </row>
    <row r="52" spans="1:29" ht="15" customHeight="1" x14ac:dyDescent="0.2"/>
    <row r="54" spans="1:29" x14ac:dyDescent="0.2">
      <c r="D54" s="2974" t="s">
        <v>869</v>
      </c>
      <c r="E54" s="2974"/>
      <c r="F54" s="2974"/>
      <c r="G54" s="2974"/>
    </row>
  </sheetData>
  <mergeCells count="8">
    <mergeCell ref="D50:V50"/>
    <mergeCell ref="D51:V51"/>
    <mergeCell ref="D2:Y2"/>
    <mergeCell ref="D3:Y3"/>
    <mergeCell ref="D4:Y4"/>
    <mergeCell ref="D6:P6"/>
    <mergeCell ref="D48:V48"/>
    <mergeCell ref="D49:V49"/>
  </mergeCells>
  <pageMargins left="0.74803149606299213" right="0.74803149606299213" top="0.98425196850393704" bottom="0.98425196850393704" header="0.51181102362204722" footer="0.51181102362204722"/>
  <pageSetup paperSize="8" scale="79"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81966-1A2B-4B9F-8CA6-749FED55E8F2}">
  <sheetPr>
    <tabColor rgb="FFFF0000"/>
    <pageSetUpPr fitToPage="1"/>
  </sheetPr>
  <dimension ref="A1:EF68"/>
  <sheetViews>
    <sheetView showGridLines="0" view="pageBreakPreview" zoomScaleNormal="100" zoomScaleSheetLayoutView="100" workbookViewId="0">
      <selection activeCell="C2" sqref="C2"/>
    </sheetView>
  </sheetViews>
  <sheetFormatPr defaultColWidth="9.140625" defaultRowHeight="15" x14ac:dyDescent="0.2"/>
  <cols>
    <col min="1" max="1" width="3.85546875" style="1117" customWidth="1"/>
    <col min="2" max="2" width="14.42578125" style="1118" customWidth="1"/>
    <col min="3" max="3" width="3.85546875" style="1118" customWidth="1"/>
    <col min="4" max="4" width="21" style="1081" customWidth="1"/>
    <col min="5" max="5" width="8.85546875" style="1081" customWidth="1"/>
    <col min="6" max="14" width="7.85546875" style="1081" bestFit="1" customWidth="1"/>
    <col min="15" max="17" width="8.85546875" style="1081" bestFit="1" customWidth="1"/>
    <col min="18" max="19" width="8.85546875" style="1081" customWidth="1"/>
    <col min="20" max="21" width="8.85546875" style="1081" bestFit="1" customWidth="1"/>
    <col min="22" max="22" width="8.85546875" style="1081" customWidth="1"/>
    <col min="23" max="23" width="8.85546875" style="1081" bestFit="1" customWidth="1"/>
    <col min="24" max="24" width="8.85546875" style="1081" customWidth="1"/>
    <col min="25" max="30" width="10" style="1081" customWidth="1"/>
    <col min="31" max="33" width="9.140625" style="1081" customWidth="1"/>
    <col min="34" max="34" width="10.140625" style="1081" customWidth="1"/>
    <col min="35" max="45" width="9.140625" style="1081" customWidth="1"/>
    <col min="46" max="46" width="10.140625" style="1081" customWidth="1"/>
    <col min="47" max="51" width="9.140625" style="1081" customWidth="1"/>
    <col min="52" max="52" width="10.140625" style="1081" customWidth="1"/>
    <col min="53" max="57" width="9.140625" style="1081" customWidth="1"/>
    <col min="58" max="58" width="10.140625" style="1081" customWidth="1"/>
    <col min="59" max="63" width="9.140625" style="1081" customWidth="1"/>
    <col min="64" max="64" width="10.140625" style="1081" customWidth="1"/>
    <col min="65" max="76" width="9.140625" style="1081" customWidth="1"/>
    <col min="77" max="78" width="9.140625" style="1081"/>
    <col min="79" max="79" width="10.85546875" style="1081" customWidth="1"/>
    <col min="80" max="16384" width="9.140625" style="1081"/>
  </cols>
  <sheetData>
    <row r="1" spans="1:51" x14ac:dyDescent="0.25">
      <c r="B1" s="507"/>
      <c r="C1" s="507"/>
      <c r="D1" s="508"/>
      <c r="E1" s="508"/>
      <c r="F1" s="508"/>
      <c r="G1" s="508"/>
      <c r="H1" s="508"/>
      <c r="I1" s="508"/>
      <c r="J1" s="508"/>
      <c r="K1" s="508"/>
      <c r="L1" s="508"/>
      <c r="M1" s="508"/>
      <c r="N1" s="508"/>
      <c r="O1" s="508"/>
      <c r="P1" s="508"/>
      <c r="Q1" s="1188"/>
      <c r="R1" s="68"/>
      <c r="S1" s="508"/>
    </row>
    <row r="2" spans="1:51" ht="15" customHeight="1" x14ac:dyDescent="0.2">
      <c r="A2" s="821">
        <v>1</v>
      </c>
      <c r="B2" s="509" t="s">
        <v>0</v>
      </c>
      <c r="C2" s="509">
        <v>29</v>
      </c>
      <c r="D2" s="4773" t="s">
        <v>870</v>
      </c>
      <c r="E2" s="4774"/>
      <c r="F2" s="4774"/>
      <c r="G2" s="4774"/>
      <c r="H2" s="4774"/>
      <c r="I2" s="4774"/>
      <c r="J2" s="4774"/>
      <c r="K2" s="4774"/>
      <c r="L2" s="4774"/>
      <c r="M2" s="4774"/>
      <c r="N2" s="4774"/>
      <c r="O2" s="4774"/>
      <c r="P2" s="4774"/>
      <c r="Q2" s="4774"/>
      <c r="R2" s="4774"/>
      <c r="S2" s="4774"/>
      <c r="T2" s="4774"/>
      <c r="U2" s="4774"/>
      <c r="V2" s="4774"/>
      <c r="W2" s="4775"/>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row>
    <row r="3" spans="1:51" ht="15" customHeight="1" x14ac:dyDescent="0.2">
      <c r="A3" s="821">
        <v>2</v>
      </c>
      <c r="B3" s="509" t="s">
        <v>2</v>
      </c>
      <c r="C3" s="509"/>
      <c r="D3" s="4773" t="s">
        <v>832</v>
      </c>
      <c r="E3" s="4774"/>
      <c r="F3" s="4774"/>
      <c r="G3" s="4774"/>
      <c r="H3" s="4774"/>
      <c r="I3" s="4774"/>
      <c r="J3" s="4774"/>
      <c r="K3" s="4774"/>
      <c r="L3" s="4774"/>
      <c r="M3" s="4774"/>
      <c r="N3" s="4774"/>
      <c r="O3" s="4774"/>
      <c r="P3" s="4774"/>
      <c r="Q3" s="4774"/>
      <c r="R3" s="4774"/>
      <c r="S3" s="4774"/>
      <c r="T3" s="4774"/>
      <c r="U3" s="4774"/>
      <c r="V3" s="4774"/>
      <c r="W3" s="4775"/>
      <c r="X3" s="344"/>
      <c r="Y3" s="344"/>
      <c r="Z3" s="344"/>
      <c r="AA3" s="344"/>
      <c r="AB3" s="344"/>
      <c r="AC3" s="344"/>
      <c r="AD3" s="344"/>
      <c r="AE3" s="344"/>
      <c r="AF3" s="344"/>
      <c r="AG3" s="344"/>
      <c r="AH3" s="344"/>
      <c r="AI3" s="344"/>
      <c r="AJ3" s="344"/>
      <c r="AK3" s="344"/>
      <c r="AL3" s="344"/>
      <c r="AM3" s="344"/>
      <c r="AN3" s="344"/>
      <c r="AO3" s="344"/>
      <c r="AP3" s="344"/>
      <c r="AQ3" s="344"/>
      <c r="AR3" s="344"/>
      <c r="AS3" s="344"/>
      <c r="AT3" s="344"/>
      <c r="AU3" s="344"/>
      <c r="AV3" s="344"/>
      <c r="AW3" s="344"/>
      <c r="AX3" s="344"/>
      <c r="AY3" s="344"/>
    </row>
    <row r="4" spans="1:51" ht="31.5" customHeight="1" x14ac:dyDescent="0.2">
      <c r="A4" s="821">
        <v>3</v>
      </c>
      <c r="B4" s="509" t="s">
        <v>4</v>
      </c>
      <c r="C4" s="509"/>
      <c r="D4" s="4773" t="s">
        <v>871</v>
      </c>
      <c r="E4" s="4774"/>
      <c r="F4" s="4774"/>
      <c r="G4" s="4774"/>
      <c r="H4" s="4774"/>
      <c r="I4" s="4774"/>
      <c r="J4" s="4774"/>
      <c r="K4" s="4774"/>
      <c r="L4" s="4774"/>
      <c r="M4" s="4774"/>
      <c r="N4" s="4774"/>
      <c r="O4" s="4774"/>
      <c r="P4" s="4774"/>
      <c r="Q4" s="4774"/>
      <c r="R4" s="4774"/>
      <c r="S4" s="4774"/>
      <c r="T4" s="4774"/>
      <c r="U4" s="4774"/>
      <c r="V4" s="4774"/>
      <c r="W4" s="4775"/>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row>
    <row r="5" spans="1:51" ht="15" customHeight="1" x14ac:dyDescent="0.2">
      <c r="A5" s="821"/>
      <c r="B5" s="509"/>
      <c r="C5" s="509"/>
      <c r="D5" s="344"/>
      <c r="E5" s="344"/>
      <c r="F5" s="344"/>
      <c r="G5" s="344"/>
      <c r="H5" s="344"/>
      <c r="I5" s="344"/>
      <c r="J5" s="344"/>
      <c r="K5" s="344"/>
      <c r="L5" s="344"/>
      <c r="M5" s="344"/>
      <c r="N5" s="344"/>
      <c r="O5" s="344"/>
      <c r="P5" s="344"/>
      <c r="Q5" s="344"/>
      <c r="R5" s="344"/>
      <c r="S5" s="344"/>
      <c r="T5" s="344"/>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c r="AT5" s="344"/>
      <c r="AU5" s="344"/>
      <c r="AV5" s="344"/>
      <c r="AW5" s="344"/>
      <c r="AX5" s="344"/>
      <c r="AY5" s="344"/>
    </row>
    <row r="6" spans="1:51" ht="14.25" x14ac:dyDescent="0.2">
      <c r="A6" s="821">
        <v>4</v>
      </c>
      <c r="B6" s="509" t="s">
        <v>6</v>
      </c>
      <c r="C6" s="509"/>
      <c r="D6" s="4770"/>
      <c r="E6" s="4771"/>
      <c r="F6" s="4771"/>
      <c r="G6" s="4771"/>
      <c r="H6" s="4771"/>
      <c r="I6" s="4771"/>
      <c r="J6" s="4771"/>
      <c r="K6" s="4771"/>
      <c r="L6" s="4771"/>
      <c r="M6" s="4771"/>
      <c r="N6" s="4771"/>
      <c r="O6" s="4771"/>
      <c r="P6" s="4771"/>
      <c r="Q6" s="2959"/>
    </row>
    <row r="7" spans="1:51" s="10" customFormat="1" x14ac:dyDescent="0.2">
      <c r="A7" s="835"/>
      <c r="B7" s="506"/>
      <c r="C7" s="506"/>
      <c r="D7" s="71" t="s">
        <v>858</v>
      </c>
      <c r="E7" s="71" t="s">
        <v>872</v>
      </c>
      <c r="F7" s="71"/>
      <c r="G7" s="71"/>
      <c r="H7" s="71"/>
      <c r="I7" s="71"/>
      <c r="J7" s="71"/>
      <c r="K7" s="71"/>
      <c r="L7" s="71"/>
      <c r="M7" s="831"/>
    </row>
    <row r="8" spans="1:51" x14ac:dyDescent="0.2">
      <c r="B8" s="2944"/>
      <c r="C8" s="2944"/>
      <c r="D8" s="2243"/>
      <c r="E8" s="2243"/>
      <c r="F8" s="2960">
        <v>2002</v>
      </c>
      <c r="G8" s="2960">
        <v>2003</v>
      </c>
      <c r="H8" s="2960">
        <v>2004</v>
      </c>
      <c r="I8" s="2960">
        <v>2005</v>
      </c>
      <c r="J8" s="2960">
        <v>2006</v>
      </c>
      <c r="K8" s="2960">
        <v>2007</v>
      </c>
      <c r="L8" s="2960">
        <v>2008</v>
      </c>
      <c r="M8" s="2960">
        <v>2009</v>
      </c>
      <c r="N8" s="2960">
        <v>2010</v>
      </c>
      <c r="O8" s="2960">
        <v>2011</v>
      </c>
      <c r="P8" s="2960">
        <v>2012</v>
      </c>
      <c r="Q8" s="2960">
        <v>2013</v>
      </c>
      <c r="R8" s="2960">
        <v>2014</v>
      </c>
      <c r="S8" s="2960">
        <v>2015</v>
      </c>
      <c r="T8" s="2960">
        <v>2016</v>
      </c>
      <c r="U8" s="2960">
        <v>2017</v>
      </c>
      <c r="V8" s="1138">
        <v>2018</v>
      </c>
      <c r="W8" s="1138">
        <v>2019</v>
      </c>
      <c r="X8" s="1138">
        <v>2020</v>
      </c>
      <c r="Y8" s="1138">
        <v>2021</v>
      </c>
    </row>
    <row r="9" spans="1:51" x14ac:dyDescent="0.25">
      <c r="A9" s="58"/>
      <c r="B9" s="2918"/>
      <c r="C9" s="2961"/>
      <c r="D9" s="2947" t="s">
        <v>276</v>
      </c>
      <c r="E9" s="2962"/>
      <c r="F9" s="2385">
        <v>33.389963700000003</v>
      </c>
      <c r="G9" s="2385">
        <v>34.580145900000005</v>
      </c>
      <c r="H9" s="2385">
        <v>38.482503299999991</v>
      </c>
      <c r="I9" s="2385">
        <v>46.538976899999987</v>
      </c>
      <c r="J9" s="2385">
        <v>49.27450300000001</v>
      </c>
      <c r="K9" s="2385">
        <v>51.875768000000001</v>
      </c>
      <c r="L9" s="2385">
        <v>54.781131100000003</v>
      </c>
      <c r="M9" s="2385">
        <v>58.048166899999998</v>
      </c>
      <c r="N9" s="2385">
        <v>62.039366600000001</v>
      </c>
      <c r="O9" s="2385">
        <v>64.392926099999997</v>
      </c>
      <c r="P9" s="2385">
        <v>68.780702199999993</v>
      </c>
      <c r="Q9" s="2385">
        <v>71.169515799999999</v>
      </c>
      <c r="R9" s="2385">
        <v>78.168701600000006</v>
      </c>
      <c r="S9" s="2385">
        <v>81.769376399999999</v>
      </c>
      <c r="T9" s="2385">
        <v>85.013192099999998</v>
      </c>
      <c r="U9" s="2385">
        <v>85.609959099999998</v>
      </c>
      <c r="V9" s="2385">
        <v>87.781934799999988</v>
      </c>
      <c r="W9" s="2385">
        <v>87.610142959629911</v>
      </c>
      <c r="X9" s="2385">
        <v>92.718272966717038</v>
      </c>
      <c r="Y9" s="2385">
        <v>91.715155530786291</v>
      </c>
    </row>
    <row r="10" spans="1:51" x14ac:dyDescent="0.25">
      <c r="A10" s="58"/>
      <c r="B10" s="2918"/>
      <c r="C10" s="2961"/>
      <c r="D10" s="2947" t="s">
        <v>277</v>
      </c>
      <c r="E10" s="2962"/>
      <c r="F10" s="2386">
        <v>64.655306200000012</v>
      </c>
      <c r="G10" s="2386">
        <v>66.906561500000009</v>
      </c>
      <c r="H10" s="2386">
        <v>69.651105900000005</v>
      </c>
      <c r="I10" s="2386">
        <v>69.801933099999999</v>
      </c>
      <c r="J10" s="2386">
        <v>71.545309799999998</v>
      </c>
      <c r="K10" s="2386">
        <v>74.7018719</v>
      </c>
      <c r="L10" s="2386">
        <v>75.982281700000001</v>
      </c>
      <c r="M10" s="2386">
        <v>78.770572799999997</v>
      </c>
      <c r="N10" s="2386">
        <v>76.792697399999994</v>
      </c>
      <c r="O10" s="2386">
        <v>83.023015500000014</v>
      </c>
      <c r="P10" s="2386">
        <v>80.6227904</v>
      </c>
      <c r="Q10" s="2386">
        <v>83.114809600000001</v>
      </c>
      <c r="R10" s="2386">
        <v>83.647426899999999</v>
      </c>
      <c r="S10" s="2386">
        <v>81.574372899999986</v>
      </c>
      <c r="T10" s="2386">
        <v>82.805456100000001</v>
      </c>
      <c r="U10" s="2386">
        <v>84.772673099999992</v>
      </c>
      <c r="V10" s="2386">
        <v>85.494317500000008</v>
      </c>
      <c r="W10" s="2386">
        <v>82.230796289600534</v>
      </c>
      <c r="X10" s="2386">
        <v>84.694632215592847</v>
      </c>
      <c r="Y10" s="2386">
        <v>86.290233373884078</v>
      </c>
    </row>
    <row r="11" spans="1:51" x14ac:dyDescent="0.25">
      <c r="A11" s="58"/>
      <c r="B11" s="2918"/>
      <c r="C11" s="2961"/>
      <c r="D11" s="2947" t="s">
        <v>278</v>
      </c>
      <c r="E11" s="2962"/>
      <c r="F11" s="2386">
        <v>88.74916429999999</v>
      </c>
      <c r="G11" s="2386">
        <v>89.323340200000018</v>
      </c>
      <c r="H11" s="2386">
        <v>89.771664700000002</v>
      </c>
      <c r="I11" s="2386">
        <v>88.420890200000002</v>
      </c>
      <c r="J11" s="2386">
        <v>88.96382779999999</v>
      </c>
      <c r="K11" s="2386">
        <v>87.532518100000019</v>
      </c>
      <c r="L11" s="2386">
        <v>90.621725700000013</v>
      </c>
      <c r="M11" s="2386">
        <v>88.046242299999989</v>
      </c>
      <c r="N11" s="2386">
        <v>88.364756099999994</v>
      </c>
      <c r="O11" s="2386">
        <v>90.200067799999999</v>
      </c>
      <c r="P11" s="2386">
        <v>88.967600200000007</v>
      </c>
      <c r="Q11" s="2386">
        <v>89.821993699999993</v>
      </c>
      <c r="R11" s="2386">
        <v>90.484606499999998</v>
      </c>
      <c r="S11" s="2386">
        <v>90.537212199999999</v>
      </c>
      <c r="T11" s="2386">
        <v>90.149245399999998</v>
      </c>
      <c r="U11" s="2386">
        <v>90.463906299999991</v>
      </c>
      <c r="V11" s="2386">
        <v>91.521723300000019</v>
      </c>
      <c r="W11" s="2386">
        <v>89.932823781737227</v>
      </c>
      <c r="X11" s="2386">
        <v>90.383927476096687</v>
      </c>
      <c r="Y11" s="2386">
        <v>91.689268798979612</v>
      </c>
    </row>
    <row r="12" spans="1:51" x14ac:dyDescent="0.25">
      <c r="A12" s="58"/>
      <c r="B12" s="2918"/>
      <c r="C12" s="2961"/>
      <c r="D12" s="2947" t="s">
        <v>641</v>
      </c>
      <c r="E12" s="2962"/>
      <c r="F12" s="2386">
        <v>50.8426598</v>
      </c>
      <c r="G12" s="2386">
        <v>57.026902300000003</v>
      </c>
      <c r="H12" s="2386">
        <v>58.400045900000016</v>
      </c>
      <c r="I12" s="2386">
        <v>60.0726607</v>
      </c>
      <c r="J12" s="2386">
        <v>62.909222200000002</v>
      </c>
      <c r="K12" s="2386">
        <v>64.424497499999987</v>
      </c>
      <c r="L12" s="2386">
        <v>62.353250199999998</v>
      </c>
      <c r="M12" s="2386">
        <v>69.593341099999989</v>
      </c>
      <c r="N12" s="2386">
        <v>69.79719639999999</v>
      </c>
      <c r="O12" s="2386">
        <v>70.15037559999999</v>
      </c>
      <c r="P12" s="2386">
        <v>66.825114099999993</v>
      </c>
      <c r="Q12" s="2386">
        <v>73.879662499999995</v>
      </c>
      <c r="R12" s="2386">
        <v>75.678969300000006</v>
      </c>
      <c r="S12" s="2386">
        <v>77.325517599999998</v>
      </c>
      <c r="T12" s="2386">
        <v>76.958060399999994</v>
      </c>
      <c r="U12" s="2386">
        <v>80.903238700000003</v>
      </c>
      <c r="V12" s="2386">
        <v>81.050809900000004</v>
      </c>
      <c r="W12" s="2386">
        <v>80.941425710285614</v>
      </c>
      <c r="X12" s="2386">
        <v>81.187288597640531</v>
      </c>
      <c r="Y12" s="2386">
        <v>84.325803141873592</v>
      </c>
    </row>
    <row r="13" spans="1:51" x14ac:dyDescent="0.25">
      <c r="A13" s="58"/>
      <c r="B13" s="2918"/>
      <c r="C13" s="2961"/>
      <c r="D13" s="2947" t="s">
        <v>280</v>
      </c>
      <c r="E13" s="2962"/>
      <c r="F13" s="2386">
        <v>26.909824800000003</v>
      </c>
      <c r="G13" s="2386">
        <v>26.073142300000001</v>
      </c>
      <c r="H13" s="2386">
        <v>34.549364500000003</v>
      </c>
      <c r="I13" s="2386">
        <v>35.6627893</v>
      </c>
      <c r="J13" s="2386">
        <v>33.899923200000003</v>
      </c>
      <c r="K13" s="2386">
        <v>36.673979000000003</v>
      </c>
      <c r="L13" s="2386">
        <v>31.9504485</v>
      </c>
      <c r="M13" s="2386">
        <v>40.763848500000002</v>
      </c>
      <c r="N13" s="2386">
        <v>40.067857799999999</v>
      </c>
      <c r="O13" s="2386">
        <v>45.330261499999999</v>
      </c>
      <c r="P13" s="2386">
        <v>49.151748599999998</v>
      </c>
      <c r="Q13" s="2386">
        <v>50.084812200000009</v>
      </c>
      <c r="R13" s="2386">
        <v>53.799644700000002</v>
      </c>
      <c r="S13" s="2386">
        <v>53.590295400000002</v>
      </c>
      <c r="T13" s="2386">
        <v>56.941830799999991</v>
      </c>
      <c r="U13" s="2386">
        <v>59.186480600000003</v>
      </c>
      <c r="V13" s="2386">
        <v>58.833882699999997</v>
      </c>
      <c r="W13" s="2386">
        <v>63.410538991898235</v>
      </c>
      <c r="X13" s="2386">
        <v>58.674919743917457</v>
      </c>
      <c r="Y13" s="2386">
        <v>58.46094844686813</v>
      </c>
    </row>
    <row r="14" spans="1:51" x14ac:dyDescent="0.25">
      <c r="A14" s="58"/>
      <c r="B14" s="2918"/>
      <c r="C14" s="2961"/>
      <c r="D14" s="2947" t="s">
        <v>281</v>
      </c>
      <c r="E14" s="2962"/>
      <c r="F14" s="2386">
        <v>50.745665199999998</v>
      </c>
      <c r="G14" s="2386">
        <v>54.549729700000007</v>
      </c>
      <c r="H14" s="2386">
        <v>55.257995199999996</v>
      </c>
      <c r="I14" s="2386">
        <v>48.083126</v>
      </c>
      <c r="J14" s="2386">
        <v>53.056532900000001</v>
      </c>
      <c r="K14" s="2386">
        <v>57.642474699999994</v>
      </c>
      <c r="L14" s="2386">
        <v>54.248105600000009</v>
      </c>
      <c r="M14" s="2386">
        <v>52.6350251</v>
      </c>
      <c r="N14" s="2386">
        <v>53.718902599999993</v>
      </c>
      <c r="O14" s="2386">
        <v>56.743985900000006</v>
      </c>
      <c r="P14" s="2386">
        <v>61.720995899999998</v>
      </c>
      <c r="Q14" s="2386">
        <v>62.903685200000005</v>
      </c>
      <c r="R14" s="2386">
        <v>64.370643700000002</v>
      </c>
      <c r="S14" s="2386">
        <v>65.890631200000001</v>
      </c>
      <c r="T14" s="2386">
        <v>67.470475199999996</v>
      </c>
      <c r="U14" s="2386">
        <v>67.724061599999999</v>
      </c>
      <c r="V14" s="2386">
        <v>67.973757800000001</v>
      </c>
      <c r="W14" s="2386">
        <v>63.713976248044332</v>
      </c>
      <c r="X14" s="2386">
        <v>64.361528740854453</v>
      </c>
      <c r="Y14" s="2386">
        <v>63.207069295855135</v>
      </c>
    </row>
    <row r="15" spans="1:51" x14ac:dyDescent="0.25">
      <c r="A15" s="58"/>
      <c r="B15" s="2918"/>
      <c r="C15" s="2961"/>
      <c r="D15" s="2947" t="s">
        <v>282</v>
      </c>
      <c r="E15" s="2962"/>
      <c r="F15" s="2386">
        <v>54.062981700000002</v>
      </c>
      <c r="G15" s="2386">
        <v>61.077368700000001</v>
      </c>
      <c r="H15" s="2386">
        <v>57.799545000000009</v>
      </c>
      <c r="I15" s="2386">
        <v>55.0863899</v>
      </c>
      <c r="J15" s="2386">
        <v>54.444371500000003</v>
      </c>
      <c r="K15" s="2386">
        <v>62.441901700000017</v>
      </c>
      <c r="L15" s="2386">
        <v>57.806768599999991</v>
      </c>
      <c r="M15" s="2386">
        <v>64.973034200000001</v>
      </c>
      <c r="N15" s="2386">
        <v>64.881429900000001</v>
      </c>
      <c r="O15" s="2386">
        <v>64.590350100000009</v>
      </c>
      <c r="P15" s="2386">
        <v>71.425107300000008</v>
      </c>
      <c r="Q15" s="2386">
        <v>70.125713000000005</v>
      </c>
      <c r="R15" s="2386">
        <v>66.7982643</v>
      </c>
      <c r="S15" s="2386">
        <v>66.545862200000002</v>
      </c>
      <c r="T15" s="2386">
        <v>68.830364200000005</v>
      </c>
      <c r="U15" s="2386">
        <v>71.567197399999998</v>
      </c>
      <c r="V15" s="2386">
        <v>70.499738999999991</v>
      </c>
      <c r="W15" s="2386">
        <v>68.793676516288457</v>
      </c>
      <c r="X15" s="2386">
        <v>78.047192054988258</v>
      </c>
      <c r="Y15" s="2386">
        <v>77.611556638173511</v>
      </c>
    </row>
    <row r="16" spans="1:51" x14ac:dyDescent="0.25">
      <c r="A16" s="58"/>
      <c r="B16" s="2918"/>
      <c r="C16" s="2961"/>
      <c r="D16" s="2947" t="s">
        <v>860</v>
      </c>
      <c r="E16" s="2962"/>
      <c r="F16" s="2386">
        <v>75.452793499999999</v>
      </c>
      <c r="G16" s="2386">
        <v>75.8046899</v>
      </c>
      <c r="H16" s="2386">
        <v>75.933985199999981</v>
      </c>
      <c r="I16" s="2386">
        <v>79.240019799999999</v>
      </c>
      <c r="J16" s="2386">
        <v>76.811937999999998</v>
      </c>
      <c r="K16" s="2386">
        <v>93.681555499999988</v>
      </c>
      <c r="L16" s="2386">
        <v>75.910807699999992</v>
      </c>
      <c r="M16" s="2386">
        <v>83.780963299999982</v>
      </c>
      <c r="N16" s="2386">
        <v>80.279816600000004</v>
      </c>
      <c r="O16" s="2386">
        <v>83.045057300000011</v>
      </c>
      <c r="P16" s="2386">
        <v>83.993468600000014</v>
      </c>
      <c r="Q16" s="2386">
        <v>81.640891999999994</v>
      </c>
      <c r="R16" s="2386">
        <v>83.802144499999997</v>
      </c>
      <c r="S16" s="2386">
        <v>80.811648300000002</v>
      </c>
      <c r="T16" s="2386">
        <v>82.588819600000008</v>
      </c>
      <c r="U16" s="2386">
        <v>87.837341500000008</v>
      </c>
      <c r="V16" s="2386">
        <v>89.888789799999998</v>
      </c>
      <c r="W16" s="2386">
        <v>83.725707426301497</v>
      </c>
      <c r="X16" s="2386">
        <v>86.931557475618277</v>
      </c>
      <c r="Y16" s="2386">
        <v>87.236936559110973</v>
      </c>
    </row>
    <row r="17" spans="1:136" x14ac:dyDescent="0.25">
      <c r="A17" s="58"/>
      <c r="B17" s="2918"/>
      <c r="C17" s="2961"/>
      <c r="D17" s="2947" t="s">
        <v>861</v>
      </c>
      <c r="E17" s="2962"/>
      <c r="F17" s="2386">
        <v>92.102086600000007</v>
      </c>
      <c r="G17" s="2386">
        <v>89.7105502</v>
      </c>
      <c r="H17" s="2386">
        <v>91.791596200000001</v>
      </c>
      <c r="I17" s="2386">
        <v>92.942043000000012</v>
      </c>
      <c r="J17" s="2386">
        <v>95.132535100000013</v>
      </c>
      <c r="K17" s="2386">
        <v>80.732636400000004</v>
      </c>
      <c r="L17" s="2386">
        <v>93.387107999999998</v>
      </c>
      <c r="M17" s="2386">
        <v>94.422259799999992</v>
      </c>
      <c r="N17" s="2386">
        <v>94.760990000000007</v>
      </c>
      <c r="O17" s="2386">
        <v>93.490226300000003</v>
      </c>
      <c r="P17" s="2386">
        <v>93.253735300000002</v>
      </c>
      <c r="Q17" s="2386">
        <v>93.9560393</v>
      </c>
      <c r="R17" s="2386">
        <v>94.392367799999988</v>
      </c>
      <c r="S17" s="2386">
        <v>93.030997499999998</v>
      </c>
      <c r="T17" s="2386">
        <v>94.175851300000005</v>
      </c>
      <c r="U17" s="2386">
        <v>94.203021400000026</v>
      </c>
      <c r="V17" s="2386">
        <v>93.72664180000001</v>
      </c>
      <c r="W17" s="2386">
        <v>94.49486408220551</v>
      </c>
      <c r="X17" s="2386">
        <v>93.786476764409358</v>
      </c>
      <c r="Y17" s="2386">
        <v>94.810528792192926</v>
      </c>
    </row>
    <row r="18" spans="1:136" s="2964" customFormat="1" x14ac:dyDescent="0.25">
      <c r="A18" s="58"/>
      <c r="B18" s="2963"/>
      <c r="C18" s="2963"/>
      <c r="D18" s="3670" t="s">
        <v>103</v>
      </c>
      <c r="E18" s="3669"/>
      <c r="F18" s="3713">
        <v>61.609057700000001</v>
      </c>
      <c r="G18" s="3713">
        <v>63.763974400000002</v>
      </c>
      <c r="H18" s="3713">
        <v>65.877762000000004</v>
      </c>
      <c r="I18" s="3713">
        <v>66.651295100000013</v>
      </c>
      <c r="J18" s="3713">
        <v>68.2534706</v>
      </c>
      <c r="K18" s="3713">
        <v>69.847461700000011</v>
      </c>
      <c r="L18" s="3713">
        <v>69.644052700000017</v>
      </c>
      <c r="M18" s="3713">
        <v>72.415351599999994</v>
      </c>
      <c r="N18" s="3713">
        <v>72.9488597</v>
      </c>
      <c r="O18" s="3713">
        <v>74.856509099999997</v>
      </c>
      <c r="P18" s="3713">
        <v>75.556740899999994</v>
      </c>
      <c r="Q18" s="3713">
        <v>77.601582100000002</v>
      </c>
      <c r="R18" s="3713">
        <v>79.263823700000003</v>
      </c>
      <c r="S18" s="3713">
        <v>79.736469900000003</v>
      </c>
      <c r="T18" s="3713">
        <v>80.768498899999997</v>
      </c>
      <c r="U18" s="3713">
        <v>82.265798199999992</v>
      </c>
      <c r="V18" s="3713">
        <v>82.766929900000008</v>
      </c>
      <c r="W18" s="3713">
        <v>82.03733992620144</v>
      </c>
      <c r="X18" s="3713">
        <v>83.116802846852906</v>
      </c>
      <c r="Y18" s="3713">
        <v>84.027044648867218</v>
      </c>
    </row>
    <row r="19" spans="1:136" x14ac:dyDescent="0.2">
      <c r="B19" s="2944"/>
      <c r="C19" s="2944"/>
      <c r="D19" s="2918"/>
      <c r="E19" s="2918"/>
      <c r="F19" s="2965"/>
      <c r="G19" s="2918"/>
      <c r="H19" s="2918"/>
      <c r="I19" s="2918"/>
      <c r="J19" s="2919"/>
      <c r="K19" s="2919"/>
      <c r="L19" s="2919"/>
      <c r="M19" s="2919"/>
      <c r="N19" s="2919"/>
      <c r="O19" s="2919"/>
      <c r="P19" s="2919"/>
      <c r="Q19" s="2919"/>
      <c r="R19" s="508"/>
      <c r="S19" s="508"/>
    </row>
    <row r="20" spans="1:136" x14ac:dyDescent="0.2">
      <c r="B20" s="2944"/>
      <c r="C20" s="2944"/>
      <c r="D20" s="71" t="s">
        <v>862</v>
      </c>
      <c r="E20" s="71" t="s">
        <v>873</v>
      </c>
      <c r="F20" s="71"/>
      <c r="G20" s="71"/>
      <c r="H20" s="71"/>
      <c r="I20" s="2918"/>
      <c r="J20" s="2918"/>
      <c r="K20" s="2919"/>
      <c r="L20" s="2919"/>
      <c r="M20" s="2919"/>
      <c r="N20" s="2919"/>
      <c r="O20" s="2919"/>
      <c r="P20" s="2919"/>
      <c r="Q20" s="2919"/>
      <c r="R20" s="508"/>
      <c r="S20" s="508"/>
    </row>
    <row r="21" spans="1:136" x14ac:dyDescent="0.2">
      <c r="B21" s="2944"/>
      <c r="C21" s="2944"/>
      <c r="D21" s="2243"/>
      <c r="E21" s="2243"/>
      <c r="F21" s="2960">
        <v>2002</v>
      </c>
      <c r="G21" s="2960">
        <v>2003</v>
      </c>
      <c r="H21" s="2960">
        <v>2004</v>
      </c>
      <c r="I21" s="2960">
        <v>2005</v>
      </c>
      <c r="J21" s="2960">
        <v>2006</v>
      </c>
      <c r="K21" s="2960">
        <v>2007</v>
      </c>
      <c r="L21" s="2960">
        <v>2008</v>
      </c>
      <c r="M21" s="2960">
        <v>2009</v>
      </c>
      <c r="N21" s="2960">
        <v>2010</v>
      </c>
      <c r="O21" s="2960">
        <v>2011</v>
      </c>
      <c r="P21" s="2960">
        <v>2012</v>
      </c>
      <c r="Q21" s="2960">
        <v>2013</v>
      </c>
      <c r="R21" s="2960">
        <v>2014</v>
      </c>
      <c r="S21" s="2960">
        <v>2015</v>
      </c>
      <c r="T21" s="2960">
        <v>2016</v>
      </c>
      <c r="U21" s="2960">
        <v>2017</v>
      </c>
      <c r="V21" s="1138">
        <v>2018</v>
      </c>
      <c r="W21" s="1138">
        <v>2019</v>
      </c>
      <c r="X21" s="1138">
        <v>2020</v>
      </c>
      <c r="Y21" s="1138">
        <v>2021</v>
      </c>
    </row>
    <row r="22" spans="1:136" x14ac:dyDescent="0.25">
      <c r="A22" s="58"/>
      <c r="B22" s="2918"/>
      <c r="C22" s="2961"/>
      <c r="D22" s="2947" t="s">
        <v>276</v>
      </c>
      <c r="E22" s="2962"/>
      <c r="F22" s="2385">
        <v>502855</v>
      </c>
      <c r="G22" s="2385">
        <v>524955</v>
      </c>
      <c r="H22" s="2385">
        <v>587107</v>
      </c>
      <c r="I22" s="2385">
        <v>711821</v>
      </c>
      <c r="J22" s="2385">
        <v>754643</v>
      </c>
      <c r="K22" s="2385">
        <v>799265</v>
      </c>
      <c r="L22" s="2385">
        <v>849596</v>
      </c>
      <c r="M22" s="2385">
        <v>905974</v>
      </c>
      <c r="N22" s="2385">
        <v>974331</v>
      </c>
      <c r="O22" s="2385">
        <v>1017591</v>
      </c>
      <c r="P22" s="2385">
        <v>1097620</v>
      </c>
      <c r="Q22" s="2385">
        <v>1146387</v>
      </c>
      <c r="R22" s="2385">
        <v>1269594</v>
      </c>
      <c r="S22" s="2385">
        <v>1337912</v>
      </c>
      <c r="T22" s="2385">
        <v>1401164</v>
      </c>
      <c r="U22" s="2385">
        <v>1427297.7748437</v>
      </c>
      <c r="V22" s="2385">
        <v>1479256.7943406</v>
      </c>
      <c r="W22" s="2385">
        <v>1491189.0839371001</v>
      </c>
      <c r="X22" s="2385">
        <v>1584752.1007063002</v>
      </c>
      <c r="Y22" s="2385">
        <v>1581639.6363398</v>
      </c>
    </row>
    <row r="23" spans="1:136" x14ac:dyDescent="0.25">
      <c r="A23" s="58"/>
      <c r="B23" s="2918"/>
      <c r="C23" s="2961"/>
      <c r="D23" s="2947" t="s">
        <v>277</v>
      </c>
      <c r="E23" s="2962"/>
      <c r="F23" s="2386">
        <v>439248</v>
      </c>
      <c r="G23" s="2386">
        <v>462862</v>
      </c>
      <c r="H23" s="2386">
        <v>489985</v>
      </c>
      <c r="I23" s="2386">
        <v>498889</v>
      </c>
      <c r="J23" s="2386">
        <v>519516</v>
      </c>
      <c r="K23" s="2386">
        <v>551477</v>
      </c>
      <c r="L23" s="2386">
        <v>570305</v>
      </c>
      <c r="M23" s="2386">
        <v>600768</v>
      </c>
      <c r="N23" s="2386">
        <v>595007</v>
      </c>
      <c r="O23" s="2386">
        <v>653302</v>
      </c>
      <c r="P23" s="2386">
        <v>645680</v>
      </c>
      <c r="Q23" s="2386">
        <v>677533</v>
      </c>
      <c r="R23" s="2386">
        <v>694072</v>
      </c>
      <c r="S23" s="2386">
        <v>689471</v>
      </c>
      <c r="T23" s="2386">
        <v>714054</v>
      </c>
      <c r="U23" s="2386">
        <v>747515.29159090004</v>
      </c>
      <c r="V23" s="2386">
        <v>770576.34176970006</v>
      </c>
      <c r="W23" s="2386">
        <v>757544.66102590004</v>
      </c>
      <c r="X23" s="2386">
        <v>788895.38479240006</v>
      </c>
      <c r="Y23" s="2386">
        <v>821863.13534020004</v>
      </c>
    </row>
    <row r="24" spans="1:136" x14ac:dyDescent="0.25">
      <c r="A24" s="58"/>
      <c r="B24" s="2918"/>
      <c r="C24" s="2961"/>
      <c r="D24" s="2947" t="s">
        <v>278</v>
      </c>
      <c r="E24" s="2962"/>
      <c r="F24" s="2386">
        <v>2471702</v>
      </c>
      <c r="G24" s="2386">
        <v>2573887</v>
      </c>
      <c r="H24" s="2386">
        <v>2676965</v>
      </c>
      <c r="I24" s="2386">
        <v>2730866</v>
      </c>
      <c r="J24" s="2386">
        <v>2848517</v>
      </c>
      <c r="K24" s="2386">
        <v>2892517</v>
      </c>
      <c r="L24" s="2386">
        <v>3095816</v>
      </c>
      <c r="M24" s="2386">
        <v>3113915</v>
      </c>
      <c r="N24" s="2386">
        <v>3241150</v>
      </c>
      <c r="O24" s="2386">
        <v>3434240</v>
      </c>
      <c r="P24" s="2386">
        <v>3503221</v>
      </c>
      <c r="Q24" s="2386">
        <v>3660329</v>
      </c>
      <c r="R24" s="2386">
        <v>3818859</v>
      </c>
      <c r="S24" s="2386">
        <v>3962601</v>
      </c>
      <c r="T24" s="2386">
        <v>4098369</v>
      </c>
      <c r="U24" s="2386">
        <v>4259812.0979495002</v>
      </c>
      <c r="V24" s="2386">
        <v>4469793.5118195005</v>
      </c>
      <c r="W24" s="2386">
        <v>4561529.2211835003</v>
      </c>
      <c r="X24" s="2386">
        <v>4676108.7885154011</v>
      </c>
      <c r="Y24" s="2386">
        <v>4936668.2191960998</v>
      </c>
    </row>
    <row r="25" spans="1:136" x14ac:dyDescent="0.25">
      <c r="A25" s="58"/>
      <c r="B25" s="2918"/>
      <c r="C25" s="2961"/>
      <c r="D25" s="2947" t="s">
        <v>641</v>
      </c>
      <c r="E25" s="2962"/>
      <c r="F25" s="2386">
        <v>1052672</v>
      </c>
      <c r="G25" s="2386">
        <v>1200507</v>
      </c>
      <c r="H25" s="2386">
        <v>1248223</v>
      </c>
      <c r="I25" s="2386">
        <v>1302367</v>
      </c>
      <c r="J25" s="2386">
        <v>1383028</v>
      </c>
      <c r="K25" s="2386">
        <v>1442808</v>
      </c>
      <c r="L25" s="2386">
        <v>1424227</v>
      </c>
      <c r="M25" s="2386">
        <v>1622391</v>
      </c>
      <c r="N25" s="2386">
        <v>1662237</v>
      </c>
      <c r="O25" s="2386">
        <v>1707508</v>
      </c>
      <c r="P25" s="2386">
        <v>1667082</v>
      </c>
      <c r="Q25" s="2386">
        <v>1888562</v>
      </c>
      <c r="R25" s="2386">
        <v>1981812</v>
      </c>
      <c r="S25" s="2386">
        <v>2074878</v>
      </c>
      <c r="T25" s="2386">
        <v>2117945</v>
      </c>
      <c r="U25" s="2386">
        <v>2287390.6811611</v>
      </c>
      <c r="V25" s="2386">
        <v>2354139.0650491999</v>
      </c>
      <c r="W25" s="2386">
        <v>2415940.3975351001</v>
      </c>
      <c r="X25" s="2386">
        <v>2456593.5405585999</v>
      </c>
      <c r="Y25" s="2386">
        <v>2623455.2850580998</v>
      </c>
    </row>
    <row r="26" spans="1:136" x14ac:dyDescent="0.25">
      <c r="A26" s="58"/>
      <c r="B26" s="2918"/>
      <c r="C26" s="2961"/>
      <c r="D26" s="2947" t="s">
        <v>280</v>
      </c>
      <c r="E26" s="2962"/>
      <c r="F26" s="2386">
        <v>301718</v>
      </c>
      <c r="G26" s="2386">
        <v>298183</v>
      </c>
      <c r="H26" s="2386">
        <v>401986</v>
      </c>
      <c r="I26" s="2386">
        <v>421327</v>
      </c>
      <c r="J26" s="2386">
        <v>406377</v>
      </c>
      <c r="K26" s="2386">
        <v>448274</v>
      </c>
      <c r="L26" s="2386">
        <v>398435</v>
      </c>
      <c r="M26" s="2386">
        <v>518516</v>
      </c>
      <c r="N26" s="2386">
        <v>519950</v>
      </c>
      <c r="O26" s="2386">
        <v>600324</v>
      </c>
      <c r="P26" s="2386">
        <v>666771</v>
      </c>
      <c r="Q26" s="2386">
        <v>696240</v>
      </c>
      <c r="R26" s="2386">
        <v>766187</v>
      </c>
      <c r="S26" s="2386">
        <v>781755</v>
      </c>
      <c r="T26" s="2386">
        <v>851450</v>
      </c>
      <c r="U26" s="2386">
        <v>909787.88685949997</v>
      </c>
      <c r="V26" s="2386">
        <v>928852.84912519995</v>
      </c>
      <c r="W26" s="2386">
        <v>1027643.6802268</v>
      </c>
      <c r="X26" s="2386">
        <v>962893.12550349999</v>
      </c>
      <c r="Y26" s="2386">
        <v>984311.1930962</v>
      </c>
    </row>
    <row r="27" spans="1:136" x14ac:dyDescent="0.25">
      <c r="A27" s="58"/>
      <c r="B27" s="2918"/>
      <c r="C27" s="2961"/>
      <c r="D27" s="2947" t="s">
        <v>281</v>
      </c>
      <c r="E27" s="2962"/>
      <c r="F27" s="2386">
        <v>406701</v>
      </c>
      <c r="G27" s="2386">
        <v>450857</v>
      </c>
      <c r="H27" s="2386">
        <v>470511</v>
      </c>
      <c r="I27" s="2386">
        <v>421447</v>
      </c>
      <c r="J27" s="2386">
        <v>478584</v>
      </c>
      <c r="K27" s="2386">
        <v>535313</v>
      </c>
      <c r="L27" s="2386">
        <v>518712</v>
      </c>
      <c r="M27" s="2386">
        <v>518032</v>
      </c>
      <c r="N27" s="2386">
        <v>544308</v>
      </c>
      <c r="O27" s="2386">
        <v>591984</v>
      </c>
      <c r="P27" s="2386">
        <v>662767</v>
      </c>
      <c r="Q27" s="2386">
        <v>695304</v>
      </c>
      <c r="R27" s="2386">
        <v>732356</v>
      </c>
      <c r="S27" s="2386">
        <v>772029</v>
      </c>
      <c r="T27" s="2386">
        <v>815300</v>
      </c>
      <c r="U27" s="2386">
        <v>844967.66743119992</v>
      </c>
      <c r="V27" s="2386">
        <v>876087.79342549993</v>
      </c>
      <c r="W27" s="2386">
        <v>848460.01364369993</v>
      </c>
      <c r="X27" s="2386">
        <v>871172.37165599992</v>
      </c>
      <c r="Y27" s="2386">
        <v>883958.76585029997</v>
      </c>
    </row>
    <row r="28" spans="1:136" x14ac:dyDescent="0.25">
      <c r="A28" s="58"/>
      <c r="B28" s="2918"/>
      <c r="C28" s="2961"/>
      <c r="D28" s="2947" t="s">
        <v>282</v>
      </c>
      <c r="E28" s="2962"/>
      <c r="F28" s="2386">
        <v>414477</v>
      </c>
      <c r="G28" s="2386">
        <v>482045</v>
      </c>
      <c r="H28" s="2386">
        <v>469065</v>
      </c>
      <c r="I28" s="2386">
        <v>459473</v>
      </c>
      <c r="J28" s="2386">
        <v>466970</v>
      </c>
      <c r="K28" s="2386">
        <v>550273</v>
      </c>
      <c r="L28" s="2386">
        <v>523486</v>
      </c>
      <c r="M28" s="2386">
        <v>604357</v>
      </c>
      <c r="N28" s="2386">
        <v>619944</v>
      </c>
      <c r="O28" s="2386">
        <v>633976</v>
      </c>
      <c r="P28" s="2386">
        <v>720180</v>
      </c>
      <c r="Q28" s="2386">
        <v>727139</v>
      </c>
      <c r="R28" s="2386">
        <v>712768</v>
      </c>
      <c r="S28" s="2386">
        <v>731607</v>
      </c>
      <c r="T28" s="2386">
        <v>781224</v>
      </c>
      <c r="U28" s="2386">
        <v>838968.86302569997</v>
      </c>
      <c r="V28" s="2386">
        <v>852711.67010890006</v>
      </c>
      <c r="W28" s="2386">
        <v>858225.06361739989</v>
      </c>
      <c r="X28" s="2386">
        <v>989189.80908660009</v>
      </c>
      <c r="Y28" s="2386">
        <v>1015340.3825896</v>
      </c>
    </row>
    <row r="29" spans="1:136" x14ac:dyDescent="0.25">
      <c r="A29" s="58"/>
      <c r="B29" s="2918"/>
      <c r="C29" s="2961"/>
      <c r="D29" s="2947" t="s">
        <v>860</v>
      </c>
      <c r="E29" s="2962"/>
      <c r="F29" s="2386">
        <v>186532</v>
      </c>
      <c r="G29" s="2386">
        <v>191057</v>
      </c>
      <c r="H29" s="2386">
        <v>194971</v>
      </c>
      <c r="I29" s="2386">
        <v>207173</v>
      </c>
      <c r="J29" s="2386">
        <v>204561</v>
      </c>
      <c r="K29" s="2386">
        <v>219286</v>
      </c>
      <c r="L29" s="2386">
        <v>210254</v>
      </c>
      <c r="M29" s="2386">
        <v>236425</v>
      </c>
      <c r="N29" s="2386">
        <v>230751</v>
      </c>
      <c r="O29" s="2386">
        <v>243089</v>
      </c>
      <c r="P29" s="2386">
        <v>251008</v>
      </c>
      <c r="Q29" s="2386">
        <v>249088</v>
      </c>
      <c r="R29" s="2386">
        <v>260982</v>
      </c>
      <c r="S29" s="2386">
        <v>257044</v>
      </c>
      <c r="T29" s="2386">
        <v>268759</v>
      </c>
      <c r="U29" s="2386">
        <v>292875.31905569998</v>
      </c>
      <c r="V29" s="2386">
        <v>307105.5172837</v>
      </c>
      <c r="W29" s="2386">
        <v>293035.02800980001</v>
      </c>
      <c r="X29" s="2386">
        <v>308003.96022730006</v>
      </c>
      <c r="Y29" s="2386">
        <v>316655.93028899998</v>
      </c>
    </row>
    <row r="30" spans="1:136" x14ac:dyDescent="0.25">
      <c r="A30" s="58"/>
      <c r="B30" s="2918"/>
      <c r="C30" s="2961"/>
      <c r="D30" s="2947" t="s">
        <v>861</v>
      </c>
      <c r="E30" s="2962"/>
      <c r="F30" s="2386">
        <v>1120828</v>
      </c>
      <c r="G30" s="2386">
        <v>1122576</v>
      </c>
      <c r="H30" s="2386">
        <v>1180961</v>
      </c>
      <c r="I30" s="2386">
        <v>1229455</v>
      </c>
      <c r="J30" s="2386">
        <v>1294223</v>
      </c>
      <c r="K30" s="2386">
        <v>1307429</v>
      </c>
      <c r="L30" s="2386">
        <v>1337040</v>
      </c>
      <c r="M30" s="2386">
        <v>1386596</v>
      </c>
      <c r="N30" s="2386">
        <v>1428073</v>
      </c>
      <c r="O30" s="2386">
        <v>1446180</v>
      </c>
      <c r="P30" s="2386">
        <v>1478260</v>
      </c>
      <c r="Q30" s="2386">
        <v>1528087</v>
      </c>
      <c r="R30" s="2386">
        <v>1576638</v>
      </c>
      <c r="S30" s="2386">
        <v>1598350</v>
      </c>
      <c r="T30" s="2386">
        <v>1667668</v>
      </c>
      <c r="U30" s="2386">
        <v>1717708.9800684999</v>
      </c>
      <c r="V30" s="2386">
        <v>1759430.2291328004</v>
      </c>
      <c r="W30" s="2386">
        <v>1826487.7720248001</v>
      </c>
      <c r="X30" s="2386">
        <v>1839869.0699349002</v>
      </c>
      <c r="Y30" s="2386">
        <v>1916080.9381888001</v>
      </c>
    </row>
    <row r="31" spans="1:136" s="2966" customFormat="1" x14ac:dyDescent="0.25">
      <c r="A31" s="58"/>
      <c r="B31" s="2963"/>
      <c r="C31" s="2963"/>
      <c r="D31" s="3670" t="s">
        <v>103</v>
      </c>
      <c r="E31" s="3669"/>
      <c r="F31" s="3713">
        <v>6896734</v>
      </c>
      <c r="G31" s="3713">
        <v>7306929</v>
      </c>
      <c r="H31" s="3713">
        <v>7719773</v>
      </c>
      <c r="I31" s="3713">
        <v>7982819</v>
      </c>
      <c r="J31" s="3713">
        <v>8356419</v>
      </c>
      <c r="K31" s="3713">
        <v>8746642</v>
      </c>
      <c r="L31" s="3713">
        <v>8927869</v>
      </c>
      <c r="M31" s="3713">
        <v>9506974</v>
      </c>
      <c r="N31" s="3713">
        <v>9815750</v>
      </c>
      <c r="O31" s="3713">
        <v>10328192</v>
      </c>
      <c r="P31" s="3713">
        <v>10692591</v>
      </c>
      <c r="Q31" s="3713">
        <v>11268669</v>
      </c>
      <c r="R31" s="3713">
        <v>11813269</v>
      </c>
      <c r="S31" s="3713">
        <v>12205646</v>
      </c>
      <c r="T31" s="3713">
        <v>12715932</v>
      </c>
      <c r="U31" s="3713">
        <v>13326324.561985899</v>
      </c>
      <c r="V31" s="3713">
        <v>13797953.7720547</v>
      </c>
      <c r="W31" s="3713">
        <v>14080054.921204101</v>
      </c>
      <c r="X31" s="3713">
        <v>14477478.150981098</v>
      </c>
      <c r="Y31" s="3713">
        <v>15079973.4859479</v>
      </c>
      <c r="Z31" s="2891"/>
      <c r="AA31" s="2964"/>
      <c r="AB31" s="2964"/>
      <c r="AC31" s="2964"/>
      <c r="AD31" s="2964"/>
      <c r="AE31" s="2964"/>
      <c r="AF31" s="2964"/>
      <c r="AG31" s="2964"/>
      <c r="AH31" s="2964"/>
      <c r="AI31" s="2964"/>
      <c r="AJ31" s="2964"/>
      <c r="AK31" s="2964"/>
      <c r="AL31" s="2964"/>
      <c r="AM31" s="2964"/>
      <c r="AN31" s="2964"/>
      <c r="AO31" s="2964"/>
      <c r="AP31" s="2964"/>
      <c r="AQ31" s="2964"/>
      <c r="AR31" s="2964"/>
      <c r="AS31" s="2964"/>
      <c r="AT31" s="2964"/>
      <c r="AU31" s="2964"/>
      <c r="AV31" s="2964"/>
      <c r="AW31" s="2964"/>
      <c r="AX31" s="2964"/>
      <c r="AY31" s="2964"/>
      <c r="AZ31" s="2964"/>
      <c r="BA31" s="2964"/>
      <c r="BB31" s="2964"/>
      <c r="BC31" s="2964"/>
      <c r="BD31" s="2964"/>
      <c r="BE31" s="2964"/>
      <c r="BF31" s="2964"/>
      <c r="BG31" s="2964"/>
      <c r="BH31" s="2964"/>
      <c r="BI31" s="2964"/>
      <c r="BJ31" s="2964"/>
      <c r="BK31" s="2964"/>
      <c r="BL31" s="2964"/>
      <c r="BM31" s="2964"/>
      <c r="BN31" s="2964"/>
      <c r="BO31" s="2964"/>
      <c r="BP31" s="2964"/>
      <c r="BQ31" s="2964"/>
      <c r="BR31" s="2964"/>
      <c r="BS31" s="2964"/>
      <c r="BT31" s="2964"/>
      <c r="BU31" s="2964"/>
      <c r="BV31" s="2964"/>
      <c r="BW31" s="2964"/>
      <c r="BX31" s="2964"/>
      <c r="BY31" s="2964"/>
      <c r="BZ31" s="2964"/>
      <c r="CA31" s="2964"/>
      <c r="CB31" s="2964"/>
      <c r="CC31" s="2964"/>
      <c r="CD31" s="2964"/>
      <c r="CE31" s="2964"/>
      <c r="CF31" s="2964"/>
      <c r="CG31" s="2964"/>
      <c r="CH31" s="2964"/>
      <c r="CI31" s="2964"/>
      <c r="CJ31" s="2964"/>
      <c r="CK31" s="2964"/>
      <c r="CL31" s="2964"/>
      <c r="CM31" s="2964"/>
      <c r="CN31" s="2964"/>
      <c r="CO31" s="2964"/>
      <c r="CP31" s="2964"/>
      <c r="CQ31" s="2964"/>
      <c r="CR31" s="2964"/>
      <c r="CS31" s="2964"/>
      <c r="CT31" s="2964"/>
      <c r="CU31" s="2964"/>
      <c r="CV31" s="2964"/>
      <c r="CW31" s="2964"/>
      <c r="CX31" s="2964"/>
      <c r="CY31" s="2964"/>
      <c r="CZ31" s="2964"/>
      <c r="DA31" s="2964"/>
      <c r="DB31" s="2964"/>
      <c r="DC31" s="2964"/>
      <c r="DD31" s="2964"/>
      <c r="DE31" s="2964"/>
      <c r="DF31" s="2964"/>
      <c r="DG31" s="2964"/>
      <c r="DH31" s="2964"/>
      <c r="DI31" s="2964"/>
      <c r="DJ31" s="2964"/>
      <c r="DK31" s="2964"/>
      <c r="DL31" s="2964"/>
      <c r="DM31" s="2964"/>
      <c r="DN31" s="2964"/>
      <c r="DO31" s="2964"/>
      <c r="DP31" s="2964"/>
      <c r="DQ31" s="2964"/>
      <c r="DR31" s="2964"/>
      <c r="DS31" s="2964"/>
      <c r="DT31" s="2964"/>
      <c r="DU31" s="2964"/>
      <c r="DV31" s="2964"/>
      <c r="DW31" s="2964"/>
      <c r="DX31" s="2964"/>
      <c r="DY31" s="2964"/>
      <c r="DZ31" s="2964"/>
      <c r="EA31" s="2964"/>
      <c r="EB31" s="2964"/>
      <c r="EC31" s="2964"/>
      <c r="ED31" s="2964"/>
      <c r="EE31" s="2964"/>
      <c r="EF31" s="2964"/>
    </row>
    <row r="32" spans="1:136" s="2964" customFormat="1" x14ac:dyDescent="0.25">
      <c r="A32" s="58"/>
      <c r="B32" s="2963"/>
      <c r="C32" s="2963"/>
      <c r="D32" s="2967"/>
      <c r="E32" s="1129"/>
      <c r="F32" s="1129"/>
      <c r="G32" s="1129"/>
      <c r="H32" s="1129"/>
      <c r="I32" s="1129"/>
      <c r="J32" s="1129"/>
      <c r="K32" s="1129"/>
      <c r="L32" s="1129"/>
      <c r="M32" s="1129"/>
      <c r="N32" s="1129"/>
      <c r="O32" s="1129"/>
      <c r="P32" s="1129"/>
      <c r="Q32" s="1129"/>
      <c r="R32" s="1129"/>
      <c r="S32" s="1129"/>
      <c r="T32" s="1129"/>
      <c r="U32" s="1129"/>
      <c r="V32" s="1129"/>
      <c r="W32" s="1129"/>
      <c r="X32" s="1129"/>
    </row>
    <row r="33" spans="1:136" x14ac:dyDescent="0.2">
      <c r="B33" s="2944"/>
      <c r="C33" s="2944"/>
      <c r="D33" s="71" t="s">
        <v>874</v>
      </c>
      <c r="E33" s="71" t="s">
        <v>875</v>
      </c>
      <c r="F33" s="71"/>
      <c r="G33" s="71"/>
      <c r="H33" s="71"/>
      <c r="I33" s="2918"/>
      <c r="J33" s="2918"/>
      <c r="K33" s="2919"/>
      <c r="L33" s="2919"/>
      <c r="M33" s="2919"/>
      <c r="N33" s="2919"/>
      <c r="O33" s="2919"/>
      <c r="P33" s="2919"/>
      <c r="Q33" s="2919"/>
      <c r="R33" s="508"/>
      <c r="S33" s="508"/>
    </row>
    <row r="34" spans="1:136" x14ac:dyDescent="0.2">
      <c r="B34" s="2944"/>
      <c r="C34" s="2944"/>
      <c r="D34" s="2243"/>
      <c r="E34" s="2243"/>
      <c r="F34" s="2960">
        <v>2002</v>
      </c>
      <c r="G34" s="2960">
        <v>2003</v>
      </c>
      <c r="H34" s="2960">
        <v>2004</v>
      </c>
      <c r="I34" s="2960">
        <v>2005</v>
      </c>
      <c r="J34" s="2960">
        <v>2006</v>
      </c>
      <c r="K34" s="2960">
        <v>2007</v>
      </c>
      <c r="L34" s="2960">
        <v>2008</v>
      </c>
      <c r="M34" s="2960">
        <v>2009</v>
      </c>
      <c r="N34" s="2960">
        <v>2010</v>
      </c>
      <c r="O34" s="2960">
        <v>2011</v>
      </c>
      <c r="P34" s="2960">
        <v>2012</v>
      </c>
      <c r="Q34" s="2960">
        <v>2013</v>
      </c>
      <c r="R34" s="2960">
        <v>2014</v>
      </c>
      <c r="S34" s="2960">
        <v>2015</v>
      </c>
      <c r="T34" s="2960">
        <v>2016</v>
      </c>
      <c r="U34" s="2960">
        <v>2017</v>
      </c>
      <c r="V34" s="1138">
        <v>2018</v>
      </c>
      <c r="W34" s="1138">
        <v>2019</v>
      </c>
      <c r="X34" s="1138">
        <v>2020</v>
      </c>
      <c r="Y34" s="1138">
        <v>2021</v>
      </c>
    </row>
    <row r="35" spans="1:136" x14ac:dyDescent="0.25">
      <c r="A35" s="58"/>
      <c r="B35" s="2918"/>
      <c r="C35" s="2961"/>
      <c r="D35" s="2947" t="s">
        <v>276</v>
      </c>
      <c r="E35" s="2962"/>
      <c r="F35" s="2385">
        <v>552647</v>
      </c>
      <c r="G35" s="2385">
        <v>61406</v>
      </c>
      <c r="H35" s="2385">
        <v>71737</v>
      </c>
      <c r="I35" s="2385">
        <v>53463</v>
      </c>
      <c r="J35" s="2385">
        <v>52580</v>
      </c>
      <c r="K35" s="2385">
        <v>50493</v>
      </c>
      <c r="L35" s="2385">
        <v>15464</v>
      </c>
      <c r="M35" s="2385">
        <v>13016</v>
      </c>
      <c r="N35" s="2385">
        <v>10555</v>
      </c>
      <c r="O35" s="2385">
        <v>7232</v>
      </c>
      <c r="P35" s="2385">
        <v>12690</v>
      </c>
      <c r="Q35" s="2385">
        <v>158504</v>
      </c>
      <c r="R35" s="2385">
        <v>12312</v>
      </c>
      <c r="S35" s="2385">
        <v>11487</v>
      </c>
      <c r="T35" s="2385">
        <v>14337</v>
      </c>
      <c r="U35" s="2385">
        <v>17542</v>
      </c>
      <c r="V35" s="2385">
        <v>15103.732287700001</v>
      </c>
      <c r="W35" s="2385">
        <v>8338.7344353000008</v>
      </c>
      <c r="X35" s="2385">
        <v>1267.7737500000001</v>
      </c>
      <c r="Y35" s="2385">
        <v>9463.3355320999999</v>
      </c>
    </row>
    <row r="36" spans="1:136" x14ac:dyDescent="0.25">
      <c r="A36" s="58"/>
      <c r="B36" s="2918"/>
      <c r="C36" s="2961"/>
      <c r="D36" s="2947" t="s">
        <v>277</v>
      </c>
      <c r="E36" s="2962"/>
      <c r="F36" s="2386">
        <v>117127</v>
      </c>
      <c r="G36" s="2386">
        <v>78709</v>
      </c>
      <c r="H36" s="2386">
        <v>67727</v>
      </c>
      <c r="I36" s="2386">
        <v>107271</v>
      </c>
      <c r="J36" s="2386">
        <v>106054</v>
      </c>
      <c r="K36" s="2386">
        <v>87883</v>
      </c>
      <c r="L36" s="2386">
        <v>68042</v>
      </c>
      <c r="M36" s="2386">
        <v>41288</v>
      </c>
      <c r="N36" s="2386">
        <v>28410</v>
      </c>
      <c r="O36" s="2386">
        <v>16427</v>
      </c>
      <c r="P36" s="2386">
        <v>29872</v>
      </c>
      <c r="Q36" s="2386">
        <v>62931</v>
      </c>
      <c r="R36" s="2386">
        <v>50052</v>
      </c>
      <c r="S36" s="2386">
        <v>20800</v>
      </c>
      <c r="T36" s="2386">
        <v>20871</v>
      </c>
      <c r="U36" s="2386">
        <v>16498</v>
      </c>
      <c r="V36" s="2386">
        <v>17207.947703999998</v>
      </c>
      <c r="W36" s="2386">
        <v>21247.229483399999</v>
      </c>
      <c r="X36" s="2386">
        <v>19739.157750499999</v>
      </c>
      <c r="Y36" s="2386">
        <v>39314.872279499999</v>
      </c>
    </row>
    <row r="37" spans="1:136" x14ac:dyDescent="0.25">
      <c r="A37" s="58"/>
      <c r="B37" s="2918"/>
      <c r="C37" s="2961"/>
      <c r="D37" s="2947" t="s">
        <v>278</v>
      </c>
      <c r="E37" s="2962"/>
      <c r="F37" s="2386">
        <v>51236</v>
      </c>
      <c r="G37" s="2386">
        <v>10268</v>
      </c>
      <c r="H37" s="2386">
        <v>6866</v>
      </c>
      <c r="I37" s="2386">
        <v>7894</v>
      </c>
      <c r="J37" s="2386">
        <v>5374</v>
      </c>
      <c r="K37" s="2386">
        <v>9165</v>
      </c>
      <c r="L37" s="2386">
        <v>15514</v>
      </c>
      <c r="M37" s="2386">
        <v>25087</v>
      </c>
      <c r="N37" s="2386">
        <v>17861</v>
      </c>
      <c r="O37" s="2386">
        <v>7788</v>
      </c>
      <c r="P37" s="2386">
        <v>29448</v>
      </c>
      <c r="Q37" s="2386">
        <v>74596</v>
      </c>
      <c r="R37" s="2386">
        <v>47862</v>
      </c>
      <c r="S37" s="2386">
        <v>48339</v>
      </c>
      <c r="T37" s="2386">
        <v>73331</v>
      </c>
      <c r="U37" s="2386">
        <v>93192</v>
      </c>
      <c r="V37" s="2386">
        <v>74664.246893599993</v>
      </c>
      <c r="W37" s="2386">
        <v>92299.825635199988</v>
      </c>
      <c r="X37" s="2386">
        <v>42425.6832756</v>
      </c>
      <c r="Y37" s="2386">
        <v>28621.7648219</v>
      </c>
    </row>
    <row r="38" spans="1:136" x14ac:dyDescent="0.25">
      <c r="A38" s="58"/>
      <c r="B38" s="2918"/>
      <c r="C38" s="2961"/>
      <c r="D38" s="2947" t="s">
        <v>641</v>
      </c>
      <c r="E38" s="2962"/>
      <c r="F38" s="2386">
        <v>228166</v>
      </c>
      <c r="G38" s="2386">
        <v>7667</v>
      </c>
      <c r="H38" s="2386">
        <v>12729</v>
      </c>
      <c r="I38" s="2386">
        <v>3817</v>
      </c>
      <c r="J38" s="2386">
        <v>25693</v>
      </c>
      <c r="K38" s="2386">
        <v>10939</v>
      </c>
      <c r="L38" s="2386">
        <v>10268</v>
      </c>
      <c r="M38" s="2386">
        <v>846</v>
      </c>
      <c r="N38" s="2386">
        <v>7205</v>
      </c>
      <c r="O38" s="2386">
        <v>1795</v>
      </c>
      <c r="P38" s="2386">
        <v>30955</v>
      </c>
      <c r="Q38" s="2386">
        <v>139951</v>
      </c>
      <c r="R38" s="2386">
        <v>4024</v>
      </c>
      <c r="S38" s="2386">
        <v>10080</v>
      </c>
      <c r="T38" s="2386">
        <v>5966</v>
      </c>
      <c r="U38" s="2386">
        <v>11075</v>
      </c>
      <c r="V38" s="2386">
        <v>14937.926239099999</v>
      </c>
      <c r="W38" s="2386">
        <v>4752.2292992000002</v>
      </c>
      <c r="X38" s="2386">
        <v>31454.222780199998</v>
      </c>
      <c r="Y38" s="2386">
        <v>2642.7773281</v>
      </c>
    </row>
    <row r="39" spans="1:136" x14ac:dyDescent="0.25">
      <c r="A39" s="58"/>
      <c r="B39" s="2918"/>
      <c r="C39" s="2961"/>
      <c r="D39" s="2947" t="s">
        <v>280</v>
      </c>
      <c r="E39" s="2962"/>
      <c r="F39" s="2386">
        <v>228303</v>
      </c>
      <c r="G39" s="2386">
        <v>533</v>
      </c>
      <c r="H39" s="2386">
        <v>702</v>
      </c>
      <c r="I39" s="2386">
        <v>1389</v>
      </c>
      <c r="J39" s="2386">
        <v>4780</v>
      </c>
      <c r="K39" s="2386">
        <v>2497</v>
      </c>
      <c r="L39" s="2386">
        <v>5855</v>
      </c>
      <c r="M39" s="2386">
        <v>1624</v>
      </c>
      <c r="N39" s="2386">
        <v>257</v>
      </c>
      <c r="O39" s="2386">
        <v>0</v>
      </c>
      <c r="P39" s="2386">
        <v>524</v>
      </c>
      <c r="Q39" s="2386">
        <v>101615</v>
      </c>
      <c r="R39" s="2386">
        <v>4893</v>
      </c>
      <c r="S39" s="2386">
        <v>2858</v>
      </c>
      <c r="T39" s="2386">
        <v>3332</v>
      </c>
      <c r="U39" s="2386">
        <v>2105</v>
      </c>
      <c r="V39" s="2386">
        <v>3959.0896026</v>
      </c>
      <c r="W39" s="2386">
        <v>1405.7401096000001</v>
      </c>
      <c r="X39" s="2386">
        <v>0</v>
      </c>
      <c r="Y39" s="2386">
        <v>0</v>
      </c>
    </row>
    <row r="40" spans="1:136" x14ac:dyDescent="0.25">
      <c r="A40" s="58"/>
      <c r="B40" s="2918"/>
      <c r="C40" s="2961"/>
      <c r="D40" s="2947" t="s">
        <v>281</v>
      </c>
      <c r="E40" s="2962"/>
      <c r="F40" s="2386">
        <v>59551</v>
      </c>
      <c r="G40" s="2386">
        <v>17603</v>
      </c>
      <c r="H40" s="2386">
        <v>19979</v>
      </c>
      <c r="I40" s="2386">
        <v>17798</v>
      </c>
      <c r="J40" s="2386">
        <v>7869</v>
      </c>
      <c r="K40" s="2386">
        <v>3015</v>
      </c>
      <c r="L40" s="2386">
        <v>3994</v>
      </c>
      <c r="M40" s="2386">
        <v>8144</v>
      </c>
      <c r="N40" s="2386">
        <v>1339</v>
      </c>
      <c r="O40" s="2386">
        <v>1351</v>
      </c>
      <c r="P40" s="2386">
        <v>0</v>
      </c>
      <c r="Q40" s="2386">
        <v>70218</v>
      </c>
      <c r="R40" s="2386">
        <v>2199</v>
      </c>
      <c r="S40" s="2386">
        <v>608</v>
      </c>
      <c r="T40" s="2386">
        <v>0</v>
      </c>
      <c r="U40" s="2386">
        <v>2690</v>
      </c>
      <c r="V40" s="2386">
        <v>0</v>
      </c>
      <c r="W40" s="2386">
        <v>880.96343690000003</v>
      </c>
      <c r="X40" s="2386">
        <v>0</v>
      </c>
      <c r="Y40" s="2386">
        <v>0</v>
      </c>
    </row>
    <row r="41" spans="1:136" x14ac:dyDescent="0.25">
      <c r="A41" s="58"/>
      <c r="B41" s="2918"/>
      <c r="C41" s="2961"/>
      <c r="D41" s="2947" t="s">
        <v>282</v>
      </c>
      <c r="E41" s="2962"/>
      <c r="F41" s="2386">
        <v>53791</v>
      </c>
      <c r="G41" s="2386">
        <v>15072</v>
      </c>
      <c r="H41" s="2386">
        <v>18859</v>
      </c>
      <c r="I41" s="2386">
        <v>30085</v>
      </c>
      <c r="J41" s="2386">
        <v>26945</v>
      </c>
      <c r="K41" s="2386">
        <v>13998</v>
      </c>
      <c r="L41" s="2386">
        <v>7313</v>
      </c>
      <c r="M41" s="2386">
        <v>3485</v>
      </c>
      <c r="N41" s="2386">
        <v>460</v>
      </c>
      <c r="O41" s="2386">
        <v>2123</v>
      </c>
      <c r="P41" s="2386">
        <v>2278</v>
      </c>
      <c r="Q41" s="2386">
        <v>51773</v>
      </c>
      <c r="R41" s="2386">
        <v>4511</v>
      </c>
      <c r="S41" s="2386">
        <v>2774</v>
      </c>
      <c r="T41" s="2386">
        <v>4382</v>
      </c>
      <c r="U41" s="2386">
        <v>2581</v>
      </c>
      <c r="V41" s="2386">
        <v>4104.5590088999998</v>
      </c>
      <c r="W41" s="2386">
        <v>0</v>
      </c>
      <c r="X41" s="2386">
        <v>0</v>
      </c>
      <c r="Y41" s="2386">
        <v>0</v>
      </c>
    </row>
    <row r="42" spans="1:136" x14ac:dyDescent="0.25">
      <c r="A42" s="58"/>
      <c r="B42" s="2918"/>
      <c r="C42" s="2961"/>
      <c r="D42" s="2947" t="s">
        <v>860</v>
      </c>
      <c r="E42" s="2962"/>
      <c r="F42" s="2386">
        <v>43615</v>
      </c>
      <c r="G42" s="2386">
        <v>22932</v>
      </c>
      <c r="H42" s="2386">
        <v>13326</v>
      </c>
      <c r="I42" s="2386">
        <v>13067</v>
      </c>
      <c r="J42" s="2386">
        <v>15578</v>
      </c>
      <c r="K42" s="2386">
        <v>10031</v>
      </c>
      <c r="L42" s="2386">
        <v>9633</v>
      </c>
      <c r="M42" s="2386">
        <v>6850</v>
      </c>
      <c r="N42" s="2386">
        <v>3251</v>
      </c>
      <c r="O42" s="2386">
        <v>6495</v>
      </c>
      <c r="P42" s="2386">
        <v>4817</v>
      </c>
      <c r="Q42" s="2386">
        <v>22964</v>
      </c>
      <c r="R42" s="2386">
        <v>10876</v>
      </c>
      <c r="S42" s="2386">
        <v>7401</v>
      </c>
      <c r="T42" s="2386">
        <v>4199</v>
      </c>
      <c r="U42" s="2386">
        <v>4573</v>
      </c>
      <c r="V42" s="2386">
        <v>3486.0126624</v>
      </c>
      <c r="W42" s="2386">
        <v>3735.0023376999998</v>
      </c>
      <c r="X42" s="2386">
        <v>2303.6586863000002</v>
      </c>
      <c r="Y42" s="2386">
        <v>5118.3638608000001</v>
      </c>
    </row>
    <row r="43" spans="1:136" x14ac:dyDescent="0.25">
      <c r="A43" s="58"/>
      <c r="B43" s="2918"/>
      <c r="C43" s="2961"/>
      <c r="D43" s="2947" t="s">
        <v>861</v>
      </c>
      <c r="E43" s="2962"/>
      <c r="F43" s="2386">
        <v>69924</v>
      </c>
      <c r="G43" s="2386">
        <v>24720</v>
      </c>
      <c r="H43" s="2386">
        <v>19146</v>
      </c>
      <c r="I43" s="2386">
        <v>28937</v>
      </c>
      <c r="J43" s="2386">
        <v>38398</v>
      </c>
      <c r="K43" s="2386">
        <v>21069</v>
      </c>
      <c r="L43" s="2386">
        <v>51924</v>
      </c>
      <c r="M43" s="2386">
        <v>42308</v>
      </c>
      <c r="N43" s="2386">
        <v>21282</v>
      </c>
      <c r="O43" s="2386">
        <v>30102</v>
      </c>
      <c r="P43" s="2386">
        <v>21837</v>
      </c>
      <c r="Q43" s="2386">
        <v>58818</v>
      </c>
      <c r="R43" s="2386">
        <v>48816</v>
      </c>
      <c r="S43" s="2386">
        <v>69113</v>
      </c>
      <c r="T43" s="2386">
        <v>73014</v>
      </c>
      <c r="U43" s="2386">
        <v>87978</v>
      </c>
      <c r="V43" s="2386">
        <v>92104.024345600003</v>
      </c>
      <c r="W43" s="2386">
        <v>54733.480311899999</v>
      </c>
      <c r="X43" s="2386">
        <v>86933.338358199995</v>
      </c>
      <c r="Y43" s="2386">
        <v>66076.420393199995</v>
      </c>
    </row>
    <row r="44" spans="1:136" s="2966" customFormat="1" x14ac:dyDescent="0.25">
      <c r="A44" s="58"/>
      <c r="B44" s="2963"/>
      <c r="C44" s="2963"/>
      <c r="D44" s="3670" t="s">
        <v>103</v>
      </c>
      <c r="E44" s="3669"/>
      <c r="F44" s="3713">
        <v>1404360</v>
      </c>
      <c r="G44" s="3713">
        <v>238909</v>
      </c>
      <c r="H44" s="3713">
        <v>231071</v>
      </c>
      <c r="I44" s="3713">
        <v>263721</v>
      </c>
      <c r="J44" s="3713">
        <v>283271</v>
      </c>
      <c r="K44" s="3713">
        <v>209090</v>
      </c>
      <c r="L44" s="3713">
        <v>188007</v>
      </c>
      <c r="M44" s="3713">
        <v>142647</v>
      </c>
      <c r="N44" s="3713">
        <v>90621</v>
      </c>
      <c r="O44" s="3713">
        <v>73313</v>
      </c>
      <c r="P44" s="3713">
        <v>132422</v>
      </c>
      <c r="Q44" s="3713">
        <v>741370</v>
      </c>
      <c r="R44" s="3713">
        <v>185545</v>
      </c>
      <c r="S44" s="3713">
        <v>173460</v>
      </c>
      <c r="T44" s="3713">
        <v>199433</v>
      </c>
      <c r="U44" s="3713">
        <v>238234</v>
      </c>
      <c r="V44" s="3713">
        <v>225567.53874379999</v>
      </c>
      <c r="W44" s="3713">
        <v>187393.20504920001</v>
      </c>
      <c r="X44" s="3713">
        <v>184123.83460080001</v>
      </c>
      <c r="Y44" s="3713">
        <v>151237.5342156</v>
      </c>
      <c r="Z44" s="2964"/>
      <c r="AA44" s="2964"/>
      <c r="AB44" s="2964"/>
      <c r="AC44" s="2964"/>
      <c r="AD44" s="2964"/>
      <c r="AE44" s="2964"/>
      <c r="AF44" s="2964"/>
      <c r="AG44" s="2964"/>
      <c r="AH44" s="2964"/>
      <c r="AI44" s="2964"/>
      <c r="AJ44" s="2964"/>
      <c r="AK44" s="2964"/>
      <c r="AL44" s="2964"/>
      <c r="AM44" s="2964"/>
      <c r="AN44" s="2964"/>
      <c r="AO44" s="2964"/>
      <c r="AP44" s="2964"/>
      <c r="AQ44" s="2964"/>
      <c r="AR44" s="2964"/>
      <c r="AS44" s="2964"/>
      <c r="AT44" s="2964"/>
      <c r="AU44" s="2964"/>
      <c r="AV44" s="2964"/>
      <c r="AW44" s="2964"/>
      <c r="AX44" s="2964"/>
      <c r="AY44" s="2964"/>
      <c r="AZ44" s="2964"/>
      <c r="BA44" s="2964"/>
      <c r="BB44" s="2964"/>
      <c r="BC44" s="2964"/>
      <c r="BD44" s="2964"/>
      <c r="BE44" s="2964"/>
      <c r="BF44" s="2964"/>
      <c r="BG44" s="2964"/>
      <c r="BH44" s="2964"/>
      <c r="BI44" s="2964"/>
      <c r="BJ44" s="2964"/>
      <c r="BK44" s="2964"/>
      <c r="BL44" s="2964"/>
      <c r="BM44" s="2964"/>
      <c r="BN44" s="2964"/>
      <c r="BO44" s="2964"/>
      <c r="BP44" s="2964"/>
      <c r="BQ44" s="2964"/>
      <c r="BR44" s="2964"/>
      <c r="BS44" s="2964"/>
      <c r="BT44" s="2964"/>
      <c r="BU44" s="2964"/>
      <c r="BV44" s="2964"/>
      <c r="BW44" s="2964"/>
      <c r="BX44" s="2964"/>
      <c r="BY44" s="2964"/>
      <c r="BZ44" s="2964"/>
      <c r="CA44" s="2964"/>
      <c r="CB44" s="2964"/>
      <c r="CC44" s="2964"/>
      <c r="CD44" s="2964"/>
      <c r="CE44" s="2964"/>
      <c r="CF44" s="2964"/>
      <c r="CG44" s="2964"/>
      <c r="CH44" s="2964"/>
      <c r="CI44" s="2964"/>
      <c r="CJ44" s="2964"/>
      <c r="CK44" s="2964"/>
      <c r="CL44" s="2964"/>
      <c r="CM44" s="2964"/>
      <c r="CN44" s="2964"/>
      <c r="CO44" s="2964"/>
      <c r="CP44" s="2964"/>
      <c r="CQ44" s="2964"/>
      <c r="CR44" s="2964"/>
      <c r="CS44" s="2964"/>
      <c r="CT44" s="2964"/>
      <c r="CU44" s="2964"/>
      <c r="CV44" s="2964"/>
      <c r="CW44" s="2964"/>
      <c r="CX44" s="2964"/>
      <c r="CY44" s="2964"/>
      <c r="CZ44" s="2964"/>
      <c r="DA44" s="2964"/>
      <c r="DB44" s="2964"/>
      <c r="DC44" s="2964"/>
      <c r="DD44" s="2964"/>
      <c r="DE44" s="2964"/>
      <c r="DF44" s="2964"/>
      <c r="DG44" s="2964"/>
      <c r="DH44" s="2964"/>
      <c r="DI44" s="2964"/>
      <c r="DJ44" s="2964"/>
      <c r="DK44" s="2964"/>
      <c r="DL44" s="2964"/>
      <c r="DM44" s="2964"/>
      <c r="DN44" s="2964"/>
      <c r="DO44" s="2964"/>
      <c r="DP44" s="2964"/>
      <c r="DQ44" s="2964"/>
      <c r="DR44" s="2964"/>
      <c r="DS44" s="2964"/>
      <c r="DT44" s="2964"/>
      <c r="DU44" s="2964"/>
      <c r="DV44" s="2964"/>
      <c r="DW44" s="2964"/>
      <c r="DX44" s="2964"/>
      <c r="DY44" s="2964"/>
      <c r="DZ44" s="2964"/>
      <c r="EA44" s="2964"/>
      <c r="EB44" s="2964"/>
      <c r="EC44" s="2964"/>
      <c r="ED44" s="2964"/>
      <c r="EE44" s="2964"/>
      <c r="EF44" s="2964"/>
    </row>
    <row r="45" spans="1:136" s="2964" customFormat="1" x14ac:dyDescent="0.25">
      <c r="A45" s="58"/>
      <c r="B45" s="2963"/>
      <c r="C45" s="2963"/>
      <c r="D45" s="2967"/>
      <c r="E45" s="1129"/>
      <c r="F45" s="1129"/>
      <c r="G45" s="2388"/>
      <c r="H45" s="2968"/>
      <c r="I45" s="1129"/>
      <c r="J45" s="1129"/>
      <c r="K45" s="2969"/>
      <c r="L45" s="1129"/>
      <c r="M45" s="2969"/>
      <c r="N45" s="1129"/>
      <c r="O45" s="1129"/>
      <c r="P45" s="2969"/>
      <c r="Q45" s="1129"/>
      <c r="R45" s="2968"/>
      <c r="S45" s="1129"/>
      <c r="T45" s="1129"/>
      <c r="U45" s="2969"/>
      <c r="V45" s="2969"/>
      <c r="W45" s="1129"/>
      <c r="X45" s="1129"/>
      <c r="Y45" s="2968"/>
      <c r="Z45" s="1129"/>
      <c r="AA45" s="1129"/>
      <c r="AB45" s="1129"/>
      <c r="AC45" s="1129"/>
      <c r="AD45" s="2968"/>
      <c r="AE45" s="1129"/>
      <c r="AF45" s="1129"/>
      <c r="AG45" s="1129"/>
      <c r="AH45" s="1129"/>
      <c r="AI45" s="2968"/>
      <c r="AJ45" s="1129"/>
      <c r="AK45" s="1129"/>
      <c r="AL45" s="1129"/>
      <c r="AM45" s="1129"/>
      <c r="AN45" s="2968"/>
      <c r="AO45" s="1129"/>
      <c r="AP45" s="1129"/>
      <c r="AQ45" s="1129"/>
      <c r="AR45" s="1129"/>
      <c r="AS45" s="2968"/>
      <c r="AT45" s="2968"/>
      <c r="AU45" s="1129"/>
      <c r="AV45" s="1129"/>
      <c r="AW45" s="1129"/>
      <c r="AX45" s="2968"/>
      <c r="AY45" s="2968"/>
      <c r="AZ45" s="1129"/>
      <c r="BA45" s="1892"/>
      <c r="BB45" s="1892"/>
      <c r="BC45" s="2968"/>
      <c r="BD45" s="2970"/>
      <c r="BE45" s="1892"/>
      <c r="BF45" s="1892"/>
      <c r="BG45" s="1892"/>
      <c r="BH45" s="2970"/>
      <c r="BI45" s="2970"/>
      <c r="BJ45" s="1892"/>
      <c r="BK45" s="1892"/>
      <c r="BL45" s="1892"/>
      <c r="BM45" s="2970"/>
      <c r="BN45" s="2970"/>
    </row>
    <row r="46" spans="1:136" s="2964" customFormat="1" x14ac:dyDescent="0.25">
      <c r="A46" s="58"/>
      <c r="B46" s="2963"/>
      <c r="C46" s="2963"/>
      <c r="D46" s="2892" t="s">
        <v>876</v>
      </c>
      <c r="E46" s="1129"/>
      <c r="F46" s="2969"/>
      <c r="G46" s="2969"/>
      <c r="H46" s="2968"/>
      <c r="I46" s="1129"/>
      <c r="J46" s="1129"/>
      <c r="K46" s="2969"/>
      <c r="L46" s="1129"/>
      <c r="M46" s="2969"/>
      <c r="N46" s="1129"/>
      <c r="O46" s="1129"/>
      <c r="P46" s="2969"/>
      <c r="Q46" s="1129"/>
      <c r="R46" s="2968"/>
      <c r="S46" s="1129"/>
      <c r="T46" s="1129"/>
      <c r="U46" s="2969"/>
      <c r="V46" s="2969"/>
      <c r="W46" s="1129"/>
      <c r="X46" s="1129"/>
      <c r="Y46" s="2968"/>
      <c r="Z46" s="1129"/>
      <c r="AA46" s="1129"/>
      <c r="AB46" s="1129"/>
      <c r="AC46" s="1129"/>
      <c r="AD46" s="2968"/>
      <c r="AE46" s="1129"/>
      <c r="AF46" s="1129"/>
      <c r="AG46" s="1129"/>
      <c r="AH46" s="1129"/>
      <c r="AI46" s="2968"/>
      <c r="AJ46" s="1129"/>
      <c r="AK46" s="1129"/>
      <c r="AL46" s="1129"/>
      <c r="AM46" s="1129"/>
      <c r="AN46" s="2968"/>
      <c r="AO46" s="1129"/>
      <c r="AP46" s="1129"/>
      <c r="AQ46" s="1129"/>
      <c r="AR46" s="1129"/>
      <c r="AS46" s="2968"/>
      <c r="AT46" s="2968"/>
      <c r="AU46" s="1129"/>
      <c r="AV46" s="1129"/>
      <c r="AW46" s="1129"/>
      <c r="AX46" s="2968"/>
      <c r="AY46" s="2968"/>
      <c r="AZ46" s="1129"/>
      <c r="BA46" s="1892"/>
      <c r="BB46" s="1892"/>
      <c r="BC46" s="2968"/>
      <c r="BD46" s="2970"/>
      <c r="BE46" s="1892"/>
      <c r="BF46" s="1892"/>
      <c r="BG46" s="1892"/>
      <c r="BH46" s="2970"/>
      <c r="BI46" s="2970"/>
      <c r="BJ46" s="1892"/>
      <c r="BK46" s="1892"/>
      <c r="BL46" s="1892"/>
      <c r="BM46" s="2970"/>
      <c r="BN46" s="2970"/>
    </row>
    <row r="47" spans="1:136" s="2964" customFormat="1" x14ac:dyDescent="0.25">
      <c r="A47" s="58"/>
      <c r="B47" s="2963"/>
      <c r="C47" s="2963"/>
      <c r="D47" s="2967"/>
      <c r="E47" s="1129"/>
      <c r="F47" s="2969"/>
      <c r="G47" s="2969"/>
      <c r="H47" s="2968"/>
      <c r="I47" s="1129"/>
      <c r="J47" s="1129"/>
      <c r="K47" s="2969"/>
      <c r="L47" s="1129"/>
      <c r="M47" s="2969"/>
      <c r="N47" s="1129"/>
      <c r="O47" s="1129"/>
      <c r="P47" s="2969"/>
      <c r="Q47" s="1129"/>
      <c r="R47" s="2968"/>
      <c r="S47" s="1129"/>
      <c r="T47" s="1129"/>
      <c r="U47" s="2969"/>
      <c r="V47" s="2969"/>
      <c r="W47" s="1129"/>
      <c r="X47" s="1129"/>
      <c r="Y47" s="2968"/>
      <c r="Z47" s="1129"/>
      <c r="AA47" s="1129"/>
      <c r="AB47" s="1129"/>
      <c r="AC47" s="1129"/>
      <c r="AD47" s="2968"/>
      <c r="AE47" s="1129"/>
      <c r="AF47" s="1129"/>
      <c r="AG47" s="1129"/>
      <c r="AH47" s="1129"/>
      <c r="AI47" s="2968"/>
      <c r="AJ47" s="1129"/>
      <c r="AK47" s="1129"/>
      <c r="AL47" s="1129"/>
      <c r="AM47" s="1129"/>
      <c r="AN47" s="2968"/>
      <c r="AO47" s="1129"/>
      <c r="AP47" s="1129"/>
      <c r="AQ47" s="1129"/>
      <c r="AR47" s="1129"/>
      <c r="AS47" s="2968"/>
      <c r="AT47" s="2968"/>
      <c r="AU47" s="1129"/>
      <c r="AV47" s="1129"/>
      <c r="AW47" s="1129"/>
      <c r="AX47" s="2968"/>
      <c r="AY47" s="2968"/>
      <c r="AZ47" s="1129"/>
      <c r="BA47" s="1892"/>
      <c r="BB47" s="1892"/>
      <c r="BC47" s="2968"/>
      <c r="BD47" s="2970"/>
      <c r="BE47" s="1892"/>
      <c r="BF47" s="1892"/>
      <c r="BG47" s="1892"/>
      <c r="BH47" s="2970"/>
      <c r="BI47" s="2970"/>
      <c r="BJ47" s="1892"/>
      <c r="BK47" s="1892"/>
      <c r="BL47" s="1892"/>
      <c r="BM47" s="2970"/>
      <c r="BN47" s="2970"/>
    </row>
    <row r="48" spans="1:136" s="2964" customFormat="1" x14ac:dyDescent="0.25">
      <c r="A48" s="58"/>
      <c r="B48" s="2963"/>
      <c r="C48" s="2963"/>
      <c r="D48" s="2967"/>
      <c r="E48" s="1129"/>
      <c r="F48" s="2969"/>
      <c r="G48" s="2969"/>
      <c r="H48" s="2968"/>
      <c r="I48" s="1129"/>
      <c r="J48" s="1129"/>
      <c r="K48" s="2969"/>
      <c r="L48" s="1129"/>
      <c r="M48" s="2969"/>
      <c r="N48" s="1129"/>
      <c r="O48" s="1129"/>
      <c r="P48" s="2969"/>
      <c r="Q48" s="1129"/>
      <c r="R48" s="2968"/>
      <c r="S48" s="1129"/>
      <c r="T48" s="1129"/>
      <c r="U48" s="2969"/>
      <c r="V48" s="2969"/>
      <c r="W48" s="1129"/>
      <c r="X48" s="1129"/>
      <c r="Y48" s="2968"/>
      <c r="Z48" s="1129"/>
      <c r="AA48" s="1129"/>
      <c r="AB48" s="1129"/>
      <c r="AC48" s="1129"/>
      <c r="AD48" s="2968"/>
      <c r="AE48" s="1129"/>
      <c r="AF48" s="1129"/>
      <c r="AG48" s="1129"/>
      <c r="AH48" s="1129"/>
      <c r="AI48" s="2968"/>
      <c r="AJ48" s="1129"/>
      <c r="AK48" s="1129"/>
      <c r="AL48" s="1129"/>
      <c r="AM48" s="1129"/>
      <c r="AN48" s="2968"/>
      <c r="AO48" s="1129"/>
      <c r="AP48" s="1129"/>
      <c r="AQ48" s="1129"/>
      <c r="AR48" s="1129"/>
      <c r="AS48" s="2968"/>
      <c r="AT48" s="2968"/>
      <c r="AU48" s="1129"/>
      <c r="AV48" s="1129"/>
      <c r="AW48" s="1129"/>
      <c r="AX48" s="2968"/>
      <c r="AY48" s="2968"/>
      <c r="AZ48" s="1129"/>
      <c r="BA48" s="1892"/>
      <c r="BB48" s="1892"/>
      <c r="BC48" s="2968"/>
      <c r="BD48" s="2970"/>
      <c r="BE48" s="1892"/>
      <c r="BF48" s="1892"/>
      <c r="BG48" s="1892"/>
      <c r="BH48" s="2970"/>
      <c r="BI48" s="2970"/>
      <c r="BJ48" s="1892"/>
      <c r="BK48" s="1892"/>
      <c r="BL48" s="1892"/>
      <c r="BM48" s="2970"/>
      <c r="BN48" s="2970"/>
    </row>
    <row r="49" spans="1:66" s="2964" customFormat="1" x14ac:dyDescent="0.25">
      <c r="A49" s="58"/>
      <c r="B49" s="2963"/>
      <c r="C49" s="2963"/>
      <c r="D49" s="2967"/>
      <c r="E49" s="1129"/>
      <c r="F49" s="2969"/>
      <c r="G49" s="2969"/>
      <c r="H49" s="2968"/>
      <c r="I49" s="1129"/>
      <c r="J49" s="1129"/>
      <c r="K49" s="2969"/>
      <c r="L49" s="1129"/>
      <c r="M49" s="2969"/>
      <c r="N49" s="1129"/>
      <c r="O49" s="1129"/>
      <c r="P49" s="2969"/>
      <c r="Q49" s="1129"/>
      <c r="R49" s="2968"/>
      <c r="S49" s="1129"/>
      <c r="T49" s="1129"/>
      <c r="U49" s="2969"/>
      <c r="V49" s="2969"/>
      <c r="W49" s="1129"/>
      <c r="X49" s="1129"/>
      <c r="Y49" s="2968"/>
      <c r="Z49" s="1129"/>
      <c r="AA49" s="1129"/>
      <c r="AB49" s="1129"/>
      <c r="AC49" s="1129"/>
      <c r="AD49" s="2968"/>
      <c r="AE49" s="1129"/>
      <c r="AF49" s="1129"/>
      <c r="AG49" s="1129"/>
      <c r="AH49" s="1129"/>
      <c r="AI49" s="2968"/>
      <c r="AJ49" s="1129"/>
      <c r="AK49" s="1129"/>
      <c r="AL49" s="1129"/>
      <c r="AM49" s="1129"/>
      <c r="AN49" s="2968"/>
      <c r="AO49" s="1129"/>
      <c r="AP49" s="1129"/>
      <c r="AQ49" s="1129"/>
      <c r="AR49" s="1129"/>
      <c r="AS49" s="2968"/>
      <c r="AT49" s="2968"/>
      <c r="AU49" s="1129"/>
      <c r="AV49" s="1129"/>
      <c r="AW49" s="1129"/>
      <c r="AX49" s="2968"/>
      <c r="AY49" s="2968"/>
      <c r="AZ49" s="1129"/>
      <c r="BA49" s="1892"/>
      <c r="BB49" s="1892"/>
      <c r="BC49" s="2968"/>
      <c r="BD49" s="2970"/>
      <c r="BE49" s="1892"/>
      <c r="BF49" s="1892"/>
      <c r="BG49" s="1892"/>
      <c r="BH49" s="2970"/>
      <c r="BI49" s="2970"/>
      <c r="BJ49" s="1892"/>
      <c r="BK49" s="1892"/>
      <c r="BL49" s="1892"/>
      <c r="BM49" s="2970"/>
      <c r="BN49" s="2970"/>
    </row>
    <row r="50" spans="1:66" s="2964" customFormat="1" x14ac:dyDescent="0.25">
      <c r="A50" s="58"/>
      <c r="B50" s="2963"/>
      <c r="C50" s="2963"/>
      <c r="D50" s="2967"/>
      <c r="E50" s="1129"/>
      <c r="F50" s="2969"/>
      <c r="G50" s="2969"/>
      <c r="H50" s="2968"/>
      <c r="I50" s="1129"/>
      <c r="J50" s="1129"/>
      <c r="K50" s="2969"/>
      <c r="L50" s="1129"/>
      <c r="M50" s="2969"/>
      <c r="N50" s="1129"/>
      <c r="O50" s="1129"/>
      <c r="P50" s="2969"/>
      <c r="Q50" s="1129"/>
      <c r="R50" s="2968"/>
      <c r="S50" s="1129"/>
      <c r="T50" s="1129"/>
      <c r="U50" s="2969"/>
      <c r="V50" s="2969"/>
      <c r="W50" s="1129"/>
      <c r="X50" s="1129"/>
      <c r="Y50" s="2968"/>
      <c r="Z50" s="1129"/>
      <c r="AA50" s="1129"/>
      <c r="AB50" s="1129"/>
      <c r="AC50" s="1129"/>
      <c r="AD50" s="2968"/>
      <c r="AE50" s="1129"/>
      <c r="AF50" s="1129"/>
      <c r="AG50" s="1129"/>
      <c r="AH50" s="1129"/>
      <c r="AI50" s="2968"/>
      <c r="AJ50" s="1129"/>
      <c r="AK50" s="1129"/>
      <c r="AL50" s="1129"/>
      <c r="AM50" s="1129"/>
      <c r="AN50" s="2968"/>
      <c r="AO50" s="1129"/>
      <c r="AP50" s="1129"/>
      <c r="AQ50" s="1129"/>
      <c r="AR50" s="1129"/>
      <c r="AS50" s="2968"/>
      <c r="AT50" s="2968"/>
      <c r="AU50" s="1129"/>
      <c r="AV50" s="1129"/>
      <c r="AW50" s="1129"/>
      <c r="AX50" s="2968"/>
      <c r="AY50" s="2968"/>
      <c r="AZ50" s="1129"/>
      <c r="BA50" s="1892"/>
      <c r="BB50" s="1892"/>
      <c r="BC50" s="2968"/>
      <c r="BD50" s="2970"/>
      <c r="BE50" s="1892"/>
      <c r="BF50" s="1892"/>
      <c r="BG50" s="1892"/>
      <c r="BH50" s="2970"/>
      <c r="BI50" s="2970"/>
      <c r="BJ50" s="1892"/>
      <c r="BK50" s="1892"/>
      <c r="BL50" s="1892"/>
      <c r="BM50" s="2970"/>
      <c r="BN50" s="2970"/>
    </row>
    <row r="51" spans="1:66" s="2964" customFormat="1" x14ac:dyDescent="0.25">
      <c r="A51" s="58"/>
      <c r="B51" s="2963"/>
      <c r="C51" s="2963"/>
      <c r="D51" s="2967"/>
      <c r="E51" s="1129"/>
      <c r="F51" s="2969"/>
      <c r="G51" s="2969"/>
      <c r="H51" s="2968"/>
      <c r="I51" s="1129"/>
      <c r="J51" s="1129"/>
      <c r="K51" s="2969"/>
      <c r="L51" s="1129"/>
      <c r="M51" s="2969"/>
      <c r="N51" s="1129"/>
      <c r="O51" s="1129"/>
      <c r="P51" s="2969"/>
      <c r="Q51" s="1129"/>
      <c r="R51" s="2968"/>
      <c r="S51" s="1129"/>
      <c r="T51" s="1129"/>
      <c r="U51" s="2969"/>
      <c r="V51" s="2969"/>
      <c r="W51" s="1129"/>
      <c r="X51" s="1129"/>
      <c r="Y51" s="2968"/>
      <c r="Z51" s="1129"/>
      <c r="AA51" s="1129"/>
      <c r="AB51" s="1129"/>
      <c r="AC51" s="1129"/>
      <c r="AD51" s="2968"/>
      <c r="AE51" s="1129"/>
      <c r="AF51" s="1129"/>
      <c r="AG51" s="1129"/>
      <c r="AH51" s="1129"/>
      <c r="AI51" s="2968"/>
      <c r="AJ51" s="1129"/>
      <c r="AK51" s="1129"/>
      <c r="AL51" s="1129"/>
      <c r="AM51" s="1129"/>
      <c r="AN51" s="2968"/>
      <c r="AO51" s="1129"/>
      <c r="AP51" s="1129"/>
      <c r="AQ51" s="1129"/>
      <c r="AR51" s="1129"/>
      <c r="AS51" s="2968"/>
      <c r="AT51" s="2968"/>
      <c r="AU51" s="1129"/>
      <c r="AV51" s="1129"/>
      <c r="AW51" s="1129"/>
      <c r="AX51" s="2968"/>
      <c r="AY51" s="2968"/>
      <c r="AZ51" s="1129"/>
      <c r="BA51" s="1892"/>
      <c r="BB51" s="1892"/>
      <c r="BC51" s="2968"/>
      <c r="BD51" s="2970"/>
      <c r="BE51" s="1892"/>
      <c r="BF51" s="1892"/>
      <c r="BG51" s="1892"/>
      <c r="BH51" s="2970"/>
      <c r="BI51" s="2970"/>
      <c r="BJ51" s="1892"/>
      <c r="BK51" s="1892"/>
      <c r="BL51" s="1892"/>
      <c r="BM51" s="2970"/>
      <c r="BN51" s="2970"/>
    </row>
    <row r="52" spans="1:66" s="2964" customFormat="1" x14ac:dyDescent="0.25">
      <c r="A52" s="58"/>
      <c r="B52" s="2963"/>
      <c r="C52" s="2963"/>
      <c r="D52" s="2967"/>
      <c r="E52" s="1129"/>
      <c r="F52" s="2969"/>
      <c r="G52" s="2969"/>
      <c r="H52" s="2968"/>
      <c r="I52" s="1129"/>
      <c r="J52" s="1129"/>
      <c r="K52" s="2969"/>
      <c r="L52" s="1129"/>
      <c r="M52" s="2969"/>
      <c r="N52" s="1129"/>
      <c r="O52" s="1129"/>
      <c r="P52" s="2969"/>
      <c r="Q52" s="1129"/>
      <c r="R52" s="2968"/>
      <c r="S52" s="1129"/>
      <c r="T52" s="1129"/>
      <c r="U52" s="2969"/>
      <c r="V52" s="2969"/>
      <c r="W52" s="1129"/>
      <c r="X52" s="1129"/>
      <c r="Y52" s="2968"/>
      <c r="Z52" s="1129"/>
      <c r="AA52" s="1129"/>
      <c r="AB52" s="1129"/>
      <c r="AC52" s="1129"/>
      <c r="AD52" s="2968"/>
      <c r="AE52" s="1129"/>
      <c r="AF52" s="1129"/>
      <c r="AG52" s="1129"/>
      <c r="AH52" s="1129"/>
      <c r="AI52" s="2968"/>
      <c r="AJ52" s="1129"/>
      <c r="AK52" s="1129"/>
      <c r="AL52" s="1129"/>
      <c r="AM52" s="1129"/>
      <c r="AN52" s="2968"/>
      <c r="AO52" s="1129"/>
      <c r="AP52" s="1129"/>
      <c r="AQ52" s="1129"/>
      <c r="AR52" s="1129"/>
      <c r="AS52" s="2968"/>
      <c r="AT52" s="2968"/>
      <c r="AU52" s="1129"/>
      <c r="AV52" s="1129"/>
      <c r="AW52" s="1129"/>
      <c r="AX52" s="2968"/>
      <c r="AY52" s="2968"/>
      <c r="AZ52" s="1129"/>
      <c r="BA52" s="1892"/>
      <c r="BB52" s="1892"/>
      <c r="BC52" s="2968"/>
      <c r="BD52" s="2970"/>
      <c r="BE52" s="1892"/>
      <c r="BF52" s="1892"/>
      <c r="BG52" s="1892"/>
      <c r="BH52" s="2970"/>
      <c r="BI52" s="2970"/>
      <c r="BJ52" s="1892"/>
      <c r="BK52" s="1892"/>
      <c r="BL52" s="1892"/>
      <c r="BM52" s="2970"/>
      <c r="BN52" s="2970"/>
    </row>
    <row r="53" spans="1:66" s="2964" customFormat="1" x14ac:dyDescent="0.25">
      <c r="A53" s="58"/>
      <c r="B53" s="2963"/>
      <c r="C53" s="2963"/>
      <c r="D53" s="2967"/>
      <c r="E53" s="1129"/>
      <c r="F53" s="2969"/>
      <c r="G53" s="2969"/>
      <c r="H53" s="2968"/>
      <c r="I53" s="1129"/>
      <c r="J53" s="1129"/>
      <c r="K53" s="2969"/>
      <c r="L53" s="1129"/>
      <c r="M53" s="2969"/>
      <c r="N53" s="1129"/>
      <c r="O53" s="1129"/>
      <c r="P53" s="2969"/>
      <c r="Q53" s="1129"/>
      <c r="R53" s="2968"/>
      <c r="S53" s="1129"/>
      <c r="T53" s="1129"/>
      <c r="U53" s="2969"/>
      <c r="V53" s="2969"/>
      <c r="W53" s="1129"/>
      <c r="X53" s="1129"/>
      <c r="Y53" s="2968"/>
      <c r="Z53" s="1129"/>
      <c r="AA53" s="1129"/>
      <c r="AB53" s="1129"/>
      <c r="AC53" s="1129"/>
      <c r="AD53" s="2968"/>
      <c r="AE53" s="1129"/>
      <c r="AF53" s="1129"/>
      <c r="AG53" s="1129"/>
      <c r="AH53" s="1129"/>
      <c r="AI53" s="2968"/>
      <c r="AJ53" s="1129"/>
      <c r="AK53" s="1129"/>
      <c r="AL53" s="1129"/>
      <c r="AM53" s="1129"/>
      <c r="AN53" s="2968"/>
      <c r="AO53" s="1129"/>
      <c r="AP53" s="1129"/>
      <c r="AQ53" s="1129"/>
      <c r="AR53" s="1129"/>
      <c r="AS53" s="2968"/>
      <c r="AT53" s="2968"/>
      <c r="AU53" s="1129"/>
      <c r="AV53" s="1129"/>
      <c r="AW53" s="1129"/>
      <c r="AX53" s="2968"/>
      <c r="AY53" s="2968"/>
      <c r="AZ53" s="1129"/>
      <c r="BA53" s="1892"/>
      <c r="BB53" s="1892"/>
      <c r="BC53" s="2968"/>
      <c r="BD53" s="2970"/>
      <c r="BE53" s="1892"/>
      <c r="BF53" s="1892"/>
      <c r="BG53" s="1892"/>
      <c r="BH53" s="2970"/>
      <c r="BI53" s="2970"/>
      <c r="BJ53" s="1892"/>
      <c r="BK53" s="1892"/>
      <c r="BL53" s="1892"/>
      <c r="BM53" s="2970"/>
      <c r="BN53" s="2970"/>
    </row>
    <row r="54" spans="1:66" s="2964" customFormat="1" x14ac:dyDescent="0.25">
      <c r="A54" s="58"/>
      <c r="B54" s="2963"/>
      <c r="C54" s="2963"/>
      <c r="D54" s="2967"/>
      <c r="E54" s="1129"/>
      <c r="F54" s="2969"/>
      <c r="G54" s="2969"/>
      <c r="H54" s="2968"/>
      <c r="I54" s="1129"/>
      <c r="J54" s="1129"/>
      <c r="K54" s="2969"/>
      <c r="L54" s="1129"/>
      <c r="M54" s="2969"/>
      <c r="N54" s="1129"/>
      <c r="O54" s="1129"/>
      <c r="P54" s="2969"/>
      <c r="Q54" s="1129"/>
      <c r="R54" s="2968"/>
      <c r="S54" s="1129"/>
      <c r="T54" s="1129"/>
      <c r="U54" s="2969"/>
      <c r="V54" s="2969"/>
      <c r="W54" s="1129"/>
      <c r="X54" s="1129"/>
      <c r="Y54" s="2968"/>
      <c r="Z54" s="1129"/>
      <c r="AA54" s="1129"/>
      <c r="AB54" s="1129"/>
      <c r="AC54" s="1129"/>
      <c r="AD54" s="2968"/>
      <c r="AE54" s="1129"/>
      <c r="AF54" s="1129"/>
      <c r="AG54" s="1129"/>
      <c r="AH54" s="1129"/>
      <c r="AI54" s="2968"/>
      <c r="AJ54" s="1129"/>
      <c r="AK54" s="1129"/>
      <c r="AL54" s="1129"/>
      <c r="AM54" s="1129"/>
      <c r="AN54" s="2968"/>
      <c r="AO54" s="1129"/>
      <c r="AP54" s="1129"/>
      <c r="AQ54" s="1129"/>
      <c r="AR54" s="1129"/>
      <c r="AS54" s="2968"/>
      <c r="AT54" s="2968"/>
      <c r="AU54" s="1129"/>
      <c r="AV54" s="1129"/>
      <c r="AW54" s="1129"/>
      <c r="AX54" s="2968"/>
      <c r="AY54" s="2968"/>
      <c r="AZ54" s="1129"/>
      <c r="BA54" s="1892"/>
      <c r="BB54" s="1892"/>
      <c r="BC54" s="2968"/>
      <c r="BD54" s="2970"/>
      <c r="BE54" s="1892"/>
      <c r="BF54" s="1892"/>
      <c r="BG54" s="1892"/>
      <c r="BH54" s="2970"/>
      <c r="BI54" s="2970"/>
      <c r="BJ54" s="1892"/>
      <c r="BK54" s="1892"/>
      <c r="BL54" s="1892"/>
      <c r="BM54" s="2970"/>
      <c r="BN54" s="2970"/>
    </row>
    <row r="55" spans="1:66" s="2964" customFormat="1" x14ac:dyDescent="0.25">
      <c r="A55" s="58"/>
      <c r="B55" s="2963"/>
      <c r="C55" s="2963"/>
      <c r="D55" s="2967"/>
      <c r="E55" s="1129"/>
      <c r="F55" s="2969"/>
      <c r="G55" s="2969"/>
      <c r="H55" s="2968"/>
      <c r="I55" s="1129"/>
      <c r="J55" s="1129"/>
      <c r="K55" s="2969"/>
      <c r="L55" s="1129"/>
      <c r="M55" s="2969"/>
      <c r="N55" s="1129"/>
      <c r="O55" s="1129"/>
      <c r="P55" s="2969"/>
      <c r="Q55" s="1129"/>
      <c r="R55" s="2968"/>
      <c r="S55" s="1129"/>
      <c r="T55" s="1129"/>
      <c r="U55" s="2969"/>
      <c r="V55" s="2969"/>
      <c r="W55" s="1129"/>
      <c r="X55" s="1129"/>
      <c r="Y55" s="2968"/>
      <c r="Z55" s="1129"/>
      <c r="AA55" s="1129"/>
      <c r="AB55" s="1129"/>
      <c r="AC55" s="1129"/>
      <c r="AD55" s="2968"/>
      <c r="AE55" s="1129"/>
      <c r="AF55" s="1129"/>
      <c r="AG55" s="1129"/>
      <c r="AH55" s="1129"/>
      <c r="AI55" s="2968"/>
      <c r="AJ55" s="1129"/>
      <c r="AK55" s="1129"/>
      <c r="AL55" s="1129"/>
      <c r="AM55" s="1129"/>
      <c r="AN55" s="2968"/>
      <c r="AO55" s="1129"/>
      <c r="AP55" s="1129"/>
      <c r="AQ55" s="1129"/>
      <c r="AR55" s="1129"/>
      <c r="AS55" s="2968"/>
      <c r="AT55" s="2968"/>
      <c r="AU55" s="1129"/>
      <c r="AV55" s="1129"/>
      <c r="AW55" s="1129"/>
      <c r="AX55" s="2968"/>
      <c r="AY55" s="2968"/>
      <c r="AZ55" s="1129"/>
      <c r="BA55" s="1892"/>
      <c r="BB55" s="1892"/>
      <c r="BC55" s="2968"/>
      <c r="BD55" s="2970"/>
      <c r="BE55" s="1892"/>
      <c r="BF55" s="1892"/>
      <c r="BG55" s="1892"/>
      <c r="BH55" s="2970"/>
      <c r="BI55" s="2970"/>
      <c r="BJ55" s="1892"/>
      <c r="BK55" s="1892"/>
      <c r="BL55" s="1892"/>
      <c r="BM55" s="2970"/>
      <c r="BN55" s="2970"/>
    </row>
    <row r="56" spans="1:66" s="2964" customFormat="1" x14ac:dyDescent="0.25">
      <c r="A56" s="58"/>
      <c r="B56" s="2963"/>
      <c r="C56" s="2963"/>
      <c r="D56" s="2967"/>
      <c r="E56" s="1129"/>
      <c r="F56" s="2969"/>
      <c r="G56" s="2969"/>
      <c r="H56" s="2968"/>
      <c r="I56" s="1129"/>
      <c r="J56" s="1129"/>
      <c r="K56" s="2969"/>
      <c r="L56" s="1129"/>
      <c r="M56" s="2969"/>
      <c r="N56" s="1129"/>
      <c r="O56" s="1129"/>
      <c r="P56" s="2969"/>
      <c r="Q56" s="1129"/>
      <c r="R56" s="2968"/>
      <c r="S56" s="1129"/>
      <c r="T56" s="1129"/>
      <c r="U56" s="2969"/>
      <c r="V56" s="2969"/>
      <c r="W56" s="1129"/>
      <c r="X56" s="1129"/>
      <c r="Y56" s="2968"/>
      <c r="Z56" s="1129"/>
      <c r="AA56" s="1129"/>
      <c r="AB56" s="1129"/>
      <c r="AC56" s="1129"/>
      <c r="AD56" s="2968"/>
      <c r="AE56" s="1129"/>
      <c r="AF56" s="1129"/>
      <c r="AG56" s="1129"/>
      <c r="AH56" s="1129"/>
      <c r="AI56" s="2968"/>
      <c r="AJ56" s="1129"/>
      <c r="AK56" s="1129"/>
      <c r="AL56" s="1129"/>
      <c r="AM56" s="1129"/>
      <c r="AN56" s="2968"/>
      <c r="AO56" s="1129"/>
      <c r="AP56" s="1129"/>
      <c r="AQ56" s="1129"/>
      <c r="AR56" s="1129"/>
      <c r="AS56" s="2968"/>
      <c r="AT56" s="2968"/>
      <c r="AU56" s="1129"/>
      <c r="AV56" s="1129"/>
      <c r="AW56" s="1129"/>
      <c r="AX56" s="2968"/>
      <c r="AY56" s="2968"/>
      <c r="AZ56" s="1129"/>
      <c r="BA56" s="1892"/>
      <c r="BB56" s="1892"/>
      <c r="BC56" s="2968"/>
      <c r="BD56" s="2970"/>
      <c r="BE56" s="1892"/>
      <c r="BF56" s="1892"/>
      <c r="BG56" s="1892"/>
      <c r="BH56" s="2970"/>
      <c r="BI56" s="2970"/>
      <c r="BJ56" s="1892"/>
      <c r="BK56" s="1892"/>
      <c r="BL56" s="1892"/>
      <c r="BM56" s="2970"/>
      <c r="BN56" s="2970"/>
    </row>
    <row r="57" spans="1:66" s="2964" customFormat="1" x14ac:dyDescent="0.25">
      <c r="A57" s="58"/>
      <c r="B57" s="2963"/>
      <c r="C57" s="2963"/>
      <c r="D57" s="2967"/>
      <c r="E57" s="1129"/>
      <c r="F57" s="2969"/>
      <c r="G57" s="2969"/>
      <c r="H57" s="2968"/>
      <c r="I57" s="1129"/>
      <c r="J57" s="1129"/>
      <c r="K57" s="2969"/>
      <c r="L57" s="1129"/>
      <c r="M57" s="2969"/>
      <c r="N57" s="1129"/>
      <c r="O57" s="1129"/>
      <c r="P57" s="2969"/>
      <c r="Q57" s="1129"/>
      <c r="R57" s="2968"/>
      <c r="S57" s="1129"/>
      <c r="T57" s="1129"/>
      <c r="U57" s="2969"/>
      <c r="V57" s="2969"/>
      <c r="W57" s="1129"/>
      <c r="X57" s="1129"/>
      <c r="Y57" s="2968"/>
      <c r="Z57" s="1129"/>
      <c r="AA57" s="1129"/>
      <c r="AB57" s="1129"/>
      <c r="AC57" s="1129"/>
      <c r="AD57" s="2968"/>
      <c r="AE57" s="1129"/>
      <c r="AF57" s="1129"/>
      <c r="AG57" s="1129"/>
      <c r="AH57" s="1129"/>
      <c r="AI57" s="2968"/>
      <c r="AJ57" s="1129"/>
      <c r="AK57" s="1129"/>
      <c r="AL57" s="1129"/>
      <c r="AM57" s="1129"/>
      <c r="AN57" s="2968"/>
      <c r="AO57" s="1129"/>
      <c r="AP57" s="1129"/>
      <c r="AQ57" s="1129"/>
      <c r="AR57" s="1129"/>
      <c r="AS57" s="2968"/>
      <c r="AT57" s="2968"/>
      <c r="AU57" s="1129"/>
      <c r="AV57" s="1129"/>
      <c r="AW57" s="1129"/>
      <c r="AX57" s="2968"/>
      <c r="AY57" s="2968"/>
      <c r="AZ57" s="1129"/>
      <c r="BA57" s="1892"/>
      <c r="BB57" s="1892"/>
      <c r="BC57" s="2968"/>
      <c r="BD57" s="2970"/>
      <c r="BE57" s="1892"/>
      <c r="BF57" s="1892"/>
      <c r="BG57" s="1892"/>
      <c r="BH57" s="2970"/>
      <c r="BI57" s="2970"/>
      <c r="BJ57" s="1892"/>
      <c r="BK57" s="1892"/>
      <c r="BL57" s="1892"/>
      <c r="BM57" s="2970"/>
      <c r="BN57" s="2970"/>
    </row>
    <row r="58" spans="1:66" s="2964" customFormat="1" x14ac:dyDescent="0.25">
      <c r="A58" s="58"/>
      <c r="B58" s="2963"/>
      <c r="C58" s="2963"/>
      <c r="D58" s="2967"/>
      <c r="E58" s="1129"/>
      <c r="F58" s="2969"/>
      <c r="G58" s="2969"/>
      <c r="H58" s="2968"/>
      <c r="I58" s="1129"/>
      <c r="J58" s="1129"/>
      <c r="K58" s="2969"/>
      <c r="L58" s="1129"/>
      <c r="M58" s="2969"/>
      <c r="N58" s="1129"/>
      <c r="O58" s="1129"/>
      <c r="P58" s="2969"/>
      <c r="Q58" s="1129"/>
      <c r="R58" s="2968"/>
      <c r="S58" s="1129"/>
      <c r="T58" s="1129"/>
      <c r="U58" s="2969"/>
      <c r="V58" s="2969"/>
      <c r="W58" s="1129"/>
      <c r="X58" s="1129"/>
      <c r="Y58" s="2968"/>
      <c r="Z58" s="1129"/>
      <c r="AA58" s="1129"/>
      <c r="AB58" s="1129"/>
      <c r="AC58" s="1129"/>
      <c r="AD58" s="2968"/>
      <c r="AE58" s="1129"/>
      <c r="AF58" s="1129"/>
      <c r="AG58" s="1129"/>
      <c r="AH58" s="1129"/>
      <c r="AI58" s="2968"/>
      <c r="AJ58" s="1129"/>
      <c r="AK58" s="1129"/>
      <c r="AL58" s="1129"/>
      <c r="AM58" s="1129"/>
      <c r="AN58" s="2968"/>
      <c r="AO58" s="1129"/>
      <c r="AP58" s="1129"/>
      <c r="AQ58" s="1129"/>
      <c r="AR58" s="1129"/>
      <c r="AS58" s="2968"/>
      <c r="AT58" s="2968"/>
      <c r="AU58" s="1129"/>
      <c r="AV58" s="1129"/>
      <c r="AW58" s="1129"/>
      <c r="AX58" s="2968"/>
      <c r="AY58" s="2968"/>
      <c r="AZ58" s="1129"/>
      <c r="BA58" s="1892"/>
      <c r="BB58" s="1892"/>
      <c r="BC58" s="2968"/>
      <c r="BD58" s="2970"/>
      <c r="BE58" s="1892"/>
      <c r="BF58" s="1892"/>
      <c r="BG58" s="1892"/>
      <c r="BH58" s="2970"/>
      <c r="BI58" s="2970"/>
      <c r="BJ58" s="1892"/>
      <c r="BK58" s="1892"/>
      <c r="BL58" s="1892"/>
      <c r="BM58" s="2970"/>
      <c r="BN58" s="2970"/>
    </row>
    <row r="59" spans="1:66" s="2964" customFormat="1" x14ac:dyDescent="0.25">
      <c r="A59" s="58"/>
      <c r="B59" s="2963"/>
      <c r="C59" s="2963"/>
      <c r="D59" s="2967"/>
      <c r="E59" s="1129"/>
      <c r="F59" s="2969"/>
      <c r="G59" s="2969"/>
      <c r="H59" s="2968"/>
      <c r="I59" s="1129"/>
      <c r="J59" s="1129"/>
      <c r="K59" s="2969"/>
      <c r="L59" s="1129"/>
      <c r="M59" s="2969"/>
      <c r="N59" s="1129"/>
      <c r="O59" s="1129"/>
      <c r="P59" s="2969"/>
      <c r="Q59" s="1129"/>
      <c r="R59" s="2968"/>
      <c r="S59" s="1129"/>
      <c r="T59" s="1129"/>
      <c r="U59" s="2969"/>
      <c r="V59" s="2969"/>
      <c r="W59" s="1129"/>
      <c r="X59" s="1129"/>
      <c r="Y59" s="2968"/>
      <c r="Z59" s="1129"/>
      <c r="AA59" s="1129"/>
      <c r="AB59" s="1129"/>
      <c r="AC59" s="1129"/>
      <c r="AD59" s="2968"/>
      <c r="AE59" s="1129"/>
      <c r="AF59" s="1129"/>
      <c r="AG59" s="1129"/>
      <c r="AH59" s="1129"/>
      <c r="AI59" s="2968"/>
      <c r="AJ59" s="1129"/>
      <c r="AK59" s="1129"/>
      <c r="AL59" s="1129"/>
      <c r="AM59" s="1129"/>
      <c r="AN59" s="2968"/>
      <c r="AO59" s="1129"/>
      <c r="AP59" s="1129"/>
      <c r="AQ59" s="1129"/>
      <c r="AR59" s="1129"/>
      <c r="AS59" s="2968"/>
      <c r="AT59" s="2968"/>
      <c r="AU59" s="1129"/>
      <c r="AV59" s="1129"/>
      <c r="AW59" s="1129"/>
      <c r="AX59" s="2968"/>
      <c r="AY59" s="2968"/>
      <c r="AZ59" s="1129"/>
      <c r="BA59" s="1892"/>
      <c r="BB59" s="1892"/>
      <c r="BC59" s="2968"/>
      <c r="BD59" s="2970"/>
      <c r="BE59" s="1892"/>
      <c r="BF59" s="1892"/>
      <c r="BG59" s="1892"/>
      <c r="BH59" s="2970"/>
      <c r="BI59" s="2970"/>
      <c r="BJ59" s="1892"/>
      <c r="BK59" s="1892"/>
      <c r="BL59" s="1892"/>
      <c r="BM59" s="2970"/>
      <c r="BN59" s="2970"/>
    </row>
    <row r="60" spans="1:66" s="2964" customFormat="1" x14ac:dyDescent="0.25">
      <c r="A60" s="58"/>
      <c r="B60" s="2963"/>
      <c r="C60" s="2963"/>
      <c r="D60" s="2967"/>
      <c r="E60" s="1129"/>
      <c r="F60" s="2969"/>
      <c r="G60" s="2969"/>
      <c r="H60" s="2968"/>
      <c r="I60" s="1129"/>
      <c r="J60" s="1129"/>
      <c r="K60" s="2969"/>
      <c r="L60" s="1129"/>
      <c r="M60" s="2969"/>
      <c r="N60" s="1129"/>
      <c r="O60" s="1129"/>
      <c r="P60" s="2969"/>
      <c r="Q60" s="1129"/>
      <c r="R60" s="2968"/>
      <c r="S60" s="1129"/>
      <c r="T60" s="1129"/>
      <c r="U60" s="2969"/>
      <c r="V60" s="2969"/>
      <c r="W60" s="1129"/>
      <c r="X60" s="1129"/>
      <c r="Y60" s="2968"/>
      <c r="Z60" s="1129"/>
      <c r="AA60" s="1129"/>
      <c r="AB60" s="1129"/>
      <c r="AC60" s="1129"/>
      <c r="AD60" s="2968"/>
      <c r="AE60" s="1129"/>
      <c r="AF60" s="1129"/>
      <c r="AG60" s="1129"/>
      <c r="AH60" s="1129"/>
      <c r="AI60" s="2968"/>
      <c r="AJ60" s="1129"/>
      <c r="AK60" s="1129"/>
      <c r="AL60" s="1129"/>
      <c r="AM60" s="1129"/>
      <c r="AN60" s="2968"/>
      <c r="AO60" s="1129"/>
      <c r="AP60" s="1129"/>
      <c r="AQ60" s="1129"/>
      <c r="AR60" s="1129"/>
      <c r="AS60" s="2968"/>
      <c r="AT60" s="2968"/>
      <c r="AU60" s="1129"/>
      <c r="AV60" s="1129"/>
      <c r="AW60" s="1129"/>
      <c r="AX60" s="2968"/>
      <c r="AY60" s="2968"/>
      <c r="AZ60" s="1129"/>
      <c r="BA60" s="1892"/>
      <c r="BB60" s="1892"/>
      <c r="BC60" s="2968"/>
      <c r="BD60" s="2970"/>
      <c r="BE60" s="1892"/>
      <c r="BF60" s="1892"/>
      <c r="BG60" s="1892"/>
      <c r="BH60" s="2970"/>
      <c r="BI60" s="2970"/>
      <c r="BJ60" s="1892"/>
      <c r="BK60" s="1892"/>
      <c r="BL60" s="1892"/>
      <c r="BM60" s="2970"/>
      <c r="BN60" s="2970"/>
    </row>
    <row r="61" spans="1:66" ht="15" customHeight="1" x14ac:dyDescent="0.2">
      <c r="A61" s="821">
        <v>5</v>
      </c>
      <c r="B61" s="509" t="s">
        <v>52</v>
      </c>
      <c r="C61" s="509"/>
      <c r="D61" s="4624" t="s">
        <v>865</v>
      </c>
      <c r="E61" s="4625"/>
      <c r="F61" s="4625"/>
      <c r="G61" s="4625"/>
      <c r="H61" s="4625"/>
      <c r="I61" s="4625"/>
      <c r="J61" s="4625"/>
      <c r="K61" s="4625"/>
      <c r="L61" s="4625"/>
      <c r="M61" s="4625"/>
      <c r="N61" s="4625"/>
      <c r="O61" s="4625"/>
      <c r="P61" s="4625"/>
      <c r="Q61" s="4625"/>
      <c r="R61" s="4625"/>
      <c r="S61" s="4625"/>
      <c r="T61" s="4625"/>
      <c r="U61" s="4625"/>
      <c r="V61" s="4625"/>
      <c r="W61" s="4626"/>
      <c r="X61" s="880"/>
      <c r="Y61" s="880"/>
      <c r="Z61" s="880"/>
      <c r="AA61" s="880"/>
      <c r="AB61" s="880"/>
      <c r="AC61" s="880"/>
      <c r="AD61" s="880"/>
    </row>
    <row r="62" spans="1:66" ht="41.25" customHeight="1" x14ac:dyDescent="0.2">
      <c r="A62" s="858">
        <v>6</v>
      </c>
      <c r="B62" s="546" t="s">
        <v>54</v>
      </c>
      <c r="C62" s="546"/>
      <c r="D62" s="4624" t="s">
        <v>877</v>
      </c>
      <c r="E62" s="4625"/>
      <c r="F62" s="4625"/>
      <c r="G62" s="4625"/>
      <c r="H62" s="4625"/>
      <c r="I62" s="4625"/>
      <c r="J62" s="4625"/>
      <c r="K62" s="4625"/>
      <c r="L62" s="4625"/>
      <c r="M62" s="4625"/>
      <c r="N62" s="4625"/>
      <c r="O62" s="4625"/>
      <c r="P62" s="4625"/>
      <c r="Q62" s="4625"/>
      <c r="R62" s="4625"/>
      <c r="S62" s="4625"/>
      <c r="T62" s="4625"/>
      <c r="U62" s="4625"/>
      <c r="V62" s="4625"/>
      <c r="W62" s="4626"/>
      <c r="X62" s="880"/>
      <c r="Y62" s="880"/>
      <c r="Z62" s="880"/>
      <c r="AA62" s="880"/>
      <c r="AB62" s="880"/>
      <c r="AC62" s="880"/>
      <c r="AD62" s="880"/>
    </row>
    <row r="63" spans="1:66" ht="15" customHeight="1" x14ac:dyDescent="0.2">
      <c r="A63" s="821">
        <v>7</v>
      </c>
      <c r="B63" s="509" t="s">
        <v>56</v>
      </c>
      <c r="C63" s="509"/>
      <c r="D63" s="4764" t="s">
        <v>878</v>
      </c>
      <c r="E63" s="4765"/>
      <c r="F63" s="4765"/>
      <c r="G63" s="4765"/>
      <c r="H63" s="4765"/>
      <c r="I63" s="4765"/>
      <c r="J63" s="4765"/>
      <c r="K63" s="4765"/>
      <c r="L63" s="4765"/>
      <c r="M63" s="4765"/>
      <c r="N63" s="4765"/>
      <c r="O63" s="4765"/>
      <c r="P63" s="4765"/>
      <c r="Q63" s="4765"/>
      <c r="R63" s="4765"/>
      <c r="S63" s="4765"/>
      <c r="T63" s="4765"/>
      <c r="U63" s="4765"/>
      <c r="V63" s="4765"/>
      <c r="W63" s="4766"/>
      <c r="X63" s="880"/>
      <c r="Y63" s="880"/>
      <c r="Z63" s="880"/>
      <c r="AA63" s="880"/>
      <c r="AB63" s="880"/>
      <c r="AC63" s="880"/>
      <c r="AD63" s="880"/>
    </row>
    <row r="64" spans="1:66" ht="14.25" x14ac:dyDescent="0.2">
      <c r="A64" s="2387">
        <v>8</v>
      </c>
      <c r="B64" s="509" t="s">
        <v>409</v>
      </c>
      <c r="D64" s="4624" t="s">
        <v>868</v>
      </c>
      <c r="E64" s="4625"/>
      <c r="F64" s="4625"/>
      <c r="G64" s="4625"/>
      <c r="H64" s="4625"/>
      <c r="I64" s="4625"/>
      <c r="J64" s="4625"/>
      <c r="K64" s="4625"/>
      <c r="L64" s="4625"/>
      <c r="M64" s="4625"/>
      <c r="N64" s="4625"/>
      <c r="O64" s="4625"/>
      <c r="P64" s="4625"/>
      <c r="Q64" s="4625"/>
      <c r="R64" s="4625"/>
      <c r="S64" s="4625"/>
      <c r="T64" s="4625"/>
      <c r="U64" s="4625"/>
      <c r="V64" s="4625"/>
      <c r="W64" s="4626"/>
      <c r="X64" s="880"/>
      <c r="Y64" s="880"/>
      <c r="Z64" s="880"/>
      <c r="AA64" s="880"/>
      <c r="AB64" s="880"/>
      <c r="AC64" s="880"/>
      <c r="AD64" s="880"/>
    </row>
    <row r="65" spans="4:25" ht="15" customHeight="1" x14ac:dyDescent="0.2"/>
    <row r="66" spans="4:25" x14ac:dyDescent="0.2">
      <c r="D66" s="2971" t="s">
        <v>879</v>
      </c>
    </row>
    <row r="68" spans="4:25" ht="91.5" customHeight="1" x14ac:dyDescent="0.2">
      <c r="D68" s="4772"/>
      <c r="E68" s="4772"/>
      <c r="F68" s="4772"/>
      <c r="G68" s="4772"/>
      <c r="H68" s="4772"/>
      <c r="I68" s="4772"/>
      <c r="J68" s="4772"/>
      <c r="K68" s="4772"/>
      <c r="L68" s="4772"/>
      <c r="M68" s="4772"/>
      <c r="N68" s="4772"/>
      <c r="O68" s="4772"/>
      <c r="P68" s="4772"/>
      <c r="Q68" s="4772"/>
      <c r="R68" s="4772"/>
      <c r="S68" s="4772"/>
      <c r="T68" s="4772"/>
      <c r="U68" s="4772"/>
      <c r="V68" s="4772"/>
      <c r="W68" s="4772"/>
      <c r="X68" s="4772"/>
      <c r="Y68" s="4772"/>
    </row>
  </sheetData>
  <mergeCells count="9">
    <mergeCell ref="D63:W63"/>
    <mergeCell ref="D64:W64"/>
    <mergeCell ref="D68:Y68"/>
    <mergeCell ref="D2:W2"/>
    <mergeCell ref="D3:W3"/>
    <mergeCell ref="D4:W4"/>
    <mergeCell ref="D6:P6"/>
    <mergeCell ref="D61:W61"/>
    <mergeCell ref="D62:W62"/>
  </mergeCells>
  <pageMargins left="0.74803149606299213" right="0.74803149606299213" top="0.98425196850393704" bottom="0.98425196850393704" header="0.51181102362204722" footer="0.51181102362204722"/>
  <pageSetup paperSize="8" scale="83" fitToHeight="0" orientation="landscape" r:id="rId1"/>
  <headerFooter alignWithMargins="0">
    <oddHeader>&amp;C&amp;"-,Bold"DEVELOPMENT INDICATORS 2014</oddHeader>
    <oddFooter>&amp;LDepartment of Planning, Monitoring and Evaluation (DPME). &amp;CPage &amp;P of &amp;N&amp;R&amp;D</oddFooter>
  </headerFooter>
  <rowBreaks count="1" manualBreakCount="1">
    <brk id="59" max="24"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6D983-2BF5-479B-92FF-6CEBEDD609D0}">
  <sheetPr>
    <tabColor rgb="FFFFC000"/>
    <pageSetUpPr fitToPage="1"/>
  </sheetPr>
  <dimension ref="A1:AD38"/>
  <sheetViews>
    <sheetView showGridLines="0" view="pageBreakPreview" zoomScaleNormal="100" zoomScaleSheetLayoutView="100" workbookViewId="0">
      <selection activeCell="D13" sqref="D13"/>
    </sheetView>
  </sheetViews>
  <sheetFormatPr defaultColWidth="9.140625" defaultRowHeight="12" x14ac:dyDescent="0.2"/>
  <cols>
    <col min="1" max="1" width="3.85546875" style="203" customWidth="1"/>
    <col min="2" max="2" width="14.42578125" style="527" customWidth="1"/>
    <col min="3" max="3" width="3.85546875" style="527" customWidth="1"/>
    <col min="4" max="4" width="14.85546875" style="512" customWidth="1"/>
    <col min="5" max="25" width="7" style="512" customWidth="1"/>
    <col min="26" max="26" width="9.140625" style="512"/>
    <col min="27" max="27" width="7" style="512" customWidth="1"/>
    <col min="28" max="28" width="7.5703125" style="512" customWidth="1"/>
    <col min="29" max="29" width="8" style="512" customWidth="1"/>
    <col min="30" max="260" width="9.140625" style="512"/>
    <col min="261" max="261" width="3.85546875" style="512" customWidth="1"/>
    <col min="262" max="262" width="14.42578125" style="512" customWidth="1"/>
    <col min="263" max="263" width="3.85546875" style="512" customWidth="1"/>
    <col min="264" max="264" width="14.85546875" style="512" customWidth="1"/>
    <col min="265" max="278" width="7" style="512" customWidth="1"/>
    <col min="279" max="280" width="13.85546875" style="512" customWidth="1"/>
    <col min="281" max="516" width="9.140625" style="512"/>
    <col min="517" max="517" width="3.85546875" style="512" customWidth="1"/>
    <col min="518" max="518" width="14.42578125" style="512" customWidth="1"/>
    <col min="519" max="519" width="3.85546875" style="512" customWidth="1"/>
    <col min="520" max="520" width="14.85546875" style="512" customWidth="1"/>
    <col min="521" max="534" width="7" style="512" customWidth="1"/>
    <col min="535" max="536" width="13.85546875" style="512" customWidth="1"/>
    <col min="537" max="772" width="9.140625" style="512"/>
    <col min="773" max="773" width="3.85546875" style="512" customWidth="1"/>
    <col min="774" max="774" width="14.42578125" style="512" customWidth="1"/>
    <col min="775" max="775" width="3.85546875" style="512" customWidth="1"/>
    <col min="776" max="776" width="14.85546875" style="512" customWidth="1"/>
    <col min="777" max="790" width="7" style="512" customWidth="1"/>
    <col min="791" max="792" width="13.85546875" style="512" customWidth="1"/>
    <col min="793" max="1028" width="9.140625" style="512"/>
    <col min="1029" max="1029" width="3.85546875" style="512" customWidth="1"/>
    <col min="1030" max="1030" width="14.42578125" style="512" customWidth="1"/>
    <col min="1031" max="1031" width="3.85546875" style="512" customWidth="1"/>
    <col min="1032" max="1032" width="14.85546875" style="512" customWidth="1"/>
    <col min="1033" max="1046" width="7" style="512" customWidth="1"/>
    <col min="1047" max="1048" width="13.85546875" style="512" customWidth="1"/>
    <col min="1049" max="1284" width="9.140625" style="512"/>
    <col min="1285" max="1285" width="3.85546875" style="512" customWidth="1"/>
    <col min="1286" max="1286" width="14.42578125" style="512" customWidth="1"/>
    <col min="1287" max="1287" width="3.85546875" style="512" customWidth="1"/>
    <col min="1288" max="1288" width="14.85546875" style="512" customWidth="1"/>
    <col min="1289" max="1302" width="7" style="512" customWidth="1"/>
    <col min="1303" max="1304" width="13.85546875" style="512" customWidth="1"/>
    <col min="1305" max="1540" width="9.140625" style="512"/>
    <col min="1541" max="1541" width="3.85546875" style="512" customWidth="1"/>
    <col min="1542" max="1542" width="14.42578125" style="512" customWidth="1"/>
    <col min="1543" max="1543" width="3.85546875" style="512" customWidth="1"/>
    <col min="1544" max="1544" width="14.85546875" style="512" customWidth="1"/>
    <col min="1545" max="1558" width="7" style="512" customWidth="1"/>
    <col min="1559" max="1560" width="13.85546875" style="512" customWidth="1"/>
    <col min="1561" max="1796" width="9.140625" style="512"/>
    <col min="1797" max="1797" width="3.85546875" style="512" customWidth="1"/>
    <col min="1798" max="1798" width="14.42578125" style="512" customWidth="1"/>
    <col min="1799" max="1799" width="3.85546875" style="512" customWidth="1"/>
    <col min="1800" max="1800" width="14.85546875" style="512" customWidth="1"/>
    <col min="1801" max="1814" width="7" style="512" customWidth="1"/>
    <col min="1815" max="1816" width="13.85546875" style="512" customWidth="1"/>
    <col min="1817" max="2052" width="9.140625" style="512"/>
    <col min="2053" max="2053" width="3.85546875" style="512" customWidth="1"/>
    <col min="2054" max="2054" width="14.42578125" style="512" customWidth="1"/>
    <col min="2055" max="2055" width="3.85546875" style="512" customWidth="1"/>
    <col min="2056" max="2056" width="14.85546875" style="512" customWidth="1"/>
    <col min="2057" max="2070" width="7" style="512" customWidth="1"/>
    <col min="2071" max="2072" width="13.85546875" style="512" customWidth="1"/>
    <col min="2073" max="2308" width="9.140625" style="512"/>
    <col min="2309" max="2309" width="3.85546875" style="512" customWidth="1"/>
    <col min="2310" max="2310" width="14.42578125" style="512" customWidth="1"/>
    <col min="2311" max="2311" width="3.85546875" style="512" customWidth="1"/>
    <col min="2312" max="2312" width="14.85546875" style="512" customWidth="1"/>
    <col min="2313" max="2326" width="7" style="512" customWidth="1"/>
    <col min="2327" max="2328" width="13.85546875" style="512" customWidth="1"/>
    <col min="2329" max="2564" width="9.140625" style="512"/>
    <col min="2565" max="2565" width="3.85546875" style="512" customWidth="1"/>
    <col min="2566" max="2566" width="14.42578125" style="512" customWidth="1"/>
    <col min="2567" max="2567" width="3.85546875" style="512" customWidth="1"/>
    <col min="2568" max="2568" width="14.85546875" style="512" customWidth="1"/>
    <col min="2569" max="2582" width="7" style="512" customWidth="1"/>
    <col min="2583" max="2584" width="13.85546875" style="512" customWidth="1"/>
    <col min="2585" max="2820" width="9.140625" style="512"/>
    <col min="2821" max="2821" width="3.85546875" style="512" customWidth="1"/>
    <col min="2822" max="2822" width="14.42578125" style="512" customWidth="1"/>
    <col min="2823" max="2823" width="3.85546875" style="512" customWidth="1"/>
    <col min="2824" max="2824" width="14.85546875" style="512" customWidth="1"/>
    <col min="2825" max="2838" width="7" style="512" customWidth="1"/>
    <col min="2839" max="2840" width="13.85546875" style="512" customWidth="1"/>
    <col min="2841" max="3076" width="9.140625" style="512"/>
    <col min="3077" max="3077" width="3.85546875" style="512" customWidth="1"/>
    <col min="3078" max="3078" width="14.42578125" style="512" customWidth="1"/>
    <col min="3079" max="3079" width="3.85546875" style="512" customWidth="1"/>
    <col min="3080" max="3080" width="14.85546875" style="512" customWidth="1"/>
    <col min="3081" max="3094" width="7" style="512" customWidth="1"/>
    <col min="3095" max="3096" width="13.85546875" style="512" customWidth="1"/>
    <col min="3097" max="3332" width="9.140625" style="512"/>
    <col min="3333" max="3333" width="3.85546875" style="512" customWidth="1"/>
    <col min="3334" max="3334" width="14.42578125" style="512" customWidth="1"/>
    <col min="3335" max="3335" width="3.85546875" style="512" customWidth="1"/>
    <col min="3336" max="3336" width="14.85546875" style="512" customWidth="1"/>
    <col min="3337" max="3350" width="7" style="512" customWidth="1"/>
    <col min="3351" max="3352" width="13.85546875" style="512" customWidth="1"/>
    <col min="3353" max="3588" width="9.140625" style="512"/>
    <col min="3589" max="3589" width="3.85546875" style="512" customWidth="1"/>
    <col min="3590" max="3590" width="14.42578125" style="512" customWidth="1"/>
    <col min="3591" max="3591" width="3.85546875" style="512" customWidth="1"/>
    <col min="3592" max="3592" width="14.85546875" style="512" customWidth="1"/>
    <col min="3593" max="3606" width="7" style="512" customWidth="1"/>
    <col min="3607" max="3608" width="13.85546875" style="512" customWidth="1"/>
    <col min="3609" max="3844" width="9.140625" style="512"/>
    <col min="3845" max="3845" width="3.85546875" style="512" customWidth="1"/>
    <col min="3846" max="3846" width="14.42578125" style="512" customWidth="1"/>
    <col min="3847" max="3847" width="3.85546875" style="512" customWidth="1"/>
    <col min="3848" max="3848" width="14.85546875" style="512" customWidth="1"/>
    <col min="3849" max="3862" width="7" style="512" customWidth="1"/>
    <col min="3863" max="3864" width="13.85546875" style="512" customWidth="1"/>
    <col min="3865" max="4100" width="9.140625" style="512"/>
    <col min="4101" max="4101" width="3.85546875" style="512" customWidth="1"/>
    <col min="4102" max="4102" width="14.42578125" style="512" customWidth="1"/>
    <col min="4103" max="4103" width="3.85546875" style="512" customWidth="1"/>
    <col min="4104" max="4104" width="14.85546875" style="512" customWidth="1"/>
    <col min="4105" max="4118" width="7" style="512" customWidth="1"/>
    <col min="4119" max="4120" width="13.85546875" style="512" customWidth="1"/>
    <col min="4121" max="4356" width="9.140625" style="512"/>
    <col min="4357" max="4357" width="3.85546875" style="512" customWidth="1"/>
    <col min="4358" max="4358" width="14.42578125" style="512" customWidth="1"/>
    <col min="4359" max="4359" width="3.85546875" style="512" customWidth="1"/>
    <col min="4360" max="4360" width="14.85546875" style="512" customWidth="1"/>
    <col min="4361" max="4374" width="7" style="512" customWidth="1"/>
    <col min="4375" max="4376" width="13.85546875" style="512" customWidth="1"/>
    <col min="4377" max="4612" width="9.140625" style="512"/>
    <col min="4613" max="4613" width="3.85546875" style="512" customWidth="1"/>
    <col min="4614" max="4614" width="14.42578125" style="512" customWidth="1"/>
    <col min="4615" max="4615" width="3.85546875" style="512" customWidth="1"/>
    <col min="4616" max="4616" width="14.85546875" style="512" customWidth="1"/>
    <col min="4617" max="4630" width="7" style="512" customWidth="1"/>
    <col min="4631" max="4632" width="13.85546875" style="512" customWidth="1"/>
    <col min="4633" max="4868" width="9.140625" style="512"/>
    <col min="4869" max="4869" width="3.85546875" style="512" customWidth="1"/>
    <col min="4870" max="4870" width="14.42578125" style="512" customWidth="1"/>
    <col min="4871" max="4871" width="3.85546875" style="512" customWidth="1"/>
    <col min="4872" max="4872" width="14.85546875" style="512" customWidth="1"/>
    <col min="4873" max="4886" width="7" style="512" customWidth="1"/>
    <col min="4887" max="4888" width="13.85546875" style="512" customWidth="1"/>
    <col min="4889" max="5124" width="9.140625" style="512"/>
    <col min="5125" max="5125" width="3.85546875" style="512" customWidth="1"/>
    <col min="5126" max="5126" width="14.42578125" style="512" customWidth="1"/>
    <col min="5127" max="5127" width="3.85546875" style="512" customWidth="1"/>
    <col min="5128" max="5128" width="14.85546875" style="512" customWidth="1"/>
    <col min="5129" max="5142" width="7" style="512" customWidth="1"/>
    <col min="5143" max="5144" width="13.85546875" style="512" customWidth="1"/>
    <col min="5145" max="5380" width="9.140625" style="512"/>
    <col min="5381" max="5381" width="3.85546875" style="512" customWidth="1"/>
    <col min="5382" max="5382" width="14.42578125" style="512" customWidth="1"/>
    <col min="5383" max="5383" width="3.85546875" style="512" customWidth="1"/>
    <col min="5384" max="5384" width="14.85546875" style="512" customWidth="1"/>
    <col min="5385" max="5398" width="7" style="512" customWidth="1"/>
    <col min="5399" max="5400" width="13.85546875" style="512" customWidth="1"/>
    <col min="5401" max="5636" width="9.140625" style="512"/>
    <col min="5637" max="5637" width="3.85546875" style="512" customWidth="1"/>
    <col min="5638" max="5638" width="14.42578125" style="512" customWidth="1"/>
    <col min="5639" max="5639" width="3.85546875" style="512" customWidth="1"/>
    <col min="5640" max="5640" width="14.85546875" style="512" customWidth="1"/>
    <col min="5641" max="5654" width="7" style="512" customWidth="1"/>
    <col min="5655" max="5656" width="13.85546875" style="512" customWidth="1"/>
    <col min="5657" max="5892" width="9.140625" style="512"/>
    <col min="5893" max="5893" width="3.85546875" style="512" customWidth="1"/>
    <col min="5894" max="5894" width="14.42578125" style="512" customWidth="1"/>
    <col min="5895" max="5895" width="3.85546875" style="512" customWidth="1"/>
    <col min="5896" max="5896" width="14.85546875" style="512" customWidth="1"/>
    <col min="5897" max="5910" width="7" style="512" customWidth="1"/>
    <col min="5911" max="5912" width="13.85546875" style="512" customWidth="1"/>
    <col min="5913" max="6148" width="9.140625" style="512"/>
    <col min="6149" max="6149" width="3.85546875" style="512" customWidth="1"/>
    <col min="6150" max="6150" width="14.42578125" style="512" customWidth="1"/>
    <col min="6151" max="6151" width="3.85546875" style="512" customWidth="1"/>
    <col min="6152" max="6152" width="14.85546875" style="512" customWidth="1"/>
    <col min="6153" max="6166" width="7" style="512" customWidth="1"/>
    <col min="6167" max="6168" width="13.85546875" style="512" customWidth="1"/>
    <col min="6169" max="6404" width="9.140625" style="512"/>
    <col min="6405" max="6405" width="3.85546875" style="512" customWidth="1"/>
    <col min="6406" max="6406" width="14.42578125" style="512" customWidth="1"/>
    <col min="6407" max="6407" width="3.85546875" style="512" customWidth="1"/>
    <col min="6408" max="6408" width="14.85546875" style="512" customWidth="1"/>
    <col min="6409" max="6422" width="7" style="512" customWidth="1"/>
    <col min="6423" max="6424" width="13.85546875" style="512" customWidth="1"/>
    <col min="6425" max="6660" width="9.140625" style="512"/>
    <col min="6661" max="6661" width="3.85546875" style="512" customWidth="1"/>
    <col min="6662" max="6662" width="14.42578125" style="512" customWidth="1"/>
    <col min="6663" max="6663" width="3.85546875" style="512" customWidth="1"/>
    <col min="6664" max="6664" width="14.85546875" style="512" customWidth="1"/>
    <col min="6665" max="6678" width="7" style="512" customWidth="1"/>
    <col min="6679" max="6680" width="13.85546875" style="512" customWidth="1"/>
    <col min="6681" max="6916" width="9.140625" style="512"/>
    <col min="6917" max="6917" width="3.85546875" style="512" customWidth="1"/>
    <col min="6918" max="6918" width="14.42578125" style="512" customWidth="1"/>
    <col min="6919" max="6919" width="3.85546875" style="512" customWidth="1"/>
    <col min="6920" max="6920" width="14.85546875" style="512" customWidth="1"/>
    <col min="6921" max="6934" width="7" style="512" customWidth="1"/>
    <col min="6935" max="6936" width="13.85546875" style="512" customWidth="1"/>
    <col min="6937" max="7172" width="9.140625" style="512"/>
    <col min="7173" max="7173" width="3.85546875" style="512" customWidth="1"/>
    <col min="7174" max="7174" width="14.42578125" style="512" customWidth="1"/>
    <col min="7175" max="7175" width="3.85546875" style="512" customWidth="1"/>
    <col min="7176" max="7176" width="14.85546875" style="512" customWidth="1"/>
    <col min="7177" max="7190" width="7" style="512" customWidth="1"/>
    <col min="7191" max="7192" width="13.85546875" style="512" customWidth="1"/>
    <col min="7193" max="7428" width="9.140625" style="512"/>
    <col min="7429" max="7429" width="3.85546875" style="512" customWidth="1"/>
    <col min="7430" max="7430" width="14.42578125" style="512" customWidth="1"/>
    <col min="7431" max="7431" width="3.85546875" style="512" customWidth="1"/>
    <col min="7432" max="7432" width="14.85546875" style="512" customWidth="1"/>
    <col min="7433" max="7446" width="7" style="512" customWidth="1"/>
    <col min="7447" max="7448" width="13.85546875" style="512" customWidth="1"/>
    <col min="7449" max="7684" width="9.140625" style="512"/>
    <col min="7685" max="7685" width="3.85546875" style="512" customWidth="1"/>
    <col min="7686" max="7686" width="14.42578125" style="512" customWidth="1"/>
    <col min="7687" max="7687" width="3.85546875" style="512" customWidth="1"/>
    <col min="7688" max="7688" width="14.85546875" style="512" customWidth="1"/>
    <col min="7689" max="7702" width="7" style="512" customWidth="1"/>
    <col min="7703" max="7704" width="13.85546875" style="512" customWidth="1"/>
    <col min="7705" max="7940" width="9.140625" style="512"/>
    <col min="7941" max="7941" width="3.85546875" style="512" customWidth="1"/>
    <col min="7942" max="7942" width="14.42578125" style="512" customWidth="1"/>
    <col min="7943" max="7943" width="3.85546875" style="512" customWidth="1"/>
    <col min="7944" max="7944" width="14.85546875" style="512" customWidth="1"/>
    <col min="7945" max="7958" width="7" style="512" customWidth="1"/>
    <col min="7959" max="7960" width="13.85546875" style="512" customWidth="1"/>
    <col min="7961" max="8196" width="9.140625" style="512"/>
    <col min="8197" max="8197" width="3.85546875" style="512" customWidth="1"/>
    <col min="8198" max="8198" width="14.42578125" style="512" customWidth="1"/>
    <col min="8199" max="8199" width="3.85546875" style="512" customWidth="1"/>
    <col min="8200" max="8200" width="14.85546875" style="512" customWidth="1"/>
    <col min="8201" max="8214" width="7" style="512" customWidth="1"/>
    <col min="8215" max="8216" width="13.85546875" style="512" customWidth="1"/>
    <col min="8217" max="8452" width="9.140625" style="512"/>
    <col min="8453" max="8453" width="3.85546875" style="512" customWidth="1"/>
    <col min="8454" max="8454" width="14.42578125" style="512" customWidth="1"/>
    <col min="8455" max="8455" width="3.85546875" style="512" customWidth="1"/>
    <col min="8456" max="8456" width="14.85546875" style="512" customWidth="1"/>
    <col min="8457" max="8470" width="7" style="512" customWidth="1"/>
    <col min="8471" max="8472" width="13.85546875" style="512" customWidth="1"/>
    <col min="8473" max="8708" width="9.140625" style="512"/>
    <col min="8709" max="8709" width="3.85546875" style="512" customWidth="1"/>
    <col min="8710" max="8710" width="14.42578125" style="512" customWidth="1"/>
    <col min="8711" max="8711" width="3.85546875" style="512" customWidth="1"/>
    <col min="8712" max="8712" width="14.85546875" style="512" customWidth="1"/>
    <col min="8713" max="8726" width="7" style="512" customWidth="1"/>
    <col min="8727" max="8728" width="13.85546875" style="512" customWidth="1"/>
    <col min="8729" max="8964" width="9.140625" style="512"/>
    <col min="8965" max="8965" width="3.85546875" style="512" customWidth="1"/>
    <col min="8966" max="8966" width="14.42578125" style="512" customWidth="1"/>
    <col min="8967" max="8967" width="3.85546875" style="512" customWidth="1"/>
    <col min="8968" max="8968" width="14.85546875" style="512" customWidth="1"/>
    <col min="8969" max="8982" width="7" style="512" customWidth="1"/>
    <col min="8983" max="8984" width="13.85546875" style="512" customWidth="1"/>
    <col min="8985" max="9220" width="9.140625" style="512"/>
    <col min="9221" max="9221" width="3.85546875" style="512" customWidth="1"/>
    <col min="9222" max="9222" width="14.42578125" style="512" customWidth="1"/>
    <col min="9223" max="9223" width="3.85546875" style="512" customWidth="1"/>
    <col min="9224" max="9224" width="14.85546875" style="512" customWidth="1"/>
    <col min="9225" max="9238" width="7" style="512" customWidth="1"/>
    <col min="9239" max="9240" width="13.85546875" style="512" customWidth="1"/>
    <col min="9241" max="9476" width="9.140625" style="512"/>
    <col min="9477" max="9477" width="3.85546875" style="512" customWidth="1"/>
    <col min="9478" max="9478" width="14.42578125" style="512" customWidth="1"/>
    <col min="9479" max="9479" width="3.85546875" style="512" customWidth="1"/>
    <col min="9480" max="9480" width="14.85546875" style="512" customWidth="1"/>
    <col min="9481" max="9494" width="7" style="512" customWidth="1"/>
    <col min="9495" max="9496" width="13.85546875" style="512" customWidth="1"/>
    <col min="9497" max="9732" width="9.140625" style="512"/>
    <col min="9733" max="9733" width="3.85546875" style="512" customWidth="1"/>
    <col min="9734" max="9734" width="14.42578125" style="512" customWidth="1"/>
    <col min="9735" max="9735" width="3.85546875" style="512" customWidth="1"/>
    <col min="9736" max="9736" width="14.85546875" style="512" customWidth="1"/>
    <col min="9737" max="9750" width="7" style="512" customWidth="1"/>
    <col min="9751" max="9752" width="13.85546875" style="512" customWidth="1"/>
    <col min="9753" max="9988" width="9.140625" style="512"/>
    <col min="9989" max="9989" width="3.85546875" style="512" customWidth="1"/>
    <col min="9990" max="9990" width="14.42578125" style="512" customWidth="1"/>
    <col min="9991" max="9991" width="3.85546875" style="512" customWidth="1"/>
    <col min="9992" max="9992" width="14.85546875" style="512" customWidth="1"/>
    <col min="9993" max="10006" width="7" style="512" customWidth="1"/>
    <col min="10007" max="10008" width="13.85546875" style="512" customWidth="1"/>
    <col min="10009" max="10244" width="9.140625" style="512"/>
    <col min="10245" max="10245" width="3.85546875" style="512" customWidth="1"/>
    <col min="10246" max="10246" width="14.42578125" style="512" customWidth="1"/>
    <col min="10247" max="10247" width="3.85546875" style="512" customWidth="1"/>
    <col min="10248" max="10248" width="14.85546875" style="512" customWidth="1"/>
    <col min="10249" max="10262" width="7" style="512" customWidth="1"/>
    <col min="10263" max="10264" width="13.85546875" style="512" customWidth="1"/>
    <col min="10265" max="10500" width="9.140625" style="512"/>
    <col min="10501" max="10501" width="3.85546875" style="512" customWidth="1"/>
    <col min="10502" max="10502" width="14.42578125" style="512" customWidth="1"/>
    <col min="10503" max="10503" width="3.85546875" style="512" customWidth="1"/>
    <col min="10504" max="10504" width="14.85546875" style="512" customWidth="1"/>
    <col min="10505" max="10518" width="7" style="512" customWidth="1"/>
    <col min="10519" max="10520" width="13.85546875" style="512" customWidth="1"/>
    <col min="10521" max="10756" width="9.140625" style="512"/>
    <col min="10757" max="10757" width="3.85546875" style="512" customWidth="1"/>
    <col min="10758" max="10758" width="14.42578125" style="512" customWidth="1"/>
    <col min="10759" max="10759" width="3.85546875" style="512" customWidth="1"/>
    <col min="10760" max="10760" width="14.85546875" style="512" customWidth="1"/>
    <col min="10761" max="10774" width="7" style="512" customWidth="1"/>
    <col min="10775" max="10776" width="13.85546875" style="512" customWidth="1"/>
    <col min="10777" max="11012" width="9.140625" style="512"/>
    <col min="11013" max="11013" width="3.85546875" style="512" customWidth="1"/>
    <col min="11014" max="11014" width="14.42578125" style="512" customWidth="1"/>
    <col min="11015" max="11015" width="3.85546875" style="512" customWidth="1"/>
    <col min="11016" max="11016" width="14.85546875" style="512" customWidth="1"/>
    <col min="11017" max="11030" width="7" style="512" customWidth="1"/>
    <col min="11031" max="11032" width="13.85546875" style="512" customWidth="1"/>
    <col min="11033" max="11268" width="9.140625" style="512"/>
    <col min="11269" max="11269" width="3.85546875" style="512" customWidth="1"/>
    <col min="11270" max="11270" width="14.42578125" style="512" customWidth="1"/>
    <col min="11271" max="11271" width="3.85546875" style="512" customWidth="1"/>
    <col min="11272" max="11272" width="14.85546875" style="512" customWidth="1"/>
    <col min="11273" max="11286" width="7" style="512" customWidth="1"/>
    <col min="11287" max="11288" width="13.85546875" style="512" customWidth="1"/>
    <col min="11289" max="11524" width="9.140625" style="512"/>
    <col min="11525" max="11525" width="3.85546875" style="512" customWidth="1"/>
    <col min="11526" max="11526" width="14.42578125" style="512" customWidth="1"/>
    <col min="11527" max="11527" width="3.85546875" style="512" customWidth="1"/>
    <col min="11528" max="11528" width="14.85546875" style="512" customWidth="1"/>
    <col min="11529" max="11542" width="7" style="512" customWidth="1"/>
    <col min="11543" max="11544" width="13.85546875" style="512" customWidth="1"/>
    <col min="11545" max="11780" width="9.140625" style="512"/>
    <col min="11781" max="11781" width="3.85546875" style="512" customWidth="1"/>
    <col min="11782" max="11782" width="14.42578125" style="512" customWidth="1"/>
    <col min="11783" max="11783" width="3.85546875" style="512" customWidth="1"/>
    <col min="11784" max="11784" width="14.85546875" style="512" customWidth="1"/>
    <col min="11785" max="11798" width="7" style="512" customWidth="1"/>
    <col min="11799" max="11800" width="13.85546875" style="512" customWidth="1"/>
    <col min="11801" max="12036" width="9.140625" style="512"/>
    <col min="12037" max="12037" width="3.85546875" style="512" customWidth="1"/>
    <col min="12038" max="12038" width="14.42578125" style="512" customWidth="1"/>
    <col min="12039" max="12039" width="3.85546875" style="512" customWidth="1"/>
    <col min="12040" max="12040" width="14.85546875" style="512" customWidth="1"/>
    <col min="12041" max="12054" width="7" style="512" customWidth="1"/>
    <col min="12055" max="12056" width="13.85546875" style="512" customWidth="1"/>
    <col min="12057" max="12292" width="9.140625" style="512"/>
    <col min="12293" max="12293" width="3.85546875" style="512" customWidth="1"/>
    <col min="12294" max="12294" width="14.42578125" style="512" customWidth="1"/>
    <col min="12295" max="12295" width="3.85546875" style="512" customWidth="1"/>
    <col min="12296" max="12296" width="14.85546875" style="512" customWidth="1"/>
    <col min="12297" max="12310" width="7" style="512" customWidth="1"/>
    <col min="12311" max="12312" width="13.85546875" style="512" customWidth="1"/>
    <col min="12313" max="12548" width="9.140625" style="512"/>
    <col min="12549" max="12549" width="3.85546875" style="512" customWidth="1"/>
    <col min="12550" max="12550" width="14.42578125" style="512" customWidth="1"/>
    <col min="12551" max="12551" width="3.85546875" style="512" customWidth="1"/>
    <col min="12552" max="12552" width="14.85546875" style="512" customWidth="1"/>
    <col min="12553" max="12566" width="7" style="512" customWidth="1"/>
    <col min="12567" max="12568" width="13.85546875" style="512" customWidth="1"/>
    <col min="12569" max="12804" width="9.140625" style="512"/>
    <col min="12805" max="12805" width="3.85546875" style="512" customWidth="1"/>
    <col min="12806" max="12806" width="14.42578125" style="512" customWidth="1"/>
    <col min="12807" max="12807" width="3.85546875" style="512" customWidth="1"/>
    <col min="12808" max="12808" width="14.85546875" style="512" customWidth="1"/>
    <col min="12809" max="12822" width="7" style="512" customWidth="1"/>
    <col min="12823" max="12824" width="13.85546875" style="512" customWidth="1"/>
    <col min="12825" max="13060" width="9.140625" style="512"/>
    <col min="13061" max="13061" width="3.85546875" style="512" customWidth="1"/>
    <col min="13062" max="13062" width="14.42578125" style="512" customWidth="1"/>
    <col min="13063" max="13063" width="3.85546875" style="512" customWidth="1"/>
    <col min="13064" max="13064" width="14.85546875" style="512" customWidth="1"/>
    <col min="13065" max="13078" width="7" style="512" customWidth="1"/>
    <col min="13079" max="13080" width="13.85546875" style="512" customWidth="1"/>
    <col min="13081" max="13316" width="9.140625" style="512"/>
    <col min="13317" max="13317" width="3.85546875" style="512" customWidth="1"/>
    <col min="13318" max="13318" width="14.42578125" style="512" customWidth="1"/>
    <col min="13319" max="13319" width="3.85546875" style="512" customWidth="1"/>
    <col min="13320" max="13320" width="14.85546875" style="512" customWidth="1"/>
    <col min="13321" max="13334" width="7" style="512" customWidth="1"/>
    <col min="13335" max="13336" width="13.85546875" style="512" customWidth="1"/>
    <col min="13337" max="13572" width="9.140625" style="512"/>
    <col min="13573" max="13573" width="3.85546875" style="512" customWidth="1"/>
    <col min="13574" max="13574" width="14.42578125" style="512" customWidth="1"/>
    <col min="13575" max="13575" width="3.85546875" style="512" customWidth="1"/>
    <col min="13576" max="13576" width="14.85546875" style="512" customWidth="1"/>
    <col min="13577" max="13590" width="7" style="512" customWidth="1"/>
    <col min="13591" max="13592" width="13.85546875" style="512" customWidth="1"/>
    <col min="13593" max="13828" width="9.140625" style="512"/>
    <col min="13829" max="13829" width="3.85546875" style="512" customWidth="1"/>
    <col min="13830" max="13830" width="14.42578125" style="512" customWidth="1"/>
    <col min="13831" max="13831" width="3.85546875" style="512" customWidth="1"/>
    <col min="13832" max="13832" width="14.85546875" style="512" customWidth="1"/>
    <col min="13833" max="13846" width="7" style="512" customWidth="1"/>
    <col min="13847" max="13848" width="13.85546875" style="512" customWidth="1"/>
    <col min="13849" max="14084" width="9.140625" style="512"/>
    <col min="14085" max="14085" width="3.85546875" style="512" customWidth="1"/>
    <col min="14086" max="14086" width="14.42578125" style="512" customWidth="1"/>
    <col min="14087" max="14087" width="3.85546875" style="512" customWidth="1"/>
    <col min="14088" max="14088" width="14.85546875" style="512" customWidth="1"/>
    <col min="14089" max="14102" width="7" style="512" customWidth="1"/>
    <col min="14103" max="14104" width="13.85546875" style="512" customWidth="1"/>
    <col min="14105" max="14340" width="9.140625" style="512"/>
    <col min="14341" max="14341" width="3.85546875" style="512" customWidth="1"/>
    <col min="14342" max="14342" width="14.42578125" style="512" customWidth="1"/>
    <col min="14343" max="14343" width="3.85546875" style="512" customWidth="1"/>
    <col min="14344" max="14344" width="14.85546875" style="512" customWidth="1"/>
    <col min="14345" max="14358" width="7" style="512" customWidth="1"/>
    <col min="14359" max="14360" width="13.85546875" style="512" customWidth="1"/>
    <col min="14361" max="14596" width="9.140625" style="512"/>
    <col min="14597" max="14597" width="3.85546875" style="512" customWidth="1"/>
    <col min="14598" max="14598" width="14.42578125" style="512" customWidth="1"/>
    <col min="14599" max="14599" width="3.85546875" style="512" customWidth="1"/>
    <col min="14600" max="14600" width="14.85546875" style="512" customWidth="1"/>
    <col min="14601" max="14614" width="7" style="512" customWidth="1"/>
    <col min="14615" max="14616" width="13.85546875" style="512" customWidth="1"/>
    <col min="14617" max="14852" width="9.140625" style="512"/>
    <col min="14853" max="14853" width="3.85546875" style="512" customWidth="1"/>
    <col min="14854" max="14854" width="14.42578125" style="512" customWidth="1"/>
    <col min="14855" max="14855" width="3.85546875" style="512" customWidth="1"/>
    <col min="14856" max="14856" width="14.85546875" style="512" customWidth="1"/>
    <col min="14857" max="14870" width="7" style="512" customWidth="1"/>
    <col min="14871" max="14872" width="13.85546875" style="512" customWidth="1"/>
    <col min="14873" max="15108" width="9.140625" style="512"/>
    <col min="15109" max="15109" width="3.85546875" style="512" customWidth="1"/>
    <col min="15110" max="15110" width="14.42578125" style="512" customWidth="1"/>
    <col min="15111" max="15111" width="3.85546875" style="512" customWidth="1"/>
    <col min="15112" max="15112" width="14.85546875" style="512" customWidth="1"/>
    <col min="15113" max="15126" width="7" style="512" customWidth="1"/>
    <col min="15127" max="15128" width="13.85546875" style="512" customWidth="1"/>
    <col min="15129" max="15364" width="9.140625" style="512"/>
    <col min="15365" max="15365" width="3.85546875" style="512" customWidth="1"/>
    <col min="15366" max="15366" width="14.42578125" style="512" customWidth="1"/>
    <col min="15367" max="15367" width="3.85546875" style="512" customWidth="1"/>
    <col min="15368" max="15368" width="14.85546875" style="512" customWidth="1"/>
    <col min="15369" max="15382" width="7" style="512" customWidth="1"/>
    <col min="15383" max="15384" width="13.85546875" style="512" customWidth="1"/>
    <col min="15385" max="15620" width="9.140625" style="512"/>
    <col min="15621" max="15621" width="3.85546875" style="512" customWidth="1"/>
    <col min="15622" max="15622" width="14.42578125" style="512" customWidth="1"/>
    <col min="15623" max="15623" width="3.85546875" style="512" customWidth="1"/>
    <col min="15624" max="15624" width="14.85546875" style="512" customWidth="1"/>
    <col min="15625" max="15638" width="7" style="512" customWidth="1"/>
    <col min="15639" max="15640" width="13.85546875" style="512" customWidth="1"/>
    <col min="15641" max="15876" width="9.140625" style="512"/>
    <col min="15877" max="15877" width="3.85546875" style="512" customWidth="1"/>
    <col min="15878" max="15878" width="14.42578125" style="512" customWidth="1"/>
    <col min="15879" max="15879" width="3.85546875" style="512" customWidth="1"/>
    <col min="15880" max="15880" width="14.85546875" style="512" customWidth="1"/>
    <col min="15881" max="15894" width="7" style="512" customWidth="1"/>
    <col min="15895" max="15896" width="13.85546875" style="512" customWidth="1"/>
    <col min="15897" max="16132" width="9.140625" style="512"/>
    <col min="16133" max="16133" width="3.85546875" style="512" customWidth="1"/>
    <col min="16134" max="16134" width="14.42578125" style="512" customWidth="1"/>
    <col min="16135" max="16135" width="3.85546875" style="512" customWidth="1"/>
    <col min="16136" max="16136" width="14.85546875" style="512" customWidth="1"/>
    <col min="16137" max="16150" width="7" style="512" customWidth="1"/>
    <col min="16151" max="16152" width="13.85546875" style="512" customWidth="1"/>
    <col min="16153" max="16384" width="9.140625" style="512"/>
  </cols>
  <sheetData>
    <row r="1" spans="1:30" s="508" customFormat="1" ht="15" x14ac:dyDescent="0.2">
      <c r="A1" s="506"/>
      <c r="B1" s="507"/>
      <c r="C1" s="507"/>
    </row>
    <row r="2" spans="1:30" s="508" customFormat="1" ht="14.25" customHeight="1" x14ac:dyDescent="0.2">
      <c r="A2" s="509">
        <v>1</v>
      </c>
      <c r="B2" s="509" t="s">
        <v>0</v>
      </c>
      <c r="C2" s="509">
        <v>3</v>
      </c>
      <c r="D2" s="4624" t="s">
        <v>77</v>
      </c>
      <c r="E2" s="4625"/>
      <c r="F2" s="4625"/>
      <c r="G2" s="4625"/>
      <c r="H2" s="4625"/>
      <c r="I2" s="4625"/>
      <c r="J2" s="4625"/>
      <c r="K2" s="4625"/>
      <c r="L2" s="4625"/>
      <c r="M2" s="4625"/>
      <c r="N2" s="4625"/>
      <c r="O2" s="4625"/>
      <c r="P2" s="4625"/>
      <c r="Q2" s="4625"/>
      <c r="R2" s="4625"/>
      <c r="S2" s="4625"/>
      <c r="T2" s="4625"/>
      <c r="U2" s="4625"/>
      <c r="V2" s="4625"/>
      <c r="W2" s="4625"/>
      <c r="X2" s="4625"/>
      <c r="Y2" s="4625"/>
      <c r="Z2" s="4626"/>
    </row>
    <row r="3" spans="1:30" s="508" customFormat="1" ht="14.25" customHeight="1" x14ac:dyDescent="0.2">
      <c r="A3" s="509">
        <v>2</v>
      </c>
      <c r="B3" s="509" t="s">
        <v>2</v>
      </c>
      <c r="C3" s="509"/>
      <c r="D3" s="4624" t="s">
        <v>78</v>
      </c>
      <c r="E3" s="4625"/>
      <c r="F3" s="4625"/>
      <c r="G3" s="4625"/>
      <c r="H3" s="4625"/>
      <c r="I3" s="4625"/>
      <c r="J3" s="4625"/>
      <c r="K3" s="4625"/>
      <c r="L3" s="4625"/>
      <c r="M3" s="4625"/>
      <c r="N3" s="4625"/>
      <c r="O3" s="4625"/>
      <c r="P3" s="4625"/>
      <c r="Q3" s="4625"/>
      <c r="R3" s="4625"/>
      <c r="S3" s="4625"/>
      <c r="T3" s="4625"/>
      <c r="U3" s="4625"/>
      <c r="V3" s="4625"/>
      <c r="W3" s="4625"/>
      <c r="X3" s="4625"/>
      <c r="Y3" s="4625"/>
      <c r="Z3" s="4626"/>
    </row>
    <row r="4" spans="1:30" s="508" customFormat="1" ht="14.1" customHeight="1" x14ac:dyDescent="0.2">
      <c r="A4" s="509">
        <v>3</v>
      </c>
      <c r="B4" s="509" t="s">
        <v>4</v>
      </c>
      <c r="C4" s="509"/>
      <c r="D4" s="4624" t="s">
        <v>79</v>
      </c>
      <c r="E4" s="4625"/>
      <c r="F4" s="4625"/>
      <c r="G4" s="4625"/>
      <c r="H4" s="4625"/>
      <c r="I4" s="4625"/>
      <c r="J4" s="4625"/>
      <c r="K4" s="4625"/>
      <c r="L4" s="4625"/>
      <c r="M4" s="4625"/>
      <c r="N4" s="4625"/>
      <c r="O4" s="4625"/>
      <c r="P4" s="4625"/>
      <c r="Q4" s="4625"/>
      <c r="R4" s="4625"/>
      <c r="S4" s="4625"/>
      <c r="T4" s="4625"/>
      <c r="U4" s="4625"/>
      <c r="V4" s="4625"/>
      <c r="W4" s="4625"/>
      <c r="X4" s="4625"/>
      <c r="Y4" s="4625"/>
      <c r="Z4" s="4626"/>
    </row>
    <row r="5" spans="1:30" ht="18" customHeight="1" x14ac:dyDescent="0.2">
      <c r="B5" s="509"/>
      <c r="C5" s="509"/>
      <c r="D5" s="4624"/>
      <c r="E5" s="4625"/>
      <c r="F5" s="4625"/>
      <c r="G5" s="4625"/>
      <c r="H5" s="4625"/>
      <c r="I5" s="4625"/>
      <c r="J5" s="4625"/>
      <c r="K5" s="4625"/>
      <c r="L5" s="4625"/>
      <c r="M5" s="4625"/>
      <c r="N5" s="4625"/>
      <c r="O5" s="4625"/>
      <c r="P5" s="4625"/>
      <c r="Q5" s="4625"/>
      <c r="R5" s="4625"/>
      <c r="S5" s="4625"/>
      <c r="T5" s="4625"/>
      <c r="U5" s="4625"/>
      <c r="V5" s="4625"/>
      <c r="W5" s="4625"/>
      <c r="X5" s="4625"/>
      <c r="Y5" s="4625"/>
      <c r="Z5" s="4626"/>
    </row>
    <row r="6" spans="1:30" s="88" customFormat="1" ht="17.25" customHeight="1" x14ac:dyDescent="0.2">
      <c r="A6" s="509">
        <v>4</v>
      </c>
      <c r="B6" s="509" t="s">
        <v>6</v>
      </c>
      <c r="C6" s="836"/>
      <c r="D6" s="71" t="s">
        <v>80</v>
      </c>
      <c r="E6" s="71" t="s">
        <v>81</v>
      </c>
      <c r="F6" s="71"/>
      <c r="G6" s="71"/>
      <c r="H6" s="548"/>
      <c r="I6" s="548"/>
      <c r="J6" s="71"/>
      <c r="K6" s="71"/>
      <c r="L6" s="71"/>
    </row>
    <row r="7" spans="1:30" s="88" customFormat="1" ht="19.5" customHeight="1" x14ac:dyDescent="0.2">
      <c r="A7" s="860"/>
      <c r="B7" s="836"/>
      <c r="C7" s="836"/>
      <c r="D7" s="2427"/>
      <c r="E7" s="2428">
        <v>1997</v>
      </c>
      <c r="F7" s="2428">
        <v>1998</v>
      </c>
      <c r="G7" s="2428">
        <v>1999</v>
      </c>
      <c r="H7" s="2428">
        <v>2000</v>
      </c>
      <c r="I7" s="2428">
        <v>2001</v>
      </c>
      <c r="J7" s="2428">
        <v>2002</v>
      </c>
      <c r="K7" s="2428">
        <v>2003</v>
      </c>
      <c r="L7" s="2428">
        <v>2004</v>
      </c>
      <c r="M7" s="2428">
        <v>2005</v>
      </c>
      <c r="N7" s="2428">
        <v>2006</v>
      </c>
      <c r="O7" s="2428">
        <v>2007</v>
      </c>
      <c r="P7" s="2428">
        <v>2008</v>
      </c>
      <c r="Q7" s="2428">
        <v>2009</v>
      </c>
      <c r="R7" s="2429">
        <v>2010</v>
      </c>
      <c r="S7" s="2429">
        <v>2011</v>
      </c>
      <c r="T7" s="2429">
        <v>2012</v>
      </c>
      <c r="U7" s="2429">
        <v>2013</v>
      </c>
      <c r="V7" s="2429">
        <v>2014</v>
      </c>
      <c r="W7" s="2430">
        <v>2015</v>
      </c>
      <c r="X7" s="2430">
        <v>2016</v>
      </c>
      <c r="Y7" s="2430">
        <v>2017</v>
      </c>
      <c r="Z7" s="2431">
        <v>2018</v>
      </c>
      <c r="AA7" s="2431">
        <v>2019</v>
      </c>
      <c r="AB7" s="2432">
        <v>2020</v>
      </c>
      <c r="AC7" s="2432">
        <v>2021</v>
      </c>
      <c r="AD7" s="2432">
        <v>2022</v>
      </c>
    </row>
    <row r="8" spans="1:30" s="88" customFormat="1" ht="20.25" customHeight="1" x14ac:dyDescent="0.2">
      <c r="A8" s="860"/>
      <c r="B8" s="836"/>
      <c r="C8" s="836"/>
      <c r="D8" s="2433" t="s">
        <v>82</v>
      </c>
      <c r="E8" s="2434">
        <v>33</v>
      </c>
      <c r="F8" s="2434">
        <v>32</v>
      </c>
      <c r="G8" s="2434">
        <v>34</v>
      </c>
      <c r="H8" s="2434">
        <v>34</v>
      </c>
      <c r="I8" s="2434">
        <v>38</v>
      </c>
      <c r="J8" s="2434">
        <v>36</v>
      </c>
      <c r="K8" s="2434">
        <v>48</v>
      </c>
      <c r="L8" s="2434">
        <v>44</v>
      </c>
      <c r="M8" s="2434">
        <v>46</v>
      </c>
      <c r="N8" s="2434">
        <v>51</v>
      </c>
      <c r="O8" s="2434">
        <v>43</v>
      </c>
      <c r="P8" s="2434">
        <v>54</v>
      </c>
      <c r="Q8" s="2434">
        <v>55</v>
      </c>
      <c r="R8" s="2435">
        <v>54</v>
      </c>
      <c r="S8" s="2435">
        <v>64</v>
      </c>
      <c r="T8" s="2435">
        <v>69</v>
      </c>
      <c r="U8" s="2435">
        <v>72</v>
      </c>
      <c r="V8" s="2436">
        <v>67</v>
      </c>
      <c r="W8" s="2436">
        <v>61</v>
      </c>
      <c r="X8" s="2436">
        <v>64</v>
      </c>
      <c r="Y8" s="2436">
        <v>71</v>
      </c>
      <c r="Z8" s="2437">
        <v>73</v>
      </c>
      <c r="AA8" s="2437">
        <v>70</v>
      </c>
      <c r="AB8" s="2437">
        <v>69</v>
      </c>
      <c r="AC8" s="2437">
        <v>70</v>
      </c>
      <c r="AD8" s="2437">
        <v>72</v>
      </c>
    </row>
    <row r="9" spans="1:30" s="88" customFormat="1" ht="25.5" customHeight="1" x14ac:dyDescent="0.2">
      <c r="A9" s="860"/>
      <c r="B9" s="836"/>
      <c r="C9" s="836"/>
      <c r="D9" s="2433" t="s">
        <v>83</v>
      </c>
      <c r="E9" s="2434">
        <v>49</v>
      </c>
      <c r="F9" s="2434">
        <v>52</v>
      </c>
      <c r="G9" s="2434">
        <v>50</v>
      </c>
      <c r="H9" s="2434">
        <v>50</v>
      </c>
      <c r="I9" s="2434">
        <v>48</v>
      </c>
      <c r="J9" s="2434">
        <v>48</v>
      </c>
      <c r="K9" s="2434">
        <v>44</v>
      </c>
      <c r="L9" s="2434">
        <v>46</v>
      </c>
      <c r="M9" s="2434">
        <v>45</v>
      </c>
      <c r="N9" s="2434">
        <v>46</v>
      </c>
      <c r="O9" s="2434">
        <v>51</v>
      </c>
      <c r="P9" s="2434">
        <v>49</v>
      </c>
      <c r="Q9" s="2434">
        <v>47</v>
      </c>
      <c r="R9" s="2435">
        <v>45</v>
      </c>
      <c r="S9" s="2435">
        <v>41</v>
      </c>
      <c r="T9" s="2435">
        <v>43</v>
      </c>
      <c r="U9" s="2435">
        <v>42</v>
      </c>
      <c r="V9" s="2435">
        <v>44</v>
      </c>
      <c r="W9" s="2435">
        <v>44</v>
      </c>
      <c r="X9" s="2435">
        <v>45</v>
      </c>
      <c r="Y9" s="2435">
        <v>43</v>
      </c>
      <c r="Z9" s="2438">
        <v>43</v>
      </c>
      <c r="AA9" s="2438">
        <v>44</v>
      </c>
      <c r="AB9" s="2439">
        <v>44</v>
      </c>
      <c r="AC9" s="2439">
        <v>44</v>
      </c>
      <c r="AD9" s="2439">
        <v>43</v>
      </c>
    </row>
    <row r="10" spans="1:30" s="88" customFormat="1" ht="14.25" customHeight="1" x14ac:dyDescent="0.2">
      <c r="A10" s="860"/>
      <c r="B10" s="836"/>
      <c r="C10" s="836"/>
      <c r="D10" s="2440" t="s">
        <v>84</v>
      </c>
      <c r="E10" s="2441"/>
      <c r="F10" s="2441">
        <v>85</v>
      </c>
      <c r="G10" s="2441">
        <v>99</v>
      </c>
      <c r="H10" s="2441">
        <v>90</v>
      </c>
      <c r="I10" s="2441">
        <v>91</v>
      </c>
      <c r="J10" s="2441">
        <v>102</v>
      </c>
      <c r="K10" s="2441">
        <v>133</v>
      </c>
      <c r="L10" s="2441">
        <v>146</v>
      </c>
      <c r="M10" s="2441">
        <v>159</v>
      </c>
      <c r="N10" s="2441">
        <v>163</v>
      </c>
      <c r="O10" s="2441">
        <v>180</v>
      </c>
      <c r="P10" s="2441">
        <v>180</v>
      </c>
      <c r="Q10" s="2441">
        <v>180</v>
      </c>
      <c r="R10" s="2442">
        <v>178</v>
      </c>
      <c r="S10" s="2442">
        <v>183</v>
      </c>
      <c r="T10" s="2442">
        <v>176</v>
      </c>
      <c r="U10" s="2442">
        <v>177</v>
      </c>
      <c r="V10" s="2442">
        <v>175</v>
      </c>
      <c r="W10" s="2442">
        <v>168</v>
      </c>
      <c r="X10" s="2442">
        <v>176</v>
      </c>
      <c r="Y10" s="2442">
        <v>180</v>
      </c>
      <c r="Z10" s="2443">
        <v>180</v>
      </c>
      <c r="AA10" s="2443">
        <v>180</v>
      </c>
      <c r="AB10" s="2444">
        <v>180</v>
      </c>
      <c r="AC10" s="2444">
        <v>180</v>
      </c>
      <c r="AD10" s="2444">
        <v>180</v>
      </c>
    </row>
    <row r="11" spans="1:30" s="88" customFormat="1" ht="14.25" customHeight="1" x14ac:dyDescent="0.2">
      <c r="A11" s="509">
        <v>5</v>
      </c>
      <c r="B11" s="509" t="s">
        <v>51</v>
      </c>
      <c r="C11" s="836"/>
      <c r="D11" s="87"/>
      <c r="E11" s="284"/>
      <c r="F11" s="284"/>
      <c r="G11" s="284"/>
      <c r="H11" s="284"/>
      <c r="I11" s="284"/>
      <c r="J11" s="284"/>
      <c r="K11" s="284"/>
      <c r="L11" s="284"/>
      <c r="M11" s="284"/>
      <c r="N11" s="284"/>
      <c r="O11" s="284"/>
      <c r="P11" s="284"/>
      <c r="Q11" s="284"/>
      <c r="R11" s="284"/>
      <c r="S11" s="284"/>
      <c r="T11" s="284"/>
    </row>
    <row r="12" spans="1:30" x14ac:dyDescent="0.2">
      <c r="M12" s="545"/>
    </row>
    <row r="13" spans="1:30" x14ac:dyDescent="0.2">
      <c r="M13" s="545"/>
    </row>
    <row r="14" spans="1:30" x14ac:dyDescent="0.2">
      <c r="M14" s="545"/>
    </row>
    <row r="15" spans="1:30" x14ac:dyDescent="0.2">
      <c r="M15" s="545"/>
    </row>
    <row r="16" spans="1:30" x14ac:dyDescent="0.2">
      <c r="M16" s="545"/>
      <c r="W16" s="512" t="s">
        <v>85</v>
      </c>
    </row>
    <row r="17" spans="13:13" x14ac:dyDescent="0.2">
      <c r="M17" s="545"/>
    </row>
    <row r="18" spans="13:13" x14ac:dyDescent="0.2">
      <c r="M18" s="545"/>
    </row>
    <row r="19" spans="13:13" x14ac:dyDescent="0.2">
      <c r="M19" s="2445"/>
    </row>
    <row r="20" spans="13:13" x14ac:dyDescent="0.2">
      <c r="M20" s="545"/>
    </row>
    <row r="34" spans="1:26" s="508" customFormat="1" ht="14.25" customHeight="1" x14ac:dyDescent="0.2">
      <c r="A34" s="509">
        <v>6</v>
      </c>
      <c r="B34" s="509" t="s">
        <v>52</v>
      </c>
      <c r="C34" s="509"/>
      <c r="D34" s="4624" t="s">
        <v>86</v>
      </c>
      <c r="E34" s="4625"/>
      <c r="F34" s="4625"/>
      <c r="G34" s="4625"/>
      <c r="H34" s="4625"/>
      <c r="I34" s="4625"/>
      <c r="J34" s="4625"/>
      <c r="K34" s="4625"/>
      <c r="L34" s="4625"/>
      <c r="M34" s="4625"/>
      <c r="N34" s="4625"/>
      <c r="O34" s="4625"/>
      <c r="P34" s="4625"/>
      <c r="Q34" s="4625"/>
      <c r="R34" s="4625"/>
      <c r="S34" s="4625"/>
      <c r="T34" s="4625"/>
      <c r="U34" s="4625"/>
      <c r="V34" s="4625"/>
      <c r="W34" s="4625"/>
      <c r="X34" s="4625"/>
      <c r="Y34" s="4625"/>
      <c r="Z34" s="4626"/>
    </row>
    <row r="35" spans="1:26" s="508" customFormat="1" ht="19.5" customHeight="1" x14ac:dyDescent="0.2">
      <c r="A35" s="546">
        <v>7</v>
      </c>
      <c r="B35" s="546" t="s">
        <v>54</v>
      </c>
      <c r="C35" s="546"/>
      <c r="D35" s="4624" t="s">
        <v>87</v>
      </c>
      <c r="E35" s="4625"/>
      <c r="F35" s="4625"/>
      <c r="G35" s="4625"/>
      <c r="H35" s="4625"/>
      <c r="I35" s="4625"/>
      <c r="J35" s="4625"/>
      <c r="K35" s="4625"/>
      <c r="L35" s="4625"/>
      <c r="M35" s="4625"/>
      <c r="N35" s="4625"/>
      <c r="O35" s="4625"/>
      <c r="P35" s="4625"/>
      <c r="Q35" s="4625"/>
      <c r="R35" s="4625"/>
      <c r="S35" s="4625"/>
      <c r="T35" s="4625"/>
      <c r="U35" s="4625"/>
      <c r="V35" s="4625"/>
      <c r="W35" s="4625"/>
      <c r="X35" s="4625"/>
      <c r="Y35" s="4625"/>
      <c r="Z35" s="4626"/>
    </row>
    <row r="36" spans="1:26" s="508" customFormat="1" ht="30" customHeight="1" x14ac:dyDescent="0.2">
      <c r="A36" s="509">
        <v>8</v>
      </c>
      <c r="B36" s="509" t="s">
        <v>58</v>
      </c>
      <c r="C36" s="509"/>
      <c r="D36" s="4624" t="s">
        <v>88</v>
      </c>
      <c r="E36" s="4625"/>
      <c r="F36" s="4625"/>
      <c r="G36" s="4625"/>
      <c r="H36" s="4625"/>
      <c r="I36" s="4625"/>
      <c r="J36" s="4625"/>
      <c r="K36" s="4625"/>
      <c r="L36" s="4625"/>
      <c r="M36" s="4625"/>
      <c r="N36" s="4625"/>
      <c r="O36" s="4625"/>
      <c r="P36" s="4625"/>
      <c r="Q36" s="4625"/>
      <c r="R36" s="4625"/>
      <c r="S36" s="4625"/>
      <c r="T36" s="4625"/>
      <c r="U36" s="4625"/>
      <c r="V36" s="4625"/>
      <c r="W36" s="4625"/>
      <c r="X36" s="4625"/>
      <c r="Y36" s="4625"/>
      <c r="Z36" s="4626"/>
    </row>
    <row r="37" spans="1:26" s="508" customFormat="1" ht="14.25" customHeight="1" x14ac:dyDescent="0.2">
      <c r="A37" s="509">
        <v>9</v>
      </c>
      <c r="B37" s="509" t="s">
        <v>56</v>
      </c>
      <c r="C37" s="509"/>
      <c r="D37" s="4624" t="s">
        <v>89</v>
      </c>
      <c r="E37" s="4625"/>
      <c r="F37" s="4625"/>
      <c r="G37" s="4625"/>
      <c r="H37" s="4625"/>
      <c r="I37" s="4625"/>
      <c r="J37" s="4625"/>
      <c r="K37" s="4625"/>
      <c r="L37" s="4625"/>
      <c r="M37" s="4625"/>
      <c r="N37" s="4625"/>
      <c r="O37" s="4625"/>
      <c r="P37" s="4625"/>
      <c r="Q37" s="4625"/>
      <c r="R37" s="4625"/>
      <c r="S37" s="4625"/>
      <c r="T37" s="4625"/>
      <c r="U37" s="4625"/>
      <c r="V37" s="4625"/>
      <c r="W37" s="4625"/>
      <c r="X37" s="4625"/>
      <c r="Y37" s="4625"/>
      <c r="Z37" s="4626"/>
    </row>
    <row r="38" spans="1:26" ht="15" x14ac:dyDescent="0.25">
      <c r="D38" s="4627"/>
      <c r="E38" s="4627"/>
      <c r="F38" s="4627"/>
      <c r="G38" s="4627"/>
      <c r="H38" s="4627"/>
      <c r="I38" s="4627"/>
      <c r="J38" s="4627"/>
      <c r="K38" s="4627"/>
      <c r="L38" s="4627"/>
      <c r="M38" s="4627"/>
      <c r="N38" s="4627"/>
      <c r="O38" s="4627"/>
      <c r="P38" s="4627"/>
      <c r="Q38" s="4627"/>
      <c r="R38" s="4627"/>
      <c r="S38" s="4627"/>
      <c r="T38" s="4627"/>
      <c r="U38" s="344"/>
      <c r="V38" s="1137"/>
    </row>
  </sheetData>
  <mergeCells count="9">
    <mergeCell ref="D36:Z36"/>
    <mergeCell ref="D37:Z37"/>
    <mergeCell ref="D38:T38"/>
    <mergeCell ref="D2:Z2"/>
    <mergeCell ref="D3:Z3"/>
    <mergeCell ref="D4:Z4"/>
    <mergeCell ref="D5:Z5"/>
    <mergeCell ref="D34:Z34"/>
    <mergeCell ref="D35:Z35"/>
  </mergeCells>
  <hyperlinks>
    <hyperlink ref="D37" r:id="rId1" display="www.transparency.org" xr:uid="{25242AA9-B06F-431D-AD6B-6B5397EFB9CD}"/>
  </hyperlinks>
  <pageMargins left="0.74803149606299213" right="0.74803149606299213" top="0.98425196850393704" bottom="0.98425196850393704" header="0.51181102362204722" footer="0.51181102362204722"/>
  <pageSetup paperSize="9" scale="55" orientation="landscape" r:id="rId2"/>
  <headerFooter alignWithMargins="0">
    <oddHeader>&amp;C&amp;"-,Bold"DEVELOPMENT INDICATORS 2014</oddHeader>
    <oddFooter>&amp;LDepartment of Planning, Monitoring and Evaluation (DPME). &amp;CPage &amp;P of &amp;N&amp;R&amp;D</oddFooter>
  </headerFooter>
  <drawing r:id="rId3"/>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9B7B1-E214-4A8C-80BA-A4CBB7A9B01A}">
  <sheetPr>
    <tabColor rgb="FFFF0000"/>
    <pageSetUpPr fitToPage="1"/>
  </sheetPr>
  <dimension ref="A2:AY54"/>
  <sheetViews>
    <sheetView showGridLines="0" view="pageBreakPreview" topLeftCell="A22" zoomScaleNormal="100" zoomScaleSheetLayoutView="100" workbookViewId="0">
      <selection activeCell="X9" sqref="X9"/>
    </sheetView>
  </sheetViews>
  <sheetFormatPr defaultColWidth="9.140625" defaultRowHeight="15" x14ac:dyDescent="0.25"/>
  <cols>
    <col min="1" max="1" width="3.5703125" style="509" customWidth="1"/>
    <col min="2" max="2" width="14.42578125" style="1119" customWidth="1"/>
    <col min="3" max="3" width="3.5703125" style="1119" customWidth="1"/>
    <col min="4" max="4" width="21" style="2394" customWidth="1"/>
    <col min="5" max="7" width="8.5703125" style="2394" customWidth="1"/>
    <col min="8" max="8" width="8.5703125" style="2394" bestFit="1" customWidth="1"/>
    <col min="9" max="9" width="8.5703125" style="2394" customWidth="1"/>
    <col min="10" max="17" width="8.5703125" style="2394" bestFit="1" customWidth="1"/>
    <col min="18" max="20" width="8.5703125" style="2394" customWidth="1"/>
    <col min="21" max="21" width="9.5703125" style="2394" customWidth="1"/>
    <col min="22" max="24" width="10.42578125" style="1137" customWidth="1"/>
    <col min="25" max="25" width="10" style="1137" customWidth="1"/>
    <col min="26" max="51" width="9.140625" style="1137"/>
    <col min="52" max="16384" width="9.140625" style="2394"/>
  </cols>
  <sheetData>
    <row r="2" spans="1:30" s="1137" customFormat="1" ht="14.45" customHeight="1" x14ac:dyDescent="0.25">
      <c r="A2" s="509">
        <v>1</v>
      </c>
      <c r="B2" s="509" t="s">
        <v>0</v>
      </c>
      <c r="C2" s="509">
        <v>30</v>
      </c>
      <c r="D2" s="4776" t="s">
        <v>880</v>
      </c>
      <c r="E2" s="4629"/>
      <c r="F2" s="4629"/>
      <c r="G2" s="4629"/>
      <c r="H2" s="4629"/>
      <c r="I2" s="4629"/>
      <c r="J2" s="4629"/>
      <c r="K2" s="4629"/>
      <c r="L2" s="4629"/>
      <c r="M2" s="4629"/>
      <c r="N2" s="4629"/>
      <c r="O2" s="4629"/>
      <c r="P2" s="4629"/>
      <c r="Q2" s="4629"/>
      <c r="R2" s="4629"/>
      <c r="S2" s="4629"/>
      <c r="T2" s="4629"/>
      <c r="U2" s="4630"/>
    </row>
    <row r="3" spans="1:30" s="1137" customFormat="1" ht="12.75" customHeight="1" x14ac:dyDescent="0.25">
      <c r="A3" s="509">
        <v>2</v>
      </c>
      <c r="B3" s="509" t="s">
        <v>2</v>
      </c>
      <c r="C3" s="509"/>
      <c r="D3" s="4624" t="s">
        <v>832</v>
      </c>
      <c r="E3" s="4774"/>
      <c r="F3" s="4774"/>
      <c r="G3" s="4774"/>
      <c r="H3" s="4774"/>
      <c r="I3" s="4774"/>
      <c r="J3" s="4774"/>
      <c r="K3" s="4774"/>
      <c r="L3" s="4774"/>
      <c r="M3" s="4774"/>
      <c r="N3" s="4774"/>
      <c r="O3" s="4774"/>
      <c r="P3" s="4774"/>
      <c r="Q3" s="4774"/>
      <c r="R3" s="4774"/>
      <c r="S3" s="4774"/>
      <c r="T3" s="4774"/>
      <c r="U3" s="4775"/>
    </row>
    <row r="4" spans="1:30" s="1137" customFormat="1" ht="12.75" customHeight="1" x14ac:dyDescent="0.25">
      <c r="A4" s="509">
        <v>3</v>
      </c>
      <c r="B4" s="509" t="s">
        <v>4</v>
      </c>
      <c r="C4" s="509"/>
      <c r="D4" s="4624" t="s">
        <v>881</v>
      </c>
      <c r="E4" s="4774"/>
      <c r="F4" s="4774"/>
      <c r="G4" s="4774"/>
      <c r="H4" s="4774"/>
      <c r="I4" s="4774"/>
      <c r="J4" s="4774"/>
      <c r="K4" s="4774"/>
      <c r="L4" s="4774"/>
      <c r="M4" s="4774"/>
      <c r="N4" s="4774"/>
      <c r="O4" s="4774"/>
      <c r="P4" s="4774"/>
      <c r="Q4" s="4774"/>
      <c r="R4" s="4774"/>
      <c r="S4" s="4774"/>
      <c r="T4" s="4774"/>
      <c r="U4" s="4775"/>
    </row>
    <row r="5" spans="1:30" s="1137" customFormat="1" ht="12.75" customHeight="1" x14ac:dyDescent="0.25">
      <c r="A5" s="509"/>
      <c r="B5" s="509"/>
      <c r="C5" s="509"/>
      <c r="D5" s="880"/>
      <c r="E5" s="344"/>
      <c r="F5" s="344"/>
      <c r="G5" s="344"/>
      <c r="H5" s="344"/>
      <c r="I5" s="344"/>
      <c r="J5" s="344"/>
      <c r="K5" s="344"/>
      <c r="L5" s="344"/>
      <c r="M5" s="344"/>
      <c r="N5" s="344"/>
      <c r="O5" s="344"/>
      <c r="P5" s="344"/>
      <c r="Q5" s="344"/>
      <c r="R5" s="344"/>
      <c r="S5" s="344"/>
      <c r="T5" s="344"/>
      <c r="U5" s="344"/>
    </row>
    <row r="6" spans="1:30" s="508" customFormat="1" x14ac:dyDescent="0.25">
      <c r="A6" s="90">
        <v>4</v>
      </c>
      <c r="B6" s="509" t="s">
        <v>6</v>
      </c>
      <c r="C6" s="509"/>
      <c r="D6" s="2917"/>
      <c r="E6" s="2917"/>
      <c r="F6" s="2917"/>
      <c r="G6" s="2917"/>
      <c r="H6" s="2917"/>
      <c r="I6" s="2917"/>
      <c r="J6" s="2917"/>
      <c r="K6" s="2917"/>
      <c r="L6" s="2917"/>
      <c r="M6" s="2917"/>
      <c r="N6" s="2917"/>
      <c r="O6" s="2917"/>
      <c r="P6" s="2917"/>
      <c r="Q6" s="2917"/>
      <c r="R6" s="2917"/>
      <c r="S6" s="2917"/>
      <c r="T6" s="2917"/>
      <c r="U6" s="2917"/>
      <c r="V6" s="2917"/>
      <c r="W6" s="2917"/>
      <c r="X6" s="2917"/>
      <c r="Y6" s="2917"/>
      <c r="Z6" s="2917"/>
      <c r="AA6" s="2917"/>
      <c r="AB6" s="2917"/>
      <c r="AC6" s="2917"/>
      <c r="AD6" s="2917"/>
    </row>
    <row r="7" spans="1:30" s="1137" customFormat="1" x14ac:dyDescent="0.25">
      <c r="A7" s="509"/>
      <c r="B7" s="509"/>
      <c r="C7" s="1119"/>
      <c r="D7" s="71" t="s">
        <v>858</v>
      </c>
      <c r="E7" s="71" t="s">
        <v>882</v>
      </c>
      <c r="F7" s="71"/>
      <c r="G7" s="71"/>
      <c r="H7" s="71"/>
      <c r="I7" s="2918"/>
      <c r="J7" s="2918"/>
      <c r="K7" s="2919"/>
      <c r="L7" s="2919"/>
      <c r="M7" s="2919"/>
      <c r="N7" s="2919"/>
      <c r="O7" s="2919"/>
      <c r="P7" s="2919"/>
      <c r="Q7" s="2919"/>
      <c r="R7" s="508"/>
      <c r="S7" s="508"/>
      <c r="T7" s="508"/>
      <c r="U7" s="1081"/>
    </row>
    <row r="8" spans="1:30" s="2923" customFormat="1" ht="14.25" customHeight="1" x14ac:dyDescent="0.25">
      <c r="A8" s="2920"/>
      <c r="B8" s="2921"/>
      <c r="C8" s="2922"/>
      <c r="D8" s="405"/>
      <c r="E8" s="1138">
        <v>2002</v>
      </c>
      <c r="F8" s="1138">
        <v>2003</v>
      </c>
      <c r="G8" s="1138">
        <v>2004</v>
      </c>
      <c r="H8" s="1138">
        <v>2005</v>
      </c>
      <c r="I8" s="1138">
        <v>2006</v>
      </c>
      <c r="J8" s="1138">
        <v>2007</v>
      </c>
      <c r="K8" s="1138">
        <v>2008</v>
      </c>
      <c r="L8" s="1138">
        <v>2009</v>
      </c>
      <c r="M8" s="1138">
        <v>2010</v>
      </c>
      <c r="N8" s="1138">
        <v>2011</v>
      </c>
      <c r="O8" s="1138">
        <v>2012</v>
      </c>
      <c r="P8" s="1138">
        <v>2013</v>
      </c>
      <c r="Q8" s="1138">
        <v>2014</v>
      </c>
      <c r="R8" s="1138">
        <v>2015</v>
      </c>
      <c r="S8" s="1138">
        <v>2016</v>
      </c>
      <c r="T8" s="1138">
        <v>2017</v>
      </c>
      <c r="U8" s="1138">
        <v>2018</v>
      </c>
      <c r="V8" s="1138">
        <v>2019</v>
      </c>
      <c r="W8" s="1138">
        <v>2020</v>
      </c>
      <c r="X8" s="1138">
        <v>2021</v>
      </c>
      <c r="AC8" s="1137"/>
    </row>
    <row r="9" spans="1:30" s="1137" customFormat="1" ht="14.45" customHeight="1" x14ac:dyDescent="0.25">
      <c r="A9" s="509"/>
      <c r="B9" s="2477"/>
      <c r="C9" s="2924"/>
      <c r="D9" s="1456" t="s">
        <v>883</v>
      </c>
      <c r="E9" s="2925">
        <v>11194350</v>
      </c>
      <c r="F9" s="2925">
        <v>11459337</v>
      </c>
      <c r="G9" s="2925">
        <v>11718329</v>
      </c>
      <c r="H9" s="2925">
        <v>11976990</v>
      </c>
      <c r="I9" s="2925">
        <v>12243215</v>
      </c>
      <c r="J9" s="2925">
        <v>12522491</v>
      </c>
      <c r="K9" s="2925">
        <v>12819285</v>
      </c>
      <c r="L9" s="2925">
        <v>13128396</v>
      </c>
      <c r="M9" s="2925">
        <v>13455659</v>
      </c>
      <c r="N9" s="2925">
        <v>13797320</v>
      </c>
      <c r="O9" s="2925">
        <v>14151736</v>
      </c>
      <c r="P9" s="2925">
        <v>14521185</v>
      </c>
      <c r="Q9" s="2925">
        <v>14903733</v>
      </c>
      <c r="R9" s="2925">
        <v>15307483</v>
      </c>
      <c r="S9" s="2926">
        <v>15743677</v>
      </c>
      <c r="T9" s="2926">
        <v>16199107</v>
      </c>
      <c r="U9" s="2926">
        <v>16670853.6913475</v>
      </c>
      <c r="V9" s="2926">
        <v>17162983.263316602</v>
      </c>
      <c r="W9" s="2926">
        <v>17418232.7220365</v>
      </c>
      <c r="X9" s="2926">
        <v>17946571.308040399</v>
      </c>
      <c r="Y9" s="2927"/>
    </row>
    <row r="10" spans="1:30" s="1137" customFormat="1" ht="22.5" x14ac:dyDescent="0.25">
      <c r="A10" s="509"/>
      <c r="B10" s="2477"/>
      <c r="C10" s="2924"/>
      <c r="D10" s="2928" t="s">
        <v>884</v>
      </c>
      <c r="E10" s="1366">
        <f>+E25</f>
        <v>8573625</v>
      </c>
      <c r="F10" s="1366">
        <f>+F25</f>
        <v>8958676</v>
      </c>
      <c r="G10" s="1366">
        <f t="shared" ref="G10:V10" si="0">+G25</f>
        <v>9430014</v>
      </c>
      <c r="H10" s="1366">
        <f t="shared" si="0"/>
        <v>9667781</v>
      </c>
      <c r="I10" s="1366">
        <f t="shared" si="0"/>
        <v>9843537</v>
      </c>
      <c r="J10" s="1366">
        <f t="shared" si="0"/>
        <v>10233027</v>
      </c>
      <c r="K10" s="1366">
        <f t="shared" si="0"/>
        <v>10446746</v>
      </c>
      <c r="L10" s="1366">
        <f t="shared" si="0"/>
        <v>10840599</v>
      </c>
      <c r="M10" s="1366">
        <f t="shared" si="0"/>
        <v>11140702</v>
      </c>
      <c r="N10" s="1366">
        <f>+N25</f>
        <v>11529214</v>
      </c>
      <c r="O10" s="1366">
        <f t="shared" si="0"/>
        <v>11965896</v>
      </c>
      <c r="P10" s="1366">
        <f t="shared" si="0"/>
        <v>12346082.750905201</v>
      </c>
      <c r="Q10" s="1366">
        <f t="shared" si="0"/>
        <v>12790363.5485142</v>
      </c>
      <c r="R10" s="1366">
        <f t="shared" si="0"/>
        <v>13060958.2207803</v>
      </c>
      <c r="S10" s="1366">
        <f t="shared" si="0"/>
        <v>13207785.9578819</v>
      </c>
      <c r="T10" s="1366">
        <f>+T25</f>
        <v>13665517.840620499</v>
      </c>
      <c r="U10" s="1366">
        <f t="shared" si="0"/>
        <v>14105636.4483844</v>
      </c>
      <c r="V10" s="1366">
        <f t="shared" si="0"/>
        <v>14591740.6842364</v>
      </c>
      <c r="W10" s="1366">
        <v>15646924.2990782</v>
      </c>
      <c r="X10" s="1366">
        <f>X25</f>
        <v>15999230.324885599</v>
      </c>
      <c r="Y10" s="2927"/>
    </row>
    <row r="11" spans="1:30" s="2934" customFormat="1" ht="33.75" x14ac:dyDescent="0.25">
      <c r="A11" s="2929"/>
      <c r="B11" s="2930"/>
      <c r="C11" s="2931"/>
      <c r="D11" s="2932" t="s">
        <v>885</v>
      </c>
      <c r="E11" s="2933">
        <f>+(E10/E9)*100</f>
        <v>76.588859558616633</v>
      </c>
      <c r="F11" s="2933">
        <f t="shared" ref="F11:U11" si="1">+(F10/F9)*100</f>
        <v>78.177960906464307</v>
      </c>
      <c r="G11" s="2933">
        <f t="shared" si="1"/>
        <v>80.472343795774975</v>
      </c>
      <c r="H11" s="2933">
        <f t="shared" si="1"/>
        <v>80.719621540971474</v>
      </c>
      <c r="I11" s="2933">
        <f t="shared" si="1"/>
        <v>80.399935801176397</v>
      </c>
      <c r="J11" s="2933">
        <f>+(J10/J9)*100</f>
        <v>81.717183905342793</v>
      </c>
      <c r="K11" s="2933">
        <f t="shared" si="1"/>
        <v>81.492423329382262</v>
      </c>
      <c r="L11" s="2933">
        <f t="shared" si="1"/>
        <v>82.573674651495892</v>
      </c>
      <c r="M11" s="2933">
        <f t="shared" si="1"/>
        <v>82.795662404940558</v>
      </c>
      <c r="N11" s="2933">
        <f t="shared" si="1"/>
        <v>83.561256823788966</v>
      </c>
      <c r="O11" s="2933">
        <f t="shared" si="1"/>
        <v>84.554262459390145</v>
      </c>
      <c r="P11" s="2933">
        <f>+(P10/P9)*100</f>
        <v>85.021179407226072</v>
      </c>
      <c r="Q11" s="2933">
        <f t="shared" si="1"/>
        <v>85.819865053367508</v>
      </c>
      <c r="R11" s="2933">
        <f>+(R10/R9)*100</f>
        <v>85.324009314792633</v>
      </c>
      <c r="S11" s="2933">
        <f t="shared" si="1"/>
        <v>83.892638027837464</v>
      </c>
      <c r="T11" s="2933">
        <f>+(T10/T9)*100</f>
        <v>84.359698597092418</v>
      </c>
      <c r="U11" s="2933">
        <f t="shared" si="1"/>
        <v>84.612562197132718</v>
      </c>
      <c r="V11" s="2933">
        <v>85</v>
      </c>
      <c r="W11" s="2933">
        <v>90</v>
      </c>
      <c r="X11" s="2933">
        <v>89.1</v>
      </c>
    </row>
    <row r="12" spans="1:30" s="2940" customFormat="1" ht="20.100000000000001" customHeight="1" x14ac:dyDescent="0.25">
      <c r="A12" s="2935"/>
      <c r="B12" s="2936"/>
      <c r="C12" s="2937"/>
      <c r="D12" s="2938" t="s">
        <v>886</v>
      </c>
      <c r="E12" s="2939">
        <v>2475032</v>
      </c>
      <c r="F12" s="2939">
        <v>2367357</v>
      </c>
      <c r="G12" s="2939">
        <v>2181302</v>
      </c>
      <c r="H12" s="2939">
        <v>2238815</v>
      </c>
      <c r="I12" s="2939">
        <v>2327557</v>
      </c>
      <c r="J12" s="2939">
        <v>2240968</v>
      </c>
      <c r="K12" s="2939">
        <v>2320584</v>
      </c>
      <c r="L12" s="2939">
        <v>2312342</v>
      </c>
      <c r="M12" s="2939">
        <v>2345038</v>
      </c>
      <c r="N12" s="2939">
        <v>2309659</v>
      </c>
      <c r="O12" s="2939">
        <v>2130819</v>
      </c>
      <c r="P12" s="2939">
        <v>2207027</v>
      </c>
      <c r="Q12" s="2939">
        <v>2175139</v>
      </c>
      <c r="R12" s="2939">
        <f t="shared" ref="R12:X12" si="2">R9-R10</f>
        <v>2246524.7792197</v>
      </c>
      <c r="S12" s="2939">
        <f t="shared" si="2"/>
        <v>2535891.0421181004</v>
      </c>
      <c r="T12" s="2939">
        <f t="shared" si="2"/>
        <v>2533589.1593795009</v>
      </c>
      <c r="U12" s="2939">
        <f t="shared" si="2"/>
        <v>2565217.2429630999</v>
      </c>
      <c r="V12" s="2939">
        <f t="shared" si="2"/>
        <v>2571242.5790802017</v>
      </c>
      <c r="W12" s="2939">
        <v>1771308.4229582995</v>
      </c>
      <c r="X12" s="2939">
        <f t="shared" si="2"/>
        <v>1947340.9831547998</v>
      </c>
    </row>
    <row r="13" spans="1:30" s="1137" customFormat="1" x14ac:dyDescent="0.25">
      <c r="A13" s="509"/>
      <c r="B13" s="2477"/>
      <c r="C13" s="2924"/>
      <c r="D13" s="1456"/>
      <c r="E13" s="1357"/>
      <c r="F13" s="955"/>
      <c r="G13" s="955"/>
      <c r="H13" s="955"/>
      <c r="I13" s="955"/>
      <c r="J13" s="955"/>
      <c r="K13" s="955"/>
      <c r="L13" s="419"/>
      <c r="M13" s="419"/>
      <c r="N13" s="419"/>
      <c r="O13" s="419"/>
      <c r="P13" s="419"/>
      <c r="Q13" s="419"/>
      <c r="R13" s="419"/>
      <c r="S13" s="419"/>
      <c r="T13" s="2941"/>
      <c r="U13" s="2942"/>
      <c r="V13" s="2942"/>
      <c r="W13" s="2942"/>
      <c r="X13" s="2942"/>
    </row>
    <row r="14" spans="1:30" s="10" customFormat="1" ht="14.25" x14ac:dyDescent="0.2">
      <c r="A14" s="2389"/>
      <c r="B14" s="2943"/>
      <c r="D14" s="71" t="s">
        <v>267</v>
      </c>
      <c r="E14" s="71" t="s">
        <v>887</v>
      </c>
      <c r="F14" s="71"/>
      <c r="G14" s="71"/>
      <c r="H14" s="71"/>
      <c r="I14" s="2918"/>
      <c r="J14" s="2918"/>
      <c r="K14" s="2919"/>
      <c r="L14" s="2919"/>
      <c r="M14" s="2919"/>
      <c r="N14" s="2919"/>
      <c r="O14" s="2919"/>
      <c r="P14" s="2919"/>
      <c r="Q14" s="2919"/>
      <c r="R14" s="508"/>
      <c r="S14" s="508"/>
      <c r="T14" s="1081"/>
      <c r="U14" s="1081"/>
      <c r="V14" s="1081"/>
      <c r="W14" s="1081"/>
      <c r="X14" s="1081"/>
    </row>
    <row r="15" spans="1:30" s="1081" customFormat="1" x14ac:dyDescent="0.2">
      <c r="A15" s="1117"/>
      <c r="B15" s="2944"/>
      <c r="C15" s="2944"/>
      <c r="D15" s="2945"/>
      <c r="E15" s="1138">
        <v>2002</v>
      </c>
      <c r="F15" s="1138">
        <v>2003</v>
      </c>
      <c r="G15" s="1138">
        <v>2004</v>
      </c>
      <c r="H15" s="1138">
        <v>2005</v>
      </c>
      <c r="I15" s="1138">
        <v>2006</v>
      </c>
      <c r="J15" s="1138">
        <v>2007</v>
      </c>
      <c r="K15" s="1138">
        <v>2008</v>
      </c>
      <c r="L15" s="1138">
        <v>2009</v>
      </c>
      <c r="M15" s="1138">
        <v>2010</v>
      </c>
      <c r="N15" s="1138">
        <v>2011</v>
      </c>
      <c r="O15" s="1138">
        <v>2012</v>
      </c>
      <c r="P15" s="1138">
        <v>2013</v>
      </c>
      <c r="Q15" s="1138">
        <v>2014</v>
      </c>
      <c r="R15" s="1138">
        <v>2015</v>
      </c>
      <c r="S15" s="1138">
        <v>2016</v>
      </c>
      <c r="T15" s="1138">
        <v>2017</v>
      </c>
      <c r="U15" s="1138">
        <v>2018</v>
      </c>
      <c r="V15" s="1138">
        <v>2019</v>
      </c>
      <c r="W15" s="1138">
        <v>2020</v>
      </c>
      <c r="X15" s="1138">
        <v>2021</v>
      </c>
      <c r="Y15" s="2946"/>
    </row>
    <row r="16" spans="1:30" s="10" customFormat="1" ht="11.25" x14ac:dyDescent="0.2">
      <c r="A16" s="2389"/>
      <c r="B16" s="88"/>
      <c r="D16" s="2947" t="s">
        <v>276</v>
      </c>
      <c r="E16" s="2385">
        <v>832673</v>
      </c>
      <c r="F16" s="2385">
        <v>875839</v>
      </c>
      <c r="G16" s="2385">
        <v>920164</v>
      </c>
      <c r="H16" s="2385">
        <v>1038615</v>
      </c>
      <c r="I16" s="2385">
        <v>1061005</v>
      </c>
      <c r="J16" s="2385">
        <v>1076766</v>
      </c>
      <c r="K16" s="2385">
        <v>1037351</v>
      </c>
      <c r="L16" s="2385">
        <v>1090430</v>
      </c>
      <c r="M16" s="2385">
        <v>1147575</v>
      </c>
      <c r="N16" s="2385">
        <v>1210971</v>
      </c>
      <c r="O16" s="2385">
        <v>1279017</v>
      </c>
      <c r="P16" s="2385">
        <v>1313505.2654354</v>
      </c>
      <c r="Q16" s="2385">
        <v>1358549.666671</v>
      </c>
      <c r="R16" s="2385">
        <v>1352519.8441322001</v>
      </c>
      <c r="S16" s="2385">
        <v>1379681.9984200001</v>
      </c>
      <c r="T16" s="2385">
        <v>1423278.3083621</v>
      </c>
      <c r="U16" s="2385">
        <v>1471411.0926951</v>
      </c>
      <c r="V16" s="2385">
        <v>1519680.1881482999</v>
      </c>
      <c r="W16" s="2385">
        <v>1588444.8314401</v>
      </c>
      <c r="X16" s="2385">
        <v>1596016.2132222999</v>
      </c>
      <c r="Y16" s="2948"/>
      <c r="Z16" s="2949"/>
    </row>
    <row r="17" spans="1:26" s="2182" customFormat="1" ht="11.25" x14ac:dyDescent="0.2">
      <c r="A17" s="860"/>
      <c r="D17" s="2947" t="s">
        <v>277</v>
      </c>
      <c r="E17" s="2386">
        <v>577999</v>
      </c>
      <c r="F17" s="2386">
        <v>581827</v>
      </c>
      <c r="G17" s="2386">
        <v>618258</v>
      </c>
      <c r="H17" s="2386">
        <v>632661</v>
      </c>
      <c r="I17" s="2386">
        <v>638510</v>
      </c>
      <c r="J17" s="2386">
        <v>646002</v>
      </c>
      <c r="K17" s="2386">
        <v>671154</v>
      </c>
      <c r="L17" s="2386">
        <v>700888</v>
      </c>
      <c r="M17" s="2386">
        <v>718708</v>
      </c>
      <c r="N17" s="2386">
        <v>737823</v>
      </c>
      <c r="O17" s="2386">
        <v>729003</v>
      </c>
      <c r="P17" s="2386">
        <v>745425.53892880003</v>
      </c>
      <c r="Q17" s="2386">
        <v>764039.870123</v>
      </c>
      <c r="R17" s="2386">
        <v>752516.72904809995</v>
      </c>
      <c r="S17" s="2386">
        <v>761766.51619620004</v>
      </c>
      <c r="T17" s="2386">
        <v>797260.49376410001</v>
      </c>
      <c r="U17" s="2386">
        <v>822442.88647679996</v>
      </c>
      <c r="V17" s="2386">
        <v>843243.22482879995</v>
      </c>
      <c r="W17" s="2386">
        <v>834344.21041860001</v>
      </c>
      <c r="X17" s="2386">
        <v>877629.04374770005</v>
      </c>
      <c r="Y17" s="2948"/>
      <c r="Z17" s="2949"/>
    </row>
    <row r="18" spans="1:26" s="2182" customFormat="1" ht="11.25" x14ac:dyDescent="0.2">
      <c r="A18" s="860"/>
      <c r="D18" s="2947" t="s">
        <v>278</v>
      </c>
      <c r="E18" s="2386">
        <v>2421066</v>
      </c>
      <c r="F18" s="2386">
        <v>2511260</v>
      </c>
      <c r="G18" s="2386">
        <v>2626604</v>
      </c>
      <c r="H18" s="2386">
        <v>2573635</v>
      </c>
      <c r="I18" s="2386">
        <v>2516475</v>
      </c>
      <c r="J18" s="2386">
        <v>2643983</v>
      </c>
      <c r="K18" s="2386">
        <v>2956238</v>
      </c>
      <c r="L18" s="2386">
        <v>3039693</v>
      </c>
      <c r="M18" s="2386">
        <v>3053807</v>
      </c>
      <c r="N18" s="2386">
        <v>3108361</v>
      </c>
      <c r="O18" s="2386">
        <v>3285055</v>
      </c>
      <c r="P18" s="2386">
        <v>3378843.1952487002</v>
      </c>
      <c r="Q18" s="2386">
        <v>3513365.9764020001</v>
      </c>
      <c r="R18" s="2386">
        <v>3612528.8566922001</v>
      </c>
      <c r="S18" s="2386">
        <v>3615206.9271681001</v>
      </c>
      <c r="T18" s="2386">
        <v>3763822.1735204002</v>
      </c>
      <c r="U18" s="2386">
        <v>3784616.0679108002</v>
      </c>
      <c r="V18" s="2386">
        <v>3883217.7778451</v>
      </c>
      <c r="W18" s="2386">
        <v>4309015.6586325001</v>
      </c>
      <c r="X18" s="2386">
        <v>4443481.6528848</v>
      </c>
      <c r="Y18" s="2948"/>
      <c r="Z18" s="2949"/>
    </row>
    <row r="19" spans="1:26" s="2182" customFormat="1" ht="11.25" x14ac:dyDescent="0.2">
      <c r="A19" s="860"/>
      <c r="D19" s="2947" t="s">
        <v>641</v>
      </c>
      <c r="E19" s="2386">
        <v>1416175</v>
      </c>
      <c r="F19" s="2386">
        <v>1473421</v>
      </c>
      <c r="G19" s="2386">
        <v>1554380</v>
      </c>
      <c r="H19" s="2386">
        <v>1572564</v>
      </c>
      <c r="I19" s="2386">
        <v>1642220</v>
      </c>
      <c r="J19" s="2386">
        <v>1695530</v>
      </c>
      <c r="K19" s="2386">
        <v>1675984</v>
      </c>
      <c r="L19" s="2386">
        <v>1778099</v>
      </c>
      <c r="M19" s="2386">
        <v>1837376</v>
      </c>
      <c r="N19" s="2386">
        <v>1908822</v>
      </c>
      <c r="O19" s="2386">
        <v>1968188</v>
      </c>
      <c r="P19" s="2386">
        <v>2041701.6211614001</v>
      </c>
      <c r="Q19" s="2386">
        <v>2150130.7483390002</v>
      </c>
      <c r="R19" s="2386">
        <v>2197870.6589211999</v>
      </c>
      <c r="S19" s="2386">
        <v>2240597.5487297</v>
      </c>
      <c r="T19" s="2386">
        <v>2343663.2160719</v>
      </c>
      <c r="U19" s="2386">
        <v>2425342.7003019</v>
      </c>
      <c r="V19" s="2386">
        <v>2587601.4066980002</v>
      </c>
      <c r="W19" s="2386">
        <v>2801255.3599159</v>
      </c>
      <c r="X19" s="2386">
        <v>2845483.3878000001</v>
      </c>
      <c r="Y19" s="2948"/>
      <c r="Z19" s="2949"/>
    </row>
    <row r="20" spans="1:26" s="2182" customFormat="1" ht="11.25" x14ac:dyDescent="0.2">
      <c r="A20" s="860"/>
      <c r="D20" s="2947" t="s">
        <v>280</v>
      </c>
      <c r="E20" s="2386">
        <v>813729</v>
      </c>
      <c r="F20" s="2386">
        <v>861324</v>
      </c>
      <c r="G20" s="2386">
        <v>895812</v>
      </c>
      <c r="H20" s="2386">
        <v>976706</v>
      </c>
      <c r="I20" s="2386">
        <v>997753</v>
      </c>
      <c r="J20" s="2386">
        <v>1054471</v>
      </c>
      <c r="K20" s="2386">
        <v>1016381</v>
      </c>
      <c r="L20" s="2386">
        <v>1071621</v>
      </c>
      <c r="M20" s="2386">
        <v>1140476</v>
      </c>
      <c r="N20" s="2386">
        <v>1204418</v>
      </c>
      <c r="O20" s="2386">
        <v>1213831</v>
      </c>
      <c r="P20" s="2386">
        <v>1252895.5193753</v>
      </c>
      <c r="Q20" s="2386">
        <v>1309829.0106176999</v>
      </c>
      <c r="R20" s="2386">
        <v>1354012.6927759</v>
      </c>
      <c r="S20" s="2386">
        <v>1404844.6489568001</v>
      </c>
      <c r="T20" s="2386">
        <v>1396077.9339513001</v>
      </c>
      <c r="U20" s="2386">
        <v>1461447.8922426</v>
      </c>
      <c r="V20" s="2386">
        <v>1513080.8622791001</v>
      </c>
      <c r="W20" s="2386">
        <v>1595552.2065427999</v>
      </c>
      <c r="X20" s="2386">
        <v>1629080.3007449999</v>
      </c>
      <c r="Y20" s="2948"/>
      <c r="Z20" s="2949"/>
    </row>
    <row r="21" spans="1:26" s="2182" customFormat="1" ht="11.25" x14ac:dyDescent="0.2">
      <c r="A21" s="860"/>
      <c r="D21" s="2947" t="s">
        <v>281</v>
      </c>
      <c r="E21" s="2386">
        <v>609389</v>
      </c>
      <c r="F21" s="2386">
        <v>669007</v>
      </c>
      <c r="G21" s="2386">
        <v>711170</v>
      </c>
      <c r="H21" s="2386">
        <v>715143</v>
      </c>
      <c r="I21" s="2386">
        <v>749462</v>
      </c>
      <c r="J21" s="2386">
        <v>791141</v>
      </c>
      <c r="K21" s="2386">
        <v>782593</v>
      </c>
      <c r="L21" s="2386">
        <v>841766</v>
      </c>
      <c r="M21" s="2386">
        <v>882575</v>
      </c>
      <c r="N21" s="2386">
        <v>914516</v>
      </c>
      <c r="O21" s="2386">
        <v>935300</v>
      </c>
      <c r="P21" s="2386">
        <v>984232.91390120005</v>
      </c>
      <c r="Q21" s="2386">
        <v>1023251.4837301</v>
      </c>
      <c r="R21" s="2386">
        <v>1029363.276061</v>
      </c>
      <c r="S21" s="2386">
        <v>1052631.1160625</v>
      </c>
      <c r="T21" s="2386">
        <v>1107590.5139631999</v>
      </c>
      <c r="U21" s="2386">
        <v>1168101.2150932001</v>
      </c>
      <c r="V21" s="2386">
        <v>1199546.7039546</v>
      </c>
      <c r="W21" s="2386">
        <v>1245384.5673177</v>
      </c>
      <c r="X21" s="2386">
        <v>1263980.6692804999</v>
      </c>
      <c r="Y21" s="2948"/>
      <c r="Z21" s="2949"/>
    </row>
    <row r="22" spans="1:26" s="2182" customFormat="1" ht="11.25" x14ac:dyDescent="0.2">
      <c r="A22" s="860"/>
      <c r="D22" s="2947" t="s">
        <v>282</v>
      </c>
      <c r="E22" s="2386">
        <v>626120</v>
      </c>
      <c r="F22" s="2386">
        <v>670168</v>
      </c>
      <c r="G22" s="2386">
        <v>721514</v>
      </c>
      <c r="H22" s="2386">
        <v>708947</v>
      </c>
      <c r="I22" s="2386">
        <v>735402</v>
      </c>
      <c r="J22" s="2386">
        <v>750069</v>
      </c>
      <c r="K22" s="2386">
        <v>731112</v>
      </c>
      <c r="L22" s="2386">
        <v>754204</v>
      </c>
      <c r="M22" s="2386">
        <v>800520</v>
      </c>
      <c r="N22" s="2386">
        <v>847542</v>
      </c>
      <c r="O22" s="2386">
        <v>854602</v>
      </c>
      <c r="P22" s="2386">
        <v>916639.915316</v>
      </c>
      <c r="Q22" s="2386">
        <v>936354.38917830004</v>
      </c>
      <c r="R22" s="2386">
        <v>925072.90178129997</v>
      </c>
      <c r="S22" s="2386">
        <v>921569.98324820003</v>
      </c>
      <c r="T22" s="2386">
        <v>948149.25470100006</v>
      </c>
      <c r="U22" s="2386">
        <v>1012407.2840191</v>
      </c>
      <c r="V22" s="2386">
        <v>1017818.4206915</v>
      </c>
      <c r="W22" s="2386">
        <v>1103210.6174405001</v>
      </c>
      <c r="X22" s="2386">
        <v>1088649.0273863</v>
      </c>
      <c r="Y22" s="2948"/>
      <c r="Z22" s="2949"/>
    </row>
    <row r="23" spans="1:26" s="2182" customFormat="1" ht="11.25" x14ac:dyDescent="0.2">
      <c r="A23" s="860"/>
      <c r="D23" s="2947" t="s">
        <v>283</v>
      </c>
      <c r="E23" s="2386">
        <v>201731</v>
      </c>
      <c r="F23" s="2386">
        <v>199855</v>
      </c>
      <c r="G23" s="2386">
        <v>213136</v>
      </c>
      <c r="H23" s="2386">
        <v>231566</v>
      </c>
      <c r="I23" s="2386">
        <v>233085</v>
      </c>
      <c r="J23" s="2386">
        <v>240678</v>
      </c>
      <c r="K23" s="2386">
        <v>241910</v>
      </c>
      <c r="L23" s="2386">
        <v>252872</v>
      </c>
      <c r="M23" s="2386">
        <v>254132</v>
      </c>
      <c r="N23" s="2386">
        <v>267379</v>
      </c>
      <c r="O23" s="2386">
        <v>273702</v>
      </c>
      <c r="P23" s="2386">
        <v>273014.2789955</v>
      </c>
      <c r="Q23" s="2386">
        <v>281322.4945042</v>
      </c>
      <c r="R23" s="2386">
        <v>293971.73916489998</v>
      </c>
      <c r="S23" s="2386">
        <v>298848.15972639999</v>
      </c>
      <c r="T23" s="2386">
        <v>306715.95985460002</v>
      </c>
      <c r="U23" s="2386">
        <v>313262.07010690001</v>
      </c>
      <c r="V23" s="2386">
        <v>318622.26620160002</v>
      </c>
      <c r="W23" s="2386">
        <v>344891.91973060003</v>
      </c>
      <c r="X23" s="2386">
        <v>332876.52195670002</v>
      </c>
      <c r="Y23" s="2948"/>
      <c r="Z23" s="2949"/>
    </row>
    <row r="24" spans="1:26" s="2182" customFormat="1" ht="11.25" x14ac:dyDescent="0.2">
      <c r="A24" s="860"/>
      <c r="B24" s="88"/>
      <c r="D24" s="2947" t="s">
        <v>284</v>
      </c>
      <c r="E24" s="2386">
        <v>1074743</v>
      </c>
      <c r="F24" s="2386">
        <v>1115975</v>
      </c>
      <c r="G24" s="2386">
        <v>1168976</v>
      </c>
      <c r="H24" s="2386">
        <v>1217944</v>
      </c>
      <c r="I24" s="2386">
        <v>1269626</v>
      </c>
      <c r="J24" s="2386">
        <v>1334386</v>
      </c>
      <c r="K24" s="2386">
        <v>1334023</v>
      </c>
      <c r="L24" s="2386">
        <v>1311026</v>
      </c>
      <c r="M24" s="2386">
        <v>1305533</v>
      </c>
      <c r="N24" s="2386">
        <v>1329382</v>
      </c>
      <c r="O24" s="2386">
        <v>1427200</v>
      </c>
      <c r="P24" s="2386">
        <v>1439824.5025426</v>
      </c>
      <c r="Q24" s="2386">
        <v>1453519.9089492999</v>
      </c>
      <c r="R24" s="2386">
        <v>1543101.5222032</v>
      </c>
      <c r="S24" s="2386">
        <v>1532639.0593735001</v>
      </c>
      <c r="T24" s="2386">
        <v>1578959.9864318999</v>
      </c>
      <c r="U24" s="2386">
        <v>1646605.2395384</v>
      </c>
      <c r="V24" s="2386">
        <v>1708929.8335899001</v>
      </c>
      <c r="W24" s="2386">
        <v>1824824.9276395</v>
      </c>
      <c r="X24" s="2386">
        <v>1922033.5078624</v>
      </c>
      <c r="Y24" s="2948"/>
      <c r="Z24" s="2949"/>
    </row>
    <row r="25" spans="1:26" s="1137" customFormat="1" x14ac:dyDescent="0.25">
      <c r="A25" s="509"/>
      <c r="B25" s="2477"/>
      <c r="D25" s="3670" t="s">
        <v>103</v>
      </c>
      <c r="E25" s="3713">
        <v>8573625</v>
      </c>
      <c r="F25" s="3713">
        <v>8958676</v>
      </c>
      <c r="G25" s="3713">
        <v>9430014</v>
      </c>
      <c r="H25" s="3713">
        <v>9667781</v>
      </c>
      <c r="I25" s="3713">
        <v>9843537</v>
      </c>
      <c r="J25" s="3713">
        <v>10233027</v>
      </c>
      <c r="K25" s="3713">
        <v>10446746</v>
      </c>
      <c r="L25" s="3713">
        <v>10840599</v>
      </c>
      <c r="M25" s="3713">
        <v>11140702</v>
      </c>
      <c r="N25" s="3713">
        <v>11529214</v>
      </c>
      <c r="O25" s="3713">
        <v>11965896</v>
      </c>
      <c r="P25" s="3713">
        <v>12346082.750905201</v>
      </c>
      <c r="Q25" s="3713">
        <v>12790363.5485142</v>
      </c>
      <c r="R25" s="3713">
        <v>13060958.2207803</v>
      </c>
      <c r="S25" s="3713">
        <v>13207785.9578819</v>
      </c>
      <c r="T25" s="3713">
        <v>13665517.840620499</v>
      </c>
      <c r="U25" s="3713">
        <v>14105636.4483844</v>
      </c>
      <c r="V25" s="3713">
        <v>14591740.6842364</v>
      </c>
      <c r="W25" s="3713">
        <v>15646924.2990782</v>
      </c>
      <c r="X25" s="3713">
        <v>15999230.324885599</v>
      </c>
    </row>
    <row r="26" spans="1:26" s="1137" customFormat="1" x14ac:dyDescent="0.25">
      <c r="A26" s="509"/>
      <c r="B26" s="2477"/>
      <c r="K26" s="2950"/>
      <c r="O26" s="2950"/>
      <c r="P26" s="955"/>
      <c r="Q26" s="955"/>
      <c r="R26" s="955"/>
      <c r="S26" s="2390"/>
      <c r="T26" s="2390"/>
      <c r="U26" s="955"/>
    </row>
    <row r="27" spans="1:26" s="1137" customFormat="1" x14ac:dyDescent="0.25">
      <c r="A27" s="509"/>
      <c r="B27" s="2477"/>
      <c r="D27" s="71" t="s">
        <v>656</v>
      </c>
      <c r="E27" s="71" t="s">
        <v>888</v>
      </c>
      <c r="F27" s="71"/>
      <c r="G27" s="71"/>
      <c r="H27" s="71"/>
      <c r="I27" s="2918"/>
      <c r="J27" s="2918"/>
      <c r="K27" s="2919"/>
      <c r="L27" s="2919"/>
      <c r="M27" s="2919"/>
      <c r="N27" s="2919"/>
      <c r="O27" s="2919"/>
      <c r="P27" s="2919"/>
      <c r="Q27" s="2919"/>
      <c r="R27" s="508"/>
      <c r="S27" s="508"/>
      <c r="T27" s="508"/>
      <c r="U27" s="1081"/>
    </row>
    <row r="28" spans="1:26" s="1137" customFormat="1" x14ac:dyDescent="0.25">
      <c r="A28" s="509"/>
      <c r="B28" s="2477"/>
      <c r="D28" s="2951"/>
      <c r="E28" s="2952" t="s">
        <v>16</v>
      </c>
      <c r="F28" s="2953" t="s">
        <v>17</v>
      </c>
      <c r="G28" s="2953" t="s">
        <v>18</v>
      </c>
      <c r="H28" s="2953" t="s">
        <v>19</v>
      </c>
      <c r="I28" s="2953" t="s">
        <v>20</v>
      </c>
      <c r="J28" s="2954" t="s">
        <v>21</v>
      </c>
      <c r="K28" s="2953" t="s">
        <v>22</v>
      </c>
      <c r="L28" s="2953" t="s">
        <v>23</v>
      </c>
      <c r="M28" s="2953" t="s">
        <v>24</v>
      </c>
      <c r="N28" s="2954" t="s">
        <v>25</v>
      </c>
      <c r="O28" s="2955" t="s">
        <v>26</v>
      </c>
      <c r="P28" s="2955" t="s">
        <v>27</v>
      </c>
      <c r="Q28" s="2955" t="s">
        <v>28</v>
      </c>
      <c r="R28" s="2955" t="s">
        <v>29</v>
      </c>
      <c r="S28" s="2955" t="s">
        <v>30</v>
      </c>
      <c r="T28" s="2424" t="s">
        <v>31</v>
      </c>
      <c r="U28" s="2424" t="s">
        <v>32</v>
      </c>
      <c r="V28" s="1226" t="s">
        <v>33</v>
      </c>
      <c r="W28" s="312"/>
      <c r="X28" s="1927"/>
    </row>
    <row r="29" spans="1:26" s="1137" customFormat="1" x14ac:dyDescent="0.25">
      <c r="A29" s="509"/>
      <c r="B29" s="2477"/>
      <c r="D29" s="2182" t="s">
        <v>889</v>
      </c>
      <c r="E29" s="2956">
        <v>312187</v>
      </c>
      <c r="F29" s="2956">
        <v>285521</v>
      </c>
      <c r="G29" s="2956">
        <v>248451</v>
      </c>
      <c r="H29" s="2956">
        <v>241703</v>
      </c>
      <c r="I29" s="2956">
        <v>185833</v>
      </c>
      <c r="J29" s="2956">
        <v>122711</v>
      </c>
      <c r="K29" s="2956">
        <v>295470</v>
      </c>
      <c r="L29" s="2956">
        <v>181873</v>
      </c>
      <c r="M29" s="2956">
        <v>167322</v>
      </c>
      <c r="N29" s="2956">
        <v>202835</v>
      </c>
      <c r="O29" s="2956">
        <v>306773</v>
      </c>
      <c r="P29" s="2956">
        <v>233455</v>
      </c>
      <c r="Q29" s="2956">
        <v>260000</v>
      </c>
      <c r="R29" s="2956">
        <v>301976</v>
      </c>
      <c r="S29" s="2956">
        <v>275830</v>
      </c>
      <c r="T29" s="2956">
        <v>242905</v>
      </c>
      <c r="U29" s="2956">
        <v>215343</v>
      </c>
      <c r="V29" s="3097"/>
      <c r="W29" s="2956"/>
      <c r="X29" s="1927"/>
    </row>
    <row r="30" spans="1:26" s="1137" customFormat="1" x14ac:dyDescent="0.25">
      <c r="A30" s="509"/>
      <c r="B30" s="2477"/>
      <c r="D30" s="2957" t="s">
        <v>890</v>
      </c>
      <c r="E30" s="2958">
        <v>4066796</v>
      </c>
      <c r="F30" s="2958">
        <f t="shared" ref="F30:Q30" si="3">+E30+F29</f>
        <v>4352317</v>
      </c>
      <c r="G30" s="2958">
        <f t="shared" si="3"/>
        <v>4600768</v>
      </c>
      <c r="H30" s="2958">
        <f t="shared" si="3"/>
        <v>4842471</v>
      </c>
      <c r="I30" s="2958">
        <f t="shared" si="3"/>
        <v>5028304</v>
      </c>
      <c r="J30" s="2958">
        <f t="shared" si="3"/>
        <v>5151015</v>
      </c>
      <c r="K30" s="2958">
        <f t="shared" si="3"/>
        <v>5446485</v>
      </c>
      <c r="L30" s="2958">
        <f t="shared" si="3"/>
        <v>5628358</v>
      </c>
      <c r="M30" s="2958">
        <f t="shared" si="3"/>
        <v>5795680</v>
      </c>
      <c r="N30" s="2958">
        <f t="shared" si="3"/>
        <v>5998515</v>
      </c>
      <c r="O30" s="2958">
        <f t="shared" si="3"/>
        <v>6305288</v>
      </c>
      <c r="P30" s="2958">
        <f t="shared" si="3"/>
        <v>6538743</v>
      </c>
      <c r="Q30" s="2958">
        <f t="shared" si="3"/>
        <v>6798743</v>
      </c>
      <c r="R30" s="2958">
        <f>+Q30+R29</f>
        <v>7100719</v>
      </c>
      <c r="S30" s="2958">
        <f>+R30+S29</f>
        <v>7376549</v>
      </c>
      <c r="T30" s="2958">
        <f>+S30+T29</f>
        <v>7619454</v>
      </c>
      <c r="U30" s="2958">
        <f>+T30+U29</f>
        <v>7834797</v>
      </c>
      <c r="V30" s="3098">
        <f>+U30+V29</f>
        <v>7834797</v>
      </c>
      <c r="W30" s="2956"/>
      <c r="X30" s="1927"/>
    </row>
    <row r="31" spans="1:26" s="1137" customFormat="1" x14ac:dyDescent="0.25">
      <c r="A31" s="509"/>
      <c r="B31" s="2477"/>
      <c r="D31" s="2927"/>
      <c r="E31" s="2927"/>
      <c r="F31" s="2927"/>
      <c r="G31" s="2927"/>
      <c r="H31" s="2927"/>
      <c r="I31" s="2927"/>
      <c r="J31" s="2927"/>
      <c r="K31" s="2927"/>
      <c r="L31" s="2927"/>
      <c r="M31" s="2927"/>
      <c r="N31" s="2927"/>
      <c r="O31" s="2927"/>
      <c r="P31" s="419"/>
      <c r="Q31" s="419"/>
      <c r="R31" s="419"/>
      <c r="S31" s="2391"/>
      <c r="T31" s="2956"/>
      <c r="U31" s="2956"/>
      <c r="V31" s="2956"/>
      <c r="W31" s="2956"/>
    </row>
    <row r="32" spans="1:26" s="1137" customFormat="1" x14ac:dyDescent="0.25">
      <c r="A32" s="509"/>
      <c r="B32" s="2477"/>
      <c r="D32" s="71" t="s">
        <v>663</v>
      </c>
      <c r="E32" s="71" t="s">
        <v>891</v>
      </c>
      <c r="F32" s="71"/>
      <c r="G32" s="71"/>
      <c r="H32" s="71"/>
      <c r="I32" s="2918"/>
      <c r="J32" s="2918"/>
      <c r="K32" s="2919"/>
      <c r="L32" s="2919"/>
      <c r="M32" s="2927"/>
      <c r="N32" s="2927"/>
      <c r="O32" s="2927"/>
      <c r="P32" s="419"/>
      <c r="Q32" s="419"/>
      <c r="R32" s="419"/>
      <c r="S32" s="2391"/>
      <c r="T32" s="2392"/>
      <c r="U32" s="2392"/>
      <c r="V32" s="2392"/>
      <c r="W32" s="2392"/>
    </row>
    <row r="33" spans="1:23" s="1137" customFormat="1" x14ac:dyDescent="0.25">
      <c r="A33" s="509"/>
      <c r="B33" s="2477"/>
      <c r="D33" s="2951"/>
      <c r="E33" s="2952" t="s">
        <v>16</v>
      </c>
      <c r="F33" s="2952" t="s">
        <v>17</v>
      </c>
      <c r="G33" s="2952" t="s">
        <v>18</v>
      </c>
      <c r="H33" s="2952" t="s">
        <v>19</v>
      </c>
      <c r="I33" s="2952" t="s">
        <v>20</v>
      </c>
      <c r="J33" s="2952" t="s">
        <v>21</v>
      </c>
      <c r="K33" s="2952" t="s">
        <v>22</v>
      </c>
      <c r="L33" s="2952" t="s">
        <v>23</v>
      </c>
      <c r="M33" s="2953" t="s">
        <v>24</v>
      </c>
      <c r="N33" s="2954" t="s">
        <v>25</v>
      </c>
      <c r="O33" s="2955" t="s">
        <v>26</v>
      </c>
      <c r="P33" s="2955" t="s">
        <v>27</v>
      </c>
      <c r="Q33" s="2955" t="s">
        <v>28</v>
      </c>
      <c r="R33" s="2955" t="s">
        <v>29</v>
      </c>
      <c r="S33" s="2955" t="s">
        <v>30</v>
      </c>
      <c r="T33" s="2424" t="s">
        <v>31</v>
      </c>
      <c r="U33" s="2424" t="s">
        <v>32</v>
      </c>
      <c r="V33" s="1226" t="s">
        <v>33</v>
      </c>
      <c r="W33" s="312"/>
    </row>
    <row r="34" spans="1:23" s="1137" customFormat="1" x14ac:dyDescent="0.25">
      <c r="A34" s="509"/>
      <c r="B34" s="2477"/>
      <c r="D34" s="2182" t="s">
        <v>889</v>
      </c>
      <c r="E34" s="2956">
        <v>12361</v>
      </c>
      <c r="F34" s="2956">
        <v>4386</v>
      </c>
      <c r="G34" s="2956">
        <v>4386</v>
      </c>
      <c r="H34" s="2956">
        <v>4386</v>
      </c>
      <c r="I34" s="2956">
        <v>4388</v>
      </c>
      <c r="J34" s="2956">
        <v>781</v>
      </c>
      <c r="K34" s="2956">
        <v>2152</v>
      </c>
      <c r="L34" s="2956">
        <v>5141</v>
      </c>
      <c r="M34" s="2956">
        <v>24307</v>
      </c>
      <c r="N34" s="2956">
        <v>9343</v>
      </c>
      <c r="O34" s="2956">
        <v>14059</v>
      </c>
      <c r="P34" s="2956">
        <v>14030</v>
      </c>
      <c r="Q34" s="2956">
        <v>25075</v>
      </c>
      <c r="R34" s="2956">
        <v>16922</v>
      </c>
      <c r="S34" s="2956">
        <v>16875</v>
      </c>
      <c r="T34" s="2956">
        <v>13090</v>
      </c>
      <c r="U34" s="2956">
        <v>1364</v>
      </c>
      <c r="V34" s="3097"/>
      <c r="W34" s="2956"/>
    </row>
    <row r="35" spans="1:23" s="1137" customFormat="1" x14ac:dyDescent="0.25">
      <c r="A35" s="509"/>
      <c r="B35" s="2477"/>
      <c r="D35" s="2957" t="s">
        <v>890</v>
      </c>
      <c r="E35" s="2958">
        <v>14097</v>
      </c>
      <c r="F35" s="2958">
        <f>E35+F34</f>
        <v>18483</v>
      </c>
      <c r="G35" s="2958">
        <f t="shared" ref="G35:T35" si="4">F35+G34</f>
        <v>22869</v>
      </c>
      <c r="H35" s="2958">
        <f t="shared" si="4"/>
        <v>27255</v>
      </c>
      <c r="I35" s="2958">
        <f t="shared" si="4"/>
        <v>31643</v>
      </c>
      <c r="J35" s="2958">
        <f t="shared" si="4"/>
        <v>32424</v>
      </c>
      <c r="K35" s="2958">
        <f t="shared" si="4"/>
        <v>34576</v>
      </c>
      <c r="L35" s="2958">
        <f t="shared" si="4"/>
        <v>39717</v>
      </c>
      <c r="M35" s="2958">
        <f t="shared" si="4"/>
        <v>64024</v>
      </c>
      <c r="N35" s="2958">
        <f t="shared" si="4"/>
        <v>73367</v>
      </c>
      <c r="O35" s="2958">
        <f t="shared" si="4"/>
        <v>87426</v>
      </c>
      <c r="P35" s="2958">
        <f t="shared" si="4"/>
        <v>101456</v>
      </c>
      <c r="Q35" s="2958">
        <f t="shared" si="4"/>
        <v>126531</v>
      </c>
      <c r="R35" s="2958">
        <f t="shared" si="4"/>
        <v>143453</v>
      </c>
      <c r="S35" s="2958">
        <f t="shared" si="4"/>
        <v>160328</v>
      </c>
      <c r="T35" s="2958">
        <f t="shared" si="4"/>
        <v>173418</v>
      </c>
      <c r="U35" s="2958">
        <f>T35+U34</f>
        <v>174782</v>
      </c>
      <c r="V35" s="3098">
        <f>U35+V34</f>
        <v>174782</v>
      </c>
      <c r="W35" s="2956"/>
    </row>
    <row r="36" spans="1:23" s="1137" customFormat="1" x14ac:dyDescent="0.25">
      <c r="A36" s="509"/>
      <c r="B36" s="2477"/>
      <c r="D36" s="2182"/>
      <c r="E36" s="2956"/>
      <c r="F36" s="2956"/>
      <c r="G36" s="2956"/>
      <c r="H36" s="2956"/>
      <c r="I36" s="2956"/>
      <c r="J36" s="2956"/>
      <c r="K36" s="2956"/>
      <c r="L36" s="2956"/>
      <c r="M36" s="2956"/>
      <c r="N36" s="2956"/>
      <c r="O36" s="2956"/>
      <c r="P36" s="2956"/>
      <c r="Q36" s="2956"/>
      <c r="R36" s="2956"/>
      <c r="S36" s="2956"/>
      <c r="T36" s="2956"/>
      <c r="U36" s="955"/>
    </row>
    <row r="37" spans="1:23" s="1137" customFormat="1" x14ac:dyDescent="0.25">
      <c r="A37" s="509"/>
      <c r="B37" s="2477"/>
      <c r="D37" s="2892" t="s">
        <v>892</v>
      </c>
      <c r="K37" s="2950"/>
      <c r="O37" s="2950"/>
      <c r="P37" s="955"/>
      <c r="Q37" s="955"/>
      <c r="R37" s="955"/>
      <c r="S37" s="2390"/>
      <c r="T37" s="2390"/>
      <c r="U37" s="955"/>
    </row>
    <row r="38" spans="1:23" s="1137" customFormat="1" x14ac:dyDescent="0.25">
      <c r="A38" s="509"/>
      <c r="B38" s="2477"/>
      <c r="G38" s="2950"/>
      <c r="K38" s="2950"/>
      <c r="L38" s="955"/>
      <c r="M38" s="955"/>
      <c r="N38" s="955"/>
      <c r="O38" s="2390"/>
      <c r="P38" s="955"/>
      <c r="Q38" s="955"/>
      <c r="R38" s="955"/>
      <c r="S38" s="955"/>
      <c r="T38" s="955"/>
      <c r="U38" s="955"/>
    </row>
    <row r="39" spans="1:23" s="1137" customFormat="1" x14ac:dyDescent="0.25">
      <c r="A39" s="509"/>
      <c r="B39" s="2477"/>
      <c r="G39" s="2950"/>
      <c r="K39" s="2950"/>
      <c r="L39" s="955"/>
      <c r="M39" s="955"/>
      <c r="N39" s="955"/>
      <c r="O39" s="2390"/>
      <c r="P39" s="955"/>
      <c r="Q39" s="955"/>
      <c r="R39" s="955"/>
      <c r="S39" s="955"/>
      <c r="T39" s="955"/>
      <c r="U39" s="955"/>
    </row>
    <row r="40" spans="1:23" s="1137" customFormat="1" x14ac:dyDescent="0.25">
      <c r="A40" s="509"/>
      <c r="B40" s="2477"/>
      <c r="G40" s="2950"/>
      <c r="K40" s="2950"/>
      <c r="L40" s="955"/>
      <c r="M40" s="955"/>
      <c r="N40" s="955"/>
      <c r="O40" s="2390"/>
      <c r="P40" s="955"/>
      <c r="Q40" s="955"/>
      <c r="R40" s="955"/>
      <c r="S40" s="955"/>
      <c r="T40" s="955"/>
      <c r="U40" s="955"/>
    </row>
    <row r="41" spans="1:23" s="1137" customFormat="1" x14ac:dyDescent="0.25">
      <c r="A41" s="509"/>
      <c r="B41" s="2477"/>
      <c r="G41" s="2950"/>
      <c r="K41" s="2950"/>
      <c r="L41" s="955"/>
      <c r="M41" s="955"/>
      <c r="N41" s="955"/>
      <c r="O41" s="2390"/>
      <c r="P41" s="955"/>
      <c r="Q41" s="955"/>
      <c r="R41" s="955"/>
      <c r="S41" s="955"/>
      <c r="T41" s="955"/>
      <c r="U41" s="955"/>
    </row>
    <row r="42" spans="1:23" s="1137" customFormat="1" x14ac:dyDescent="0.25">
      <c r="A42" s="509"/>
      <c r="B42" s="2477"/>
      <c r="G42" s="2950"/>
      <c r="K42" s="2950"/>
      <c r="L42" s="955"/>
      <c r="M42" s="955"/>
      <c r="N42" s="955"/>
      <c r="O42" s="2390"/>
      <c r="P42" s="955"/>
      <c r="Q42" s="955"/>
      <c r="R42" s="955"/>
      <c r="S42" s="955"/>
      <c r="T42" s="955"/>
      <c r="U42" s="955"/>
    </row>
    <row r="43" spans="1:23" s="1137" customFormat="1" x14ac:dyDescent="0.25">
      <c r="A43" s="509"/>
      <c r="B43" s="2477"/>
      <c r="G43" s="2950"/>
      <c r="K43" s="2950"/>
      <c r="L43" s="955"/>
      <c r="M43" s="955"/>
      <c r="N43" s="955"/>
      <c r="O43" s="2390"/>
      <c r="P43" s="955"/>
      <c r="Q43" s="955"/>
      <c r="R43" s="955"/>
      <c r="S43" s="955"/>
      <c r="T43" s="955"/>
      <c r="U43" s="955"/>
    </row>
    <row r="44" spans="1:23" s="1137" customFormat="1" x14ac:dyDescent="0.25">
      <c r="A44" s="509"/>
      <c r="B44" s="2477"/>
      <c r="G44" s="2950"/>
      <c r="K44" s="2950"/>
      <c r="L44" s="955"/>
      <c r="M44" s="955"/>
      <c r="N44" s="955"/>
      <c r="O44" s="2390"/>
      <c r="P44" s="955"/>
      <c r="Q44" s="955"/>
      <c r="R44" s="955"/>
      <c r="S44" s="955"/>
      <c r="T44" s="955"/>
      <c r="U44" s="955"/>
    </row>
    <row r="45" spans="1:23" s="1137" customFormat="1" x14ac:dyDescent="0.25">
      <c r="A45" s="509"/>
      <c r="B45" s="2477"/>
      <c r="G45" s="2950"/>
      <c r="K45" s="2950"/>
      <c r="L45" s="955"/>
      <c r="M45" s="955"/>
      <c r="N45" s="955"/>
      <c r="O45" s="2390"/>
      <c r="P45" s="955"/>
      <c r="Q45" s="955"/>
      <c r="R45" s="955"/>
      <c r="S45" s="955"/>
      <c r="T45" s="955"/>
      <c r="U45" s="955"/>
    </row>
    <row r="46" spans="1:23" s="1137" customFormat="1" x14ac:dyDescent="0.25">
      <c r="A46" s="509"/>
      <c r="B46" s="2477"/>
      <c r="D46" s="510" t="s">
        <v>893</v>
      </c>
      <c r="G46" s="2950"/>
      <c r="K46" s="2950"/>
      <c r="L46" s="955"/>
      <c r="M46" s="955"/>
      <c r="N46" s="955"/>
      <c r="O46" s="2390"/>
      <c r="P46" s="955"/>
      <c r="Q46" s="955"/>
      <c r="R46" s="955"/>
      <c r="S46" s="955"/>
      <c r="T46" s="955"/>
      <c r="U46" s="955"/>
    </row>
    <row r="47" spans="1:23" s="1137" customFormat="1" x14ac:dyDescent="0.25">
      <c r="A47" s="509"/>
      <c r="B47" s="2477"/>
      <c r="G47" s="2950"/>
      <c r="K47" s="2950"/>
      <c r="L47" s="955"/>
      <c r="M47" s="955"/>
      <c r="N47" s="955"/>
      <c r="O47" s="2390"/>
      <c r="P47" s="955"/>
      <c r="Q47" s="955"/>
      <c r="R47" s="955"/>
      <c r="S47" s="955"/>
      <c r="T47" s="955"/>
      <c r="U47" s="955"/>
    </row>
    <row r="48" spans="1:23" s="1137" customFormat="1" x14ac:dyDescent="0.25">
      <c r="A48" s="509"/>
      <c r="B48" s="2477"/>
      <c r="G48" s="2950"/>
      <c r="K48" s="2950"/>
      <c r="L48" s="955"/>
      <c r="M48" s="955"/>
      <c r="N48" s="955"/>
      <c r="O48" s="2390"/>
      <c r="P48" s="955"/>
      <c r="Q48" s="955"/>
      <c r="R48" s="955"/>
      <c r="S48" s="955"/>
      <c r="T48" s="955"/>
      <c r="U48" s="955"/>
    </row>
    <row r="49" spans="1:21" s="1137" customFormat="1" x14ac:dyDescent="0.25">
      <c r="A49" s="509"/>
      <c r="B49" s="2477"/>
      <c r="G49" s="2950"/>
      <c r="K49" s="2950"/>
      <c r="L49" s="955"/>
      <c r="M49" s="955"/>
      <c r="N49" s="955"/>
      <c r="O49" s="2390"/>
      <c r="P49" s="955"/>
      <c r="Q49" s="955"/>
      <c r="R49" s="955"/>
      <c r="S49" s="955"/>
      <c r="T49" s="955"/>
      <c r="U49" s="955"/>
    </row>
    <row r="50" spans="1:21" s="1137" customFormat="1" x14ac:dyDescent="0.25">
      <c r="A50" s="509"/>
      <c r="B50" s="2477"/>
      <c r="G50" s="2950"/>
      <c r="K50" s="2950"/>
      <c r="L50" s="955"/>
      <c r="M50" s="955"/>
      <c r="N50" s="955"/>
      <c r="O50" s="2390"/>
      <c r="P50" s="955"/>
      <c r="Q50" s="955"/>
      <c r="R50" s="955"/>
      <c r="S50" s="955"/>
      <c r="T50" s="955"/>
      <c r="U50" s="955"/>
    </row>
    <row r="51" spans="1:21" s="2393" customFormat="1" ht="12.75" x14ac:dyDescent="0.2">
      <c r="A51" s="509">
        <v>5</v>
      </c>
      <c r="B51" s="509" t="s">
        <v>52</v>
      </c>
      <c r="C51" s="509"/>
      <c r="D51" s="4624" t="s">
        <v>894</v>
      </c>
      <c r="E51" s="4774"/>
      <c r="F51" s="4774"/>
      <c r="G51" s="4774"/>
      <c r="H51" s="4774"/>
      <c r="I51" s="4774"/>
      <c r="J51" s="4774"/>
      <c r="K51" s="4774"/>
      <c r="L51" s="4774"/>
      <c r="M51" s="4774"/>
      <c r="N51" s="4774"/>
      <c r="O51" s="4774"/>
      <c r="P51" s="4774"/>
      <c r="Q51" s="4774"/>
      <c r="R51" s="4774"/>
      <c r="S51" s="4774"/>
      <c r="T51" s="4774"/>
      <c r="U51" s="4775"/>
    </row>
    <row r="52" spans="1:21" s="2393" customFormat="1" ht="12.75" x14ac:dyDescent="0.2">
      <c r="A52" s="546">
        <v>6</v>
      </c>
      <c r="B52" s="546" t="s">
        <v>54</v>
      </c>
      <c r="C52" s="546"/>
      <c r="D52" s="4624" t="s">
        <v>895</v>
      </c>
      <c r="E52" s="4774"/>
      <c r="F52" s="4774"/>
      <c r="G52" s="4774"/>
      <c r="H52" s="4774"/>
      <c r="I52" s="4774"/>
      <c r="J52" s="4774"/>
      <c r="K52" s="4774"/>
      <c r="L52" s="4774"/>
      <c r="M52" s="4774"/>
      <c r="N52" s="4774"/>
      <c r="O52" s="4774"/>
      <c r="P52" s="4774"/>
      <c r="Q52" s="4774"/>
      <c r="R52" s="4774"/>
      <c r="S52" s="4774"/>
      <c r="T52" s="4774"/>
      <c r="U52" s="4775"/>
    </row>
    <row r="53" spans="1:21" s="1137" customFormat="1" x14ac:dyDescent="0.25">
      <c r="A53" s="509">
        <v>7</v>
      </c>
      <c r="B53" s="509" t="s">
        <v>56</v>
      </c>
      <c r="C53" s="509"/>
      <c r="D53" s="4624" t="s">
        <v>896</v>
      </c>
      <c r="E53" s="4774"/>
      <c r="F53" s="4774"/>
      <c r="G53" s="4774"/>
      <c r="H53" s="4774"/>
      <c r="I53" s="4774"/>
      <c r="J53" s="4774"/>
      <c r="K53" s="4774"/>
      <c r="L53" s="4774"/>
      <c r="M53" s="4774"/>
      <c r="N53" s="4774"/>
      <c r="O53" s="4774"/>
      <c r="P53" s="4774"/>
      <c r="Q53" s="4774"/>
      <c r="R53" s="4774"/>
      <c r="S53" s="4774"/>
      <c r="T53" s="4774"/>
      <c r="U53" s="4775"/>
    </row>
    <row r="54" spans="1:21" ht="46.5" customHeight="1" x14ac:dyDescent="0.25">
      <c r="A54" s="2387">
        <v>8</v>
      </c>
      <c r="B54" s="509" t="s">
        <v>409</v>
      </c>
      <c r="D54" s="4624" t="s">
        <v>897</v>
      </c>
      <c r="E54" s="4774"/>
      <c r="F54" s="4774"/>
      <c r="G54" s="4774"/>
      <c r="H54" s="4774"/>
      <c r="I54" s="4774"/>
      <c r="J54" s="4774"/>
      <c r="K54" s="4774"/>
      <c r="L54" s="4774"/>
      <c r="M54" s="4774"/>
      <c r="N54" s="4774"/>
      <c r="O54" s="4774"/>
      <c r="P54" s="4774"/>
      <c r="Q54" s="4774"/>
      <c r="R54" s="4774"/>
      <c r="S54" s="4774"/>
      <c r="T54" s="4774"/>
      <c r="U54" s="4775"/>
    </row>
  </sheetData>
  <mergeCells count="7">
    <mergeCell ref="D54:U54"/>
    <mergeCell ref="D2:U2"/>
    <mergeCell ref="D3:U3"/>
    <mergeCell ref="D4:U4"/>
    <mergeCell ref="D51:U51"/>
    <mergeCell ref="D52:U52"/>
    <mergeCell ref="D53:U53"/>
  </mergeCells>
  <pageMargins left="0.74803149606299213" right="0.74803149606299213" top="0.98425196850393704" bottom="0.98425196850393704" header="0.51181102362204722" footer="0.51181102362204722"/>
  <pageSetup paperSize="9" scale="56" fitToHeight="0" orientation="landscape" r:id="rId1"/>
  <headerFooter alignWithMargins="0">
    <oddHeader>&amp;C&amp;"-,Bold"DEVELOPMENT INDICATORS 2014</oddHeader>
    <oddFooter>&amp;LDepartment of Planning, Monitoring and Evaluation (DPME). &amp;CPage &amp;P of &amp;N&amp;R&amp;D</oddFooter>
  </headerFooter>
  <rowBreaks count="1" manualBreakCount="1">
    <brk id="54" max="2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F2CE2-F5B4-4F21-A45D-A17499B13699}">
  <sheetPr>
    <tabColor theme="0" tint="-0.34998626667073579"/>
    <pageSetUpPr fitToPage="1"/>
  </sheetPr>
  <dimension ref="A1:AO62"/>
  <sheetViews>
    <sheetView showGridLines="0" view="pageBreakPreview" topLeftCell="O1" zoomScaleNormal="100" zoomScaleSheetLayoutView="100" workbookViewId="0">
      <selection activeCell="U32" sqref="U32"/>
    </sheetView>
  </sheetViews>
  <sheetFormatPr defaultColWidth="9.140625" defaultRowHeight="15" x14ac:dyDescent="0.2"/>
  <cols>
    <col min="1" max="1" width="3.85546875" style="1117" customWidth="1"/>
    <col min="2" max="2" width="14.42578125" style="1118" customWidth="1"/>
    <col min="3" max="3" width="3.85546875" style="1118" customWidth="1"/>
    <col min="4" max="4" width="11.42578125" style="1081" customWidth="1"/>
    <col min="5" max="6" width="10.85546875" style="1081" customWidth="1"/>
    <col min="7" max="7" width="15.85546875" style="1081" customWidth="1"/>
    <col min="8" max="8" width="15.42578125" style="1081" customWidth="1"/>
    <col min="9" max="9" width="14.85546875" style="1081" customWidth="1"/>
    <col min="10" max="10" width="15.85546875" style="1081" customWidth="1"/>
    <col min="11" max="12" width="14" style="1081" customWidth="1"/>
    <col min="13" max="14" width="14.42578125" style="1081" customWidth="1"/>
    <col min="15" max="15" width="14.42578125" style="1081" bestFit="1" customWidth="1"/>
    <col min="16" max="16" width="12.85546875" style="1081" customWidth="1"/>
    <col min="17" max="17" width="9" style="1081" customWidth="1"/>
    <col min="18" max="18" width="11.140625" style="1081" customWidth="1"/>
    <col min="19" max="20" width="8.42578125" style="1081" customWidth="1"/>
    <col min="21" max="21" width="9.140625" style="1081" customWidth="1"/>
    <col min="22" max="22" width="7.85546875" style="1081" customWidth="1"/>
    <col min="23" max="23" width="7" style="1081" customWidth="1"/>
    <col min="24" max="24" width="10.42578125" style="1081" customWidth="1"/>
    <col min="25" max="31" width="9.140625" style="1081"/>
    <col min="32" max="32" width="7.5703125" style="1081" customWidth="1"/>
    <col min="33" max="16384" width="9.140625" style="1081"/>
  </cols>
  <sheetData>
    <row r="1" spans="1:32" x14ac:dyDescent="0.2">
      <c r="A1" s="506"/>
      <c r="B1" s="507"/>
      <c r="C1" s="507"/>
    </row>
    <row r="2" spans="1:32" ht="14.25" customHeight="1" x14ac:dyDescent="0.2">
      <c r="A2" s="509">
        <v>1</v>
      </c>
      <c r="B2" s="509" t="s">
        <v>0</v>
      </c>
      <c r="C2" s="509">
        <v>31</v>
      </c>
      <c r="D2" s="4677" t="s">
        <v>898</v>
      </c>
      <c r="E2" s="4678"/>
      <c r="F2" s="4678"/>
      <c r="G2" s="4678"/>
      <c r="H2" s="4678"/>
      <c r="I2" s="4678"/>
      <c r="J2" s="4678"/>
      <c r="K2" s="4678"/>
      <c r="L2" s="4678"/>
      <c r="M2" s="4678"/>
      <c r="N2" s="4678"/>
      <c r="O2" s="4678"/>
      <c r="P2" s="4678"/>
      <c r="Q2" s="4678"/>
      <c r="R2" s="3675"/>
      <c r="S2" s="3675"/>
      <c r="T2" s="3675"/>
      <c r="U2" s="3675"/>
      <c r="V2" s="3675"/>
      <c r="W2" s="3675"/>
      <c r="X2" s="3676"/>
    </row>
    <row r="3" spans="1:32" ht="14.1" customHeight="1" x14ac:dyDescent="0.2">
      <c r="A3" s="509">
        <v>2</v>
      </c>
      <c r="B3" s="509" t="s">
        <v>2</v>
      </c>
      <c r="C3" s="509"/>
      <c r="D3" s="4677" t="s">
        <v>899</v>
      </c>
      <c r="E3" s="4678"/>
      <c r="F3" s="4678"/>
      <c r="G3" s="4678"/>
      <c r="H3" s="4678"/>
      <c r="I3" s="4678"/>
      <c r="J3" s="4678"/>
      <c r="K3" s="4678"/>
      <c r="L3" s="4678"/>
      <c r="M3" s="4678"/>
      <c r="N3" s="4678"/>
      <c r="O3" s="4678"/>
      <c r="P3" s="4678"/>
      <c r="Q3" s="4678"/>
      <c r="R3" s="4678"/>
      <c r="S3" s="4678"/>
      <c r="T3" s="4678"/>
      <c r="U3" s="4678"/>
      <c r="V3" s="4678"/>
      <c r="W3" s="4678"/>
      <c r="X3" s="4679"/>
    </row>
    <row r="4" spans="1:32" ht="14.25" customHeight="1" x14ac:dyDescent="0.2">
      <c r="A4" s="509">
        <v>3</v>
      </c>
      <c r="B4" s="509" t="s">
        <v>4</v>
      </c>
      <c r="C4" s="509"/>
      <c r="D4" s="4677" t="s">
        <v>900</v>
      </c>
      <c r="E4" s="4678"/>
      <c r="F4" s="4678"/>
      <c r="G4" s="4678"/>
      <c r="H4" s="4678"/>
      <c r="I4" s="4678"/>
      <c r="J4" s="4678"/>
      <c r="K4" s="4678"/>
      <c r="L4" s="4678"/>
      <c r="M4" s="4678"/>
      <c r="N4" s="4678"/>
      <c r="O4" s="4678"/>
      <c r="P4" s="4678"/>
      <c r="Q4" s="4678"/>
      <c r="R4" s="4678"/>
      <c r="S4" s="4678"/>
      <c r="T4" s="4678"/>
      <c r="U4" s="4678"/>
      <c r="V4" s="4678"/>
      <c r="W4" s="4678"/>
      <c r="X4" s="4679"/>
    </row>
    <row r="5" spans="1:32" ht="15.95" customHeight="1" x14ac:dyDescent="0.2">
      <c r="A5" s="509">
        <v>4</v>
      </c>
      <c r="B5" s="509" t="s">
        <v>901</v>
      </c>
      <c r="C5" s="509"/>
      <c r="D5" s="4780"/>
      <c r="E5" s="4781"/>
      <c r="F5" s="4781"/>
      <c r="G5" s="4781"/>
      <c r="H5" s="4781"/>
      <c r="I5" s="4781"/>
      <c r="J5" s="4781"/>
      <c r="K5" s="4781"/>
      <c r="L5" s="4781"/>
      <c r="M5" s="4781"/>
      <c r="N5" s="4781"/>
      <c r="O5" s="4781"/>
      <c r="P5" s="4781"/>
      <c r="Q5" s="4781"/>
      <c r="R5" s="4781"/>
      <c r="S5" s="4781"/>
      <c r="T5" s="4781"/>
      <c r="U5" s="4781"/>
      <c r="V5" s="4781"/>
      <c r="W5" s="4781"/>
      <c r="X5" s="4782"/>
      <c r="AD5" s="2806"/>
    </row>
    <row r="6" spans="1:32" ht="18" customHeight="1" x14ac:dyDescent="0.25">
      <c r="A6" s="509">
        <v>5</v>
      </c>
      <c r="B6" s="509" t="s">
        <v>6</v>
      </c>
      <c r="C6" s="509"/>
      <c r="D6" s="981" t="s">
        <v>80</v>
      </c>
      <c r="E6" s="1082" t="s">
        <v>902</v>
      </c>
      <c r="F6" s="955"/>
      <c r="G6" s="955"/>
      <c r="H6" s="1083"/>
      <c r="I6" s="1083"/>
      <c r="J6" s="1083"/>
      <c r="K6" s="1083"/>
      <c r="L6" s="1083"/>
      <c r="M6" s="1083"/>
      <c r="N6" s="1083"/>
      <c r="O6" s="1083"/>
      <c r="P6" s="1083"/>
      <c r="Q6" s="1084"/>
      <c r="R6" s="1084"/>
      <c r="S6" s="1084"/>
      <c r="T6" s="1084"/>
      <c r="U6" s="1084"/>
      <c r="V6" s="1084"/>
      <c r="W6" s="1084"/>
      <c r="X6" s="1084"/>
    </row>
    <row r="7" spans="1:32" ht="14.25" x14ac:dyDescent="0.2">
      <c r="A7" s="509"/>
      <c r="B7" s="509"/>
      <c r="C7" s="509"/>
      <c r="D7" s="3411"/>
      <c r="E7" s="3412" t="s">
        <v>395</v>
      </c>
      <c r="F7" s="3412" t="s">
        <v>396</v>
      </c>
      <c r="G7" s="3412" t="s">
        <v>9</v>
      </c>
      <c r="H7" s="3412" t="s">
        <v>10</v>
      </c>
      <c r="I7" s="3412" t="s">
        <v>11</v>
      </c>
      <c r="J7" s="3412" t="s">
        <v>12</v>
      </c>
      <c r="K7" s="3412" t="s">
        <v>13</v>
      </c>
      <c r="L7" s="3412" t="s">
        <v>14</v>
      </c>
      <c r="M7" s="3412" t="s">
        <v>15</v>
      </c>
      <c r="N7" s="3412" t="s">
        <v>16</v>
      </c>
      <c r="O7" s="2806" t="s">
        <v>17</v>
      </c>
      <c r="P7" s="2806" t="s">
        <v>18</v>
      </c>
      <c r="Q7" s="2806" t="s">
        <v>19</v>
      </c>
      <c r="R7" s="2806" t="s">
        <v>20</v>
      </c>
      <c r="S7" s="2806" t="s">
        <v>21</v>
      </c>
      <c r="T7" s="2806" t="s">
        <v>22</v>
      </c>
      <c r="U7" s="2806" t="s">
        <v>23</v>
      </c>
      <c r="V7" s="2806" t="s">
        <v>24</v>
      </c>
      <c r="W7" s="2806" t="s">
        <v>25</v>
      </c>
      <c r="X7" s="2806" t="s">
        <v>26</v>
      </c>
      <c r="Y7" s="2806" t="s">
        <v>27</v>
      </c>
      <c r="Z7" s="2806" t="s">
        <v>28</v>
      </c>
      <c r="AA7" s="2806" t="s">
        <v>29</v>
      </c>
      <c r="AB7" s="2806" t="s">
        <v>30</v>
      </c>
      <c r="AC7" s="2806" t="s">
        <v>31</v>
      </c>
      <c r="AD7" s="2806" t="s">
        <v>32</v>
      </c>
      <c r="AE7" s="2806" t="s">
        <v>33</v>
      </c>
      <c r="AF7" s="2806" t="s">
        <v>59</v>
      </c>
    </row>
    <row r="8" spans="1:32" ht="22.5" x14ac:dyDescent="0.2">
      <c r="A8" s="509"/>
      <c r="B8" s="509"/>
      <c r="C8" s="509"/>
      <c r="D8" s="87" t="s">
        <v>903</v>
      </c>
      <c r="E8" s="1085">
        <v>0</v>
      </c>
      <c r="F8" s="1086">
        <v>1</v>
      </c>
      <c r="G8" s="1086">
        <v>3</v>
      </c>
      <c r="H8" s="1086">
        <v>208</v>
      </c>
      <c r="I8" s="1086">
        <v>408</v>
      </c>
      <c r="J8" s="1086">
        <v>3916</v>
      </c>
      <c r="K8" s="1086">
        <v>12094</v>
      </c>
      <c r="L8" s="1086">
        <v>29877</v>
      </c>
      <c r="M8" s="1086">
        <v>36488</v>
      </c>
      <c r="N8" s="1086">
        <v>48825</v>
      </c>
      <c r="O8" s="1086">
        <v>59345</v>
      </c>
      <c r="P8" s="1086">
        <v>71645</v>
      </c>
      <c r="Q8" s="1086">
        <v>74417</v>
      </c>
      <c r="R8" s="1086">
        <v>74747</v>
      </c>
      <c r="S8" s="1086">
        <v>75400</v>
      </c>
      <c r="T8" s="1086">
        <v>75844</v>
      </c>
      <c r="U8" s="1086">
        <v>76228</v>
      </c>
      <c r="V8" s="1086">
        <v>76705</v>
      </c>
      <c r="W8" s="1086">
        <v>77334</v>
      </c>
      <c r="X8" s="1086">
        <v>77622</v>
      </c>
      <c r="Y8" s="1086">
        <v>78100</v>
      </c>
      <c r="Z8" s="1087">
        <v>78750</v>
      </c>
      <c r="AA8" s="1087">
        <v>79616</v>
      </c>
      <c r="AB8" s="1087">
        <v>80664</v>
      </c>
      <c r="AC8" s="1087">
        <v>81301</v>
      </c>
      <c r="AD8" s="1087">
        <v>81782</v>
      </c>
      <c r="AE8" s="1087">
        <v>82198</v>
      </c>
      <c r="AF8" s="1087">
        <v>82549</v>
      </c>
    </row>
    <row r="9" spans="1:32" ht="33.75" x14ac:dyDescent="0.2">
      <c r="A9" s="509"/>
      <c r="B9" s="509"/>
      <c r="C9" s="509"/>
      <c r="D9" s="621" t="s">
        <v>904</v>
      </c>
      <c r="E9" s="1088"/>
      <c r="F9" s="1089"/>
      <c r="G9" s="1089"/>
      <c r="H9" s="1089"/>
      <c r="I9" s="1089"/>
      <c r="J9" s="1089"/>
      <c r="K9" s="1089"/>
      <c r="L9" s="1089"/>
      <c r="M9" s="1089"/>
      <c r="N9" s="1089"/>
      <c r="O9" s="1089"/>
      <c r="P9" s="1089"/>
      <c r="Q9" s="1089"/>
      <c r="R9" s="1089"/>
      <c r="S9" s="1089"/>
      <c r="T9" s="1089"/>
      <c r="U9" s="1089">
        <v>1495</v>
      </c>
      <c r="V9" s="1089">
        <v>1835</v>
      </c>
      <c r="W9" s="1089">
        <v>2211</v>
      </c>
      <c r="X9" s="1089">
        <v>2503</v>
      </c>
      <c r="Y9" s="1089">
        <v>2875</v>
      </c>
      <c r="Z9" s="1090">
        <v>3435</v>
      </c>
      <c r="AA9" s="1090">
        <v>4107</v>
      </c>
      <c r="AB9" s="1090">
        <v>4972</v>
      </c>
      <c r="AC9" s="1090">
        <v>5967</v>
      </c>
      <c r="AD9" s="1090">
        <v>6653</v>
      </c>
      <c r="AE9" s="1090">
        <v>7038</v>
      </c>
      <c r="AF9" s="1090">
        <v>7480</v>
      </c>
    </row>
    <row r="10" spans="1:32" ht="14.25" x14ac:dyDescent="0.2">
      <c r="A10" s="509"/>
      <c r="B10" s="509"/>
      <c r="C10" s="509"/>
      <c r="D10" s="87"/>
      <c r="E10" s="1091"/>
      <c r="F10" s="1091"/>
      <c r="G10" s="1091"/>
      <c r="H10" s="1091"/>
      <c r="I10" s="1091"/>
      <c r="J10" s="1092"/>
      <c r="K10" s="1092"/>
      <c r="L10" s="1092"/>
      <c r="M10" s="1092"/>
      <c r="N10" s="1092"/>
      <c r="O10" s="1092"/>
      <c r="P10" s="1092"/>
      <c r="Q10" s="1092"/>
      <c r="R10" s="1092"/>
      <c r="S10" s="1092"/>
      <c r="T10" s="1092"/>
      <c r="U10" s="1092"/>
      <c r="V10" s="1092"/>
      <c r="W10" s="1092"/>
      <c r="X10" s="1092"/>
      <c r="Y10" s="1093"/>
      <c r="Z10" s="1093"/>
      <c r="AC10" s="1093"/>
    </row>
    <row r="11" spans="1:32" s="10" customFormat="1" ht="15" customHeight="1" x14ac:dyDescent="0.2">
      <c r="A11" s="79"/>
      <c r="B11" s="79"/>
      <c r="C11" s="79"/>
      <c r="D11" s="1094" t="s">
        <v>905</v>
      </c>
      <c r="E11" s="1094" t="s">
        <v>906</v>
      </c>
      <c r="F11" s="1095"/>
      <c r="G11" s="1095"/>
      <c r="H11" s="1096"/>
      <c r="I11" s="1094"/>
      <c r="J11" s="1095"/>
      <c r="K11" s="1095"/>
      <c r="L11" s="1095"/>
      <c r="M11" s="1097"/>
      <c r="N11" s="1097"/>
      <c r="O11" s="1097"/>
      <c r="P11" s="955"/>
      <c r="Q11" s="955"/>
      <c r="R11" s="831"/>
      <c r="S11" s="831"/>
      <c r="T11" s="1098"/>
      <c r="U11" s="1098"/>
      <c r="V11" s="1098"/>
      <c r="W11" s="1098"/>
      <c r="X11" s="1098"/>
    </row>
    <row r="12" spans="1:32" s="10" customFormat="1" ht="15" customHeight="1" x14ac:dyDescent="0.2">
      <c r="A12" s="144"/>
      <c r="B12" s="81"/>
      <c r="C12" s="81"/>
      <c r="D12" s="3413"/>
      <c r="E12" s="3414"/>
      <c r="F12" s="3414"/>
      <c r="G12" s="3414"/>
      <c r="H12" s="3414"/>
      <c r="I12" s="3414"/>
      <c r="J12" s="3414"/>
      <c r="K12" s="4783" t="s">
        <v>907</v>
      </c>
      <c r="L12" s="4784"/>
      <c r="M12" s="4784"/>
      <c r="N12" s="4785"/>
      <c r="O12" s="1099"/>
      <c r="P12" s="1100"/>
      <c r="Q12" s="1100"/>
      <c r="R12" s="1100"/>
      <c r="S12" s="1100"/>
      <c r="T12" s="1101"/>
      <c r="U12" s="1101"/>
      <c r="V12" s="1101"/>
      <c r="W12" s="1101"/>
      <c r="X12" s="1101"/>
      <c r="Y12" s="1098"/>
      <c r="Z12" s="1098"/>
      <c r="AA12" s="1098"/>
      <c r="AB12" s="1098"/>
    </row>
    <row r="13" spans="1:32" s="10" customFormat="1" ht="22.5" x14ac:dyDescent="0.2">
      <c r="A13" s="144"/>
      <c r="B13" s="1102"/>
      <c r="C13" s="1102"/>
      <c r="D13" s="1103" t="s">
        <v>655</v>
      </c>
      <c r="E13" s="1103" t="s">
        <v>908</v>
      </c>
      <c r="F13" s="1103" t="s">
        <v>909</v>
      </c>
      <c r="G13" s="1103" t="s">
        <v>846</v>
      </c>
      <c r="H13" s="1103" t="s">
        <v>910</v>
      </c>
      <c r="I13" s="1103" t="s">
        <v>911</v>
      </c>
      <c r="J13" s="1104" t="s">
        <v>912</v>
      </c>
      <c r="K13" s="1103" t="s">
        <v>913</v>
      </c>
      <c r="L13" s="1103" t="s">
        <v>914</v>
      </c>
      <c r="M13" s="1103" t="s">
        <v>915</v>
      </c>
      <c r="N13" s="1103" t="s">
        <v>916</v>
      </c>
      <c r="O13" s="1103" t="s">
        <v>917</v>
      </c>
      <c r="P13" s="955"/>
      <c r="Q13" s="955"/>
      <c r="R13" s="955"/>
      <c r="S13" s="955"/>
      <c r="T13" s="1086"/>
      <c r="U13" s="1098"/>
      <c r="V13" s="1098"/>
      <c r="W13" s="1098"/>
      <c r="X13" s="1098"/>
      <c r="Y13" s="1098"/>
      <c r="Z13" s="1098"/>
      <c r="AA13" s="1098"/>
      <c r="AB13" s="1098"/>
    </row>
    <row r="14" spans="1:32" s="10" customFormat="1" ht="11.25" x14ac:dyDescent="0.2">
      <c r="A14" s="144"/>
      <c r="B14" s="1102"/>
      <c r="C14" s="1102"/>
      <c r="D14" s="1105" t="s">
        <v>276</v>
      </c>
      <c r="E14" s="1106">
        <v>17090</v>
      </c>
      <c r="F14" s="1106">
        <v>88634</v>
      </c>
      <c r="G14" s="1106">
        <v>409179</v>
      </c>
      <c r="H14" s="1107">
        <v>142528</v>
      </c>
      <c r="I14" s="1108">
        <v>131659350.29000001</v>
      </c>
      <c r="J14" s="1108">
        <v>5428195284.5299997</v>
      </c>
      <c r="K14" s="1108">
        <v>377479960.36000001</v>
      </c>
      <c r="L14" s="1108">
        <v>81426000</v>
      </c>
      <c r="M14" s="1108">
        <v>39003850</v>
      </c>
      <c r="N14" s="1108">
        <v>50972735</v>
      </c>
      <c r="O14" s="1108">
        <v>6108737180.1799994</v>
      </c>
      <c r="P14" s="955"/>
      <c r="Q14" s="955"/>
      <c r="R14" s="831"/>
      <c r="S14" s="831"/>
      <c r="T14" s="1098"/>
      <c r="U14" s="1098"/>
      <c r="V14" s="1098"/>
      <c r="W14" s="1098"/>
      <c r="X14" s="1098"/>
      <c r="Y14" s="1098"/>
      <c r="Z14" s="1098"/>
      <c r="AA14" s="1098"/>
      <c r="AB14" s="1098"/>
    </row>
    <row r="15" spans="1:32" s="10" customFormat="1" ht="11.25" x14ac:dyDescent="0.2">
      <c r="A15" s="836"/>
      <c r="B15" s="865"/>
      <c r="C15" s="865"/>
      <c r="D15" s="1105" t="s">
        <v>277</v>
      </c>
      <c r="E15" s="1106">
        <v>2671</v>
      </c>
      <c r="F15" s="1106">
        <v>8721</v>
      </c>
      <c r="G15" s="1106">
        <v>52659</v>
      </c>
      <c r="H15" s="1107">
        <v>60387</v>
      </c>
      <c r="I15" s="1108">
        <v>93522832.049999997</v>
      </c>
      <c r="J15" s="1108">
        <v>449679893.22000003</v>
      </c>
      <c r="K15" s="1108">
        <v>40164289.710000001</v>
      </c>
      <c r="L15" s="1108">
        <v>9174000</v>
      </c>
      <c r="M15" s="1108">
        <v>4400640</v>
      </c>
      <c r="N15" s="1108">
        <v>1721295</v>
      </c>
      <c r="O15" s="1108">
        <v>598662949.98000002</v>
      </c>
      <c r="P15" s="413"/>
      <c r="Q15" s="413"/>
      <c r="R15" s="88"/>
      <c r="S15" s="88"/>
    </row>
    <row r="16" spans="1:32" s="10" customFormat="1" ht="11.25" x14ac:dyDescent="0.2">
      <c r="A16" s="144"/>
      <c r="B16" s="144"/>
      <c r="C16" s="144"/>
      <c r="D16" s="1105" t="s">
        <v>278</v>
      </c>
      <c r="E16" s="1106">
        <v>13411</v>
      </c>
      <c r="F16" s="1106">
        <v>21613</v>
      </c>
      <c r="G16" s="1106">
        <v>83590</v>
      </c>
      <c r="H16" s="1107">
        <v>23970</v>
      </c>
      <c r="I16" s="1108">
        <v>101419933.56999999</v>
      </c>
      <c r="J16" s="1108">
        <v>1085790038.55</v>
      </c>
      <c r="K16" s="1108">
        <v>72142501.379999995</v>
      </c>
      <c r="L16" s="1108">
        <v>6957000</v>
      </c>
      <c r="M16" s="1108">
        <v>2399040</v>
      </c>
      <c r="N16" s="1108">
        <v>4161445</v>
      </c>
      <c r="O16" s="1108">
        <v>1272869958.5</v>
      </c>
      <c r="P16" s="413"/>
      <c r="Q16" s="413"/>
      <c r="R16" s="88"/>
      <c r="S16" s="88"/>
    </row>
    <row r="17" spans="1:19" s="10" customFormat="1" ht="11.25" x14ac:dyDescent="0.2">
      <c r="A17" s="4777"/>
      <c r="B17" s="4777"/>
      <c r="C17" s="4778"/>
      <c r="D17" s="1105" t="s">
        <v>641</v>
      </c>
      <c r="E17" s="1106">
        <v>15933</v>
      </c>
      <c r="F17" s="1106">
        <v>96782</v>
      </c>
      <c r="G17" s="1106">
        <v>547910</v>
      </c>
      <c r="H17" s="1107">
        <v>869452</v>
      </c>
      <c r="I17" s="1108">
        <v>8312217773.3800001</v>
      </c>
      <c r="J17" s="1108">
        <v>4540483180.4099998</v>
      </c>
      <c r="K17" s="1108">
        <v>791946644.27999997</v>
      </c>
      <c r="L17" s="1108">
        <v>96132000</v>
      </c>
      <c r="M17" s="1108">
        <v>41747040</v>
      </c>
      <c r="N17" s="1108">
        <v>47391375</v>
      </c>
      <c r="O17" s="1108">
        <v>13836293013.070002</v>
      </c>
      <c r="P17" s="413"/>
      <c r="Q17" s="1109"/>
      <c r="R17" s="88"/>
      <c r="S17" s="88"/>
    </row>
    <row r="18" spans="1:19" s="10" customFormat="1" ht="11.25" x14ac:dyDescent="0.2">
      <c r="A18" s="81"/>
      <c r="B18" s="81"/>
      <c r="C18" s="81"/>
      <c r="D18" s="1105" t="s">
        <v>280</v>
      </c>
      <c r="E18" s="1106">
        <v>4689</v>
      </c>
      <c r="F18" s="1106">
        <v>66289</v>
      </c>
      <c r="G18" s="1106">
        <v>317900</v>
      </c>
      <c r="H18" s="1107">
        <v>755995</v>
      </c>
      <c r="I18" s="1108">
        <v>4559224860.04</v>
      </c>
      <c r="J18" s="1108">
        <v>2923558574.77</v>
      </c>
      <c r="K18" s="1108">
        <v>857202219.86000001</v>
      </c>
      <c r="L18" s="1108">
        <v>97955640</v>
      </c>
      <c r="M18" s="1108">
        <v>45028440</v>
      </c>
      <c r="N18" s="1108">
        <v>26142580</v>
      </c>
      <c r="O18" s="1108">
        <v>8509112314.6699991</v>
      </c>
      <c r="P18" s="413"/>
      <c r="Q18" s="413"/>
      <c r="R18" s="88"/>
      <c r="S18" s="88"/>
    </row>
    <row r="19" spans="1:19" s="10" customFormat="1" ht="11.25" x14ac:dyDescent="0.2">
      <c r="A19" s="81"/>
      <c r="B19" s="81"/>
      <c r="C19" s="81"/>
      <c r="D19" s="1105" t="s">
        <v>281</v>
      </c>
      <c r="E19" s="1106">
        <v>3336</v>
      </c>
      <c r="F19" s="1106">
        <v>60651</v>
      </c>
      <c r="G19" s="1106">
        <v>313336</v>
      </c>
      <c r="H19" s="1107">
        <v>544700.9</v>
      </c>
      <c r="I19" s="1108">
        <v>6437913943.9300003</v>
      </c>
      <c r="J19" s="1108">
        <v>1414091117.3299999</v>
      </c>
      <c r="K19" s="1108">
        <v>573129596.76999998</v>
      </c>
      <c r="L19" s="1108">
        <v>92763000</v>
      </c>
      <c r="M19" s="1108">
        <v>44347350</v>
      </c>
      <c r="N19" s="1108">
        <v>20708300</v>
      </c>
      <c r="O19" s="1108">
        <v>8583003808.0300007</v>
      </c>
      <c r="P19" s="413"/>
      <c r="Q19" s="413" t="s">
        <v>85</v>
      </c>
      <c r="R19" s="88"/>
      <c r="S19" s="88"/>
    </row>
    <row r="20" spans="1:19" s="10" customFormat="1" ht="11.25" x14ac:dyDescent="0.2">
      <c r="A20" s="81"/>
      <c r="B20" s="81"/>
      <c r="C20" s="81"/>
      <c r="D20" s="1105" t="s">
        <v>282</v>
      </c>
      <c r="E20" s="1106">
        <v>4056</v>
      </c>
      <c r="F20" s="1106">
        <v>25917</v>
      </c>
      <c r="G20" s="1106">
        <v>139705</v>
      </c>
      <c r="H20" s="1107">
        <v>846749.74540000013</v>
      </c>
      <c r="I20" s="1108">
        <v>890606806.23000002</v>
      </c>
      <c r="J20" s="1108">
        <v>1205470268.0699999</v>
      </c>
      <c r="K20" s="1108">
        <v>243712500.99000001</v>
      </c>
      <c r="L20" s="1108">
        <v>11668460.880000001</v>
      </c>
      <c r="M20" s="1108">
        <v>12829180.939999999</v>
      </c>
      <c r="N20" s="1108">
        <v>13176810</v>
      </c>
      <c r="O20" s="1108">
        <v>2377464027.1100001</v>
      </c>
      <c r="P20" s="413"/>
      <c r="Q20" s="413"/>
      <c r="R20" s="88"/>
      <c r="S20" s="88"/>
    </row>
    <row r="21" spans="1:19" s="10" customFormat="1" ht="11.25" x14ac:dyDescent="0.2">
      <c r="A21" s="81"/>
      <c r="B21" s="81"/>
      <c r="C21" s="81"/>
      <c r="D21" s="1105" t="s">
        <v>283</v>
      </c>
      <c r="E21" s="1106">
        <v>3977</v>
      </c>
      <c r="F21" s="1106">
        <v>45449</v>
      </c>
      <c r="G21" s="1106">
        <v>225994</v>
      </c>
      <c r="H21" s="1107">
        <v>580173</v>
      </c>
      <c r="I21" s="1108">
        <v>3717608306.77</v>
      </c>
      <c r="J21" s="1108">
        <v>771046383.47000003</v>
      </c>
      <c r="K21" s="1108">
        <v>632754548.02999997</v>
      </c>
      <c r="L21" s="1108">
        <v>81906000</v>
      </c>
      <c r="M21" s="1108">
        <v>39238844.229999997</v>
      </c>
      <c r="N21" s="1108">
        <v>8329485</v>
      </c>
      <c r="O21" s="1108">
        <v>5250883567.499999</v>
      </c>
      <c r="P21" s="413"/>
      <c r="Q21" s="413"/>
      <c r="R21" s="88"/>
      <c r="S21" s="88"/>
    </row>
    <row r="22" spans="1:19" s="10" customFormat="1" ht="11.25" x14ac:dyDescent="0.2">
      <c r="A22" s="81"/>
      <c r="B22" s="81"/>
      <c r="C22" s="81"/>
      <c r="D22" s="1105" t="s">
        <v>284</v>
      </c>
      <c r="E22" s="1106">
        <v>17386</v>
      </c>
      <c r="F22" s="1106">
        <v>33751</v>
      </c>
      <c r="G22" s="1106">
        <v>152416</v>
      </c>
      <c r="H22" s="1107">
        <v>11211</v>
      </c>
      <c r="I22" s="1108">
        <v>305049750.51999998</v>
      </c>
      <c r="J22" s="1108">
        <v>1660542680.27</v>
      </c>
      <c r="K22" s="1108">
        <v>838981037.01999998</v>
      </c>
      <c r="L22" s="1108">
        <v>15282540</v>
      </c>
      <c r="M22" s="1108">
        <v>4195452</v>
      </c>
      <c r="N22" s="1108">
        <v>758880</v>
      </c>
      <c r="O22" s="1108">
        <v>2824851339.8099999</v>
      </c>
      <c r="P22" s="413"/>
      <c r="Q22" s="413"/>
      <c r="R22" s="88"/>
      <c r="S22" s="88"/>
    </row>
    <row r="23" spans="1:19" s="10" customFormat="1" ht="11.25" x14ac:dyDescent="0.2">
      <c r="A23" s="81"/>
      <c r="B23" s="81"/>
      <c r="C23" s="81"/>
      <c r="D23" s="1110" t="s">
        <v>917</v>
      </c>
      <c r="E23" s="1111">
        <f t="shared" ref="E23:O23" si="0">SUM(E14:E22)</f>
        <v>82549</v>
      </c>
      <c r="F23" s="1111">
        <f t="shared" si="0"/>
        <v>447807</v>
      </c>
      <c r="G23" s="1111">
        <f t="shared" si="0"/>
        <v>2242689</v>
      </c>
      <c r="H23" s="1111">
        <f t="shared" si="0"/>
        <v>3835166.6453999998</v>
      </c>
      <c r="I23" s="1112">
        <f t="shared" si="0"/>
        <v>24549223556.780003</v>
      </c>
      <c r="J23" s="1112">
        <f t="shared" si="0"/>
        <v>19478857420.619999</v>
      </c>
      <c r="K23" s="1112">
        <f t="shared" si="0"/>
        <v>4427513298.3999996</v>
      </c>
      <c r="L23" s="1112">
        <f t="shared" si="0"/>
        <v>493264640.88</v>
      </c>
      <c r="M23" s="1112">
        <f t="shared" si="0"/>
        <v>233189837.16999999</v>
      </c>
      <c r="N23" s="1112">
        <f t="shared" si="0"/>
        <v>173362905</v>
      </c>
      <c r="O23" s="1112">
        <f t="shared" si="0"/>
        <v>49361878158.849998</v>
      </c>
      <c r="P23" s="419"/>
      <c r="Q23" s="413"/>
      <c r="R23" s="88"/>
      <c r="S23" s="88"/>
    </row>
    <row r="24" spans="1:19" s="10" customFormat="1" ht="11.25" x14ac:dyDescent="0.2">
      <c r="A24" s="81"/>
      <c r="B24" s="81"/>
      <c r="C24" s="81"/>
      <c r="D24" s="981"/>
      <c r="E24" s="1113"/>
      <c r="F24" s="1113"/>
      <c r="G24" s="1113"/>
      <c r="H24" s="1113"/>
      <c r="I24" s="1114"/>
      <c r="J24" s="1114"/>
      <c r="K24" s="1114"/>
      <c r="L24" s="1114"/>
      <c r="M24" s="1114"/>
      <c r="N24" s="1114"/>
      <c r="O24" s="1114"/>
      <c r="P24" s="413"/>
      <c r="Q24" s="413"/>
      <c r="R24" s="88"/>
      <c r="S24" s="88"/>
    </row>
    <row r="25" spans="1:19" s="10" customFormat="1" ht="11.25" x14ac:dyDescent="0.2">
      <c r="A25" s="81"/>
      <c r="B25" s="81"/>
      <c r="C25" s="81"/>
      <c r="D25" s="981"/>
      <c r="E25" s="1113"/>
      <c r="F25" s="1113"/>
      <c r="G25" s="1113"/>
      <c r="H25" s="1113"/>
      <c r="I25" s="1114"/>
      <c r="J25" s="1114"/>
      <c r="K25" s="1114"/>
      <c r="L25" s="1114"/>
      <c r="M25" s="1114"/>
      <c r="N25" s="1114"/>
      <c r="O25" s="1115"/>
      <c r="P25" s="413"/>
      <c r="Q25" s="413"/>
      <c r="R25" s="88"/>
      <c r="S25" s="88"/>
    </row>
    <row r="26" spans="1:19" s="10" customFormat="1" ht="11.25" x14ac:dyDescent="0.2">
      <c r="A26" s="81"/>
      <c r="B26" s="81"/>
      <c r="C26" s="81"/>
      <c r="D26" s="981"/>
      <c r="E26" s="1113"/>
      <c r="F26" s="1113"/>
      <c r="G26" s="1113"/>
      <c r="H26" s="1113"/>
      <c r="I26" s="1114"/>
      <c r="J26" s="1114"/>
      <c r="K26" s="1114"/>
      <c r="L26" s="1114"/>
      <c r="M26" s="1114"/>
      <c r="N26" s="1114"/>
      <c r="O26" s="1115"/>
      <c r="P26" s="413"/>
      <c r="Q26" s="413"/>
      <c r="R26" s="88"/>
      <c r="S26" s="88"/>
    </row>
    <row r="27" spans="1:19" s="10" customFormat="1" ht="11.25" x14ac:dyDescent="0.2">
      <c r="A27" s="81"/>
      <c r="B27" s="81"/>
      <c r="C27" s="81"/>
      <c r="D27" s="981"/>
      <c r="E27" s="1113"/>
      <c r="F27" s="1113"/>
      <c r="G27" s="1113"/>
      <c r="H27" s="1113"/>
      <c r="I27" s="1114"/>
      <c r="J27" s="1114"/>
      <c r="K27" s="1114"/>
      <c r="L27" s="1114"/>
      <c r="M27" s="1114"/>
      <c r="N27" s="1114"/>
      <c r="O27" s="1115"/>
      <c r="P27" s="413"/>
      <c r="Q27" s="413"/>
      <c r="R27" s="88"/>
      <c r="S27" s="88"/>
    </row>
    <row r="28" spans="1:19" s="10" customFormat="1" ht="11.25" x14ac:dyDescent="0.2">
      <c r="A28" s="81"/>
      <c r="B28" s="81"/>
      <c r="C28" s="81"/>
      <c r="D28" s="981"/>
      <c r="E28" s="1113"/>
      <c r="F28" s="1113"/>
      <c r="G28" s="1113"/>
      <c r="H28" s="1113"/>
      <c r="I28" s="1114"/>
      <c r="J28" s="1114"/>
      <c r="K28" s="1114"/>
      <c r="L28" s="1114"/>
      <c r="M28" s="1114"/>
      <c r="N28" s="1114"/>
      <c r="O28" s="1115"/>
      <c r="P28" s="413"/>
      <c r="Q28" s="413"/>
      <c r="R28" s="88"/>
      <c r="S28" s="88"/>
    </row>
    <row r="29" spans="1:19" s="10" customFormat="1" ht="11.25" x14ac:dyDescent="0.2">
      <c r="A29" s="81"/>
      <c r="B29" s="81"/>
      <c r="C29" s="81"/>
      <c r="D29" s="981"/>
      <c r="E29" s="1113"/>
      <c r="F29" s="1113"/>
      <c r="G29" s="1113"/>
      <c r="H29" s="1113"/>
      <c r="I29" s="1114"/>
      <c r="J29" s="1114"/>
      <c r="K29" s="1114"/>
      <c r="L29" s="1114"/>
      <c r="M29" s="1114"/>
      <c r="N29" s="1114"/>
      <c r="O29" s="1115"/>
      <c r="P29" s="413"/>
      <c r="Q29" s="413"/>
      <c r="R29" s="88"/>
      <c r="S29" s="88"/>
    </row>
    <row r="30" spans="1:19" s="10" customFormat="1" ht="11.25" x14ac:dyDescent="0.2">
      <c r="A30" s="81"/>
      <c r="B30" s="81"/>
      <c r="C30" s="81"/>
      <c r="D30" s="981"/>
      <c r="E30" s="1113"/>
      <c r="F30" s="1113"/>
      <c r="G30" s="1113"/>
      <c r="H30" s="1113"/>
      <c r="I30" s="1114"/>
      <c r="J30" s="1114"/>
      <c r="K30" s="1114"/>
      <c r="L30" s="1114"/>
      <c r="M30" s="1114"/>
      <c r="N30" s="1114"/>
      <c r="O30" s="1115"/>
      <c r="P30" s="413"/>
      <c r="Q30" s="413"/>
      <c r="R30" s="88"/>
      <c r="S30" s="88"/>
    </row>
    <row r="31" spans="1:19" s="10" customFormat="1" ht="11.25" x14ac:dyDescent="0.2">
      <c r="A31" s="81"/>
      <c r="B31" s="81"/>
      <c r="C31" s="81"/>
      <c r="D31" s="981"/>
      <c r="E31" s="1113"/>
      <c r="F31" s="1113"/>
      <c r="G31" s="1113"/>
      <c r="H31" s="1113"/>
      <c r="I31" s="1114"/>
      <c r="J31" s="1114"/>
      <c r="K31" s="1114"/>
      <c r="L31" s="1114"/>
      <c r="M31" s="1114"/>
      <c r="N31" s="1114"/>
      <c r="O31" s="1115"/>
      <c r="P31" s="413"/>
      <c r="Q31" s="413"/>
      <c r="R31" s="88"/>
      <c r="S31" s="88"/>
    </row>
    <row r="32" spans="1:19" s="10" customFormat="1" ht="11.25" x14ac:dyDescent="0.2">
      <c r="A32" s="81"/>
      <c r="B32" s="81"/>
      <c r="C32" s="81"/>
      <c r="D32" s="981"/>
      <c r="E32" s="1113"/>
      <c r="F32" s="1113"/>
      <c r="G32" s="1113"/>
      <c r="H32" s="1113"/>
      <c r="I32" s="1114"/>
      <c r="J32" s="1114"/>
      <c r="K32" s="1114"/>
      <c r="L32" s="1114"/>
      <c r="M32" s="1114"/>
      <c r="N32" s="1114"/>
      <c r="O32" s="1115"/>
      <c r="P32" s="413"/>
      <c r="Q32" s="413"/>
      <c r="R32" s="88"/>
      <c r="S32" s="88"/>
    </row>
    <row r="33" spans="1:19" s="10" customFormat="1" ht="11.25" x14ac:dyDescent="0.2">
      <c r="A33" s="81"/>
      <c r="B33" s="81"/>
      <c r="C33" s="81"/>
      <c r="D33" s="981"/>
      <c r="E33" s="1113"/>
      <c r="F33" s="1113"/>
      <c r="G33" s="1113"/>
      <c r="H33" s="1113"/>
      <c r="I33" s="1114"/>
      <c r="J33" s="1114"/>
      <c r="K33" s="1114"/>
      <c r="L33" s="1114"/>
      <c r="M33" s="1114"/>
      <c r="N33" s="1114"/>
      <c r="O33" s="1115"/>
      <c r="P33" s="413"/>
      <c r="Q33" s="413"/>
      <c r="R33" s="88"/>
      <c r="S33" s="88"/>
    </row>
    <row r="34" spans="1:19" s="10" customFormat="1" ht="11.25" x14ac:dyDescent="0.2">
      <c r="A34" s="81"/>
      <c r="B34" s="81"/>
      <c r="C34" s="81"/>
      <c r="D34" s="981"/>
      <c r="E34" s="1113"/>
      <c r="F34" s="1113"/>
      <c r="G34" s="1113"/>
      <c r="H34" s="1113"/>
      <c r="I34" s="1114"/>
      <c r="J34" s="1114"/>
      <c r="K34" s="1114"/>
      <c r="L34" s="1114"/>
      <c r="M34" s="1114"/>
      <c r="N34" s="1114"/>
      <c r="O34" s="1115"/>
      <c r="P34" s="413"/>
      <c r="Q34" s="413"/>
      <c r="R34" s="88"/>
      <c r="S34" s="88"/>
    </row>
    <row r="35" spans="1:19" s="10" customFormat="1" ht="11.25" x14ac:dyDescent="0.2">
      <c r="A35" s="81"/>
      <c r="B35" s="81"/>
      <c r="C35" s="81"/>
      <c r="D35" s="981"/>
      <c r="E35" s="1113"/>
      <c r="F35" s="1113"/>
      <c r="G35" s="1113"/>
      <c r="H35" s="1113"/>
      <c r="I35" s="1114"/>
      <c r="J35" s="1114"/>
      <c r="K35" s="1114"/>
      <c r="L35" s="1114"/>
      <c r="M35" s="1114"/>
      <c r="N35" s="1114"/>
      <c r="O35" s="1115"/>
      <c r="P35" s="413"/>
      <c r="Q35" s="413"/>
      <c r="R35" s="88"/>
      <c r="S35" s="88"/>
    </row>
    <row r="36" spans="1:19" s="10" customFormat="1" ht="11.25" x14ac:dyDescent="0.2">
      <c r="A36" s="81"/>
      <c r="B36" s="81"/>
      <c r="C36" s="81"/>
      <c r="D36" s="981"/>
      <c r="E36" s="1113"/>
      <c r="F36" s="1113"/>
      <c r="G36" s="1113"/>
      <c r="H36" s="1113"/>
      <c r="I36" s="1114"/>
      <c r="J36" s="1114"/>
      <c r="K36" s="1114"/>
      <c r="L36" s="1114"/>
      <c r="M36" s="1114"/>
      <c r="N36" s="1114"/>
      <c r="O36" s="1115"/>
      <c r="P36" s="413"/>
      <c r="Q36" s="413"/>
      <c r="R36" s="88"/>
      <c r="S36" s="88"/>
    </row>
    <row r="37" spans="1:19" s="10" customFormat="1" ht="11.25" x14ac:dyDescent="0.2">
      <c r="A37" s="81"/>
      <c r="B37" s="81"/>
      <c r="C37" s="81"/>
      <c r="D37" s="981"/>
      <c r="E37" s="1113"/>
      <c r="F37" s="1113"/>
      <c r="G37" s="1113"/>
      <c r="H37" s="1113"/>
      <c r="I37" s="1114"/>
      <c r="J37" s="1114"/>
      <c r="K37" s="1114"/>
      <c r="L37" s="1114"/>
      <c r="M37" s="1114"/>
      <c r="N37" s="1114"/>
      <c r="O37" s="1115"/>
      <c r="P37" s="413"/>
      <c r="Q37" s="413"/>
      <c r="R37" s="88"/>
      <c r="S37" s="88"/>
    </row>
    <row r="38" spans="1:19" s="10" customFormat="1" ht="11.25" x14ac:dyDescent="0.2">
      <c r="A38" s="81"/>
      <c r="B38" s="81"/>
      <c r="C38" s="81"/>
      <c r="D38" s="981"/>
      <c r="E38" s="1113"/>
      <c r="F38" s="1113"/>
      <c r="G38" s="1113"/>
      <c r="H38" s="1113"/>
      <c r="I38" s="1114"/>
      <c r="J38" s="1114"/>
      <c r="K38" s="1114"/>
      <c r="L38" s="1114"/>
      <c r="M38" s="1114"/>
      <c r="N38" s="1114"/>
      <c r="O38" s="1115"/>
      <c r="P38" s="413"/>
      <c r="Q38" s="413"/>
      <c r="R38" s="88"/>
      <c r="S38" s="88"/>
    </row>
    <row r="39" spans="1:19" s="10" customFormat="1" ht="11.25" x14ac:dyDescent="0.2">
      <c r="A39" s="81"/>
      <c r="B39" s="81"/>
      <c r="C39" s="81"/>
      <c r="D39" s="981"/>
      <c r="E39" s="1113"/>
      <c r="F39" s="1113"/>
      <c r="G39" s="1113"/>
      <c r="H39" s="1113"/>
      <c r="I39" s="1114"/>
      <c r="J39" s="1114"/>
      <c r="K39" s="1114"/>
      <c r="L39" s="1114"/>
      <c r="M39" s="1114"/>
      <c r="N39" s="1114"/>
      <c r="O39" s="1115"/>
      <c r="P39" s="413"/>
      <c r="Q39" s="413"/>
      <c r="R39" s="88"/>
      <c r="S39" s="88"/>
    </row>
    <row r="40" spans="1:19" s="10" customFormat="1" ht="11.25" x14ac:dyDescent="0.2">
      <c r="A40" s="81"/>
      <c r="B40" s="81"/>
      <c r="C40" s="81"/>
      <c r="D40" s="981"/>
      <c r="E40" s="1113"/>
      <c r="F40" s="1113"/>
      <c r="G40" s="1113"/>
      <c r="H40" s="1113"/>
      <c r="I40" s="1114"/>
      <c r="J40" s="1114"/>
      <c r="K40" s="1114"/>
      <c r="L40" s="1114"/>
      <c r="M40" s="1114"/>
      <c r="N40" s="1114"/>
      <c r="O40" s="1115"/>
      <c r="P40" s="413"/>
      <c r="Q40" s="413"/>
      <c r="R40" s="88"/>
      <c r="S40" s="88"/>
    </row>
    <row r="41" spans="1:19" s="10" customFormat="1" ht="11.25" x14ac:dyDescent="0.2">
      <c r="A41" s="81"/>
      <c r="B41" s="81"/>
      <c r="C41" s="81"/>
      <c r="D41" s="981"/>
      <c r="E41" s="1113"/>
      <c r="F41" s="1113"/>
      <c r="G41" s="1113"/>
      <c r="H41" s="1113"/>
      <c r="I41" s="1114"/>
      <c r="J41" s="1114"/>
      <c r="K41" s="1114"/>
      <c r="L41" s="1114"/>
      <c r="M41" s="1114"/>
      <c r="N41" s="1114"/>
      <c r="O41" s="1115"/>
      <c r="P41" s="413"/>
      <c r="Q41" s="413"/>
      <c r="R41" s="88"/>
      <c r="S41" s="88"/>
    </row>
    <row r="42" spans="1:19" s="10" customFormat="1" ht="11.25" x14ac:dyDescent="0.2">
      <c r="A42" s="81"/>
      <c r="B42" s="81"/>
      <c r="C42" s="81"/>
      <c r="D42" s="981"/>
      <c r="E42" s="1113"/>
      <c r="F42" s="1113"/>
      <c r="G42" s="1113"/>
      <c r="H42" s="1113"/>
      <c r="I42" s="1114"/>
      <c r="J42" s="1114"/>
      <c r="K42" s="1114"/>
      <c r="L42" s="1114"/>
      <c r="M42" s="1114"/>
      <c r="N42" s="1114"/>
      <c r="O42" s="1115"/>
      <c r="P42" s="413"/>
      <c r="Q42" s="413"/>
      <c r="R42" s="88"/>
      <c r="S42" s="88"/>
    </row>
    <row r="43" spans="1:19" s="10" customFormat="1" ht="11.25" x14ac:dyDescent="0.2">
      <c r="A43" s="81"/>
      <c r="B43" s="81"/>
      <c r="C43" s="81"/>
      <c r="D43" s="981"/>
      <c r="E43" s="1113"/>
      <c r="F43" s="1113"/>
      <c r="G43" s="1113"/>
      <c r="H43" s="1113"/>
      <c r="I43" s="1114"/>
      <c r="J43" s="1114"/>
      <c r="K43" s="1114"/>
      <c r="L43" s="1114"/>
      <c r="M43" s="1114"/>
      <c r="N43" s="1114"/>
      <c r="O43" s="1115"/>
      <c r="P43" s="413"/>
      <c r="Q43" s="413"/>
      <c r="R43" s="88"/>
      <c r="S43" s="88"/>
    </row>
    <row r="44" spans="1:19" s="10" customFormat="1" ht="11.25" x14ac:dyDescent="0.2">
      <c r="A44" s="81"/>
      <c r="B44" s="81"/>
      <c r="C44" s="81"/>
      <c r="D44" s="981"/>
      <c r="E44" s="1113"/>
      <c r="F44" s="1113"/>
      <c r="G44" s="1113"/>
      <c r="H44" s="1113"/>
      <c r="I44" s="1114"/>
      <c r="J44" s="1114"/>
      <c r="K44" s="1114"/>
      <c r="L44" s="1114"/>
      <c r="M44" s="1114"/>
      <c r="N44" s="1114"/>
      <c r="O44" s="1115"/>
      <c r="P44" s="413"/>
      <c r="Q44" s="413"/>
      <c r="R44" s="88"/>
      <c r="S44" s="88"/>
    </row>
    <row r="45" spans="1:19" s="10" customFormat="1" ht="11.25" x14ac:dyDescent="0.2">
      <c r="A45" s="81"/>
      <c r="B45" s="81"/>
      <c r="C45" s="81"/>
      <c r="D45" s="981"/>
      <c r="E45" s="1113"/>
      <c r="F45" s="1113"/>
      <c r="G45" s="1113"/>
      <c r="H45" s="1113"/>
      <c r="I45" s="1114"/>
      <c r="J45" s="1114"/>
      <c r="K45" s="1114"/>
      <c r="L45" s="1114"/>
      <c r="M45" s="1114"/>
      <c r="N45" s="1114"/>
      <c r="O45" s="1115"/>
      <c r="P45" s="413"/>
      <c r="Q45" s="413"/>
      <c r="R45" s="88"/>
      <c r="S45" s="88"/>
    </row>
    <row r="46" spans="1:19" s="10" customFormat="1" ht="11.25" x14ac:dyDescent="0.2">
      <c r="A46" s="81"/>
      <c r="B46" s="81"/>
      <c r="C46" s="81"/>
      <c r="D46" s="981"/>
      <c r="E46" s="1113"/>
      <c r="F46" s="1113"/>
      <c r="G46" s="1113"/>
      <c r="H46" s="1113"/>
      <c r="I46" s="1114"/>
      <c r="J46" s="1114"/>
      <c r="K46" s="1114"/>
      <c r="L46" s="1114"/>
      <c r="M46" s="1114"/>
      <c r="N46" s="1114"/>
      <c r="O46" s="1115"/>
      <c r="P46" s="413"/>
      <c r="Q46" s="413"/>
      <c r="R46" s="88"/>
      <c r="S46" s="88"/>
    </row>
    <row r="47" spans="1:19" s="10" customFormat="1" ht="11.25" x14ac:dyDescent="0.2">
      <c r="A47" s="81"/>
      <c r="B47" s="81"/>
      <c r="C47" s="81"/>
      <c r="D47" s="981"/>
      <c r="E47" s="1113"/>
      <c r="F47" s="1113"/>
      <c r="G47" s="1113"/>
      <c r="H47" s="1113"/>
      <c r="I47" s="1114"/>
      <c r="J47" s="1114"/>
      <c r="K47" s="1114"/>
      <c r="L47" s="1114"/>
      <c r="M47" s="1114"/>
      <c r="N47" s="1114"/>
      <c r="O47" s="1115"/>
      <c r="P47" s="413"/>
      <c r="Q47" s="413"/>
      <c r="R47" s="88"/>
      <c r="S47" s="88"/>
    </row>
    <row r="48" spans="1:19" s="10" customFormat="1" ht="11.25" x14ac:dyDescent="0.2">
      <c r="A48" s="81"/>
      <c r="B48" s="81"/>
      <c r="C48" s="81"/>
      <c r="D48" s="981"/>
      <c r="E48" s="1113"/>
      <c r="F48" s="1113"/>
      <c r="G48" s="1113"/>
      <c r="H48" s="1113"/>
      <c r="I48" s="1114"/>
      <c r="J48" s="1114"/>
      <c r="K48" s="1114"/>
      <c r="L48" s="1114"/>
      <c r="M48" s="1114"/>
      <c r="N48" s="1114"/>
      <c r="O48" s="1115"/>
      <c r="P48" s="413"/>
      <c r="Q48" s="413"/>
      <c r="R48" s="88"/>
      <c r="S48" s="88"/>
    </row>
    <row r="49" spans="1:41" s="10" customFormat="1" ht="11.25" x14ac:dyDescent="0.2">
      <c r="A49" s="81"/>
      <c r="B49" s="81"/>
      <c r="C49" s="81"/>
      <c r="D49" s="981"/>
      <c r="E49" s="1113"/>
      <c r="F49" s="1113"/>
      <c r="G49" s="1113"/>
      <c r="H49" s="1113"/>
      <c r="I49" s="1114"/>
      <c r="J49" s="1114"/>
      <c r="K49" s="1114"/>
      <c r="L49" s="1114"/>
      <c r="M49" s="1114"/>
      <c r="N49" s="1114"/>
      <c r="O49" s="1115"/>
      <c r="P49" s="413"/>
      <c r="Q49" s="413"/>
      <c r="R49" s="88"/>
      <c r="S49" s="88"/>
    </row>
    <row r="50" spans="1:41" s="10" customFormat="1" ht="11.25" x14ac:dyDescent="0.2">
      <c r="A50" s="81"/>
      <c r="B50" s="81"/>
      <c r="C50" s="81"/>
      <c r="D50" s="312"/>
      <c r="E50" s="866"/>
      <c r="F50" s="866"/>
      <c r="G50" s="866"/>
      <c r="H50" s="866"/>
      <c r="I50" s="1116"/>
      <c r="J50" s="1116"/>
      <c r="K50" s="1116"/>
      <c r="L50" s="1116"/>
      <c r="M50" s="1116"/>
      <c r="N50" s="1116"/>
      <c r="O50" s="1116"/>
      <c r="P50" s="413"/>
      <c r="Q50" s="413"/>
      <c r="R50" s="88"/>
      <c r="S50" s="88"/>
    </row>
    <row r="51" spans="1:41" ht="14.25" customHeight="1" x14ac:dyDescent="0.2">
      <c r="A51" s="509">
        <v>7</v>
      </c>
      <c r="B51" s="509" t="s">
        <v>52</v>
      </c>
      <c r="C51" s="509"/>
      <c r="D51" s="4624" t="s">
        <v>918</v>
      </c>
      <c r="E51" s="4625"/>
      <c r="F51" s="4625"/>
      <c r="G51" s="4625"/>
      <c r="H51" s="4625"/>
      <c r="I51" s="4625"/>
      <c r="J51" s="4625"/>
      <c r="K51" s="4625"/>
      <c r="L51" s="4625"/>
      <c r="M51" s="4625"/>
      <c r="N51" s="4625"/>
      <c r="O51" s="4625"/>
      <c r="P51" s="4625"/>
      <c r="Q51" s="4625"/>
      <c r="R51" s="4625"/>
      <c r="S51" s="4625"/>
      <c r="T51" s="4626"/>
      <c r="U51" s="880"/>
      <c r="W51" s="880"/>
    </row>
    <row r="52" spans="1:41" ht="54" customHeight="1" x14ac:dyDescent="0.2">
      <c r="A52" s="546">
        <v>8</v>
      </c>
      <c r="B52" s="546" t="s">
        <v>54</v>
      </c>
      <c r="C52" s="546"/>
      <c r="D52" s="4779" t="s">
        <v>919</v>
      </c>
      <c r="E52" s="4625"/>
      <c r="F52" s="4625"/>
      <c r="G52" s="4625"/>
      <c r="H52" s="4625"/>
      <c r="I52" s="4625"/>
      <c r="J52" s="4625"/>
      <c r="K52" s="4625"/>
      <c r="L52" s="4625"/>
      <c r="M52" s="4625"/>
      <c r="N52" s="4625"/>
      <c r="O52" s="4625"/>
      <c r="P52" s="4625"/>
      <c r="Q52" s="4625"/>
      <c r="R52" s="4625"/>
      <c r="S52" s="4625"/>
      <c r="T52" s="4626"/>
      <c r="U52" s="880"/>
      <c r="W52" s="880"/>
    </row>
    <row r="53" spans="1:41" ht="14.25" customHeight="1" x14ac:dyDescent="0.2">
      <c r="A53" s="509">
        <v>9</v>
      </c>
      <c r="B53" s="509" t="s">
        <v>56</v>
      </c>
      <c r="C53" s="509"/>
      <c r="D53" s="4624" t="s">
        <v>920</v>
      </c>
      <c r="E53" s="4625"/>
      <c r="F53" s="4625"/>
      <c r="G53" s="4625"/>
      <c r="H53" s="4625"/>
      <c r="I53" s="4625"/>
      <c r="J53" s="4625"/>
      <c r="K53" s="4625"/>
      <c r="L53" s="4625"/>
      <c r="M53" s="4625"/>
      <c r="N53" s="4625"/>
      <c r="O53" s="4625"/>
      <c r="P53" s="4625"/>
      <c r="Q53" s="4625"/>
      <c r="R53" s="4625"/>
      <c r="S53" s="4625"/>
      <c r="T53" s="4626"/>
      <c r="U53" s="880"/>
      <c r="W53" s="880"/>
      <c r="AO53" s="751"/>
    </row>
    <row r="54" spans="1:41" ht="71.25" customHeight="1" x14ac:dyDescent="0.2">
      <c r="A54" s="509">
        <v>10</v>
      </c>
      <c r="B54" s="509" t="s">
        <v>355</v>
      </c>
      <c r="C54" s="509"/>
      <c r="D54" s="4624" t="s">
        <v>921</v>
      </c>
      <c r="E54" s="4625"/>
      <c r="F54" s="4625"/>
      <c r="G54" s="4625"/>
      <c r="H54" s="4625"/>
      <c r="I54" s="4625"/>
      <c r="J54" s="4625"/>
      <c r="K54" s="4625"/>
      <c r="L54" s="4625"/>
      <c r="M54" s="4625"/>
      <c r="N54" s="4625"/>
      <c r="O54" s="4625"/>
      <c r="P54" s="4625"/>
      <c r="Q54" s="4625"/>
      <c r="R54" s="4625"/>
      <c r="S54" s="4625"/>
      <c r="T54" s="4626"/>
      <c r="U54" s="880"/>
      <c r="W54" s="880"/>
      <c r="AO54" s="751"/>
    </row>
    <row r="55" spans="1:41" ht="15" customHeight="1" x14ac:dyDescent="0.2">
      <c r="A55" s="506"/>
      <c r="B55" s="507"/>
      <c r="C55" s="507"/>
      <c r="E55" s="171"/>
      <c r="AO55" s="751"/>
    </row>
    <row r="56" spans="1:41" x14ac:dyDescent="0.2">
      <c r="AO56" s="751"/>
    </row>
    <row r="57" spans="1:41" x14ac:dyDescent="0.2">
      <c r="E57" s="419"/>
      <c r="F57" s="419"/>
      <c r="G57" s="419"/>
      <c r="H57" s="419"/>
      <c r="I57" s="419"/>
      <c r="J57" s="419"/>
      <c r="K57" s="419"/>
      <c r="L57" s="419"/>
      <c r="M57" s="419"/>
      <c r="N57" s="419"/>
      <c r="O57" s="419"/>
    </row>
    <row r="62" spans="1:41" x14ac:dyDescent="0.2">
      <c r="D62" s="38"/>
    </row>
  </sheetData>
  <mergeCells count="10">
    <mergeCell ref="D2:Q2"/>
    <mergeCell ref="D3:X3"/>
    <mergeCell ref="D4:X4"/>
    <mergeCell ref="D5:X5"/>
    <mergeCell ref="K12:N12"/>
    <mergeCell ref="A17:C17"/>
    <mergeCell ref="D51:T51"/>
    <mergeCell ref="D52:T52"/>
    <mergeCell ref="D53:T53"/>
    <mergeCell ref="D54:T54"/>
  </mergeCells>
  <pageMargins left="0.74803149606299213" right="0.74803149606299213" top="0.98425196850393704" bottom="0.98425196850393704" header="0.51181102362204722" footer="0.51181102362204722"/>
  <pageSetup paperSize="9" scale="3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161F2-FB1C-437E-ABE0-4ECB66A324C9}">
  <sheetPr>
    <tabColor theme="0" tint="-0.34998626667073579"/>
  </sheetPr>
  <dimension ref="A1:AJ50"/>
  <sheetViews>
    <sheetView zoomScale="90" zoomScaleNormal="90" workbookViewId="0">
      <selection activeCell="D5" sqref="D5:Z5"/>
    </sheetView>
  </sheetViews>
  <sheetFormatPr defaultRowHeight="15" x14ac:dyDescent="0.25"/>
  <cols>
    <col min="4" max="4" width="13.85546875" customWidth="1"/>
    <col min="31" max="31" width="9.85546875" bestFit="1" customWidth="1"/>
    <col min="32" max="32" width="10.140625" customWidth="1"/>
    <col min="33" max="33" width="12.140625" customWidth="1"/>
    <col min="35" max="35" width="13" customWidth="1"/>
  </cols>
  <sheetData>
    <row r="1" spans="1:36" x14ac:dyDescent="0.25">
      <c r="A1" s="1119"/>
      <c r="B1" s="1119"/>
      <c r="C1" s="1119"/>
      <c r="D1" s="751"/>
      <c r="E1" s="751"/>
      <c r="F1" s="751"/>
      <c r="G1" s="751"/>
      <c r="H1" s="751"/>
      <c r="I1" s="751"/>
      <c r="J1" s="751"/>
      <c r="K1" s="751"/>
      <c r="L1" s="751"/>
      <c r="M1" s="751"/>
      <c r="N1" s="751"/>
      <c r="O1" s="751"/>
      <c r="P1" s="751"/>
      <c r="Q1" s="751"/>
      <c r="R1" s="751"/>
      <c r="S1" s="751"/>
      <c r="T1" s="751"/>
      <c r="U1" s="751"/>
      <c r="V1" s="751"/>
      <c r="W1" s="751"/>
      <c r="X1" s="751"/>
      <c r="Y1" s="751"/>
      <c r="Z1" s="751"/>
      <c r="AA1" s="751"/>
      <c r="AB1" s="751"/>
      <c r="AC1" s="751"/>
      <c r="AD1" s="751"/>
      <c r="AE1" s="751"/>
      <c r="AF1" s="751"/>
      <c r="AG1" s="751"/>
      <c r="AH1" s="751"/>
    </row>
    <row r="2" spans="1:36" x14ac:dyDescent="0.25">
      <c r="A2" s="509">
        <v>1</v>
      </c>
      <c r="B2" s="509" t="s">
        <v>0</v>
      </c>
      <c r="C2" s="509">
        <v>31</v>
      </c>
      <c r="D2" s="4794" t="s">
        <v>2249</v>
      </c>
      <c r="E2" s="4795"/>
      <c r="F2" s="4795"/>
      <c r="G2" s="4795"/>
      <c r="H2" s="4795"/>
      <c r="I2" s="4795"/>
      <c r="J2" s="4795"/>
      <c r="K2" s="4795"/>
      <c r="L2" s="4795"/>
      <c r="M2" s="4795"/>
      <c r="N2" s="4571"/>
      <c r="O2" s="4571"/>
      <c r="P2" s="4571"/>
      <c r="Q2" s="4571"/>
      <c r="R2" s="4571"/>
      <c r="S2" s="4571"/>
      <c r="T2" s="4571"/>
      <c r="U2" s="4571"/>
      <c r="V2" s="4571"/>
      <c r="W2" s="4571"/>
      <c r="X2" s="4571"/>
      <c r="Y2" s="4571"/>
      <c r="Z2" s="4572"/>
      <c r="AA2" s="4569"/>
      <c r="AB2" s="751"/>
      <c r="AC2" s="751"/>
      <c r="AD2" s="751"/>
      <c r="AE2" s="751"/>
      <c r="AF2" s="751"/>
      <c r="AG2" s="751"/>
      <c r="AH2" s="751"/>
    </row>
    <row r="3" spans="1:36" x14ac:dyDescent="0.25">
      <c r="A3" s="509">
        <v>2</v>
      </c>
      <c r="B3" s="509" t="s">
        <v>2</v>
      </c>
      <c r="C3" s="509"/>
      <c r="D3" s="4794" t="s">
        <v>899</v>
      </c>
      <c r="E3" s="4795"/>
      <c r="F3" s="4795"/>
      <c r="G3" s="4795"/>
      <c r="H3" s="4795"/>
      <c r="I3" s="4795"/>
      <c r="J3" s="4795"/>
      <c r="K3" s="4795"/>
      <c r="L3" s="4795"/>
      <c r="M3" s="4795"/>
      <c r="N3" s="4795"/>
      <c r="O3" s="4795"/>
      <c r="P3" s="4795"/>
      <c r="Q3" s="4795"/>
      <c r="R3" s="4795"/>
      <c r="S3" s="4795"/>
      <c r="T3" s="4795"/>
      <c r="U3" s="4795"/>
      <c r="V3" s="4795"/>
      <c r="W3" s="4795"/>
      <c r="X3" s="4795"/>
      <c r="Y3" s="4795"/>
      <c r="Z3" s="4796"/>
      <c r="AA3" s="4569"/>
      <c r="AB3" s="751"/>
      <c r="AC3" s="751"/>
      <c r="AD3" s="751"/>
      <c r="AE3" s="751"/>
      <c r="AF3" s="751"/>
      <c r="AG3" s="751"/>
      <c r="AH3" s="751"/>
    </row>
    <row r="4" spans="1:36" x14ac:dyDescent="0.25">
      <c r="A4" s="509">
        <v>3</v>
      </c>
      <c r="B4" s="509" t="s">
        <v>4</v>
      </c>
      <c r="C4" s="509"/>
      <c r="D4" s="4794" t="s">
        <v>922</v>
      </c>
      <c r="E4" s="4795"/>
      <c r="F4" s="4795"/>
      <c r="G4" s="4795"/>
      <c r="H4" s="4795"/>
      <c r="I4" s="4795"/>
      <c r="J4" s="4795"/>
      <c r="K4" s="4795"/>
      <c r="L4" s="4795"/>
      <c r="M4" s="4795"/>
      <c r="N4" s="4795"/>
      <c r="O4" s="4795"/>
      <c r="P4" s="4795"/>
      <c r="Q4" s="4795"/>
      <c r="R4" s="4795"/>
      <c r="S4" s="4795"/>
      <c r="T4" s="4795"/>
      <c r="U4" s="4795"/>
      <c r="V4" s="4795"/>
      <c r="W4" s="4795"/>
      <c r="X4" s="4795"/>
      <c r="Y4" s="4795"/>
      <c r="Z4" s="4795"/>
      <c r="AA4" s="4569"/>
      <c r="AB4" s="751"/>
      <c r="AC4" s="751"/>
      <c r="AD4" s="751"/>
      <c r="AE4" s="751"/>
      <c r="AF4" s="751"/>
      <c r="AG4" s="751"/>
      <c r="AH4" s="751"/>
    </row>
    <row r="5" spans="1:36" ht="85.5" customHeight="1" x14ac:dyDescent="0.25">
      <c r="A5" s="509">
        <v>4</v>
      </c>
      <c r="B5" s="509" t="s">
        <v>901</v>
      </c>
      <c r="C5" s="509"/>
      <c r="D5" s="4794" t="s">
        <v>2250</v>
      </c>
      <c r="E5" s="4795"/>
      <c r="F5" s="4795"/>
      <c r="G5" s="4795"/>
      <c r="H5" s="4795"/>
      <c r="I5" s="4795"/>
      <c r="J5" s="4795"/>
      <c r="K5" s="4795"/>
      <c r="L5" s="4795"/>
      <c r="M5" s="4795"/>
      <c r="N5" s="4795"/>
      <c r="O5" s="4795"/>
      <c r="P5" s="4795"/>
      <c r="Q5" s="4795"/>
      <c r="R5" s="4795"/>
      <c r="S5" s="4795"/>
      <c r="T5" s="4795"/>
      <c r="U5" s="4795"/>
      <c r="V5" s="4795"/>
      <c r="W5" s="4795"/>
      <c r="X5" s="4795"/>
      <c r="Y5" s="4795"/>
      <c r="Z5" s="4796"/>
      <c r="AA5" s="751"/>
      <c r="AB5" s="751"/>
      <c r="AC5" s="751"/>
      <c r="AD5" s="751"/>
      <c r="AE5" s="751"/>
      <c r="AF5" s="751"/>
      <c r="AG5" s="751"/>
      <c r="AH5" s="751"/>
    </row>
    <row r="6" spans="1:36" x14ac:dyDescent="0.25">
      <c r="A6" s="509">
        <v>5</v>
      </c>
      <c r="B6" s="509" t="s">
        <v>6</v>
      </c>
      <c r="C6" s="1119"/>
      <c r="D6" s="72" t="s">
        <v>365</v>
      </c>
      <c r="E6" s="72" t="s">
        <v>923</v>
      </c>
      <c r="F6" s="95"/>
      <c r="G6" s="95"/>
      <c r="H6" s="95"/>
      <c r="I6" s="95"/>
      <c r="J6" s="95"/>
      <c r="K6" s="95"/>
      <c r="L6" s="95"/>
      <c r="M6" s="95"/>
      <c r="N6" s="95"/>
      <c r="O6" s="95"/>
      <c r="P6" s="95"/>
      <c r="Q6" s="88"/>
      <c r="R6" s="88"/>
      <c r="S6" s="88"/>
      <c r="T6" s="88"/>
      <c r="U6" s="88"/>
      <c r="V6" s="88"/>
      <c r="W6" s="751"/>
      <c r="X6" s="751"/>
      <c r="Y6" s="751"/>
      <c r="Z6" s="751"/>
      <c r="AA6" s="751"/>
      <c r="AB6" s="751"/>
      <c r="AC6" s="751"/>
      <c r="AD6" s="751"/>
      <c r="AE6" s="751"/>
      <c r="AF6" s="751"/>
      <c r="AG6" s="751"/>
      <c r="AH6" s="751"/>
    </row>
    <row r="7" spans="1:36" ht="23.25" x14ac:dyDescent="0.25">
      <c r="A7" s="1119"/>
      <c r="B7" s="1119"/>
      <c r="C7" s="1119"/>
      <c r="D7" s="550"/>
      <c r="E7" s="4570">
        <v>1994</v>
      </c>
      <c r="F7" s="4570">
        <v>1995</v>
      </c>
      <c r="G7" s="4570">
        <v>1996</v>
      </c>
      <c r="H7" s="4570">
        <v>1997</v>
      </c>
      <c r="I7" s="4570">
        <v>1998</v>
      </c>
      <c r="J7" s="4570">
        <v>1999</v>
      </c>
      <c r="K7" s="4570" t="s">
        <v>924</v>
      </c>
      <c r="L7" s="3415" t="s">
        <v>13</v>
      </c>
      <c r="M7" s="3415" t="s">
        <v>14</v>
      </c>
      <c r="N7" s="3415" t="s">
        <v>15</v>
      </c>
      <c r="O7" s="3415" t="s">
        <v>16</v>
      </c>
      <c r="P7" s="3415" t="s">
        <v>17</v>
      </c>
      <c r="Q7" s="3415" t="s">
        <v>18</v>
      </c>
      <c r="R7" s="3415" t="s">
        <v>19</v>
      </c>
      <c r="S7" s="3415" t="s">
        <v>20</v>
      </c>
      <c r="T7" s="3415" t="s">
        <v>21</v>
      </c>
      <c r="U7" s="3416" t="s">
        <v>22</v>
      </c>
      <c r="V7" s="3416" t="s">
        <v>23</v>
      </c>
      <c r="W7" s="3416" t="s">
        <v>24</v>
      </c>
      <c r="X7" s="3416" t="s">
        <v>25</v>
      </c>
      <c r="Y7" s="3416" t="s">
        <v>26</v>
      </c>
      <c r="Z7" s="3416" t="s">
        <v>27</v>
      </c>
      <c r="AA7" s="3416" t="s">
        <v>28</v>
      </c>
      <c r="AB7" s="3416" t="s">
        <v>29</v>
      </c>
      <c r="AC7" s="3416" t="s">
        <v>30</v>
      </c>
      <c r="AD7" s="3416" t="s">
        <v>31</v>
      </c>
      <c r="AE7" s="3416" t="s">
        <v>32</v>
      </c>
      <c r="AF7" s="3416" t="s">
        <v>33</v>
      </c>
      <c r="AG7" s="3416" t="s">
        <v>59</v>
      </c>
      <c r="AH7" s="3416" t="s">
        <v>35</v>
      </c>
    </row>
    <row r="8" spans="1:36" ht="45.75" x14ac:dyDescent="0.25">
      <c r="A8" s="309"/>
      <c r="B8" s="309"/>
      <c r="C8" s="309"/>
      <c r="D8" s="981" t="s">
        <v>925</v>
      </c>
      <c r="E8" s="937"/>
      <c r="F8" s="937"/>
      <c r="G8" s="937"/>
      <c r="H8" s="937"/>
      <c r="I8" s="937"/>
      <c r="J8" s="937"/>
      <c r="K8" s="1120"/>
      <c r="L8" s="859"/>
      <c r="M8" s="937">
        <v>214228</v>
      </c>
      <c r="N8" s="937">
        <v>193504</v>
      </c>
      <c r="O8" s="937">
        <v>130810</v>
      </c>
      <c r="P8" s="937">
        <v>262751</v>
      </c>
      <c r="Q8" s="937">
        <v>236268</v>
      </c>
      <c r="R8" s="937">
        <v>2500000</v>
      </c>
      <c r="S8" s="937">
        <v>2500000</v>
      </c>
      <c r="T8" s="937">
        <v>1500000</v>
      </c>
      <c r="U8" s="937">
        <v>656000</v>
      </c>
      <c r="V8" s="1121">
        <v>283592</v>
      </c>
      <c r="W8" s="937">
        <v>303612</v>
      </c>
      <c r="X8" s="937">
        <v>321122</v>
      </c>
      <c r="Y8" s="937">
        <v>311917</v>
      </c>
      <c r="Z8" s="937">
        <v>210063</v>
      </c>
      <c r="AA8" s="937">
        <v>370000</v>
      </c>
      <c r="AB8" s="937">
        <v>83074</v>
      </c>
      <c r="AC8" s="937">
        <v>96165</v>
      </c>
      <c r="AD8" s="937">
        <v>81000</v>
      </c>
      <c r="AE8" s="937">
        <v>94050</v>
      </c>
      <c r="AF8" s="3350" t="s">
        <v>926</v>
      </c>
      <c r="AG8" s="3350">
        <v>39870</v>
      </c>
      <c r="AH8" s="3350">
        <v>40182</v>
      </c>
    </row>
    <row r="9" spans="1:36" ht="34.5" x14ac:dyDescent="0.25">
      <c r="A9" s="1119"/>
      <c r="B9" s="1119"/>
      <c r="C9" s="1119"/>
      <c r="D9" s="4573" t="s">
        <v>927</v>
      </c>
      <c r="E9" s="4574">
        <f t="shared" ref="E9:AE9" si="0">E24</f>
        <v>8678.7134000000005</v>
      </c>
      <c r="F9" s="4574">
        <f t="shared" si="0"/>
        <v>10126.203599999999</v>
      </c>
      <c r="G9" s="4574">
        <f t="shared" si="0"/>
        <v>40675.686399999999</v>
      </c>
      <c r="H9" s="4574">
        <f t="shared" si="0"/>
        <v>102317.66140000001</v>
      </c>
      <c r="I9" s="4574">
        <f t="shared" si="0"/>
        <v>203046.32089999999</v>
      </c>
      <c r="J9" s="4574">
        <f t="shared" si="0"/>
        <v>154778.21859999999</v>
      </c>
      <c r="K9" s="4574">
        <f t="shared" si="0"/>
        <v>29684.867000000002</v>
      </c>
      <c r="L9" s="4574">
        <f t="shared" si="0"/>
        <v>137334.6862</v>
      </c>
      <c r="M9" s="4574">
        <f t="shared" si="0"/>
        <v>199606.99969999999</v>
      </c>
      <c r="N9" s="4574">
        <f t="shared" si="0"/>
        <v>248849.57610000001</v>
      </c>
      <c r="O9" s="4574">
        <f t="shared" si="0"/>
        <v>180009.71759999997</v>
      </c>
      <c r="P9" s="4574">
        <f t="shared" si="0"/>
        <v>214776.78339999999</v>
      </c>
      <c r="Q9" s="4574">
        <f t="shared" si="0"/>
        <v>225169.91790000003</v>
      </c>
      <c r="R9" s="4574">
        <f t="shared" si="0"/>
        <v>357239.37109999999</v>
      </c>
      <c r="S9" s="4574">
        <f t="shared" si="0"/>
        <v>511992.64630000002</v>
      </c>
      <c r="T9" s="4574">
        <f t="shared" si="0"/>
        <v>470811.86200000002</v>
      </c>
      <c r="U9" s="4575">
        <f t="shared" si="0"/>
        <v>242511.01019999999</v>
      </c>
      <c r="V9" s="4575">
        <f t="shared" si="0"/>
        <v>331855.94149999996</v>
      </c>
      <c r="W9" s="4575">
        <f t="shared" si="0"/>
        <v>393829.02010000002</v>
      </c>
      <c r="X9" s="4575">
        <f t="shared" si="0"/>
        <v>158223.6048</v>
      </c>
      <c r="Y9" s="4575">
        <f t="shared" si="0"/>
        <v>153585.72070000001</v>
      </c>
      <c r="Z9" s="4575">
        <f t="shared" si="0"/>
        <v>210395.80410000001</v>
      </c>
      <c r="AA9" s="4575">
        <f t="shared" si="0"/>
        <v>140670.32939999999</v>
      </c>
      <c r="AB9" s="4575">
        <f t="shared" si="0"/>
        <v>95215.733100000012</v>
      </c>
      <c r="AC9" s="4575">
        <f t="shared" si="0"/>
        <v>92032.35149999999</v>
      </c>
      <c r="AD9" s="4575">
        <f t="shared" si="0"/>
        <v>91064.605399999986</v>
      </c>
      <c r="AE9" s="4575">
        <f t="shared" si="0"/>
        <v>98086.56</v>
      </c>
      <c r="AF9" s="1122">
        <f>AF24</f>
        <v>29866.8151</v>
      </c>
      <c r="AG9" s="1122">
        <f>AG24</f>
        <v>59374.105599999995</v>
      </c>
      <c r="AH9" s="1122">
        <f>AH24</f>
        <v>53658.570099999997</v>
      </c>
    </row>
    <row r="10" spans="1:36" x14ac:dyDescent="0.25">
      <c r="A10" s="1119"/>
      <c r="B10" s="1119"/>
      <c r="C10" s="1119"/>
      <c r="D10" s="1123" t="s">
        <v>928</v>
      </c>
      <c r="E10" s="1124">
        <v>8678.7134000000005</v>
      </c>
      <c r="F10" s="1124">
        <f t="shared" ref="F10:AE10" si="1">E10+F9</f>
        <v>18804.917000000001</v>
      </c>
      <c r="G10" s="1124">
        <f t="shared" si="1"/>
        <v>59480.6034</v>
      </c>
      <c r="H10" s="1124">
        <f t="shared" si="1"/>
        <v>161798.2648</v>
      </c>
      <c r="I10" s="1124">
        <f t="shared" si="1"/>
        <v>364844.5857</v>
      </c>
      <c r="J10" s="1124">
        <f t="shared" si="1"/>
        <v>519622.80429999996</v>
      </c>
      <c r="K10" s="1124">
        <f t="shared" si="1"/>
        <v>549307.67129999993</v>
      </c>
      <c r="L10" s="1124">
        <f t="shared" si="1"/>
        <v>686642.35749999993</v>
      </c>
      <c r="M10" s="1124">
        <f t="shared" si="1"/>
        <v>886249.35719999997</v>
      </c>
      <c r="N10" s="1124">
        <f t="shared" si="1"/>
        <v>1135098.9332999999</v>
      </c>
      <c r="O10" s="1124">
        <f t="shared" si="1"/>
        <v>1315108.6508999998</v>
      </c>
      <c r="P10" s="1124">
        <f t="shared" si="1"/>
        <v>1529885.4342999998</v>
      </c>
      <c r="Q10" s="1124">
        <f t="shared" si="1"/>
        <v>1755055.3521999998</v>
      </c>
      <c r="R10" s="1124">
        <f t="shared" si="1"/>
        <v>2112294.7232999997</v>
      </c>
      <c r="S10" s="1124">
        <f t="shared" si="1"/>
        <v>2624287.3695999999</v>
      </c>
      <c r="T10" s="1124">
        <f t="shared" si="1"/>
        <v>3095099.2316000001</v>
      </c>
      <c r="U10" s="1125">
        <f t="shared" si="1"/>
        <v>3337610.2418</v>
      </c>
      <c r="V10" s="1125">
        <f t="shared" si="1"/>
        <v>3669466.1832999997</v>
      </c>
      <c r="W10" s="1125">
        <f t="shared" si="1"/>
        <v>4063295.2033999995</v>
      </c>
      <c r="X10" s="1125">
        <f t="shared" si="1"/>
        <v>4221518.8081999999</v>
      </c>
      <c r="Y10" s="1126">
        <f t="shared" si="1"/>
        <v>4375104.5289000003</v>
      </c>
      <c r="Z10" s="1125">
        <f t="shared" si="1"/>
        <v>4585500.3330000006</v>
      </c>
      <c r="AA10" s="1124">
        <f t="shared" si="1"/>
        <v>4726170.6624000007</v>
      </c>
      <c r="AB10" s="1124">
        <f t="shared" si="1"/>
        <v>4821386.3955000006</v>
      </c>
      <c r="AC10" s="1124">
        <f t="shared" si="1"/>
        <v>4913418.7470000004</v>
      </c>
      <c r="AD10" s="1124">
        <f t="shared" si="1"/>
        <v>5004483.3524000002</v>
      </c>
      <c r="AE10" s="1125">
        <f t="shared" si="1"/>
        <v>5102569.9123999998</v>
      </c>
      <c r="AF10" s="1125">
        <f>AE10+AF9</f>
        <v>5132436.7275</v>
      </c>
      <c r="AG10" s="1125">
        <f t="shared" ref="AG10:AH10" si="2">AF10+AG9</f>
        <v>5191810.8331000004</v>
      </c>
      <c r="AH10" s="1125">
        <f t="shared" si="2"/>
        <v>5245469.4032000005</v>
      </c>
    </row>
    <row r="11" spans="1:36" x14ac:dyDescent="0.25">
      <c r="A11" s="1119"/>
      <c r="B11" s="1119"/>
      <c r="C11" s="1119"/>
      <c r="D11" s="751"/>
      <c r="E11" s="751"/>
      <c r="F11" s="920"/>
      <c r="G11" s="920"/>
      <c r="H11" s="920"/>
      <c r="I11" s="920"/>
      <c r="J11" s="920"/>
      <c r="K11" s="1127"/>
      <c r="L11" s="920"/>
      <c r="M11" s="920"/>
      <c r="N11" s="920"/>
      <c r="O11" s="920"/>
      <c r="P11" s="920"/>
      <c r="Q11" s="920"/>
      <c r="R11" s="920"/>
      <c r="S11" s="920"/>
      <c r="T11" s="920"/>
      <c r="U11" s="920"/>
      <c r="V11" s="920"/>
      <c r="W11" s="920"/>
      <c r="X11" s="920"/>
      <c r="Y11" s="920"/>
      <c r="Z11" s="751"/>
      <c r="AA11" s="751"/>
      <c r="AB11" s="751"/>
      <c r="AC11" s="751"/>
      <c r="AD11" s="751"/>
      <c r="AE11" s="751"/>
      <c r="AF11" s="751"/>
      <c r="AG11" s="751"/>
      <c r="AH11" s="751"/>
    </row>
    <row r="12" spans="1:36" x14ac:dyDescent="0.25">
      <c r="A12" s="1119"/>
      <c r="B12" s="1119"/>
      <c r="C12" s="1119"/>
      <c r="D12" s="751"/>
      <c r="E12" s="751"/>
      <c r="F12" s="920"/>
      <c r="G12" s="920"/>
      <c r="H12" s="920"/>
      <c r="I12" s="920"/>
      <c r="J12" s="920"/>
      <c r="K12" s="920"/>
      <c r="L12" s="920"/>
      <c r="M12" s="920"/>
      <c r="N12" s="920"/>
      <c r="O12" s="920"/>
      <c r="P12" s="920"/>
      <c r="Q12" s="920"/>
      <c r="R12" s="920"/>
      <c r="S12" s="920"/>
      <c r="T12" s="920"/>
      <c r="U12" s="920"/>
      <c r="V12" s="920"/>
      <c r="W12" s="920"/>
      <c r="X12" s="920"/>
      <c r="Y12" s="920"/>
      <c r="Z12" s="1128"/>
      <c r="AA12" s="1128"/>
      <c r="AB12" s="965"/>
      <c r="AC12" s="965"/>
      <c r="AD12" s="965"/>
      <c r="AE12" s="751"/>
      <c r="AF12" s="751"/>
      <c r="AG12" s="751"/>
      <c r="AH12" s="751"/>
    </row>
    <row r="13" spans="1:36" x14ac:dyDescent="0.25">
      <c r="A13" s="1119"/>
      <c r="B13" s="1119"/>
      <c r="C13" s="1119"/>
      <c r="D13" s="861" t="s">
        <v>7</v>
      </c>
      <c r="E13" s="1129" t="s">
        <v>929</v>
      </c>
      <c r="F13" s="1091"/>
      <c r="G13" s="1091"/>
      <c r="H13" s="1091"/>
      <c r="I13" s="1091"/>
      <c r="J13" s="1091"/>
      <c r="K13" s="1091"/>
      <c r="L13" s="1091"/>
      <c r="M13" s="1091"/>
      <c r="N13" s="1091"/>
      <c r="O13" s="1091"/>
      <c r="P13" s="1091"/>
      <c r="Q13" s="1091"/>
      <c r="R13" s="1091"/>
      <c r="S13" s="1091"/>
      <c r="T13" s="1091"/>
      <c r="U13" s="1091"/>
      <c r="V13" s="1091"/>
      <c r="W13" s="1130"/>
      <c r="X13" s="473"/>
      <c r="Y13" s="751"/>
      <c r="Z13" s="751"/>
      <c r="AA13" s="751"/>
      <c r="AB13" s="751"/>
      <c r="AC13" s="751"/>
      <c r="AD13" s="751"/>
      <c r="AE13" s="751"/>
      <c r="AF13" s="751"/>
      <c r="AG13" s="751"/>
      <c r="AH13" s="751"/>
    </row>
    <row r="14" spans="1:36" ht="23.25" x14ac:dyDescent="0.25">
      <c r="A14" s="1119"/>
      <c r="B14" s="1119"/>
      <c r="C14" s="1119"/>
      <c r="D14" s="1131"/>
      <c r="E14" s="1132">
        <v>1994</v>
      </c>
      <c r="F14" s="1132">
        <v>1995</v>
      </c>
      <c r="G14" s="1132">
        <v>1996</v>
      </c>
      <c r="H14" s="1132">
        <v>1997</v>
      </c>
      <c r="I14" s="1132">
        <v>1998</v>
      </c>
      <c r="J14" s="1132">
        <v>1999</v>
      </c>
      <c r="K14" s="1132" t="s">
        <v>924</v>
      </c>
      <c r="L14" s="1132" t="s">
        <v>13</v>
      </c>
      <c r="M14" s="1132" t="s">
        <v>14</v>
      </c>
      <c r="N14" s="1132" t="s">
        <v>15</v>
      </c>
      <c r="O14" s="1132" t="s">
        <v>16</v>
      </c>
      <c r="P14" s="1132" t="s">
        <v>17</v>
      </c>
      <c r="Q14" s="1132" t="s">
        <v>18</v>
      </c>
      <c r="R14" s="1132" t="s">
        <v>19</v>
      </c>
      <c r="S14" s="1132" t="s">
        <v>20</v>
      </c>
      <c r="T14" s="1132" t="s">
        <v>21</v>
      </c>
      <c r="U14" s="1132" t="s">
        <v>22</v>
      </c>
      <c r="V14" s="1132" t="s">
        <v>23</v>
      </c>
      <c r="W14" s="1133" t="s">
        <v>24</v>
      </c>
      <c r="X14" s="1133" t="s">
        <v>25</v>
      </c>
      <c r="Y14" s="1133" t="s">
        <v>26</v>
      </c>
      <c r="Z14" s="1133" t="s">
        <v>27</v>
      </c>
      <c r="AA14" s="1133" t="s">
        <v>28</v>
      </c>
      <c r="AB14" s="3416" t="s">
        <v>29</v>
      </c>
      <c r="AC14" s="3416" t="s">
        <v>30</v>
      </c>
      <c r="AD14" s="3416" t="s">
        <v>31</v>
      </c>
      <c r="AE14" s="3416" t="s">
        <v>32</v>
      </c>
      <c r="AF14" s="3416" t="s">
        <v>33</v>
      </c>
      <c r="AG14" s="3416" t="s">
        <v>59</v>
      </c>
      <c r="AH14" s="3416" t="s">
        <v>35</v>
      </c>
      <c r="AI14" s="1132" t="s">
        <v>50</v>
      </c>
      <c r="AJ14" s="751"/>
    </row>
    <row r="15" spans="1:36" x14ac:dyDescent="0.25">
      <c r="A15" s="509"/>
      <c r="B15" s="509"/>
      <c r="C15" s="509"/>
      <c r="D15" s="88" t="s">
        <v>276</v>
      </c>
      <c r="E15" s="1122">
        <v>0</v>
      </c>
      <c r="F15" s="1122">
        <v>904.90319999999997</v>
      </c>
      <c r="G15" s="1122">
        <v>3097.0772999999999</v>
      </c>
      <c r="H15" s="1122">
        <v>4020.2829000000002</v>
      </c>
      <c r="I15" s="1122">
        <v>9339.1072999999997</v>
      </c>
      <c r="J15" s="1122">
        <v>15107.17</v>
      </c>
      <c r="K15" s="1122">
        <v>7423.3207000000002</v>
      </c>
      <c r="L15" s="1122">
        <v>7206.7107999999998</v>
      </c>
      <c r="M15" s="1122">
        <v>15653.861800000001</v>
      </c>
      <c r="N15" s="1122">
        <v>42722.1541</v>
      </c>
      <c r="O15" s="1122">
        <v>45099.838600000003</v>
      </c>
      <c r="P15" s="1122">
        <v>39786.993399999999</v>
      </c>
      <c r="Q15" s="1122">
        <v>26745.216700000001</v>
      </c>
      <c r="R15" s="1122">
        <v>29046.116399999999</v>
      </c>
      <c r="S15" s="1122">
        <v>17007.7906</v>
      </c>
      <c r="T15" s="1122">
        <v>55496.384299999998</v>
      </c>
      <c r="U15" s="1122">
        <v>39630.307699999998</v>
      </c>
      <c r="V15" s="1122">
        <v>40899.465799999998</v>
      </c>
      <c r="W15" s="1122">
        <v>66584.594599999997</v>
      </c>
      <c r="X15" s="1122">
        <v>19333.022199999999</v>
      </c>
      <c r="Y15" s="1122">
        <v>27770.52</v>
      </c>
      <c r="Z15" s="1122">
        <v>18223.8331</v>
      </c>
      <c r="AA15" s="1122">
        <v>15526.513999999999</v>
      </c>
      <c r="AB15" s="4575">
        <v>7170.0495000000001</v>
      </c>
      <c r="AC15" s="4575">
        <v>1314.6934000000001</v>
      </c>
      <c r="AD15" s="4576">
        <v>2855.2098999999998</v>
      </c>
      <c r="AE15" s="4576">
        <v>2129.2102</v>
      </c>
      <c r="AF15" s="4576">
        <v>7471.0385999999999</v>
      </c>
      <c r="AG15" s="1134">
        <v>1623.4441999999999</v>
      </c>
      <c r="AH15" s="1134">
        <v>3585.8927999999996</v>
      </c>
      <c r="AI15" s="1122">
        <f>E15+F15+G15+H15+I15+J15+K15+L15+M15+N15+O15+P15+Q15+R15+S15+T15+U15+V15+W15+X15+Y15+Z15+AA15+AB15+AC15+AD15+AE15+AF15+AG15+AH15</f>
        <v>572774.72409999999</v>
      </c>
      <c r="AJ15" s="751"/>
    </row>
    <row r="16" spans="1:36" x14ac:dyDescent="0.25">
      <c r="A16" s="506"/>
      <c r="B16" s="506"/>
      <c r="C16" s="506"/>
      <c r="D16" s="88" t="s">
        <v>277</v>
      </c>
      <c r="E16" s="1122">
        <v>166.06010000000001</v>
      </c>
      <c r="F16" s="1122">
        <v>4.2827000000000002</v>
      </c>
      <c r="G16" s="1122">
        <v>5004.2305999999999</v>
      </c>
      <c r="H16" s="1122">
        <v>6571.6778999999997</v>
      </c>
      <c r="I16" s="1122">
        <v>32309.56</v>
      </c>
      <c r="J16" s="1122">
        <v>15140.6621</v>
      </c>
      <c r="K16" s="1122">
        <v>1695.8371</v>
      </c>
      <c r="L16" s="1122">
        <v>329.15899999999999</v>
      </c>
      <c r="M16" s="1122">
        <v>14403.255300000001</v>
      </c>
      <c r="N16" s="1122">
        <v>22956.7611</v>
      </c>
      <c r="O16" s="1122">
        <v>18024.585500000001</v>
      </c>
      <c r="P16" s="1122">
        <v>9292.8292000000001</v>
      </c>
      <c r="Q16" s="1122">
        <v>25686.4866</v>
      </c>
      <c r="R16" s="1122">
        <v>24346.588599999999</v>
      </c>
      <c r="S16" s="1122">
        <v>34187.855100000001</v>
      </c>
      <c r="T16" s="1122">
        <v>64394.104700000004</v>
      </c>
      <c r="U16" s="1122">
        <v>30761.069599999999</v>
      </c>
      <c r="V16" s="1122">
        <v>10403.818300000001</v>
      </c>
      <c r="W16" s="1122">
        <v>42690.324399999998</v>
      </c>
      <c r="X16" s="1122">
        <v>16167.8053</v>
      </c>
      <c r="Y16" s="1122">
        <v>15384.748300000001</v>
      </c>
      <c r="Z16" s="1122">
        <v>10789.9802</v>
      </c>
      <c r="AA16" s="1122">
        <v>8274.9</v>
      </c>
      <c r="AB16" s="1122">
        <v>7448.6049000000003</v>
      </c>
      <c r="AC16" s="1122">
        <v>11735.827600000001</v>
      </c>
      <c r="AD16" s="1134">
        <v>3214.5036000000005</v>
      </c>
      <c r="AE16" s="1134">
        <f>674.4441</f>
        <v>674.44410000000005</v>
      </c>
      <c r="AF16" s="1134">
        <v>2811.7075999999997</v>
      </c>
      <c r="AG16" s="1134">
        <v>988.69159999999999</v>
      </c>
      <c r="AH16" s="1134">
        <v>1980.6436000000001</v>
      </c>
      <c r="AI16" s="1122">
        <f t="shared" ref="AI16:AI23" si="3">E16+F16+G16+H16+I16+J16+K16+L16+M16+N16+O16+P16+Q16+R16+S16+T16+U16+V16+W16+X16+Y16+Z16+AA16+AB16+AC16+AD16+AE16+AF16+AG16+AH16</f>
        <v>437841.00470000005</v>
      </c>
      <c r="AJ16" s="751"/>
    </row>
    <row r="17" spans="1:36" x14ac:dyDescent="0.25">
      <c r="A17" s="506"/>
      <c r="B17" s="1135"/>
      <c r="C17" s="1135"/>
      <c r="D17" s="88" t="s">
        <v>278</v>
      </c>
      <c r="E17" s="1122">
        <v>0</v>
      </c>
      <c r="F17" s="1122">
        <v>0</v>
      </c>
      <c r="G17" s="1122">
        <v>0</v>
      </c>
      <c r="H17" s="1122">
        <v>83.540400000000005</v>
      </c>
      <c r="I17" s="1122">
        <v>210.6686</v>
      </c>
      <c r="J17" s="1122">
        <v>1966.6780000000001</v>
      </c>
      <c r="K17" s="1122">
        <v>816.7242</v>
      </c>
      <c r="L17" s="1122">
        <v>1348.7022999999999</v>
      </c>
      <c r="M17" s="1122">
        <v>69.833699999999993</v>
      </c>
      <c r="N17" s="1122">
        <v>832.66250000000002</v>
      </c>
      <c r="O17" s="1122">
        <v>2406.41</v>
      </c>
      <c r="P17" s="1122">
        <v>1351.9119000000001</v>
      </c>
      <c r="Q17" s="1122">
        <v>1978.0250000000001</v>
      </c>
      <c r="R17" s="1122">
        <v>9430.5625999999993</v>
      </c>
      <c r="S17" s="1122">
        <v>9958.0861000000004</v>
      </c>
      <c r="T17" s="1122">
        <v>2888.462</v>
      </c>
      <c r="U17" s="1122">
        <v>1753.5762</v>
      </c>
      <c r="V17" s="1122">
        <v>3267.7377999999999</v>
      </c>
      <c r="W17" s="1122">
        <v>3357.4146999999998</v>
      </c>
      <c r="X17" s="1122">
        <v>3265.3395999999998</v>
      </c>
      <c r="Y17" s="1122">
        <v>4423.7372999999998</v>
      </c>
      <c r="Z17" s="1122">
        <v>6783.7846</v>
      </c>
      <c r="AA17" s="1122">
        <v>2780.3429000000001</v>
      </c>
      <c r="AB17" s="1122">
        <v>883.40980000000002</v>
      </c>
      <c r="AC17" s="1122">
        <v>1256.1448</v>
      </c>
      <c r="AD17" s="1134">
        <f>728.8927</f>
        <v>728.89269999999999</v>
      </c>
      <c r="AE17" s="1134">
        <v>98.36099999999999</v>
      </c>
      <c r="AF17" s="1134">
        <v>1400.9454000000001</v>
      </c>
      <c r="AG17" s="1134">
        <v>368.1712</v>
      </c>
      <c r="AH17" s="1134">
        <v>162.8289</v>
      </c>
      <c r="AI17" s="1122">
        <f t="shared" si="3"/>
        <v>63872.9542</v>
      </c>
      <c r="AJ17" s="751"/>
    </row>
    <row r="18" spans="1:36" x14ac:dyDescent="0.25">
      <c r="A18" s="506"/>
      <c r="B18" s="1135"/>
      <c r="C18" s="1135"/>
      <c r="D18" s="88" t="s">
        <v>641</v>
      </c>
      <c r="E18" s="1122">
        <v>8512.6532999999999</v>
      </c>
      <c r="F18" s="1122">
        <v>8205.4663999999993</v>
      </c>
      <c r="G18" s="1122">
        <v>19749.053500000002</v>
      </c>
      <c r="H18" s="1122">
        <v>6128.6477999999997</v>
      </c>
      <c r="I18" s="1122">
        <v>18397.166700000002</v>
      </c>
      <c r="J18" s="1122">
        <v>11302.566000000001</v>
      </c>
      <c r="K18" s="1122">
        <v>8918.3166999999994</v>
      </c>
      <c r="L18" s="1122">
        <v>10933.6513</v>
      </c>
      <c r="M18" s="1122">
        <v>32075.470499999999</v>
      </c>
      <c r="N18" s="1122">
        <v>16799.2925</v>
      </c>
      <c r="O18" s="1122">
        <v>29209.7117</v>
      </c>
      <c r="P18" s="1122">
        <v>37060.868199999997</v>
      </c>
      <c r="Q18" s="1122">
        <v>43362.018900000003</v>
      </c>
      <c r="R18" s="1122">
        <v>28922.463</v>
      </c>
      <c r="S18" s="1122">
        <v>33343.903700000003</v>
      </c>
      <c r="T18" s="1122">
        <v>67918.385899999994</v>
      </c>
      <c r="U18" s="1122">
        <v>42154.258999999998</v>
      </c>
      <c r="V18" s="1122">
        <v>25974.334599999998</v>
      </c>
      <c r="W18" s="1122">
        <v>27435.357899999999</v>
      </c>
      <c r="X18" s="1122">
        <v>18294.444500000001</v>
      </c>
      <c r="Y18" s="1122">
        <v>21938.266</v>
      </c>
      <c r="Z18" s="1122">
        <v>26772.1224</v>
      </c>
      <c r="AA18" s="1122">
        <v>19285.8554</v>
      </c>
      <c r="AB18" s="1122">
        <v>14047.7909</v>
      </c>
      <c r="AC18" s="1122">
        <v>13770.027</v>
      </c>
      <c r="AD18" s="1134">
        <v>6801.5237000000006</v>
      </c>
      <c r="AE18" s="1134">
        <v>10763.007300000001</v>
      </c>
      <c r="AF18" s="1134">
        <v>11346.637099999998</v>
      </c>
      <c r="AG18" s="1134">
        <v>10202.3791</v>
      </c>
      <c r="AH18" s="1134">
        <v>3315.0012999999999</v>
      </c>
      <c r="AI18" s="1122">
        <f t="shared" si="3"/>
        <v>632940.64230000018</v>
      </c>
      <c r="AJ18" s="751"/>
    </row>
    <row r="19" spans="1:36" x14ac:dyDescent="0.25">
      <c r="A19" s="506"/>
      <c r="B19" s="1135"/>
      <c r="C19" s="1135"/>
      <c r="D19" s="88" t="s">
        <v>280</v>
      </c>
      <c r="E19" s="1122">
        <v>0</v>
      </c>
      <c r="F19" s="1122">
        <v>0</v>
      </c>
      <c r="G19" s="1122">
        <v>71.092200000000005</v>
      </c>
      <c r="H19" s="1122">
        <v>2734.4114</v>
      </c>
      <c r="I19" s="1122">
        <v>7036.0612000000001</v>
      </c>
      <c r="J19" s="1122">
        <v>2616.3822</v>
      </c>
      <c r="K19" s="1122">
        <v>1173.4906000000001</v>
      </c>
      <c r="L19" s="1122">
        <v>9811.6119999999992</v>
      </c>
      <c r="M19" s="1122">
        <v>9986.5982000000004</v>
      </c>
      <c r="N19" s="1122">
        <v>5496.6696000000002</v>
      </c>
      <c r="O19" s="1122">
        <v>3373.2808</v>
      </c>
      <c r="P19" s="1122">
        <v>2392.1891999999998</v>
      </c>
      <c r="Q19" s="1122">
        <v>3689.6437000000001</v>
      </c>
      <c r="R19" s="1122">
        <v>8035.9574000000002</v>
      </c>
      <c r="S19" s="1122">
        <v>10469.1196</v>
      </c>
      <c r="T19" s="1122">
        <v>14689.183800000001</v>
      </c>
      <c r="U19" s="1122">
        <v>15374.466200000001</v>
      </c>
      <c r="V19" s="1122">
        <v>6619.8114999999998</v>
      </c>
      <c r="W19" s="1122">
        <v>25032.237499999999</v>
      </c>
      <c r="X19" s="1122">
        <v>8297.1245999999992</v>
      </c>
      <c r="Y19" s="1122">
        <v>1971.4822999999999</v>
      </c>
      <c r="Z19" s="1122">
        <v>12214.555399999999</v>
      </c>
      <c r="AA19" s="1122">
        <v>13179.854600000001</v>
      </c>
      <c r="AB19" s="1122">
        <v>10991.589900000001</v>
      </c>
      <c r="AC19" s="1122">
        <v>7337.0911999999998</v>
      </c>
      <c r="AD19" s="1134">
        <v>4211.6273999999994</v>
      </c>
      <c r="AE19" s="1134">
        <v>8768.688900000001</v>
      </c>
      <c r="AF19" s="1134">
        <v>0</v>
      </c>
      <c r="AG19" s="1134">
        <v>2399.0012999999999</v>
      </c>
      <c r="AH19" s="1134">
        <v>1023.2682</v>
      </c>
      <c r="AI19" s="1122">
        <f t="shared" si="3"/>
        <v>198996.4909</v>
      </c>
      <c r="AJ19" s="751"/>
    </row>
    <row r="20" spans="1:36" x14ac:dyDescent="0.25">
      <c r="A20" s="506"/>
      <c r="B20" s="506"/>
      <c r="C20" s="506"/>
      <c r="D20" s="88" t="s">
        <v>281</v>
      </c>
      <c r="E20" s="1122">
        <v>0</v>
      </c>
      <c r="F20" s="1122">
        <v>0</v>
      </c>
      <c r="G20" s="1122">
        <v>12416.332200000001</v>
      </c>
      <c r="H20" s="1122">
        <v>6636.6527999999998</v>
      </c>
      <c r="I20" s="1122">
        <v>5521.0447000000004</v>
      </c>
      <c r="J20" s="1122">
        <v>3927.0583999999999</v>
      </c>
      <c r="K20" s="1122">
        <v>5008.3226999999997</v>
      </c>
      <c r="L20" s="1122">
        <v>23113.883300000001</v>
      </c>
      <c r="M20" s="1122">
        <v>27623.4827</v>
      </c>
      <c r="N20" s="1122">
        <v>57593.038099999998</v>
      </c>
      <c r="O20" s="1122">
        <v>19603.863600000001</v>
      </c>
      <c r="P20" s="1122">
        <v>20276.8246</v>
      </c>
      <c r="Q20" s="1122">
        <v>8791.2293000000009</v>
      </c>
      <c r="R20" s="1122">
        <v>17913.574000000001</v>
      </c>
      <c r="S20" s="1122">
        <v>45808.056300000004</v>
      </c>
      <c r="T20" s="1122">
        <v>50328.999000000003</v>
      </c>
      <c r="U20" s="1122">
        <v>29081.303500000002</v>
      </c>
      <c r="V20" s="1122">
        <v>37561.054100000001</v>
      </c>
      <c r="W20" s="1122">
        <v>36336.222800000003</v>
      </c>
      <c r="X20" s="1122">
        <v>20313.554</v>
      </c>
      <c r="Y20" s="1122">
        <v>21214.423200000001</v>
      </c>
      <c r="Z20" s="1122">
        <v>15893.6342</v>
      </c>
      <c r="AA20" s="1122">
        <v>6289.2950000000001</v>
      </c>
      <c r="AB20" s="1122">
        <v>5501.9180999999999</v>
      </c>
      <c r="AC20" s="1122">
        <v>6704.3351000000002</v>
      </c>
      <c r="AD20" s="1134">
        <v>9295.989599999999</v>
      </c>
      <c r="AE20" s="1134">
        <f>1125.464+765.5711</f>
        <v>1891.0351000000001</v>
      </c>
      <c r="AF20" s="1134">
        <v>3681.1651999999999</v>
      </c>
      <c r="AG20" s="1134">
        <v>2195.8999000000003</v>
      </c>
      <c r="AH20" s="1134">
        <v>1378.2006000000003</v>
      </c>
      <c r="AI20" s="1122">
        <f t="shared" si="3"/>
        <v>501900.3921</v>
      </c>
      <c r="AJ20" s="751"/>
    </row>
    <row r="21" spans="1:36" x14ac:dyDescent="0.25">
      <c r="A21" s="506"/>
      <c r="B21" s="506"/>
      <c r="C21" s="506"/>
      <c r="D21" s="88" t="s">
        <v>283</v>
      </c>
      <c r="E21" s="1122">
        <v>0</v>
      </c>
      <c r="F21" s="1122">
        <v>0</v>
      </c>
      <c r="G21" s="1122">
        <v>0</v>
      </c>
      <c r="H21" s="1122">
        <v>72795.224700000006</v>
      </c>
      <c r="I21" s="1122">
        <v>59858.701500000003</v>
      </c>
      <c r="J21" s="1122">
        <v>90561.233500000002</v>
      </c>
      <c r="K21" s="1122">
        <v>4479.3342000000002</v>
      </c>
      <c r="L21" s="1122">
        <v>80763.5818</v>
      </c>
      <c r="M21" s="1122">
        <v>90684.730100000001</v>
      </c>
      <c r="N21" s="1122">
        <v>66566.853000000003</v>
      </c>
      <c r="O21" s="1122">
        <v>27770.162</v>
      </c>
      <c r="P21" s="1122">
        <v>47576.862300000001</v>
      </c>
      <c r="Q21" s="1122">
        <v>62333.529900000001</v>
      </c>
      <c r="R21" s="1122">
        <v>78450.5236</v>
      </c>
      <c r="S21" s="1122">
        <v>105341.31759999999</v>
      </c>
      <c r="T21" s="1122">
        <v>133745.84820000001</v>
      </c>
      <c r="U21" s="1122">
        <v>56827.3416</v>
      </c>
      <c r="V21" s="1122">
        <v>165249.459</v>
      </c>
      <c r="W21" s="1122">
        <v>148392.24239999999</v>
      </c>
      <c r="X21" s="1122">
        <v>36690.8171</v>
      </c>
      <c r="Y21" s="1122">
        <v>39397.140700000004</v>
      </c>
      <c r="Z21" s="1122">
        <v>59031.302100000001</v>
      </c>
      <c r="AA21" s="1122">
        <v>46916.273200000003</v>
      </c>
      <c r="AB21" s="1122">
        <v>36653.048699999999</v>
      </c>
      <c r="AC21" s="1122">
        <v>34037.186600000001</v>
      </c>
      <c r="AD21" s="1134">
        <v>16544.712800000001</v>
      </c>
      <c r="AE21" s="1134">
        <v>52966.082699999999</v>
      </c>
      <c r="AF21" s="1134">
        <v>3155.3212000000003</v>
      </c>
      <c r="AG21" s="1134">
        <v>33021.910599999996</v>
      </c>
      <c r="AH21" s="1134">
        <v>13783.623</v>
      </c>
      <c r="AI21" s="1122">
        <f t="shared" si="3"/>
        <v>1663594.3640999999</v>
      </c>
      <c r="AJ21" s="751"/>
    </row>
    <row r="22" spans="1:36" x14ac:dyDescent="0.25">
      <c r="A22" s="506"/>
      <c r="B22" s="506"/>
      <c r="C22" s="506"/>
      <c r="D22" s="88" t="s">
        <v>282</v>
      </c>
      <c r="E22" s="1122">
        <v>0</v>
      </c>
      <c r="F22" s="1122">
        <v>0</v>
      </c>
      <c r="G22" s="1122">
        <v>337.9006</v>
      </c>
      <c r="H22" s="1122">
        <v>2219.0700000000002</v>
      </c>
      <c r="I22" s="1122">
        <v>3971.95</v>
      </c>
      <c r="J22" s="1122">
        <v>8188.5702000000001</v>
      </c>
      <c r="K22" s="1122">
        <v>82.4178</v>
      </c>
      <c r="L22" s="1122">
        <v>2919.2768000000001</v>
      </c>
      <c r="M22" s="1122">
        <v>7685.1563999999998</v>
      </c>
      <c r="N22" s="1122">
        <v>28720.1378</v>
      </c>
      <c r="O22" s="1122">
        <v>14929.622300000001</v>
      </c>
      <c r="P22" s="1122">
        <v>49733.2039</v>
      </c>
      <c r="Q22" s="1122">
        <v>40167.250099999997</v>
      </c>
      <c r="R22" s="1122">
        <v>35906.142399999997</v>
      </c>
      <c r="S22" s="1122">
        <v>43837.6489</v>
      </c>
      <c r="T22" s="1122">
        <v>52879.9473</v>
      </c>
      <c r="U22" s="1122">
        <v>13036.213599999999</v>
      </c>
      <c r="V22" s="1122">
        <v>28423.027900000001</v>
      </c>
      <c r="W22" s="1122">
        <v>39394.549400000004</v>
      </c>
      <c r="X22" s="1122">
        <v>31163.548900000002</v>
      </c>
      <c r="Y22" s="1122">
        <v>20895.792799999999</v>
      </c>
      <c r="Z22" s="1122">
        <v>32118.487300000001</v>
      </c>
      <c r="AA22" s="1122">
        <v>27365.1302</v>
      </c>
      <c r="AB22" s="1122">
        <v>11845.296700000001</v>
      </c>
      <c r="AC22" s="1122">
        <v>15017.180399999999</v>
      </c>
      <c r="AD22" s="1134">
        <f>34937.8661</f>
        <v>34937.866099999999</v>
      </c>
      <c r="AE22" s="1134">
        <f>13865.7399+344.9437</f>
        <v>14210.6836</v>
      </c>
      <c r="AF22" s="1134">
        <v>0</v>
      </c>
      <c r="AG22" s="1134">
        <v>8574.6077000000005</v>
      </c>
      <c r="AH22" s="1134">
        <v>24959.132900000001</v>
      </c>
      <c r="AI22" s="1122">
        <f t="shared" si="3"/>
        <v>593519.81200000003</v>
      </c>
      <c r="AJ22" s="751"/>
    </row>
    <row r="23" spans="1:36" x14ac:dyDescent="0.25">
      <c r="A23" s="506"/>
      <c r="B23" s="506"/>
      <c r="C23" s="506"/>
      <c r="D23" s="88" t="s">
        <v>284</v>
      </c>
      <c r="E23" s="1122">
        <v>0</v>
      </c>
      <c r="F23" s="1122">
        <v>1011.5513</v>
      </c>
      <c r="G23" s="1122">
        <v>0</v>
      </c>
      <c r="H23" s="1122">
        <v>1128.1534999999999</v>
      </c>
      <c r="I23" s="1122">
        <v>66402.060899999997</v>
      </c>
      <c r="J23" s="1122">
        <v>5967.8982000000005</v>
      </c>
      <c r="K23" s="1122">
        <v>87.102999999999994</v>
      </c>
      <c r="L23" s="1122">
        <v>908.10889999999995</v>
      </c>
      <c r="M23" s="1122">
        <v>1424.6110000000001</v>
      </c>
      <c r="N23" s="1122">
        <v>7162.0074000000004</v>
      </c>
      <c r="O23" s="1122">
        <v>19592.243100000003</v>
      </c>
      <c r="P23" s="1122">
        <v>7305.1007</v>
      </c>
      <c r="Q23" s="1122">
        <v>12416.5177</v>
      </c>
      <c r="R23" s="1122">
        <v>125187.44309999999</v>
      </c>
      <c r="S23" s="1122">
        <v>212038.86840000001</v>
      </c>
      <c r="T23" s="1122">
        <v>28470.5468</v>
      </c>
      <c r="U23" s="1122">
        <v>13892.4728</v>
      </c>
      <c r="V23" s="1122">
        <v>13457.2325</v>
      </c>
      <c r="W23" s="1122">
        <v>4606.0763999999999</v>
      </c>
      <c r="X23" s="1122">
        <v>4697.9485999999997</v>
      </c>
      <c r="Y23" s="1122">
        <v>589.61009999999999</v>
      </c>
      <c r="Z23" s="1122">
        <v>28568.104800000001</v>
      </c>
      <c r="AA23" s="1122">
        <v>1052.1641</v>
      </c>
      <c r="AB23" s="1122">
        <v>674.02459999999996</v>
      </c>
      <c r="AC23" s="1122">
        <v>859.86540000000002</v>
      </c>
      <c r="AD23" s="4577">
        <v>12474.2796</v>
      </c>
      <c r="AE23" s="4577">
        <f>6567.0729+17.9742</f>
        <v>6585.0470999999998</v>
      </c>
      <c r="AF23" s="4577">
        <v>0</v>
      </c>
      <c r="AG23" s="1134">
        <v>0</v>
      </c>
      <c r="AH23" s="1134">
        <v>3469.9787999999999</v>
      </c>
      <c r="AI23" s="1122">
        <f t="shared" si="3"/>
        <v>580029.01880000008</v>
      </c>
      <c r="AJ23" s="751"/>
    </row>
    <row r="24" spans="1:36" x14ac:dyDescent="0.25">
      <c r="A24" s="506"/>
      <c r="B24" s="506"/>
      <c r="C24" s="506"/>
      <c r="D24" s="4578" t="s">
        <v>50</v>
      </c>
      <c r="E24" s="4579">
        <f>SUM(E15:E23)</f>
        <v>8678.7134000000005</v>
      </c>
      <c r="F24" s="4579">
        <f t="shared" ref="F24:AI24" si="4">SUM(F15:F23)</f>
        <v>10126.203599999999</v>
      </c>
      <c r="G24" s="4579">
        <f t="shared" si="4"/>
        <v>40675.686399999999</v>
      </c>
      <c r="H24" s="4579">
        <f t="shared" si="4"/>
        <v>102317.66140000001</v>
      </c>
      <c r="I24" s="4579">
        <f t="shared" si="4"/>
        <v>203046.32089999999</v>
      </c>
      <c r="J24" s="4579">
        <f t="shared" si="4"/>
        <v>154778.21859999999</v>
      </c>
      <c r="K24" s="4579">
        <f t="shared" si="4"/>
        <v>29684.867000000002</v>
      </c>
      <c r="L24" s="4579">
        <f t="shared" si="4"/>
        <v>137334.6862</v>
      </c>
      <c r="M24" s="4579">
        <f t="shared" si="4"/>
        <v>199606.99969999999</v>
      </c>
      <c r="N24" s="4579">
        <f t="shared" si="4"/>
        <v>248849.57610000001</v>
      </c>
      <c r="O24" s="4579">
        <f t="shared" si="4"/>
        <v>180009.71759999997</v>
      </c>
      <c r="P24" s="4579">
        <f t="shared" si="4"/>
        <v>214776.78339999999</v>
      </c>
      <c r="Q24" s="4579">
        <f t="shared" si="4"/>
        <v>225169.91790000003</v>
      </c>
      <c r="R24" s="4579">
        <f t="shared" si="4"/>
        <v>357239.37109999999</v>
      </c>
      <c r="S24" s="4579">
        <f t="shared" si="4"/>
        <v>511992.64630000002</v>
      </c>
      <c r="T24" s="4579">
        <f t="shared" si="4"/>
        <v>470811.86200000002</v>
      </c>
      <c r="U24" s="4579">
        <f t="shared" si="4"/>
        <v>242511.01019999999</v>
      </c>
      <c r="V24" s="4579">
        <f t="shared" si="4"/>
        <v>331855.94149999996</v>
      </c>
      <c r="W24" s="4579">
        <f>SUM(W15:W23)</f>
        <v>393829.02010000002</v>
      </c>
      <c r="X24" s="4579">
        <f t="shared" si="4"/>
        <v>158223.6048</v>
      </c>
      <c r="Y24" s="4579">
        <f t="shared" si="4"/>
        <v>153585.72070000001</v>
      </c>
      <c r="Z24" s="4579">
        <f t="shared" si="4"/>
        <v>210395.80410000001</v>
      </c>
      <c r="AA24" s="4579">
        <f t="shared" si="4"/>
        <v>140670.32939999999</v>
      </c>
      <c r="AB24" s="4579">
        <f t="shared" si="4"/>
        <v>95215.733100000012</v>
      </c>
      <c r="AC24" s="4579">
        <f t="shared" si="4"/>
        <v>92032.35149999999</v>
      </c>
      <c r="AD24" s="4579">
        <f t="shared" si="4"/>
        <v>91064.605399999986</v>
      </c>
      <c r="AE24" s="4580">
        <f t="shared" si="4"/>
        <v>98086.56</v>
      </c>
      <c r="AF24" s="4580">
        <f t="shared" si="4"/>
        <v>29866.8151</v>
      </c>
      <c r="AG24" s="4580">
        <f t="shared" si="4"/>
        <v>59374.105599999995</v>
      </c>
      <c r="AH24" s="4580">
        <f t="shared" si="4"/>
        <v>53658.570099999997</v>
      </c>
      <c r="AI24" s="4579">
        <f t="shared" si="4"/>
        <v>5245469.4031999996</v>
      </c>
      <c r="AJ24" s="751"/>
    </row>
    <row r="25" spans="1:36" x14ac:dyDescent="0.25">
      <c r="A25" s="506"/>
      <c r="B25" s="506"/>
      <c r="C25" s="506"/>
      <c r="D25" s="131"/>
      <c r="E25" s="1122"/>
      <c r="F25" s="1122"/>
      <c r="G25" s="1122"/>
      <c r="H25" s="1122"/>
      <c r="I25" s="1122"/>
      <c r="J25" s="1122"/>
      <c r="K25" s="1122"/>
      <c r="L25" s="1122"/>
      <c r="M25" s="1122"/>
      <c r="N25" s="1122"/>
      <c r="O25" s="1122"/>
      <c r="P25" s="1122"/>
      <c r="Q25" s="1122"/>
      <c r="R25" s="1122"/>
      <c r="S25" s="1122"/>
      <c r="T25" s="1122"/>
      <c r="U25" s="1122"/>
      <c r="V25" s="1122"/>
      <c r="W25" s="1122"/>
      <c r="X25" s="1122"/>
      <c r="Y25" s="1122"/>
      <c r="Z25" s="1122"/>
      <c r="AA25" s="1122"/>
      <c r="AB25" s="751"/>
      <c r="AC25" s="751"/>
      <c r="AD25" s="751"/>
      <c r="AE25" s="751"/>
      <c r="AF25" s="751"/>
      <c r="AG25" s="751"/>
      <c r="AH25" s="751"/>
    </row>
    <row r="26" spans="1:36" x14ac:dyDescent="0.25">
      <c r="A26" s="506"/>
      <c r="B26" s="506"/>
      <c r="C26" s="506"/>
      <c r="D26" s="131"/>
      <c r="E26" s="1136"/>
      <c r="F26" s="1136"/>
      <c r="G26" s="1136"/>
      <c r="H26" s="1136"/>
      <c r="I26" s="1136"/>
      <c r="J26" s="1136"/>
      <c r="K26" s="1136"/>
      <c r="L26" s="1136"/>
      <c r="M26" s="1136"/>
      <c r="N26" s="1136"/>
      <c r="O26" s="1136"/>
      <c r="P26" s="1136"/>
      <c r="Q26" s="1136"/>
      <c r="R26" s="1136"/>
      <c r="S26" s="1136"/>
      <c r="T26" s="1136"/>
      <c r="U26" s="1136"/>
      <c r="V26" s="1136"/>
      <c r="W26" s="1136"/>
      <c r="X26" s="1136"/>
      <c r="Y26" s="1136"/>
      <c r="Z26" s="751"/>
      <c r="AA26" s="751"/>
      <c r="AB26" s="751"/>
      <c r="AC26" s="751"/>
      <c r="AD26" s="751"/>
      <c r="AE26" s="751"/>
      <c r="AF26" s="751"/>
      <c r="AG26" s="751"/>
      <c r="AH26" s="751"/>
    </row>
    <row r="27" spans="1:36" x14ac:dyDescent="0.25">
      <c r="A27" s="506"/>
      <c r="B27" s="506"/>
      <c r="C27" s="506"/>
      <c r="D27" s="131"/>
      <c r="E27" s="1136"/>
      <c r="F27" s="1136"/>
      <c r="G27" s="1136"/>
      <c r="H27" s="1136"/>
      <c r="I27" s="1136"/>
      <c r="J27" s="1136"/>
      <c r="K27" s="1136"/>
      <c r="L27" s="1136"/>
      <c r="M27" s="1136"/>
      <c r="N27" s="1136"/>
      <c r="O27" s="1136"/>
      <c r="P27" s="1136"/>
      <c r="Q27" s="1136"/>
      <c r="R27" s="1136"/>
      <c r="S27" s="1136"/>
      <c r="T27" s="1136"/>
      <c r="U27" s="1136"/>
      <c r="V27" s="1136"/>
      <c r="W27" s="1136"/>
      <c r="X27" s="1136"/>
      <c r="Y27" s="1136"/>
      <c r="Z27" s="751"/>
      <c r="AA27" s="751"/>
      <c r="AB27" s="751"/>
      <c r="AC27" s="751"/>
      <c r="AD27" s="751"/>
      <c r="AE27" s="751"/>
      <c r="AF27" s="751"/>
      <c r="AG27" s="751"/>
      <c r="AH27" s="751"/>
    </row>
    <row r="28" spans="1:36" x14ac:dyDescent="0.25">
      <c r="A28" s="506"/>
      <c r="B28" s="506"/>
      <c r="C28" s="506"/>
      <c r="D28" s="131"/>
      <c r="E28" s="1136"/>
      <c r="F28" s="1136"/>
      <c r="G28" s="1136"/>
      <c r="H28" s="1136"/>
      <c r="I28" s="1136"/>
      <c r="J28" s="1136"/>
      <c r="K28" s="1136"/>
      <c r="L28" s="1136"/>
      <c r="M28" s="1136"/>
      <c r="N28" s="1136"/>
      <c r="O28" s="1136"/>
      <c r="P28" s="1136"/>
      <c r="Q28" s="1136"/>
      <c r="R28" s="1136"/>
      <c r="S28" s="1136"/>
      <c r="T28" s="1136"/>
      <c r="U28" s="1136"/>
      <c r="V28" s="1136"/>
      <c r="W28" s="1136"/>
      <c r="X28" s="1136"/>
      <c r="Y28" s="1136"/>
      <c r="Z28" s="751"/>
      <c r="AA28" s="751"/>
      <c r="AB28" s="751"/>
      <c r="AC28" s="751"/>
      <c r="AD28" s="751"/>
      <c r="AE28" s="751"/>
      <c r="AF28" s="751"/>
      <c r="AG28" s="751"/>
      <c r="AH28" s="751"/>
    </row>
    <row r="29" spans="1:36" x14ac:dyDescent="0.25">
      <c r="A29" s="506"/>
      <c r="B29" s="506"/>
      <c r="C29" s="506"/>
      <c r="D29" s="131"/>
      <c r="E29" s="1136"/>
      <c r="F29" s="1136"/>
      <c r="G29" s="1136"/>
      <c r="H29" s="1136"/>
      <c r="I29" s="1136"/>
      <c r="J29" s="1136"/>
      <c r="K29" s="1136"/>
      <c r="L29" s="1136"/>
      <c r="M29" s="1136"/>
      <c r="N29" s="1136"/>
      <c r="O29" s="1136"/>
      <c r="P29" s="1136"/>
      <c r="Q29" s="1136"/>
      <c r="R29" s="1136"/>
      <c r="S29" s="1136"/>
      <c r="T29" s="1136"/>
      <c r="U29" s="1136"/>
      <c r="V29" s="1136"/>
      <c r="W29" s="1136"/>
      <c r="X29" s="1136"/>
      <c r="Y29" s="1136"/>
      <c r="Z29" s="751"/>
      <c r="AA29" s="751"/>
      <c r="AB29" s="751"/>
      <c r="AC29" s="751"/>
      <c r="AD29" s="751"/>
      <c r="AE29" s="751"/>
      <c r="AF29" s="751"/>
      <c r="AG29" s="751"/>
      <c r="AH29" s="751"/>
    </row>
    <row r="30" spans="1:36" x14ac:dyDescent="0.25">
      <c r="A30" s="506"/>
      <c r="B30" s="506"/>
      <c r="C30" s="506"/>
      <c r="D30" s="131"/>
      <c r="E30" s="1136"/>
      <c r="F30" s="1136"/>
      <c r="G30" s="1136"/>
      <c r="H30" s="1136"/>
      <c r="I30" s="1136"/>
      <c r="J30" s="1136"/>
      <c r="K30" s="1136"/>
      <c r="L30" s="1136"/>
      <c r="M30" s="1136"/>
      <c r="N30" s="1136"/>
      <c r="O30" s="1136"/>
      <c r="P30" s="1136"/>
      <c r="Q30" s="1136"/>
      <c r="R30" s="1136"/>
      <c r="S30" s="1136"/>
      <c r="T30" s="1136"/>
      <c r="U30" s="1136"/>
      <c r="V30" s="1136"/>
      <c r="W30" s="1136"/>
      <c r="X30" s="1136"/>
      <c r="Y30" s="1136"/>
      <c r="Z30" s="751"/>
      <c r="AA30" s="751"/>
      <c r="AB30" s="751"/>
      <c r="AC30" s="751"/>
      <c r="AD30" s="751"/>
      <c r="AE30" s="751"/>
      <c r="AF30" s="751"/>
      <c r="AG30" s="751"/>
      <c r="AH30" s="751"/>
    </row>
    <row r="31" spans="1:36" x14ac:dyDescent="0.25">
      <c r="A31" s="506"/>
      <c r="B31" s="506"/>
      <c r="C31" s="506"/>
      <c r="D31" s="131"/>
      <c r="E31" s="1136"/>
      <c r="F31" s="1136"/>
      <c r="G31" s="1136"/>
      <c r="H31" s="1136"/>
      <c r="I31" s="1136"/>
      <c r="J31" s="1136"/>
      <c r="K31" s="1136"/>
      <c r="L31" s="1136"/>
      <c r="M31" s="1136"/>
      <c r="N31" s="1136"/>
      <c r="O31" s="1136"/>
      <c r="P31" s="1136"/>
      <c r="Q31" s="1136"/>
      <c r="R31" s="1136"/>
      <c r="S31" s="1136"/>
      <c r="T31" s="1136"/>
      <c r="U31" s="1136"/>
      <c r="V31" s="1136"/>
      <c r="W31" s="1136"/>
      <c r="X31" s="1136"/>
      <c r="Y31" s="1136"/>
      <c r="Z31" s="751"/>
      <c r="AA31" s="751"/>
      <c r="AB31" s="751"/>
      <c r="AC31" s="751"/>
      <c r="AD31" s="751"/>
      <c r="AE31" s="751"/>
      <c r="AF31" s="751"/>
      <c r="AG31" s="751"/>
      <c r="AH31" s="751"/>
    </row>
    <row r="32" spans="1:36" x14ac:dyDescent="0.25">
      <c r="A32" s="506"/>
      <c r="B32" s="506"/>
      <c r="C32" s="506"/>
      <c r="D32" s="131"/>
      <c r="E32" s="1136"/>
      <c r="F32" s="1136"/>
      <c r="G32" s="1136"/>
      <c r="H32" s="1136"/>
      <c r="I32" s="1136"/>
      <c r="J32" s="1136"/>
      <c r="K32" s="1136"/>
      <c r="L32" s="1136"/>
      <c r="M32" s="1136"/>
      <c r="N32" s="1136"/>
      <c r="O32" s="1136"/>
      <c r="P32" s="1136"/>
      <c r="Q32" s="1136"/>
      <c r="R32" s="1136"/>
      <c r="S32" s="1136"/>
      <c r="T32" s="1136"/>
      <c r="U32" s="1136"/>
      <c r="V32" s="1136"/>
      <c r="W32" s="1136"/>
      <c r="X32" s="1136"/>
      <c r="Y32" s="1136"/>
      <c r="Z32" s="751"/>
      <c r="AA32" s="751"/>
      <c r="AB32" s="751"/>
      <c r="AC32" s="751"/>
      <c r="AD32" s="751"/>
      <c r="AE32" s="751"/>
      <c r="AF32" s="751"/>
      <c r="AG32" s="751"/>
      <c r="AH32" s="751"/>
    </row>
    <row r="33" spans="1:34" x14ac:dyDescent="0.25">
      <c r="A33" s="506"/>
      <c r="B33" s="506"/>
      <c r="C33" s="506"/>
      <c r="D33" s="131"/>
      <c r="E33" s="1136"/>
      <c r="F33" s="1136"/>
      <c r="G33" s="1136"/>
      <c r="H33" s="1136"/>
      <c r="I33" s="1136"/>
      <c r="J33" s="1136"/>
      <c r="K33" s="1136"/>
      <c r="L33" s="1136"/>
      <c r="M33" s="1136"/>
      <c r="N33" s="1136"/>
      <c r="O33" s="1136"/>
      <c r="P33" s="1136"/>
      <c r="Q33" s="1136"/>
      <c r="R33" s="1136"/>
      <c r="S33" s="1136"/>
      <c r="T33" s="1136"/>
      <c r="U33" s="1136"/>
      <c r="V33" s="1136"/>
      <c r="W33" s="1136"/>
      <c r="X33" s="1136"/>
      <c r="Y33" s="1136"/>
      <c r="Z33" s="751"/>
      <c r="AA33" s="751"/>
      <c r="AB33" s="751"/>
      <c r="AC33" s="751"/>
      <c r="AD33" s="751"/>
      <c r="AE33" s="751"/>
      <c r="AF33" s="751"/>
      <c r="AG33" s="751"/>
      <c r="AH33" s="751"/>
    </row>
    <row r="34" spans="1:34" x14ac:dyDescent="0.25">
      <c r="A34" s="506"/>
      <c r="B34" s="506"/>
      <c r="C34" s="506"/>
      <c r="D34" s="751"/>
      <c r="E34" s="1136"/>
      <c r="F34" s="1136"/>
      <c r="G34" s="1136"/>
      <c r="H34" s="1136"/>
      <c r="I34" s="1136"/>
      <c r="J34" s="1136"/>
      <c r="K34" s="1136"/>
      <c r="L34" s="1136"/>
      <c r="M34" s="1136"/>
      <c r="N34" s="1136"/>
      <c r="O34" s="1136"/>
      <c r="P34" s="1136"/>
      <c r="Q34" s="1136"/>
      <c r="R34" s="1136"/>
      <c r="S34" s="1136"/>
      <c r="T34" s="1136"/>
      <c r="U34" s="1136"/>
      <c r="V34" s="1136"/>
      <c r="W34" s="1136"/>
      <c r="X34" s="1136"/>
      <c r="Y34" s="1136"/>
      <c r="Z34" s="751"/>
      <c r="AA34" s="751"/>
      <c r="AB34" s="751"/>
      <c r="AC34" s="751"/>
      <c r="AD34" s="751"/>
      <c r="AE34" s="751"/>
      <c r="AF34" s="751"/>
      <c r="AG34" s="751"/>
      <c r="AH34" s="751"/>
    </row>
    <row r="35" spans="1:34" x14ac:dyDescent="0.25">
      <c r="A35" s="506"/>
      <c r="B35" s="506"/>
      <c r="C35" s="506"/>
      <c r="D35" s="131"/>
      <c r="E35" s="1136"/>
      <c r="F35" s="1136"/>
      <c r="G35" s="1136"/>
      <c r="H35" s="1136"/>
      <c r="I35" s="1136"/>
      <c r="J35" s="1136"/>
      <c r="K35" s="1136"/>
      <c r="L35" s="1136"/>
      <c r="M35" s="1136"/>
      <c r="N35" s="1136"/>
      <c r="O35" s="1136"/>
      <c r="P35" s="1136"/>
      <c r="Q35" s="1136"/>
      <c r="R35" s="1136"/>
      <c r="S35" s="1136"/>
      <c r="T35" s="1136"/>
      <c r="U35" s="1136"/>
      <c r="V35" s="1136"/>
      <c r="W35" s="1136"/>
      <c r="X35" s="1136"/>
      <c r="Y35" s="1136"/>
      <c r="Z35" s="751"/>
      <c r="AA35" s="751"/>
      <c r="AB35" s="751"/>
      <c r="AC35" s="751"/>
      <c r="AD35" s="751"/>
      <c r="AE35" s="751"/>
      <c r="AF35" s="751"/>
      <c r="AG35" s="751"/>
      <c r="AH35" s="751"/>
    </row>
    <row r="36" spans="1:34" x14ac:dyDescent="0.25">
      <c r="A36" s="506"/>
      <c r="B36" s="506"/>
      <c r="C36" s="506"/>
      <c r="D36" s="131"/>
      <c r="E36" s="1136"/>
      <c r="F36" s="1136"/>
      <c r="G36" s="1136"/>
      <c r="H36" s="1136"/>
      <c r="I36" s="1136"/>
      <c r="J36" s="1136"/>
      <c r="K36" s="1136"/>
      <c r="L36" s="1136"/>
      <c r="M36" s="1136"/>
      <c r="N36" s="1136"/>
      <c r="O36" s="1136"/>
      <c r="P36" s="1136"/>
      <c r="Q36" s="1136"/>
      <c r="R36" s="1136"/>
      <c r="S36" s="1136"/>
      <c r="T36" s="1136"/>
      <c r="U36" s="1136"/>
      <c r="V36" s="1136"/>
      <c r="W36" s="1136"/>
      <c r="X36" s="1136"/>
      <c r="Y36" s="1136"/>
      <c r="Z36" s="751"/>
      <c r="AA36" s="751"/>
      <c r="AB36" s="751"/>
      <c r="AC36" s="751"/>
      <c r="AD36" s="751"/>
      <c r="AE36" s="751"/>
      <c r="AF36" s="751"/>
      <c r="AG36" s="751"/>
      <c r="AH36" s="751"/>
    </row>
    <row r="37" spans="1:34" x14ac:dyDescent="0.25">
      <c r="A37" s="506"/>
      <c r="B37" s="506"/>
      <c r="C37" s="506"/>
      <c r="D37" s="131"/>
      <c r="E37" s="1136"/>
      <c r="F37" s="1136"/>
      <c r="G37" s="1136"/>
      <c r="H37" s="1136"/>
      <c r="I37" s="1136"/>
      <c r="J37" s="1136"/>
      <c r="K37" s="1136"/>
      <c r="L37" s="1136"/>
      <c r="M37" s="1136"/>
      <c r="N37" s="1136"/>
      <c r="O37" s="1136"/>
      <c r="P37" s="1136"/>
      <c r="Q37" s="1136"/>
      <c r="R37" s="1136"/>
      <c r="S37" s="1136"/>
      <c r="T37" s="1136"/>
      <c r="U37" s="1136"/>
      <c r="V37" s="1136"/>
      <c r="W37" s="1136"/>
      <c r="X37" s="1136"/>
      <c r="Y37" s="1136"/>
      <c r="Z37" s="751"/>
      <c r="AA37" s="751"/>
      <c r="AB37" s="751"/>
      <c r="AC37" s="751"/>
      <c r="AD37" s="751"/>
      <c r="AE37" s="751"/>
      <c r="AF37" s="751"/>
      <c r="AG37" s="751"/>
      <c r="AH37" s="751"/>
    </row>
    <row r="38" spans="1:34" x14ac:dyDescent="0.25">
      <c r="A38" s="506"/>
      <c r="B38" s="506"/>
      <c r="C38" s="506"/>
      <c r="D38" s="131"/>
      <c r="E38" s="1136"/>
      <c r="F38" s="1136"/>
      <c r="G38" s="1136"/>
      <c r="H38" s="1136"/>
      <c r="I38" s="1136"/>
      <c r="J38" s="1136"/>
      <c r="K38" s="1136"/>
      <c r="L38" s="1136"/>
      <c r="M38" s="1136"/>
      <c r="N38" s="1136"/>
      <c r="O38" s="1136"/>
      <c r="P38" s="1136"/>
      <c r="Q38" s="1136"/>
      <c r="R38" s="1136"/>
      <c r="S38" s="1136"/>
      <c r="T38" s="1136"/>
      <c r="U38" s="1136"/>
      <c r="V38" s="1136"/>
      <c r="W38" s="1136"/>
      <c r="X38" s="1136"/>
      <c r="Y38" s="1136"/>
      <c r="Z38" s="751"/>
      <c r="AA38" s="751"/>
      <c r="AB38" s="751"/>
      <c r="AC38" s="751"/>
      <c r="AD38" s="751"/>
      <c r="AE38" s="751"/>
      <c r="AF38" s="751"/>
      <c r="AG38" s="751"/>
      <c r="AH38" s="751"/>
    </row>
    <row r="39" spans="1:34" x14ac:dyDescent="0.25">
      <c r="A39" s="506"/>
      <c r="B39" s="506"/>
      <c r="C39" s="506"/>
      <c r="D39" s="131"/>
      <c r="E39" s="1136"/>
      <c r="F39" s="1136"/>
      <c r="G39" s="1136"/>
      <c r="H39" s="1136"/>
      <c r="I39" s="1136"/>
      <c r="J39" s="1136"/>
      <c r="K39" s="1136"/>
      <c r="L39" s="1136"/>
      <c r="M39" s="1136"/>
      <c r="N39" s="1136"/>
      <c r="O39" s="1136"/>
      <c r="P39" s="1136"/>
      <c r="Q39" s="1136"/>
      <c r="R39" s="1136"/>
      <c r="S39" s="1136"/>
      <c r="T39" s="1136"/>
      <c r="U39" s="1136"/>
      <c r="V39" s="1136"/>
      <c r="W39" s="1136"/>
      <c r="X39" s="1136"/>
      <c r="Y39" s="1136"/>
      <c r="Z39" s="751"/>
      <c r="AA39" s="751"/>
      <c r="AB39" s="751"/>
      <c r="AC39" s="751"/>
      <c r="AD39" s="751"/>
      <c r="AE39" s="751"/>
      <c r="AF39" s="751"/>
      <c r="AG39" s="751"/>
      <c r="AH39" s="751"/>
    </row>
    <row r="40" spans="1:34" x14ac:dyDescent="0.25">
      <c r="A40" s="506"/>
      <c r="B40" s="506"/>
      <c r="C40" s="506"/>
      <c r="D40" s="131"/>
      <c r="E40" s="1136"/>
      <c r="F40" s="1136"/>
      <c r="G40" s="1136"/>
      <c r="H40" s="1136"/>
      <c r="I40" s="1136"/>
      <c r="J40" s="1136"/>
      <c r="K40" s="1136"/>
      <c r="L40" s="1136"/>
      <c r="M40" s="1136"/>
      <c r="N40" s="1136"/>
      <c r="O40" s="1136"/>
      <c r="P40" s="1136"/>
      <c r="Q40" s="1136"/>
      <c r="R40" s="1136"/>
      <c r="S40" s="1136"/>
      <c r="T40" s="1136"/>
      <c r="U40" s="1136"/>
      <c r="V40" s="1136"/>
      <c r="W40" s="1136"/>
      <c r="X40" s="1136"/>
      <c r="Y40" s="1136"/>
      <c r="Z40" s="751"/>
      <c r="AA40" s="751"/>
      <c r="AB40" s="751"/>
      <c r="AC40" s="751"/>
      <c r="AD40" s="751"/>
      <c r="AE40" s="751"/>
      <c r="AF40" s="751"/>
      <c r="AG40" s="751"/>
      <c r="AH40" s="751"/>
    </row>
    <row r="41" spans="1:34" x14ac:dyDescent="0.25">
      <c r="A41" s="506"/>
      <c r="B41" s="506"/>
      <c r="C41" s="506"/>
      <c r="D41" s="131"/>
      <c r="E41" s="1136"/>
      <c r="F41" s="1136"/>
      <c r="G41" s="1136"/>
      <c r="H41" s="1136"/>
      <c r="I41" s="1136"/>
      <c r="J41" s="1136"/>
      <c r="K41" s="1136"/>
      <c r="L41" s="1136"/>
      <c r="M41" s="1136"/>
      <c r="N41" s="1136"/>
      <c r="O41" s="1136"/>
      <c r="P41" s="1136"/>
      <c r="Q41" s="1136"/>
      <c r="R41" s="1136"/>
      <c r="S41" s="1136"/>
      <c r="T41" s="1136"/>
      <c r="U41" s="1136"/>
      <c r="V41" s="1136"/>
      <c r="W41" s="1136"/>
      <c r="X41" s="1136"/>
      <c r="Y41" s="1136"/>
      <c r="Z41" s="751"/>
      <c r="AA41" s="751"/>
      <c r="AB41" s="751"/>
      <c r="AC41" s="751"/>
      <c r="AD41" s="751"/>
      <c r="AE41" s="751"/>
      <c r="AF41" s="751"/>
      <c r="AG41" s="751"/>
      <c r="AH41" s="751"/>
    </row>
    <row r="42" spans="1:34" x14ac:dyDescent="0.25">
      <c r="A42" s="506"/>
      <c r="B42" s="506"/>
      <c r="C42" s="506"/>
      <c r="D42" s="508"/>
      <c r="E42" s="508"/>
      <c r="F42" s="508"/>
      <c r="G42" s="508"/>
      <c r="H42" s="508"/>
      <c r="I42" s="508"/>
      <c r="J42" s="508"/>
      <c r="K42" s="508"/>
      <c r="L42" s="508"/>
      <c r="M42" s="508"/>
      <c r="N42" s="508"/>
      <c r="O42" s="508"/>
      <c r="P42" s="508"/>
      <c r="Q42" s="508"/>
      <c r="R42" s="508"/>
      <c r="S42" s="751"/>
      <c r="T42" s="751"/>
      <c r="U42" s="751"/>
      <c r="V42" s="751"/>
      <c r="W42" s="751"/>
      <c r="X42" s="751"/>
      <c r="Y42" s="751"/>
      <c r="Z42" s="751"/>
      <c r="AA42" s="751"/>
      <c r="AB42" s="751"/>
      <c r="AC42" s="751"/>
      <c r="AD42" s="751"/>
      <c r="AE42" s="751"/>
      <c r="AF42" s="751"/>
      <c r="AG42" s="751"/>
      <c r="AH42" s="751"/>
    </row>
    <row r="43" spans="1:34" x14ac:dyDescent="0.25">
      <c r="A43" s="509">
        <v>6</v>
      </c>
      <c r="B43" s="509" t="s">
        <v>52</v>
      </c>
      <c r="C43" s="509"/>
      <c r="D43" s="4797" t="s">
        <v>930</v>
      </c>
      <c r="E43" s="4798"/>
      <c r="F43" s="4798"/>
      <c r="G43" s="4798"/>
      <c r="H43" s="4798"/>
      <c r="I43" s="4798"/>
      <c r="J43" s="4798"/>
      <c r="K43" s="4798"/>
      <c r="L43" s="4798"/>
      <c r="M43" s="4798"/>
      <c r="N43" s="4798"/>
      <c r="O43" s="4798"/>
      <c r="P43" s="4798"/>
      <c r="Q43" s="4798"/>
      <c r="R43" s="4798"/>
      <c r="S43" s="4798"/>
      <c r="T43" s="4798"/>
      <c r="U43" s="4798"/>
      <c r="V43" s="4798"/>
      <c r="W43" s="4798"/>
      <c r="X43" s="4798"/>
      <c r="Y43" s="4798"/>
      <c r="Z43" s="4799"/>
      <c r="AA43" s="344"/>
      <c r="AB43" s="751"/>
      <c r="AC43" s="751"/>
      <c r="AD43" s="751"/>
      <c r="AE43" s="751"/>
      <c r="AF43" s="751"/>
      <c r="AG43" s="751"/>
      <c r="AH43" s="751"/>
    </row>
    <row r="44" spans="1:34" x14ac:dyDescent="0.25">
      <c r="A44" s="546">
        <v>7</v>
      </c>
      <c r="B44" s="509" t="s">
        <v>54</v>
      </c>
      <c r="C44" s="546"/>
      <c r="D44" s="4789" t="s">
        <v>931</v>
      </c>
      <c r="E44" s="4790"/>
      <c r="F44" s="4790"/>
      <c r="G44" s="4790"/>
      <c r="H44" s="4790"/>
      <c r="I44" s="4790"/>
      <c r="J44" s="4790"/>
      <c r="K44" s="4790"/>
      <c r="L44" s="4790"/>
      <c r="M44" s="4790"/>
      <c r="N44" s="4790"/>
      <c r="O44" s="4790"/>
      <c r="P44" s="4790"/>
      <c r="Q44" s="4790"/>
      <c r="R44" s="4790"/>
      <c r="S44" s="4790"/>
      <c r="T44" s="4790"/>
      <c r="U44" s="4790"/>
      <c r="V44" s="4790"/>
      <c r="W44" s="4790"/>
      <c r="X44" s="4790"/>
      <c r="Y44" s="4790"/>
      <c r="Z44" s="4791"/>
      <c r="AA44" s="344"/>
      <c r="AB44" s="751"/>
      <c r="AC44" s="751"/>
      <c r="AD44" s="751"/>
      <c r="AE44" s="751"/>
      <c r="AF44" s="751"/>
      <c r="AG44" s="751"/>
      <c r="AH44" s="751"/>
    </row>
    <row r="45" spans="1:34" x14ac:dyDescent="0.25">
      <c r="A45" s="509">
        <v>8</v>
      </c>
      <c r="B45" s="509" t="s">
        <v>56</v>
      </c>
      <c r="C45" s="509"/>
      <c r="D45" s="4786" t="s">
        <v>932</v>
      </c>
      <c r="E45" s="4787"/>
      <c r="F45" s="4787"/>
      <c r="G45" s="4787"/>
      <c r="H45" s="4787"/>
      <c r="I45" s="4787"/>
      <c r="J45" s="4787"/>
      <c r="K45" s="4787"/>
      <c r="L45" s="4787"/>
      <c r="M45" s="4787"/>
      <c r="N45" s="4787"/>
      <c r="O45" s="4787"/>
      <c r="P45" s="4787"/>
      <c r="Q45" s="4787"/>
      <c r="R45" s="4787"/>
      <c r="S45" s="4787"/>
      <c r="T45" s="4787"/>
      <c r="U45" s="4787"/>
      <c r="V45" s="4787"/>
      <c r="W45" s="4787"/>
      <c r="X45" s="4787"/>
      <c r="Y45" s="4787"/>
      <c r="Z45" s="4788"/>
      <c r="AA45" s="344"/>
      <c r="AB45" s="751"/>
      <c r="AC45" s="751"/>
      <c r="AD45" s="751"/>
      <c r="AE45" s="751"/>
      <c r="AF45" s="751"/>
      <c r="AG45" s="751"/>
      <c r="AH45" s="751"/>
    </row>
    <row r="46" spans="1:34" ht="30" customHeight="1" x14ac:dyDescent="0.25">
      <c r="A46" s="546">
        <v>9</v>
      </c>
      <c r="B46" s="509" t="s">
        <v>355</v>
      </c>
      <c r="C46" s="546"/>
      <c r="D46" s="4789" t="s">
        <v>2251</v>
      </c>
      <c r="E46" s="4790"/>
      <c r="F46" s="4790"/>
      <c r="G46" s="4790"/>
      <c r="H46" s="4790"/>
      <c r="I46" s="4790"/>
      <c r="J46" s="4790"/>
      <c r="K46" s="4790"/>
      <c r="L46" s="4790"/>
      <c r="M46" s="4790"/>
      <c r="N46" s="4790"/>
      <c r="O46" s="4790"/>
      <c r="P46" s="4790"/>
      <c r="Q46" s="4790"/>
      <c r="R46" s="4790"/>
      <c r="S46" s="4790"/>
      <c r="T46" s="4790"/>
      <c r="U46" s="4790"/>
      <c r="V46" s="4790"/>
      <c r="W46" s="4790"/>
      <c r="X46" s="4790"/>
      <c r="Y46" s="4790"/>
      <c r="Z46" s="4791"/>
      <c r="AA46" s="344"/>
      <c r="AB46" s="751"/>
      <c r="AC46" s="751"/>
      <c r="AD46" s="751"/>
      <c r="AE46" s="751"/>
      <c r="AF46" s="751"/>
      <c r="AG46" s="751"/>
      <c r="AH46" s="751"/>
    </row>
    <row r="47" spans="1:34" ht="36" customHeight="1" x14ac:dyDescent="0.25">
      <c r="D47" s="4792" t="s">
        <v>2252</v>
      </c>
      <c r="E47" s="4793"/>
      <c r="F47" s="4793"/>
      <c r="G47" s="4793"/>
      <c r="H47" s="4793"/>
      <c r="I47" s="4793"/>
      <c r="J47" s="4793"/>
      <c r="K47" s="4793"/>
      <c r="L47" s="4793"/>
      <c r="M47" s="4793"/>
      <c r="N47" s="4793"/>
      <c r="O47" s="4793"/>
      <c r="P47" s="4793"/>
      <c r="Q47" s="4793"/>
      <c r="R47" s="4793"/>
      <c r="S47" s="4793"/>
      <c r="T47" s="4793"/>
      <c r="U47" s="4793"/>
      <c r="V47" s="4793"/>
      <c r="AA47" s="344"/>
      <c r="AB47" s="751"/>
      <c r="AC47" s="751"/>
      <c r="AD47" s="751"/>
      <c r="AE47" s="751"/>
      <c r="AF47" s="751"/>
      <c r="AG47" s="751"/>
      <c r="AH47" s="751"/>
    </row>
    <row r="48" spans="1:34" x14ac:dyDescent="0.25">
      <c r="A48" s="1119"/>
      <c r="B48" s="1119"/>
      <c r="C48" s="1119"/>
      <c r="D48" s="751"/>
      <c r="E48" s="751"/>
      <c r="F48" s="751"/>
      <c r="G48" s="751"/>
      <c r="H48" s="751"/>
      <c r="I48" s="751"/>
      <c r="J48" s="751"/>
      <c r="K48" s="751"/>
      <c r="L48" s="751"/>
      <c r="M48" s="751"/>
      <c r="N48" s="751"/>
      <c r="O48" s="751"/>
      <c r="P48" s="751"/>
      <c r="Q48" s="751"/>
      <c r="R48" s="751"/>
      <c r="S48" s="751"/>
      <c r="T48" s="751"/>
      <c r="U48" s="751"/>
      <c r="V48" s="751"/>
      <c r="W48" s="751"/>
      <c r="X48" s="751"/>
      <c r="Y48" s="751"/>
      <c r="Z48" s="751"/>
      <c r="AA48" s="751"/>
      <c r="AB48" s="751"/>
      <c r="AC48" s="751"/>
      <c r="AD48" s="751"/>
      <c r="AE48" s="751"/>
      <c r="AF48" s="751"/>
      <c r="AG48" s="751"/>
      <c r="AH48" s="751"/>
    </row>
    <row r="49" spans="1:34" x14ac:dyDescent="0.25">
      <c r="A49" s="1119"/>
      <c r="B49" s="1119"/>
      <c r="C49" s="1119"/>
      <c r="E49" s="751"/>
      <c r="F49" s="751"/>
      <c r="G49" s="751"/>
      <c r="H49" s="751"/>
      <c r="I49" s="751"/>
      <c r="J49" s="751"/>
      <c r="K49" s="751"/>
      <c r="L49" s="751"/>
      <c r="M49" s="751"/>
      <c r="N49" s="751"/>
      <c r="O49" s="751"/>
      <c r="P49" s="751"/>
      <c r="Q49" s="751"/>
      <c r="R49" s="751"/>
      <c r="S49" s="751"/>
      <c r="T49" s="751"/>
      <c r="U49" s="751"/>
      <c r="V49" s="751"/>
      <c r="W49" s="751"/>
      <c r="X49" s="751"/>
      <c r="Y49" s="751"/>
      <c r="Z49" s="751"/>
      <c r="AA49" s="751"/>
      <c r="AB49" s="751"/>
      <c r="AC49" s="751"/>
      <c r="AD49" s="751"/>
      <c r="AE49" s="751"/>
      <c r="AF49" s="751"/>
      <c r="AG49" s="751"/>
      <c r="AH49" s="751"/>
    </row>
    <row r="50" spans="1:34" x14ac:dyDescent="0.25">
      <c r="A50" s="1119"/>
      <c r="B50" s="1119"/>
      <c r="C50" s="1119"/>
      <c r="D50" s="751"/>
      <c r="E50" s="751"/>
      <c r="F50" s="751"/>
      <c r="G50" s="751"/>
      <c r="H50" s="751"/>
      <c r="I50" s="751"/>
      <c r="J50" s="751"/>
      <c r="K50" s="751"/>
      <c r="L50" s="751"/>
      <c r="M50" s="751"/>
      <c r="N50" s="751"/>
      <c r="O50" s="751"/>
      <c r="P50" s="751"/>
      <c r="Q50" s="751"/>
      <c r="R50" s="751"/>
      <c r="S50" s="751"/>
      <c r="T50" s="751"/>
      <c r="U50" s="751"/>
      <c r="V50" s="751"/>
      <c r="W50" s="751"/>
      <c r="X50" s="751"/>
      <c r="Y50" s="751"/>
      <c r="Z50" s="751"/>
      <c r="AA50" s="751"/>
      <c r="AB50" s="751"/>
      <c r="AC50" s="751"/>
      <c r="AD50" s="751"/>
      <c r="AE50" s="751"/>
      <c r="AF50" s="751"/>
      <c r="AG50" s="751"/>
      <c r="AH50" s="751"/>
    </row>
  </sheetData>
  <mergeCells count="9">
    <mergeCell ref="D45:Z45"/>
    <mergeCell ref="D46:Z46"/>
    <mergeCell ref="D47:V47"/>
    <mergeCell ref="D2:M2"/>
    <mergeCell ref="D3:Z3"/>
    <mergeCell ref="D4:Z4"/>
    <mergeCell ref="D5:Z5"/>
    <mergeCell ref="D43:Z43"/>
    <mergeCell ref="D44:Z44"/>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79669-7C0C-45F7-BFB1-60446A4A28DE}">
  <sheetPr>
    <tabColor rgb="FF7030A0"/>
  </sheetPr>
  <dimension ref="A1:BG33"/>
  <sheetViews>
    <sheetView showGridLines="0" topLeftCell="A25" workbookViewId="0">
      <selection activeCell="H24" sqref="H24"/>
    </sheetView>
  </sheetViews>
  <sheetFormatPr defaultColWidth="9.140625" defaultRowHeight="15" x14ac:dyDescent="0.25"/>
  <cols>
    <col min="1" max="1" width="3.85546875" style="2741" customWidth="1"/>
    <col min="2" max="2" width="13.85546875" style="2742" customWidth="1"/>
    <col min="3" max="3" width="3.85546875" style="2742" customWidth="1"/>
    <col min="4" max="4" width="38.42578125" style="38" customWidth="1"/>
    <col min="5" max="6" width="11.42578125" style="38" customWidth="1"/>
    <col min="7" max="11" width="11.42578125" style="2327" customWidth="1"/>
    <col min="12" max="12" width="13.5703125" style="2327" customWidth="1"/>
    <col min="13" max="19" width="10.140625" style="2327" customWidth="1"/>
    <col min="20" max="20" width="10.140625" style="2720" customWidth="1"/>
    <col min="21" max="21" width="11" style="2720" customWidth="1"/>
    <col min="22" max="23" width="10.140625" style="2720" customWidth="1"/>
    <col min="24" max="24" width="10.85546875" style="2722" customWidth="1"/>
    <col min="25" max="25" width="9.85546875" style="2722" customWidth="1"/>
    <col min="26" max="26" width="10" style="2722" customWidth="1"/>
    <col min="27" max="27" width="9.140625" style="2722"/>
    <col min="28" max="28" width="10.85546875" style="2722" customWidth="1"/>
    <col min="29" max="29" width="10.140625" style="2722" customWidth="1"/>
    <col min="30" max="30" width="10.42578125" style="2722" customWidth="1"/>
    <col min="31" max="31" width="10.140625" style="2722" customWidth="1"/>
    <col min="32" max="32" width="10.42578125" style="2722" customWidth="1"/>
    <col min="33" max="33" width="9.140625" style="2722"/>
    <col min="34" max="34" width="10.5703125" style="2722" customWidth="1"/>
    <col min="35" max="35" width="10" style="2722" customWidth="1"/>
    <col min="36" max="38" width="9.140625" style="2722"/>
    <col min="39" max="40" width="10.140625" style="2722" customWidth="1"/>
    <col min="41" max="43" width="9.140625" style="2722"/>
    <col min="44" max="44" width="10.140625" style="2722" customWidth="1"/>
    <col min="45" max="45" width="9.85546875" style="2722" customWidth="1"/>
    <col min="46" max="48" width="9.140625" style="2722"/>
    <col min="49" max="49" width="10.42578125" style="2722" customWidth="1"/>
    <col min="50" max="50" width="10.140625" style="2722" customWidth="1"/>
    <col min="51" max="53" width="9.140625" style="2722"/>
    <col min="54" max="54" width="10.140625" style="2722" customWidth="1"/>
    <col min="55" max="55" width="9.85546875" style="2722" customWidth="1"/>
    <col min="56" max="58" width="9.140625" style="2722"/>
    <col min="59" max="59" width="10.42578125" style="2722" customWidth="1"/>
    <col min="60" max="256" width="9.140625" style="2722"/>
    <col min="257" max="257" width="3.85546875" style="2722" customWidth="1"/>
    <col min="258" max="258" width="13.85546875" style="2722" customWidth="1"/>
    <col min="259" max="259" width="3.85546875" style="2722" customWidth="1"/>
    <col min="260" max="260" width="11.85546875" style="2722" customWidth="1"/>
    <col min="261" max="261" width="30.42578125" style="2722" customWidth="1"/>
    <col min="262" max="262" width="21.140625" style="2722" customWidth="1"/>
    <col min="263" max="265" width="10.140625" style="2722" customWidth="1"/>
    <col min="266" max="266" width="11.42578125" style="2722" customWidth="1"/>
    <col min="267" max="276" width="10.140625" style="2722" customWidth="1"/>
    <col min="277" max="277" width="11" style="2722" customWidth="1"/>
    <col min="278" max="279" width="10.140625" style="2722" customWidth="1"/>
    <col min="280" max="280" width="9" style="2722" customWidth="1"/>
    <col min="281" max="281" width="9.85546875" style="2722" customWidth="1"/>
    <col min="282" max="282" width="10" style="2722" customWidth="1"/>
    <col min="283" max="283" width="9.140625" style="2722"/>
    <col min="284" max="284" width="10.85546875" style="2722" customWidth="1"/>
    <col min="285" max="285" width="10.140625" style="2722" customWidth="1"/>
    <col min="286" max="286" width="9.140625" style="2722"/>
    <col min="287" max="287" width="10.140625" style="2722" customWidth="1"/>
    <col min="288" max="288" width="10.42578125" style="2722" customWidth="1"/>
    <col min="289" max="512" width="9.140625" style="2722"/>
    <col min="513" max="513" width="3.85546875" style="2722" customWidth="1"/>
    <col min="514" max="514" width="13.85546875" style="2722" customWidth="1"/>
    <col min="515" max="515" width="3.85546875" style="2722" customWidth="1"/>
    <col min="516" max="516" width="11.85546875" style="2722" customWidth="1"/>
    <col min="517" max="517" width="30.42578125" style="2722" customWidth="1"/>
    <col min="518" max="518" width="21.140625" style="2722" customWidth="1"/>
    <col min="519" max="521" width="10.140625" style="2722" customWidth="1"/>
    <col min="522" max="522" width="11.42578125" style="2722" customWidth="1"/>
    <col min="523" max="532" width="10.140625" style="2722" customWidth="1"/>
    <col min="533" max="533" width="11" style="2722" customWidth="1"/>
    <col min="534" max="535" width="10.140625" style="2722" customWidth="1"/>
    <col min="536" max="536" width="9" style="2722" customWidth="1"/>
    <col min="537" max="537" width="9.85546875" style="2722" customWidth="1"/>
    <col min="538" max="538" width="10" style="2722" customWidth="1"/>
    <col min="539" max="539" width="9.140625" style="2722"/>
    <col min="540" max="540" width="10.85546875" style="2722" customWidth="1"/>
    <col min="541" max="541" width="10.140625" style="2722" customWidth="1"/>
    <col min="542" max="542" width="9.140625" style="2722"/>
    <col min="543" max="543" width="10.140625" style="2722" customWidth="1"/>
    <col min="544" max="544" width="10.42578125" style="2722" customWidth="1"/>
    <col min="545" max="768" width="9.140625" style="2722"/>
    <col min="769" max="769" width="3.85546875" style="2722" customWidth="1"/>
    <col min="770" max="770" width="13.85546875" style="2722" customWidth="1"/>
    <col min="771" max="771" width="3.85546875" style="2722" customWidth="1"/>
    <col min="772" max="772" width="11.85546875" style="2722" customWidth="1"/>
    <col min="773" max="773" width="30.42578125" style="2722" customWidth="1"/>
    <col min="774" max="774" width="21.140625" style="2722" customWidth="1"/>
    <col min="775" max="777" width="10.140625" style="2722" customWidth="1"/>
    <col min="778" max="778" width="11.42578125" style="2722" customWidth="1"/>
    <col min="779" max="788" width="10.140625" style="2722" customWidth="1"/>
    <col min="789" max="789" width="11" style="2722" customWidth="1"/>
    <col min="790" max="791" width="10.140625" style="2722" customWidth="1"/>
    <col min="792" max="792" width="9" style="2722" customWidth="1"/>
    <col min="793" max="793" width="9.85546875" style="2722" customWidth="1"/>
    <col min="794" max="794" width="10" style="2722" customWidth="1"/>
    <col min="795" max="795" width="9.140625" style="2722"/>
    <col min="796" max="796" width="10.85546875" style="2722" customWidth="1"/>
    <col min="797" max="797" width="10.140625" style="2722" customWidth="1"/>
    <col min="798" max="798" width="9.140625" style="2722"/>
    <col min="799" max="799" width="10.140625" style="2722" customWidth="1"/>
    <col min="800" max="800" width="10.42578125" style="2722" customWidth="1"/>
    <col min="801" max="1024" width="9.140625" style="2722"/>
    <col min="1025" max="1025" width="3.85546875" style="2722" customWidth="1"/>
    <col min="1026" max="1026" width="13.85546875" style="2722" customWidth="1"/>
    <col min="1027" max="1027" width="3.85546875" style="2722" customWidth="1"/>
    <col min="1028" max="1028" width="11.85546875" style="2722" customWidth="1"/>
    <col min="1029" max="1029" width="30.42578125" style="2722" customWidth="1"/>
    <col min="1030" max="1030" width="21.140625" style="2722" customWidth="1"/>
    <col min="1031" max="1033" width="10.140625" style="2722" customWidth="1"/>
    <col min="1034" max="1034" width="11.42578125" style="2722" customWidth="1"/>
    <col min="1035" max="1044" width="10.140625" style="2722" customWidth="1"/>
    <col min="1045" max="1045" width="11" style="2722" customWidth="1"/>
    <col min="1046" max="1047" width="10.140625" style="2722" customWidth="1"/>
    <col min="1048" max="1048" width="9" style="2722" customWidth="1"/>
    <col min="1049" max="1049" width="9.85546875" style="2722" customWidth="1"/>
    <col min="1050" max="1050" width="10" style="2722" customWidth="1"/>
    <col min="1051" max="1051" width="9.140625" style="2722"/>
    <col min="1052" max="1052" width="10.85546875" style="2722" customWidth="1"/>
    <col min="1053" max="1053" width="10.140625" style="2722" customWidth="1"/>
    <col min="1054" max="1054" width="9.140625" style="2722"/>
    <col min="1055" max="1055" width="10.140625" style="2722" customWidth="1"/>
    <col min="1056" max="1056" width="10.42578125" style="2722" customWidth="1"/>
    <col min="1057" max="1280" width="9.140625" style="2722"/>
    <col min="1281" max="1281" width="3.85546875" style="2722" customWidth="1"/>
    <col min="1282" max="1282" width="13.85546875" style="2722" customWidth="1"/>
    <col min="1283" max="1283" width="3.85546875" style="2722" customWidth="1"/>
    <col min="1284" max="1284" width="11.85546875" style="2722" customWidth="1"/>
    <col min="1285" max="1285" width="30.42578125" style="2722" customWidth="1"/>
    <col min="1286" max="1286" width="21.140625" style="2722" customWidth="1"/>
    <col min="1287" max="1289" width="10.140625" style="2722" customWidth="1"/>
    <col min="1290" max="1290" width="11.42578125" style="2722" customWidth="1"/>
    <col min="1291" max="1300" width="10.140625" style="2722" customWidth="1"/>
    <col min="1301" max="1301" width="11" style="2722" customWidth="1"/>
    <col min="1302" max="1303" width="10.140625" style="2722" customWidth="1"/>
    <col min="1304" max="1304" width="9" style="2722" customWidth="1"/>
    <col min="1305" max="1305" width="9.85546875" style="2722" customWidth="1"/>
    <col min="1306" max="1306" width="10" style="2722" customWidth="1"/>
    <col min="1307" max="1307" width="9.140625" style="2722"/>
    <col min="1308" max="1308" width="10.85546875" style="2722" customWidth="1"/>
    <col min="1309" max="1309" width="10.140625" style="2722" customWidth="1"/>
    <col min="1310" max="1310" width="9.140625" style="2722"/>
    <col min="1311" max="1311" width="10.140625" style="2722" customWidth="1"/>
    <col min="1312" max="1312" width="10.42578125" style="2722" customWidth="1"/>
    <col min="1313" max="1536" width="9.140625" style="2722"/>
    <col min="1537" max="1537" width="3.85546875" style="2722" customWidth="1"/>
    <col min="1538" max="1538" width="13.85546875" style="2722" customWidth="1"/>
    <col min="1539" max="1539" width="3.85546875" style="2722" customWidth="1"/>
    <col min="1540" max="1540" width="11.85546875" style="2722" customWidth="1"/>
    <col min="1541" max="1541" width="30.42578125" style="2722" customWidth="1"/>
    <col min="1542" max="1542" width="21.140625" style="2722" customWidth="1"/>
    <col min="1543" max="1545" width="10.140625" style="2722" customWidth="1"/>
    <col min="1546" max="1546" width="11.42578125" style="2722" customWidth="1"/>
    <col min="1547" max="1556" width="10.140625" style="2722" customWidth="1"/>
    <col min="1557" max="1557" width="11" style="2722" customWidth="1"/>
    <col min="1558" max="1559" width="10.140625" style="2722" customWidth="1"/>
    <col min="1560" max="1560" width="9" style="2722" customWidth="1"/>
    <col min="1561" max="1561" width="9.85546875" style="2722" customWidth="1"/>
    <col min="1562" max="1562" width="10" style="2722" customWidth="1"/>
    <col min="1563" max="1563" width="9.140625" style="2722"/>
    <col min="1564" max="1564" width="10.85546875" style="2722" customWidth="1"/>
    <col min="1565" max="1565" width="10.140625" style="2722" customWidth="1"/>
    <col min="1566" max="1566" width="9.140625" style="2722"/>
    <col min="1567" max="1567" width="10.140625" style="2722" customWidth="1"/>
    <col min="1568" max="1568" width="10.42578125" style="2722" customWidth="1"/>
    <col min="1569" max="1792" width="9.140625" style="2722"/>
    <col min="1793" max="1793" width="3.85546875" style="2722" customWidth="1"/>
    <col min="1794" max="1794" width="13.85546875" style="2722" customWidth="1"/>
    <col min="1795" max="1795" width="3.85546875" style="2722" customWidth="1"/>
    <col min="1796" max="1796" width="11.85546875" style="2722" customWidth="1"/>
    <col min="1797" max="1797" width="30.42578125" style="2722" customWidth="1"/>
    <col min="1798" max="1798" width="21.140625" style="2722" customWidth="1"/>
    <col min="1799" max="1801" width="10.140625" style="2722" customWidth="1"/>
    <col min="1802" max="1802" width="11.42578125" style="2722" customWidth="1"/>
    <col min="1803" max="1812" width="10.140625" style="2722" customWidth="1"/>
    <col min="1813" max="1813" width="11" style="2722" customWidth="1"/>
    <col min="1814" max="1815" width="10.140625" style="2722" customWidth="1"/>
    <col min="1816" max="1816" width="9" style="2722" customWidth="1"/>
    <col min="1817" max="1817" width="9.85546875" style="2722" customWidth="1"/>
    <col min="1818" max="1818" width="10" style="2722" customWidth="1"/>
    <col min="1819" max="1819" width="9.140625" style="2722"/>
    <col min="1820" max="1820" width="10.85546875" style="2722" customWidth="1"/>
    <col min="1821" max="1821" width="10.140625" style="2722" customWidth="1"/>
    <col min="1822" max="1822" width="9.140625" style="2722"/>
    <col min="1823" max="1823" width="10.140625" style="2722" customWidth="1"/>
    <col min="1824" max="1824" width="10.42578125" style="2722" customWidth="1"/>
    <col min="1825" max="2048" width="9.140625" style="2722"/>
    <col min="2049" max="2049" width="3.85546875" style="2722" customWidth="1"/>
    <col min="2050" max="2050" width="13.85546875" style="2722" customWidth="1"/>
    <col min="2051" max="2051" width="3.85546875" style="2722" customWidth="1"/>
    <col min="2052" max="2052" width="11.85546875" style="2722" customWidth="1"/>
    <col min="2053" max="2053" width="30.42578125" style="2722" customWidth="1"/>
    <col min="2054" max="2054" width="21.140625" style="2722" customWidth="1"/>
    <col min="2055" max="2057" width="10.140625" style="2722" customWidth="1"/>
    <col min="2058" max="2058" width="11.42578125" style="2722" customWidth="1"/>
    <col min="2059" max="2068" width="10.140625" style="2722" customWidth="1"/>
    <col min="2069" max="2069" width="11" style="2722" customWidth="1"/>
    <col min="2070" max="2071" width="10.140625" style="2722" customWidth="1"/>
    <col min="2072" max="2072" width="9" style="2722" customWidth="1"/>
    <col min="2073" max="2073" width="9.85546875" style="2722" customWidth="1"/>
    <col min="2074" max="2074" width="10" style="2722" customWidth="1"/>
    <col min="2075" max="2075" width="9.140625" style="2722"/>
    <col min="2076" max="2076" width="10.85546875" style="2722" customWidth="1"/>
    <col min="2077" max="2077" width="10.140625" style="2722" customWidth="1"/>
    <col min="2078" max="2078" width="9.140625" style="2722"/>
    <col min="2079" max="2079" width="10.140625" style="2722" customWidth="1"/>
    <col min="2080" max="2080" width="10.42578125" style="2722" customWidth="1"/>
    <col min="2081" max="2304" width="9.140625" style="2722"/>
    <col min="2305" max="2305" width="3.85546875" style="2722" customWidth="1"/>
    <col min="2306" max="2306" width="13.85546875" style="2722" customWidth="1"/>
    <col min="2307" max="2307" width="3.85546875" style="2722" customWidth="1"/>
    <col min="2308" max="2308" width="11.85546875" style="2722" customWidth="1"/>
    <col min="2309" max="2309" width="30.42578125" style="2722" customWidth="1"/>
    <col min="2310" max="2310" width="21.140625" style="2722" customWidth="1"/>
    <col min="2311" max="2313" width="10.140625" style="2722" customWidth="1"/>
    <col min="2314" max="2314" width="11.42578125" style="2722" customWidth="1"/>
    <col min="2315" max="2324" width="10.140625" style="2722" customWidth="1"/>
    <col min="2325" max="2325" width="11" style="2722" customWidth="1"/>
    <col min="2326" max="2327" width="10.140625" style="2722" customWidth="1"/>
    <col min="2328" max="2328" width="9" style="2722" customWidth="1"/>
    <col min="2329" max="2329" width="9.85546875" style="2722" customWidth="1"/>
    <col min="2330" max="2330" width="10" style="2722" customWidth="1"/>
    <col min="2331" max="2331" width="9.140625" style="2722"/>
    <col min="2332" max="2332" width="10.85546875" style="2722" customWidth="1"/>
    <col min="2333" max="2333" width="10.140625" style="2722" customWidth="1"/>
    <col min="2334" max="2334" width="9.140625" style="2722"/>
    <col min="2335" max="2335" width="10.140625" style="2722" customWidth="1"/>
    <col min="2336" max="2336" width="10.42578125" style="2722" customWidth="1"/>
    <col min="2337" max="2560" width="9.140625" style="2722"/>
    <col min="2561" max="2561" width="3.85546875" style="2722" customWidth="1"/>
    <col min="2562" max="2562" width="13.85546875" style="2722" customWidth="1"/>
    <col min="2563" max="2563" width="3.85546875" style="2722" customWidth="1"/>
    <col min="2564" max="2564" width="11.85546875" style="2722" customWidth="1"/>
    <col min="2565" max="2565" width="30.42578125" style="2722" customWidth="1"/>
    <col min="2566" max="2566" width="21.140625" style="2722" customWidth="1"/>
    <col min="2567" max="2569" width="10.140625" style="2722" customWidth="1"/>
    <col min="2570" max="2570" width="11.42578125" style="2722" customWidth="1"/>
    <col min="2571" max="2580" width="10.140625" style="2722" customWidth="1"/>
    <col min="2581" max="2581" width="11" style="2722" customWidth="1"/>
    <col min="2582" max="2583" width="10.140625" style="2722" customWidth="1"/>
    <col min="2584" max="2584" width="9" style="2722" customWidth="1"/>
    <col min="2585" max="2585" width="9.85546875" style="2722" customWidth="1"/>
    <col min="2586" max="2586" width="10" style="2722" customWidth="1"/>
    <col min="2587" max="2587" width="9.140625" style="2722"/>
    <col min="2588" max="2588" width="10.85546875" style="2722" customWidth="1"/>
    <col min="2589" max="2589" width="10.140625" style="2722" customWidth="1"/>
    <col min="2590" max="2590" width="9.140625" style="2722"/>
    <col min="2591" max="2591" width="10.140625" style="2722" customWidth="1"/>
    <col min="2592" max="2592" width="10.42578125" style="2722" customWidth="1"/>
    <col min="2593" max="2816" width="9.140625" style="2722"/>
    <col min="2817" max="2817" width="3.85546875" style="2722" customWidth="1"/>
    <col min="2818" max="2818" width="13.85546875" style="2722" customWidth="1"/>
    <col min="2819" max="2819" width="3.85546875" style="2722" customWidth="1"/>
    <col min="2820" max="2820" width="11.85546875" style="2722" customWidth="1"/>
    <col min="2821" max="2821" width="30.42578125" style="2722" customWidth="1"/>
    <col min="2822" max="2822" width="21.140625" style="2722" customWidth="1"/>
    <col min="2823" max="2825" width="10.140625" style="2722" customWidth="1"/>
    <col min="2826" max="2826" width="11.42578125" style="2722" customWidth="1"/>
    <col min="2827" max="2836" width="10.140625" style="2722" customWidth="1"/>
    <col min="2837" max="2837" width="11" style="2722" customWidth="1"/>
    <col min="2838" max="2839" width="10.140625" style="2722" customWidth="1"/>
    <col min="2840" max="2840" width="9" style="2722" customWidth="1"/>
    <col min="2841" max="2841" width="9.85546875" style="2722" customWidth="1"/>
    <col min="2842" max="2842" width="10" style="2722" customWidth="1"/>
    <col min="2843" max="2843" width="9.140625" style="2722"/>
    <col min="2844" max="2844" width="10.85546875" style="2722" customWidth="1"/>
    <col min="2845" max="2845" width="10.140625" style="2722" customWidth="1"/>
    <col min="2846" max="2846" width="9.140625" style="2722"/>
    <col min="2847" max="2847" width="10.140625" style="2722" customWidth="1"/>
    <col min="2848" max="2848" width="10.42578125" style="2722" customWidth="1"/>
    <col min="2849" max="3072" width="9.140625" style="2722"/>
    <col min="3073" max="3073" width="3.85546875" style="2722" customWidth="1"/>
    <col min="3074" max="3074" width="13.85546875" style="2722" customWidth="1"/>
    <col min="3075" max="3075" width="3.85546875" style="2722" customWidth="1"/>
    <col min="3076" max="3076" width="11.85546875" style="2722" customWidth="1"/>
    <col min="3077" max="3077" width="30.42578125" style="2722" customWidth="1"/>
    <col min="3078" max="3078" width="21.140625" style="2722" customWidth="1"/>
    <col min="3079" max="3081" width="10.140625" style="2722" customWidth="1"/>
    <col min="3082" max="3082" width="11.42578125" style="2722" customWidth="1"/>
    <col min="3083" max="3092" width="10.140625" style="2722" customWidth="1"/>
    <col min="3093" max="3093" width="11" style="2722" customWidth="1"/>
    <col min="3094" max="3095" width="10.140625" style="2722" customWidth="1"/>
    <col min="3096" max="3096" width="9" style="2722" customWidth="1"/>
    <col min="3097" max="3097" width="9.85546875" style="2722" customWidth="1"/>
    <col min="3098" max="3098" width="10" style="2722" customWidth="1"/>
    <col min="3099" max="3099" width="9.140625" style="2722"/>
    <col min="3100" max="3100" width="10.85546875" style="2722" customWidth="1"/>
    <col min="3101" max="3101" width="10.140625" style="2722" customWidth="1"/>
    <col min="3102" max="3102" width="9.140625" style="2722"/>
    <col min="3103" max="3103" width="10.140625" style="2722" customWidth="1"/>
    <col min="3104" max="3104" width="10.42578125" style="2722" customWidth="1"/>
    <col min="3105" max="3328" width="9.140625" style="2722"/>
    <col min="3329" max="3329" width="3.85546875" style="2722" customWidth="1"/>
    <col min="3330" max="3330" width="13.85546875" style="2722" customWidth="1"/>
    <col min="3331" max="3331" width="3.85546875" style="2722" customWidth="1"/>
    <col min="3332" max="3332" width="11.85546875" style="2722" customWidth="1"/>
    <col min="3333" max="3333" width="30.42578125" style="2722" customWidth="1"/>
    <col min="3334" max="3334" width="21.140625" style="2722" customWidth="1"/>
    <col min="3335" max="3337" width="10.140625" style="2722" customWidth="1"/>
    <col min="3338" max="3338" width="11.42578125" style="2722" customWidth="1"/>
    <col min="3339" max="3348" width="10.140625" style="2722" customWidth="1"/>
    <col min="3349" max="3349" width="11" style="2722" customWidth="1"/>
    <col min="3350" max="3351" width="10.140625" style="2722" customWidth="1"/>
    <col min="3352" max="3352" width="9" style="2722" customWidth="1"/>
    <col min="3353" max="3353" width="9.85546875" style="2722" customWidth="1"/>
    <col min="3354" max="3354" width="10" style="2722" customWidth="1"/>
    <col min="3355" max="3355" width="9.140625" style="2722"/>
    <col min="3356" max="3356" width="10.85546875" style="2722" customWidth="1"/>
    <col min="3357" max="3357" width="10.140625" style="2722" customWidth="1"/>
    <col min="3358" max="3358" width="9.140625" style="2722"/>
    <col min="3359" max="3359" width="10.140625" style="2722" customWidth="1"/>
    <col min="3360" max="3360" width="10.42578125" style="2722" customWidth="1"/>
    <col min="3361" max="3584" width="9.140625" style="2722"/>
    <col min="3585" max="3585" width="3.85546875" style="2722" customWidth="1"/>
    <col min="3586" max="3586" width="13.85546875" style="2722" customWidth="1"/>
    <col min="3587" max="3587" width="3.85546875" style="2722" customWidth="1"/>
    <col min="3588" max="3588" width="11.85546875" style="2722" customWidth="1"/>
    <col min="3589" max="3589" width="30.42578125" style="2722" customWidth="1"/>
    <col min="3590" max="3590" width="21.140625" style="2722" customWidth="1"/>
    <col min="3591" max="3593" width="10.140625" style="2722" customWidth="1"/>
    <col min="3594" max="3594" width="11.42578125" style="2722" customWidth="1"/>
    <col min="3595" max="3604" width="10.140625" style="2722" customWidth="1"/>
    <col min="3605" max="3605" width="11" style="2722" customWidth="1"/>
    <col min="3606" max="3607" width="10.140625" style="2722" customWidth="1"/>
    <col min="3608" max="3608" width="9" style="2722" customWidth="1"/>
    <col min="3609" max="3609" width="9.85546875" style="2722" customWidth="1"/>
    <col min="3610" max="3610" width="10" style="2722" customWidth="1"/>
    <col min="3611" max="3611" width="9.140625" style="2722"/>
    <col min="3612" max="3612" width="10.85546875" style="2722" customWidth="1"/>
    <col min="3613" max="3613" width="10.140625" style="2722" customWidth="1"/>
    <col min="3614" max="3614" width="9.140625" style="2722"/>
    <col min="3615" max="3615" width="10.140625" style="2722" customWidth="1"/>
    <col min="3616" max="3616" width="10.42578125" style="2722" customWidth="1"/>
    <col min="3617" max="3840" width="9.140625" style="2722"/>
    <col min="3841" max="3841" width="3.85546875" style="2722" customWidth="1"/>
    <col min="3842" max="3842" width="13.85546875" style="2722" customWidth="1"/>
    <col min="3843" max="3843" width="3.85546875" style="2722" customWidth="1"/>
    <col min="3844" max="3844" width="11.85546875" style="2722" customWidth="1"/>
    <col min="3845" max="3845" width="30.42578125" style="2722" customWidth="1"/>
    <col min="3846" max="3846" width="21.140625" style="2722" customWidth="1"/>
    <col min="3847" max="3849" width="10.140625" style="2722" customWidth="1"/>
    <col min="3850" max="3850" width="11.42578125" style="2722" customWidth="1"/>
    <col min="3851" max="3860" width="10.140625" style="2722" customWidth="1"/>
    <col min="3861" max="3861" width="11" style="2722" customWidth="1"/>
    <col min="3862" max="3863" width="10.140625" style="2722" customWidth="1"/>
    <col min="3864" max="3864" width="9" style="2722" customWidth="1"/>
    <col min="3865" max="3865" width="9.85546875" style="2722" customWidth="1"/>
    <col min="3866" max="3866" width="10" style="2722" customWidth="1"/>
    <col min="3867" max="3867" width="9.140625" style="2722"/>
    <col min="3868" max="3868" width="10.85546875" style="2722" customWidth="1"/>
    <col min="3869" max="3869" width="10.140625" style="2722" customWidth="1"/>
    <col min="3870" max="3870" width="9.140625" style="2722"/>
    <col min="3871" max="3871" width="10.140625" style="2722" customWidth="1"/>
    <col min="3872" max="3872" width="10.42578125" style="2722" customWidth="1"/>
    <col min="3873" max="4096" width="9.140625" style="2722"/>
    <col min="4097" max="4097" width="3.85546875" style="2722" customWidth="1"/>
    <col min="4098" max="4098" width="13.85546875" style="2722" customWidth="1"/>
    <col min="4099" max="4099" width="3.85546875" style="2722" customWidth="1"/>
    <col min="4100" max="4100" width="11.85546875" style="2722" customWidth="1"/>
    <col min="4101" max="4101" width="30.42578125" style="2722" customWidth="1"/>
    <col min="4102" max="4102" width="21.140625" style="2722" customWidth="1"/>
    <col min="4103" max="4105" width="10.140625" style="2722" customWidth="1"/>
    <col min="4106" max="4106" width="11.42578125" style="2722" customWidth="1"/>
    <col min="4107" max="4116" width="10.140625" style="2722" customWidth="1"/>
    <col min="4117" max="4117" width="11" style="2722" customWidth="1"/>
    <col min="4118" max="4119" width="10.140625" style="2722" customWidth="1"/>
    <col min="4120" max="4120" width="9" style="2722" customWidth="1"/>
    <col min="4121" max="4121" width="9.85546875" style="2722" customWidth="1"/>
    <col min="4122" max="4122" width="10" style="2722" customWidth="1"/>
    <col min="4123" max="4123" width="9.140625" style="2722"/>
    <col min="4124" max="4124" width="10.85546875" style="2722" customWidth="1"/>
    <col min="4125" max="4125" width="10.140625" style="2722" customWidth="1"/>
    <col min="4126" max="4126" width="9.140625" style="2722"/>
    <col min="4127" max="4127" width="10.140625" style="2722" customWidth="1"/>
    <col min="4128" max="4128" width="10.42578125" style="2722" customWidth="1"/>
    <col min="4129" max="4352" width="9.140625" style="2722"/>
    <col min="4353" max="4353" width="3.85546875" style="2722" customWidth="1"/>
    <col min="4354" max="4354" width="13.85546875" style="2722" customWidth="1"/>
    <col min="4355" max="4355" width="3.85546875" style="2722" customWidth="1"/>
    <col min="4356" max="4356" width="11.85546875" style="2722" customWidth="1"/>
    <col min="4357" max="4357" width="30.42578125" style="2722" customWidth="1"/>
    <col min="4358" max="4358" width="21.140625" style="2722" customWidth="1"/>
    <col min="4359" max="4361" width="10.140625" style="2722" customWidth="1"/>
    <col min="4362" max="4362" width="11.42578125" style="2722" customWidth="1"/>
    <col min="4363" max="4372" width="10.140625" style="2722" customWidth="1"/>
    <col min="4373" max="4373" width="11" style="2722" customWidth="1"/>
    <col min="4374" max="4375" width="10.140625" style="2722" customWidth="1"/>
    <col min="4376" max="4376" width="9" style="2722" customWidth="1"/>
    <col min="4377" max="4377" width="9.85546875" style="2722" customWidth="1"/>
    <col min="4378" max="4378" width="10" style="2722" customWidth="1"/>
    <col min="4379" max="4379" width="9.140625" style="2722"/>
    <col min="4380" max="4380" width="10.85546875" style="2722" customWidth="1"/>
    <col min="4381" max="4381" width="10.140625" style="2722" customWidth="1"/>
    <col min="4382" max="4382" width="9.140625" style="2722"/>
    <col min="4383" max="4383" width="10.140625" style="2722" customWidth="1"/>
    <col min="4384" max="4384" width="10.42578125" style="2722" customWidth="1"/>
    <col min="4385" max="4608" width="9.140625" style="2722"/>
    <col min="4609" max="4609" width="3.85546875" style="2722" customWidth="1"/>
    <col min="4610" max="4610" width="13.85546875" style="2722" customWidth="1"/>
    <col min="4611" max="4611" width="3.85546875" style="2722" customWidth="1"/>
    <col min="4612" max="4612" width="11.85546875" style="2722" customWidth="1"/>
    <col min="4613" max="4613" width="30.42578125" style="2722" customWidth="1"/>
    <col min="4614" max="4614" width="21.140625" style="2722" customWidth="1"/>
    <col min="4615" max="4617" width="10.140625" style="2722" customWidth="1"/>
    <col min="4618" max="4618" width="11.42578125" style="2722" customWidth="1"/>
    <col min="4619" max="4628" width="10.140625" style="2722" customWidth="1"/>
    <col min="4629" max="4629" width="11" style="2722" customWidth="1"/>
    <col min="4630" max="4631" width="10.140625" style="2722" customWidth="1"/>
    <col min="4632" max="4632" width="9" style="2722" customWidth="1"/>
    <col min="4633" max="4633" width="9.85546875" style="2722" customWidth="1"/>
    <col min="4634" max="4634" width="10" style="2722" customWidth="1"/>
    <col min="4635" max="4635" width="9.140625" style="2722"/>
    <col min="4636" max="4636" width="10.85546875" style="2722" customWidth="1"/>
    <col min="4637" max="4637" width="10.140625" style="2722" customWidth="1"/>
    <col min="4638" max="4638" width="9.140625" style="2722"/>
    <col min="4639" max="4639" width="10.140625" style="2722" customWidth="1"/>
    <col min="4640" max="4640" width="10.42578125" style="2722" customWidth="1"/>
    <col min="4641" max="4864" width="9.140625" style="2722"/>
    <col min="4865" max="4865" width="3.85546875" style="2722" customWidth="1"/>
    <col min="4866" max="4866" width="13.85546875" style="2722" customWidth="1"/>
    <col min="4867" max="4867" width="3.85546875" style="2722" customWidth="1"/>
    <col min="4868" max="4868" width="11.85546875" style="2722" customWidth="1"/>
    <col min="4869" max="4869" width="30.42578125" style="2722" customWidth="1"/>
    <col min="4870" max="4870" width="21.140625" style="2722" customWidth="1"/>
    <col min="4871" max="4873" width="10.140625" style="2722" customWidth="1"/>
    <col min="4874" max="4874" width="11.42578125" style="2722" customWidth="1"/>
    <col min="4875" max="4884" width="10.140625" style="2722" customWidth="1"/>
    <col min="4885" max="4885" width="11" style="2722" customWidth="1"/>
    <col min="4886" max="4887" width="10.140625" style="2722" customWidth="1"/>
    <col min="4888" max="4888" width="9" style="2722" customWidth="1"/>
    <col min="4889" max="4889" width="9.85546875" style="2722" customWidth="1"/>
    <col min="4890" max="4890" width="10" style="2722" customWidth="1"/>
    <col min="4891" max="4891" width="9.140625" style="2722"/>
    <col min="4892" max="4892" width="10.85546875" style="2722" customWidth="1"/>
    <col min="4893" max="4893" width="10.140625" style="2722" customWidth="1"/>
    <col min="4894" max="4894" width="9.140625" style="2722"/>
    <col min="4895" max="4895" width="10.140625" style="2722" customWidth="1"/>
    <col min="4896" max="4896" width="10.42578125" style="2722" customWidth="1"/>
    <col min="4897" max="5120" width="9.140625" style="2722"/>
    <col min="5121" max="5121" width="3.85546875" style="2722" customWidth="1"/>
    <col min="5122" max="5122" width="13.85546875" style="2722" customWidth="1"/>
    <col min="5123" max="5123" width="3.85546875" style="2722" customWidth="1"/>
    <col min="5124" max="5124" width="11.85546875" style="2722" customWidth="1"/>
    <col min="5125" max="5125" width="30.42578125" style="2722" customWidth="1"/>
    <col min="5126" max="5126" width="21.140625" style="2722" customWidth="1"/>
    <col min="5127" max="5129" width="10.140625" style="2722" customWidth="1"/>
    <col min="5130" max="5130" width="11.42578125" style="2722" customWidth="1"/>
    <col min="5131" max="5140" width="10.140625" style="2722" customWidth="1"/>
    <col min="5141" max="5141" width="11" style="2722" customWidth="1"/>
    <col min="5142" max="5143" width="10.140625" style="2722" customWidth="1"/>
    <col min="5144" max="5144" width="9" style="2722" customWidth="1"/>
    <col min="5145" max="5145" width="9.85546875" style="2722" customWidth="1"/>
    <col min="5146" max="5146" width="10" style="2722" customWidth="1"/>
    <col min="5147" max="5147" width="9.140625" style="2722"/>
    <col min="5148" max="5148" width="10.85546875" style="2722" customWidth="1"/>
    <col min="5149" max="5149" width="10.140625" style="2722" customWidth="1"/>
    <col min="5150" max="5150" width="9.140625" style="2722"/>
    <col min="5151" max="5151" width="10.140625" style="2722" customWidth="1"/>
    <col min="5152" max="5152" width="10.42578125" style="2722" customWidth="1"/>
    <col min="5153" max="5376" width="9.140625" style="2722"/>
    <col min="5377" max="5377" width="3.85546875" style="2722" customWidth="1"/>
    <col min="5378" max="5378" width="13.85546875" style="2722" customWidth="1"/>
    <col min="5379" max="5379" width="3.85546875" style="2722" customWidth="1"/>
    <col min="5380" max="5380" width="11.85546875" style="2722" customWidth="1"/>
    <col min="5381" max="5381" width="30.42578125" style="2722" customWidth="1"/>
    <col min="5382" max="5382" width="21.140625" style="2722" customWidth="1"/>
    <col min="5383" max="5385" width="10.140625" style="2722" customWidth="1"/>
    <col min="5386" max="5386" width="11.42578125" style="2722" customWidth="1"/>
    <col min="5387" max="5396" width="10.140625" style="2722" customWidth="1"/>
    <col min="5397" max="5397" width="11" style="2722" customWidth="1"/>
    <col min="5398" max="5399" width="10.140625" style="2722" customWidth="1"/>
    <col min="5400" max="5400" width="9" style="2722" customWidth="1"/>
    <col min="5401" max="5401" width="9.85546875" style="2722" customWidth="1"/>
    <col min="5402" max="5402" width="10" style="2722" customWidth="1"/>
    <col min="5403" max="5403" width="9.140625" style="2722"/>
    <col min="5404" max="5404" width="10.85546875" style="2722" customWidth="1"/>
    <col min="5405" max="5405" width="10.140625" style="2722" customWidth="1"/>
    <col min="5406" max="5406" width="9.140625" style="2722"/>
    <col min="5407" max="5407" width="10.140625" style="2722" customWidth="1"/>
    <col min="5408" max="5408" width="10.42578125" style="2722" customWidth="1"/>
    <col min="5409" max="5632" width="9.140625" style="2722"/>
    <col min="5633" max="5633" width="3.85546875" style="2722" customWidth="1"/>
    <col min="5634" max="5634" width="13.85546875" style="2722" customWidth="1"/>
    <col min="5635" max="5635" width="3.85546875" style="2722" customWidth="1"/>
    <col min="5636" max="5636" width="11.85546875" style="2722" customWidth="1"/>
    <col min="5637" max="5637" width="30.42578125" style="2722" customWidth="1"/>
    <col min="5638" max="5638" width="21.140625" style="2722" customWidth="1"/>
    <col min="5639" max="5641" width="10.140625" style="2722" customWidth="1"/>
    <col min="5642" max="5642" width="11.42578125" style="2722" customWidth="1"/>
    <col min="5643" max="5652" width="10.140625" style="2722" customWidth="1"/>
    <col min="5653" max="5653" width="11" style="2722" customWidth="1"/>
    <col min="5654" max="5655" width="10.140625" style="2722" customWidth="1"/>
    <col min="5656" max="5656" width="9" style="2722" customWidth="1"/>
    <col min="5657" max="5657" width="9.85546875" style="2722" customWidth="1"/>
    <col min="5658" max="5658" width="10" style="2722" customWidth="1"/>
    <col min="5659" max="5659" width="9.140625" style="2722"/>
    <col min="5660" max="5660" width="10.85546875" style="2722" customWidth="1"/>
    <col min="5661" max="5661" width="10.140625" style="2722" customWidth="1"/>
    <col min="5662" max="5662" width="9.140625" style="2722"/>
    <col min="5663" max="5663" width="10.140625" style="2722" customWidth="1"/>
    <col min="5664" max="5664" width="10.42578125" style="2722" customWidth="1"/>
    <col min="5665" max="5888" width="9.140625" style="2722"/>
    <col min="5889" max="5889" width="3.85546875" style="2722" customWidth="1"/>
    <col min="5890" max="5890" width="13.85546875" style="2722" customWidth="1"/>
    <col min="5891" max="5891" width="3.85546875" style="2722" customWidth="1"/>
    <col min="5892" max="5892" width="11.85546875" style="2722" customWidth="1"/>
    <col min="5893" max="5893" width="30.42578125" style="2722" customWidth="1"/>
    <col min="5894" max="5894" width="21.140625" style="2722" customWidth="1"/>
    <col min="5895" max="5897" width="10.140625" style="2722" customWidth="1"/>
    <col min="5898" max="5898" width="11.42578125" style="2722" customWidth="1"/>
    <col min="5899" max="5908" width="10.140625" style="2722" customWidth="1"/>
    <col min="5909" max="5909" width="11" style="2722" customWidth="1"/>
    <col min="5910" max="5911" width="10.140625" style="2722" customWidth="1"/>
    <col min="5912" max="5912" width="9" style="2722" customWidth="1"/>
    <col min="5913" max="5913" width="9.85546875" style="2722" customWidth="1"/>
    <col min="5914" max="5914" width="10" style="2722" customWidth="1"/>
    <col min="5915" max="5915" width="9.140625" style="2722"/>
    <col min="5916" max="5916" width="10.85546875" style="2722" customWidth="1"/>
    <col min="5917" max="5917" width="10.140625" style="2722" customWidth="1"/>
    <col min="5918" max="5918" width="9.140625" style="2722"/>
    <col min="5919" max="5919" width="10.140625" style="2722" customWidth="1"/>
    <col min="5920" max="5920" width="10.42578125" style="2722" customWidth="1"/>
    <col min="5921" max="6144" width="9.140625" style="2722"/>
    <col min="6145" max="6145" width="3.85546875" style="2722" customWidth="1"/>
    <col min="6146" max="6146" width="13.85546875" style="2722" customWidth="1"/>
    <col min="6147" max="6147" width="3.85546875" style="2722" customWidth="1"/>
    <col min="6148" max="6148" width="11.85546875" style="2722" customWidth="1"/>
    <col min="6149" max="6149" width="30.42578125" style="2722" customWidth="1"/>
    <col min="6150" max="6150" width="21.140625" style="2722" customWidth="1"/>
    <col min="6151" max="6153" width="10.140625" style="2722" customWidth="1"/>
    <col min="6154" max="6154" width="11.42578125" style="2722" customWidth="1"/>
    <col min="6155" max="6164" width="10.140625" style="2722" customWidth="1"/>
    <col min="6165" max="6165" width="11" style="2722" customWidth="1"/>
    <col min="6166" max="6167" width="10.140625" style="2722" customWidth="1"/>
    <col min="6168" max="6168" width="9" style="2722" customWidth="1"/>
    <col min="6169" max="6169" width="9.85546875" style="2722" customWidth="1"/>
    <col min="6170" max="6170" width="10" style="2722" customWidth="1"/>
    <col min="6171" max="6171" width="9.140625" style="2722"/>
    <col min="6172" max="6172" width="10.85546875" style="2722" customWidth="1"/>
    <col min="6173" max="6173" width="10.140625" style="2722" customWidth="1"/>
    <col min="6174" max="6174" width="9.140625" style="2722"/>
    <col min="6175" max="6175" width="10.140625" style="2722" customWidth="1"/>
    <col min="6176" max="6176" width="10.42578125" style="2722" customWidth="1"/>
    <col min="6177" max="6400" width="9.140625" style="2722"/>
    <col min="6401" max="6401" width="3.85546875" style="2722" customWidth="1"/>
    <col min="6402" max="6402" width="13.85546875" style="2722" customWidth="1"/>
    <col min="6403" max="6403" width="3.85546875" style="2722" customWidth="1"/>
    <col min="6404" max="6404" width="11.85546875" style="2722" customWidth="1"/>
    <col min="6405" max="6405" width="30.42578125" style="2722" customWidth="1"/>
    <col min="6406" max="6406" width="21.140625" style="2722" customWidth="1"/>
    <col min="6407" max="6409" width="10.140625" style="2722" customWidth="1"/>
    <col min="6410" max="6410" width="11.42578125" style="2722" customWidth="1"/>
    <col min="6411" max="6420" width="10.140625" style="2722" customWidth="1"/>
    <col min="6421" max="6421" width="11" style="2722" customWidth="1"/>
    <col min="6422" max="6423" width="10.140625" style="2722" customWidth="1"/>
    <col min="6424" max="6424" width="9" style="2722" customWidth="1"/>
    <col min="6425" max="6425" width="9.85546875" style="2722" customWidth="1"/>
    <col min="6426" max="6426" width="10" style="2722" customWidth="1"/>
    <col min="6427" max="6427" width="9.140625" style="2722"/>
    <col min="6428" max="6428" width="10.85546875" style="2722" customWidth="1"/>
    <col min="6429" max="6429" width="10.140625" style="2722" customWidth="1"/>
    <col min="6430" max="6430" width="9.140625" style="2722"/>
    <col min="6431" max="6431" width="10.140625" style="2722" customWidth="1"/>
    <col min="6432" max="6432" width="10.42578125" style="2722" customWidth="1"/>
    <col min="6433" max="6656" width="9.140625" style="2722"/>
    <col min="6657" max="6657" width="3.85546875" style="2722" customWidth="1"/>
    <col min="6658" max="6658" width="13.85546875" style="2722" customWidth="1"/>
    <col min="6659" max="6659" width="3.85546875" style="2722" customWidth="1"/>
    <col min="6660" max="6660" width="11.85546875" style="2722" customWidth="1"/>
    <col min="6661" max="6661" width="30.42578125" style="2722" customWidth="1"/>
    <col min="6662" max="6662" width="21.140625" style="2722" customWidth="1"/>
    <col min="6663" max="6665" width="10.140625" style="2722" customWidth="1"/>
    <col min="6666" max="6666" width="11.42578125" style="2722" customWidth="1"/>
    <col min="6667" max="6676" width="10.140625" style="2722" customWidth="1"/>
    <col min="6677" max="6677" width="11" style="2722" customWidth="1"/>
    <col min="6678" max="6679" width="10.140625" style="2722" customWidth="1"/>
    <col min="6680" max="6680" width="9" style="2722" customWidth="1"/>
    <col min="6681" max="6681" width="9.85546875" style="2722" customWidth="1"/>
    <col min="6682" max="6682" width="10" style="2722" customWidth="1"/>
    <col min="6683" max="6683" width="9.140625" style="2722"/>
    <col min="6684" max="6684" width="10.85546875" style="2722" customWidth="1"/>
    <col min="6685" max="6685" width="10.140625" style="2722" customWidth="1"/>
    <col min="6686" max="6686" width="9.140625" style="2722"/>
    <col min="6687" max="6687" width="10.140625" style="2722" customWidth="1"/>
    <col min="6688" max="6688" width="10.42578125" style="2722" customWidth="1"/>
    <col min="6689" max="6912" width="9.140625" style="2722"/>
    <col min="6913" max="6913" width="3.85546875" style="2722" customWidth="1"/>
    <col min="6914" max="6914" width="13.85546875" style="2722" customWidth="1"/>
    <col min="6915" max="6915" width="3.85546875" style="2722" customWidth="1"/>
    <col min="6916" max="6916" width="11.85546875" style="2722" customWidth="1"/>
    <col min="6917" max="6917" width="30.42578125" style="2722" customWidth="1"/>
    <col min="6918" max="6918" width="21.140625" style="2722" customWidth="1"/>
    <col min="6919" max="6921" width="10.140625" style="2722" customWidth="1"/>
    <col min="6922" max="6922" width="11.42578125" style="2722" customWidth="1"/>
    <col min="6923" max="6932" width="10.140625" style="2722" customWidth="1"/>
    <col min="6933" max="6933" width="11" style="2722" customWidth="1"/>
    <col min="6934" max="6935" width="10.140625" style="2722" customWidth="1"/>
    <col min="6936" max="6936" width="9" style="2722" customWidth="1"/>
    <col min="6937" max="6937" width="9.85546875" style="2722" customWidth="1"/>
    <col min="6938" max="6938" width="10" style="2722" customWidth="1"/>
    <col min="6939" max="6939" width="9.140625" style="2722"/>
    <col min="6940" max="6940" width="10.85546875" style="2722" customWidth="1"/>
    <col min="6941" max="6941" width="10.140625" style="2722" customWidth="1"/>
    <col min="6942" max="6942" width="9.140625" style="2722"/>
    <col min="6943" max="6943" width="10.140625" style="2722" customWidth="1"/>
    <col min="6944" max="6944" width="10.42578125" style="2722" customWidth="1"/>
    <col min="6945" max="7168" width="9.140625" style="2722"/>
    <col min="7169" max="7169" width="3.85546875" style="2722" customWidth="1"/>
    <col min="7170" max="7170" width="13.85546875" style="2722" customWidth="1"/>
    <col min="7171" max="7171" width="3.85546875" style="2722" customWidth="1"/>
    <col min="7172" max="7172" width="11.85546875" style="2722" customWidth="1"/>
    <col min="7173" max="7173" width="30.42578125" style="2722" customWidth="1"/>
    <col min="7174" max="7174" width="21.140625" style="2722" customWidth="1"/>
    <col min="7175" max="7177" width="10.140625" style="2722" customWidth="1"/>
    <col min="7178" max="7178" width="11.42578125" style="2722" customWidth="1"/>
    <col min="7179" max="7188" width="10.140625" style="2722" customWidth="1"/>
    <col min="7189" max="7189" width="11" style="2722" customWidth="1"/>
    <col min="7190" max="7191" width="10.140625" style="2722" customWidth="1"/>
    <col min="7192" max="7192" width="9" style="2722" customWidth="1"/>
    <col min="7193" max="7193" width="9.85546875" style="2722" customWidth="1"/>
    <col min="7194" max="7194" width="10" style="2722" customWidth="1"/>
    <col min="7195" max="7195" width="9.140625" style="2722"/>
    <col min="7196" max="7196" width="10.85546875" style="2722" customWidth="1"/>
    <col min="7197" max="7197" width="10.140625" style="2722" customWidth="1"/>
    <col min="7198" max="7198" width="9.140625" style="2722"/>
    <col min="7199" max="7199" width="10.140625" style="2722" customWidth="1"/>
    <col min="7200" max="7200" width="10.42578125" style="2722" customWidth="1"/>
    <col min="7201" max="7424" width="9.140625" style="2722"/>
    <col min="7425" max="7425" width="3.85546875" style="2722" customWidth="1"/>
    <col min="7426" max="7426" width="13.85546875" style="2722" customWidth="1"/>
    <col min="7427" max="7427" width="3.85546875" style="2722" customWidth="1"/>
    <col min="7428" max="7428" width="11.85546875" style="2722" customWidth="1"/>
    <col min="7429" max="7429" width="30.42578125" style="2722" customWidth="1"/>
    <col min="7430" max="7430" width="21.140625" style="2722" customWidth="1"/>
    <col min="7431" max="7433" width="10.140625" style="2722" customWidth="1"/>
    <col min="7434" max="7434" width="11.42578125" style="2722" customWidth="1"/>
    <col min="7435" max="7444" width="10.140625" style="2722" customWidth="1"/>
    <col min="7445" max="7445" width="11" style="2722" customWidth="1"/>
    <col min="7446" max="7447" width="10.140625" style="2722" customWidth="1"/>
    <col min="7448" max="7448" width="9" style="2722" customWidth="1"/>
    <col min="7449" max="7449" width="9.85546875" style="2722" customWidth="1"/>
    <col min="7450" max="7450" width="10" style="2722" customWidth="1"/>
    <col min="7451" max="7451" width="9.140625" style="2722"/>
    <col min="7452" max="7452" width="10.85546875" style="2722" customWidth="1"/>
    <col min="7453" max="7453" width="10.140625" style="2722" customWidth="1"/>
    <col min="7454" max="7454" width="9.140625" style="2722"/>
    <col min="7455" max="7455" width="10.140625" style="2722" customWidth="1"/>
    <col min="7456" max="7456" width="10.42578125" style="2722" customWidth="1"/>
    <col min="7457" max="7680" width="9.140625" style="2722"/>
    <col min="7681" max="7681" width="3.85546875" style="2722" customWidth="1"/>
    <col min="7682" max="7682" width="13.85546875" style="2722" customWidth="1"/>
    <col min="7683" max="7683" width="3.85546875" style="2722" customWidth="1"/>
    <col min="7684" max="7684" width="11.85546875" style="2722" customWidth="1"/>
    <col min="7685" max="7685" width="30.42578125" style="2722" customWidth="1"/>
    <col min="7686" max="7686" width="21.140625" style="2722" customWidth="1"/>
    <col min="7687" max="7689" width="10.140625" style="2722" customWidth="1"/>
    <col min="7690" max="7690" width="11.42578125" style="2722" customWidth="1"/>
    <col min="7691" max="7700" width="10.140625" style="2722" customWidth="1"/>
    <col min="7701" max="7701" width="11" style="2722" customWidth="1"/>
    <col min="7702" max="7703" width="10.140625" style="2722" customWidth="1"/>
    <col min="7704" max="7704" width="9" style="2722" customWidth="1"/>
    <col min="7705" max="7705" width="9.85546875" style="2722" customWidth="1"/>
    <col min="7706" max="7706" width="10" style="2722" customWidth="1"/>
    <col min="7707" max="7707" width="9.140625" style="2722"/>
    <col min="7708" max="7708" width="10.85546875" style="2722" customWidth="1"/>
    <col min="7709" max="7709" width="10.140625" style="2722" customWidth="1"/>
    <col min="7710" max="7710" width="9.140625" style="2722"/>
    <col min="7711" max="7711" width="10.140625" style="2722" customWidth="1"/>
    <col min="7712" max="7712" width="10.42578125" style="2722" customWidth="1"/>
    <col min="7713" max="7936" width="9.140625" style="2722"/>
    <col min="7937" max="7937" width="3.85546875" style="2722" customWidth="1"/>
    <col min="7938" max="7938" width="13.85546875" style="2722" customWidth="1"/>
    <col min="7939" max="7939" width="3.85546875" style="2722" customWidth="1"/>
    <col min="7940" max="7940" width="11.85546875" style="2722" customWidth="1"/>
    <col min="7941" max="7941" width="30.42578125" style="2722" customWidth="1"/>
    <col min="7942" max="7942" width="21.140625" style="2722" customWidth="1"/>
    <col min="7943" max="7945" width="10.140625" style="2722" customWidth="1"/>
    <col min="7946" max="7946" width="11.42578125" style="2722" customWidth="1"/>
    <col min="7947" max="7956" width="10.140625" style="2722" customWidth="1"/>
    <col min="7957" max="7957" width="11" style="2722" customWidth="1"/>
    <col min="7958" max="7959" width="10.140625" style="2722" customWidth="1"/>
    <col min="7960" max="7960" width="9" style="2722" customWidth="1"/>
    <col min="7961" max="7961" width="9.85546875" style="2722" customWidth="1"/>
    <col min="7962" max="7962" width="10" style="2722" customWidth="1"/>
    <col min="7963" max="7963" width="9.140625" style="2722"/>
    <col min="7964" max="7964" width="10.85546875" style="2722" customWidth="1"/>
    <col min="7965" max="7965" width="10.140625" style="2722" customWidth="1"/>
    <col min="7966" max="7966" width="9.140625" style="2722"/>
    <col min="7967" max="7967" width="10.140625" style="2722" customWidth="1"/>
    <col min="7968" max="7968" width="10.42578125" style="2722" customWidth="1"/>
    <col min="7969" max="8192" width="9.140625" style="2722"/>
    <col min="8193" max="8193" width="3.85546875" style="2722" customWidth="1"/>
    <col min="8194" max="8194" width="13.85546875" style="2722" customWidth="1"/>
    <col min="8195" max="8195" width="3.85546875" style="2722" customWidth="1"/>
    <col min="8196" max="8196" width="11.85546875" style="2722" customWidth="1"/>
    <col min="8197" max="8197" width="30.42578125" style="2722" customWidth="1"/>
    <col min="8198" max="8198" width="21.140625" style="2722" customWidth="1"/>
    <col min="8199" max="8201" width="10.140625" style="2722" customWidth="1"/>
    <col min="8202" max="8202" width="11.42578125" style="2722" customWidth="1"/>
    <col min="8203" max="8212" width="10.140625" style="2722" customWidth="1"/>
    <col min="8213" max="8213" width="11" style="2722" customWidth="1"/>
    <col min="8214" max="8215" width="10.140625" style="2722" customWidth="1"/>
    <col min="8216" max="8216" width="9" style="2722" customWidth="1"/>
    <col min="8217" max="8217" width="9.85546875" style="2722" customWidth="1"/>
    <col min="8218" max="8218" width="10" style="2722" customWidth="1"/>
    <col min="8219" max="8219" width="9.140625" style="2722"/>
    <col min="8220" max="8220" width="10.85546875" style="2722" customWidth="1"/>
    <col min="8221" max="8221" width="10.140625" style="2722" customWidth="1"/>
    <col min="8222" max="8222" width="9.140625" style="2722"/>
    <col min="8223" max="8223" width="10.140625" style="2722" customWidth="1"/>
    <col min="8224" max="8224" width="10.42578125" style="2722" customWidth="1"/>
    <col min="8225" max="8448" width="9.140625" style="2722"/>
    <col min="8449" max="8449" width="3.85546875" style="2722" customWidth="1"/>
    <col min="8450" max="8450" width="13.85546875" style="2722" customWidth="1"/>
    <col min="8451" max="8451" width="3.85546875" style="2722" customWidth="1"/>
    <col min="8452" max="8452" width="11.85546875" style="2722" customWidth="1"/>
    <col min="8453" max="8453" width="30.42578125" style="2722" customWidth="1"/>
    <col min="8454" max="8454" width="21.140625" style="2722" customWidth="1"/>
    <col min="8455" max="8457" width="10.140625" style="2722" customWidth="1"/>
    <col min="8458" max="8458" width="11.42578125" style="2722" customWidth="1"/>
    <col min="8459" max="8468" width="10.140625" style="2722" customWidth="1"/>
    <col min="8469" max="8469" width="11" style="2722" customWidth="1"/>
    <col min="8470" max="8471" width="10.140625" style="2722" customWidth="1"/>
    <col min="8472" max="8472" width="9" style="2722" customWidth="1"/>
    <col min="8473" max="8473" width="9.85546875" style="2722" customWidth="1"/>
    <col min="8474" max="8474" width="10" style="2722" customWidth="1"/>
    <col min="8475" max="8475" width="9.140625" style="2722"/>
    <col min="8476" max="8476" width="10.85546875" style="2722" customWidth="1"/>
    <col min="8477" max="8477" width="10.140625" style="2722" customWidth="1"/>
    <col min="8478" max="8478" width="9.140625" style="2722"/>
    <col min="8479" max="8479" width="10.140625" style="2722" customWidth="1"/>
    <col min="8480" max="8480" width="10.42578125" style="2722" customWidth="1"/>
    <col min="8481" max="8704" width="9.140625" style="2722"/>
    <col min="8705" max="8705" width="3.85546875" style="2722" customWidth="1"/>
    <col min="8706" max="8706" width="13.85546875" style="2722" customWidth="1"/>
    <col min="8707" max="8707" width="3.85546875" style="2722" customWidth="1"/>
    <col min="8708" max="8708" width="11.85546875" style="2722" customWidth="1"/>
    <col min="8709" max="8709" width="30.42578125" style="2722" customWidth="1"/>
    <col min="8710" max="8710" width="21.140625" style="2722" customWidth="1"/>
    <col min="8711" max="8713" width="10.140625" style="2722" customWidth="1"/>
    <col min="8714" max="8714" width="11.42578125" style="2722" customWidth="1"/>
    <col min="8715" max="8724" width="10.140625" style="2722" customWidth="1"/>
    <col min="8725" max="8725" width="11" style="2722" customWidth="1"/>
    <col min="8726" max="8727" width="10.140625" style="2722" customWidth="1"/>
    <col min="8728" max="8728" width="9" style="2722" customWidth="1"/>
    <col min="8729" max="8729" width="9.85546875" style="2722" customWidth="1"/>
    <col min="8730" max="8730" width="10" style="2722" customWidth="1"/>
    <col min="8731" max="8731" width="9.140625" style="2722"/>
    <col min="8732" max="8732" width="10.85546875" style="2722" customWidth="1"/>
    <col min="8733" max="8733" width="10.140625" style="2722" customWidth="1"/>
    <col min="8734" max="8734" width="9.140625" style="2722"/>
    <col min="8735" max="8735" width="10.140625" style="2722" customWidth="1"/>
    <col min="8736" max="8736" width="10.42578125" style="2722" customWidth="1"/>
    <col min="8737" max="8960" width="9.140625" style="2722"/>
    <col min="8961" max="8961" width="3.85546875" style="2722" customWidth="1"/>
    <col min="8962" max="8962" width="13.85546875" style="2722" customWidth="1"/>
    <col min="8963" max="8963" width="3.85546875" style="2722" customWidth="1"/>
    <col min="8964" max="8964" width="11.85546875" style="2722" customWidth="1"/>
    <col min="8965" max="8965" width="30.42578125" style="2722" customWidth="1"/>
    <col min="8966" max="8966" width="21.140625" style="2722" customWidth="1"/>
    <col min="8967" max="8969" width="10.140625" style="2722" customWidth="1"/>
    <col min="8970" max="8970" width="11.42578125" style="2722" customWidth="1"/>
    <col min="8971" max="8980" width="10.140625" style="2722" customWidth="1"/>
    <col min="8981" max="8981" width="11" style="2722" customWidth="1"/>
    <col min="8982" max="8983" width="10.140625" style="2722" customWidth="1"/>
    <col min="8984" max="8984" width="9" style="2722" customWidth="1"/>
    <col min="8985" max="8985" width="9.85546875" style="2722" customWidth="1"/>
    <col min="8986" max="8986" width="10" style="2722" customWidth="1"/>
    <col min="8987" max="8987" width="9.140625" style="2722"/>
    <col min="8988" max="8988" width="10.85546875" style="2722" customWidth="1"/>
    <col min="8989" max="8989" width="10.140625" style="2722" customWidth="1"/>
    <col min="8990" max="8990" width="9.140625" style="2722"/>
    <col min="8991" max="8991" width="10.140625" style="2722" customWidth="1"/>
    <col min="8992" max="8992" width="10.42578125" style="2722" customWidth="1"/>
    <col min="8993" max="9216" width="9.140625" style="2722"/>
    <col min="9217" max="9217" width="3.85546875" style="2722" customWidth="1"/>
    <col min="9218" max="9218" width="13.85546875" style="2722" customWidth="1"/>
    <col min="9219" max="9219" width="3.85546875" style="2722" customWidth="1"/>
    <col min="9220" max="9220" width="11.85546875" style="2722" customWidth="1"/>
    <col min="9221" max="9221" width="30.42578125" style="2722" customWidth="1"/>
    <col min="9222" max="9222" width="21.140625" style="2722" customWidth="1"/>
    <col min="9223" max="9225" width="10.140625" style="2722" customWidth="1"/>
    <col min="9226" max="9226" width="11.42578125" style="2722" customWidth="1"/>
    <col min="9227" max="9236" width="10.140625" style="2722" customWidth="1"/>
    <col min="9237" max="9237" width="11" style="2722" customWidth="1"/>
    <col min="9238" max="9239" width="10.140625" style="2722" customWidth="1"/>
    <col min="9240" max="9240" width="9" style="2722" customWidth="1"/>
    <col min="9241" max="9241" width="9.85546875" style="2722" customWidth="1"/>
    <col min="9242" max="9242" width="10" style="2722" customWidth="1"/>
    <col min="9243" max="9243" width="9.140625" style="2722"/>
    <col min="9244" max="9244" width="10.85546875" style="2722" customWidth="1"/>
    <col min="9245" max="9245" width="10.140625" style="2722" customWidth="1"/>
    <col min="9246" max="9246" width="9.140625" style="2722"/>
    <col min="9247" max="9247" width="10.140625" style="2722" customWidth="1"/>
    <col min="9248" max="9248" width="10.42578125" style="2722" customWidth="1"/>
    <col min="9249" max="9472" width="9.140625" style="2722"/>
    <col min="9473" max="9473" width="3.85546875" style="2722" customWidth="1"/>
    <col min="9474" max="9474" width="13.85546875" style="2722" customWidth="1"/>
    <col min="9475" max="9475" width="3.85546875" style="2722" customWidth="1"/>
    <col min="9476" max="9476" width="11.85546875" style="2722" customWidth="1"/>
    <col min="9477" max="9477" width="30.42578125" style="2722" customWidth="1"/>
    <col min="9478" max="9478" width="21.140625" style="2722" customWidth="1"/>
    <col min="9479" max="9481" width="10.140625" style="2722" customWidth="1"/>
    <col min="9482" max="9482" width="11.42578125" style="2722" customWidth="1"/>
    <col min="9483" max="9492" width="10.140625" style="2722" customWidth="1"/>
    <col min="9493" max="9493" width="11" style="2722" customWidth="1"/>
    <col min="9494" max="9495" width="10.140625" style="2722" customWidth="1"/>
    <col min="9496" max="9496" width="9" style="2722" customWidth="1"/>
    <col min="9497" max="9497" width="9.85546875" style="2722" customWidth="1"/>
    <col min="9498" max="9498" width="10" style="2722" customWidth="1"/>
    <col min="9499" max="9499" width="9.140625" style="2722"/>
    <col min="9500" max="9500" width="10.85546875" style="2722" customWidth="1"/>
    <col min="9501" max="9501" width="10.140625" style="2722" customWidth="1"/>
    <col min="9502" max="9502" width="9.140625" style="2722"/>
    <col min="9503" max="9503" width="10.140625" style="2722" customWidth="1"/>
    <col min="9504" max="9504" width="10.42578125" style="2722" customWidth="1"/>
    <col min="9505" max="9728" width="9.140625" style="2722"/>
    <col min="9729" max="9729" width="3.85546875" style="2722" customWidth="1"/>
    <col min="9730" max="9730" width="13.85546875" style="2722" customWidth="1"/>
    <col min="9731" max="9731" width="3.85546875" style="2722" customWidth="1"/>
    <col min="9732" max="9732" width="11.85546875" style="2722" customWidth="1"/>
    <col min="9733" max="9733" width="30.42578125" style="2722" customWidth="1"/>
    <col min="9734" max="9734" width="21.140625" style="2722" customWidth="1"/>
    <col min="9735" max="9737" width="10.140625" style="2722" customWidth="1"/>
    <col min="9738" max="9738" width="11.42578125" style="2722" customWidth="1"/>
    <col min="9739" max="9748" width="10.140625" style="2722" customWidth="1"/>
    <col min="9749" max="9749" width="11" style="2722" customWidth="1"/>
    <col min="9750" max="9751" width="10.140625" style="2722" customWidth="1"/>
    <col min="9752" max="9752" width="9" style="2722" customWidth="1"/>
    <col min="9753" max="9753" width="9.85546875" style="2722" customWidth="1"/>
    <col min="9754" max="9754" width="10" style="2722" customWidth="1"/>
    <col min="9755" max="9755" width="9.140625" style="2722"/>
    <col min="9756" max="9756" width="10.85546875" style="2722" customWidth="1"/>
    <col min="9757" max="9757" width="10.140625" style="2722" customWidth="1"/>
    <col min="9758" max="9758" width="9.140625" style="2722"/>
    <col min="9759" max="9759" width="10.140625" style="2722" customWidth="1"/>
    <col min="9760" max="9760" width="10.42578125" style="2722" customWidth="1"/>
    <col min="9761" max="9984" width="9.140625" style="2722"/>
    <col min="9985" max="9985" width="3.85546875" style="2722" customWidth="1"/>
    <col min="9986" max="9986" width="13.85546875" style="2722" customWidth="1"/>
    <col min="9987" max="9987" width="3.85546875" style="2722" customWidth="1"/>
    <col min="9988" max="9988" width="11.85546875" style="2722" customWidth="1"/>
    <col min="9989" max="9989" width="30.42578125" style="2722" customWidth="1"/>
    <col min="9990" max="9990" width="21.140625" style="2722" customWidth="1"/>
    <col min="9991" max="9993" width="10.140625" style="2722" customWidth="1"/>
    <col min="9994" max="9994" width="11.42578125" style="2722" customWidth="1"/>
    <col min="9995" max="10004" width="10.140625" style="2722" customWidth="1"/>
    <col min="10005" max="10005" width="11" style="2722" customWidth="1"/>
    <col min="10006" max="10007" width="10.140625" style="2722" customWidth="1"/>
    <col min="10008" max="10008" width="9" style="2722" customWidth="1"/>
    <col min="10009" max="10009" width="9.85546875" style="2722" customWidth="1"/>
    <col min="10010" max="10010" width="10" style="2722" customWidth="1"/>
    <col min="10011" max="10011" width="9.140625" style="2722"/>
    <col min="10012" max="10012" width="10.85546875" style="2722" customWidth="1"/>
    <col min="10013" max="10013" width="10.140625" style="2722" customWidth="1"/>
    <col min="10014" max="10014" width="9.140625" style="2722"/>
    <col min="10015" max="10015" width="10.140625" style="2722" customWidth="1"/>
    <col min="10016" max="10016" width="10.42578125" style="2722" customWidth="1"/>
    <col min="10017" max="10240" width="9.140625" style="2722"/>
    <col min="10241" max="10241" width="3.85546875" style="2722" customWidth="1"/>
    <col min="10242" max="10242" width="13.85546875" style="2722" customWidth="1"/>
    <col min="10243" max="10243" width="3.85546875" style="2722" customWidth="1"/>
    <col min="10244" max="10244" width="11.85546875" style="2722" customWidth="1"/>
    <col min="10245" max="10245" width="30.42578125" style="2722" customWidth="1"/>
    <col min="10246" max="10246" width="21.140625" style="2722" customWidth="1"/>
    <col min="10247" max="10249" width="10.140625" style="2722" customWidth="1"/>
    <col min="10250" max="10250" width="11.42578125" style="2722" customWidth="1"/>
    <col min="10251" max="10260" width="10.140625" style="2722" customWidth="1"/>
    <col min="10261" max="10261" width="11" style="2722" customWidth="1"/>
    <col min="10262" max="10263" width="10.140625" style="2722" customWidth="1"/>
    <col min="10264" max="10264" width="9" style="2722" customWidth="1"/>
    <col min="10265" max="10265" width="9.85546875" style="2722" customWidth="1"/>
    <col min="10266" max="10266" width="10" style="2722" customWidth="1"/>
    <col min="10267" max="10267" width="9.140625" style="2722"/>
    <col min="10268" max="10268" width="10.85546875" style="2722" customWidth="1"/>
    <col min="10269" max="10269" width="10.140625" style="2722" customWidth="1"/>
    <col min="10270" max="10270" width="9.140625" style="2722"/>
    <col min="10271" max="10271" width="10.140625" style="2722" customWidth="1"/>
    <col min="10272" max="10272" width="10.42578125" style="2722" customWidth="1"/>
    <col min="10273" max="10496" width="9.140625" style="2722"/>
    <col min="10497" max="10497" width="3.85546875" style="2722" customWidth="1"/>
    <col min="10498" max="10498" width="13.85546875" style="2722" customWidth="1"/>
    <col min="10499" max="10499" width="3.85546875" style="2722" customWidth="1"/>
    <col min="10500" max="10500" width="11.85546875" style="2722" customWidth="1"/>
    <col min="10501" max="10501" width="30.42578125" style="2722" customWidth="1"/>
    <col min="10502" max="10502" width="21.140625" style="2722" customWidth="1"/>
    <col min="10503" max="10505" width="10.140625" style="2722" customWidth="1"/>
    <col min="10506" max="10506" width="11.42578125" style="2722" customWidth="1"/>
    <col min="10507" max="10516" width="10.140625" style="2722" customWidth="1"/>
    <col min="10517" max="10517" width="11" style="2722" customWidth="1"/>
    <col min="10518" max="10519" width="10.140625" style="2722" customWidth="1"/>
    <col min="10520" max="10520" width="9" style="2722" customWidth="1"/>
    <col min="10521" max="10521" width="9.85546875" style="2722" customWidth="1"/>
    <col min="10522" max="10522" width="10" style="2722" customWidth="1"/>
    <col min="10523" max="10523" width="9.140625" style="2722"/>
    <col min="10524" max="10524" width="10.85546875" style="2722" customWidth="1"/>
    <col min="10525" max="10525" width="10.140625" style="2722" customWidth="1"/>
    <col min="10526" max="10526" width="9.140625" style="2722"/>
    <col min="10527" max="10527" width="10.140625" style="2722" customWidth="1"/>
    <col min="10528" max="10528" width="10.42578125" style="2722" customWidth="1"/>
    <col min="10529" max="10752" width="9.140625" style="2722"/>
    <col min="10753" max="10753" width="3.85546875" style="2722" customWidth="1"/>
    <col min="10754" max="10754" width="13.85546875" style="2722" customWidth="1"/>
    <col min="10755" max="10755" width="3.85546875" style="2722" customWidth="1"/>
    <col min="10756" max="10756" width="11.85546875" style="2722" customWidth="1"/>
    <col min="10757" max="10757" width="30.42578125" style="2722" customWidth="1"/>
    <col min="10758" max="10758" width="21.140625" style="2722" customWidth="1"/>
    <col min="10759" max="10761" width="10.140625" style="2722" customWidth="1"/>
    <col min="10762" max="10762" width="11.42578125" style="2722" customWidth="1"/>
    <col min="10763" max="10772" width="10.140625" style="2722" customWidth="1"/>
    <col min="10773" max="10773" width="11" style="2722" customWidth="1"/>
    <col min="10774" max="10775" width="10.140625" style="2722" customWidth="1"/>
    <col min="10776" max="10776" width="9" style="2722" customWidth="1"/>
    <col min="10777" max="10777" width="9.85546875" style="2722" customWidth="1"/>
    <col min="10778" max="10778" width="10" style="2722" customWidth="1"/>
    <col min="10779" max="10779" width="9.140625" style="2722"/>
    <col min="10780" max="10780" width="10.85546875" style="2722" customWidth="1"/>
    <col min="10781" max="10781" width="10.140625" style="2722" customWidth="1"/>
    <col min="10782" max="10782" width="9.140625" style="2722"/>
    <col min="10783" max="10783" width="10.140625" style="2722" customWidth="1"/>
    <col min="10784" max="10784" width="10.42578125" style="2722" customWidth="1"/>
    <col min="10785" max="11008" width="9.140625" style="2722"/>
    <col min="11009" max="11009" width="3.85546875" style="2722" customWidth="1"/>
    <col min="11010" max="11010" width="13.85546875" style="2722" customWidth="1"/>
    <col min="11011" max="11011" width="3.85546875" style="2722" customWidth="1"/>
    <col min="11012" max="11012" width="11.85546875" style="2722" customWidth="1"/>
    <col min="11013" max="11013" width="30.42578125" style="2722" customWidth="1"/>
    <col min="11014" max="11014" width="21.140625" style="2722" customWidth="1"/>
    <col min="11015" max="11017" width="10.140625" style="2722" customWidth="1"/>
    <col min="11018" max="11018" width="11.42578125" style="2722" customWidth="1"/>
    <col min="11019" max="11028" width="10.140625" style="2722" customWidth="1"/>
    <col min="11029" max="11029" width="11" style="2722" customWidth="1"/>
    <col min="11030" max="11031" width="10.140625" style="2722" customWidth="1"/>
    <col min="11032" max="11032" width="9" style="2722" customWidth="1"/>
    <col min="11033" max="11033" width="9.85546875" style="2722" customWidth="1"/>
    <col min="11034" max="11034" width="10" style="2722" customWidth="1"/>
    <col min="11035" max="11035" width="9.140625" style="2722"/>
    <col min="11036" max="11036" width="10.85546875" style="2722" customWidth="1"/>
    <col min="11037" max="11037" width="10.140625" style="2722" customWidth="1"/>
    <col min="11038" max="11038" width="9.140625" style="2722"/>
    <col min="11039" max="11039" width="10.140625" style="2722" customWidth="1"/>
    <col min="11040" max="11040" width="10.42578125" style="2722" customWidth="1"/>
    <col min="11041" max="11264" width="9.140625" style="2722"/>
    <col min="11265" max="11265" width="3.85546875" style="2722" customWidth="1"/>
    <col min="11266" max="11266" width="13.85546875" style="2722" customWidth="1"/>
    <col min="11267" max="11267" width="3.85546875" style="2722" customWidth="1"/>
    <col min="11268" max="11268" width="11.85546875" style="2722" customWidth="1"/>
    <col min="11269" max="11269" width="30.42578125" style="2722" customWidth="1"/>
    <col min="11270" max="11270" width="21.140625" style="2722" customWidth="1"/>
    <col min="11271" max="11273" width="10.140625" style="2722" customWidth="1"/>
    <col min="11274" max="11274" width="11.42578125" style="2722" customWidth="1"/>
    <col min="11275" max="11284" width="10.140625" style="2722" customWidth="1"/>
    <col min="11285" max="11285" width="11" style="2722" customWidth="1"/>
    <col min="11286" max="11287" width="10.140625" style="2722" customWidth="1"/>
    <col min="11288" max="11288" width="9" style="2722" customWidth="1"/>
    <col min="11289" max="11289" width="9.85546875" style="2722" customWidth="1"/>
    <col min="11290" max="11290" width="10" style="2722" customWidth="1"/>
    <col min="11291" max="11291" width="9.140625" style="2722"/>
    <col min="11292" max="11292" width="10.85546875" style="2722" customWidth="1"/>
    <col min="11293" max="11293" width="10.140625" style="2722" customWidth="1"/>
    <col min="11294" max="11294" width="9.140625" style="2722"/>
    <col min="11295" max="11295" width="10.140625" style="2722" customWidth="1"/>
    <col min="11296" max="11296" width="10.42578125" style="2722" customWidth="1"/>
    <col min="11297" max="11520" width="9.140625" style="2722"/>
    <col min="11521" max="11521" width="3.85546875" style="2722" customWidth="1"/>
    <col min="11522" max="11522" width="13.85546875" style="2722" customWidth="1"/>
    <col min="11523" max="11523" width="3.85546875" style="2722" customWidth="1"/>
    <col min="11524" max="11524" width="11.85546875" style="2722" customWidth="1"/>
    <col min="11525" max="11525" width="30.42578125" style="2722" customWidth="1"/>
    <col min="11526" max="11526" width="21.140625" style="2722" customWidth="1"/>
    <col min="11527" max="11529" width="10.140625" style="2722" customWidth="1"/>
    <col min="11530" max="11530" width="11.42578125" style="2722" customWidth="1"/>
    <col min="11531" max="11540" width="10.140625" style="2722" customWidth="1"/>
    <col min="11541" max="11541" width="11" style="2722" customWidth="1"/>
    <col min="11542" max="11543" width="10.140625" style="2722" customWidth="1"/>
    <col min="11544" max="11544" width="9" style="2722" customWidth="1"/>
    <col min="11545" max="11545" width="9.85546875" style="2722" customWidth="1"/>
    <col min="11546" max="11546" width="10" style="2722" customWidth="1"/>
    <col min="11547" max="11547" width="9.140625" style="2722"/>
    <col min="11548" max="11548" width="10.85546875" style="2722" customWidth="1"/>
    <col min="11549" max="11549" width="10.140625" style="2722" customWidth="1"/>
    <col min="11550" max="11550" width="9.140625" style="2722"/>
    <col min="11551" max="11551" width="10.140625" style="2722" customWidth="1"/>
    <col min="11552" max="11552" width="10.42578125" style="2722" customWidth="1"/>
    <col min="11553" max="11776" width="9.140625" style="2722"/>
    <col min="11777" max="11777" width="3.85546875" style="2722" customWidth="1"/>
    <col min="11778" max="11778" width="13.85546875" style="2722" customWidth="1"/>
    <col min="11779" max="11779" width="3.85546875" style="2722" customWidth="1"/>
    <col min="11780" max="11780" width="11.85546875" style="2722" customWidth="1"/>
    <col min="11781" max="11781" width="30.42578125" style="2722" customWidth="1"/>
    <col min="11782" max="11782" width="21.140625" style="2722" customWidth="1"/>
    <col min="11783" max="11785" width="10.140625" style="2722" customWidth="1"/>
    <col min="11786" max="11786" width="11.42578125" style="2722" customWidth="1"/>
    <col min="11787" max="11796" width="10.140625" style="2722" customWidth="1"/>
    <col min="11797" max="11797" width="11" style="2722" customWidth="1"/>
    <col min="11798" max="11799" width="10.140625" style="2722" customWidth="1"/>
    <col min="11800" max="11800" width="9" style="2722" customWidth="1"/>
    <col min="11801" max="11801" width="9.85546875" style="2722" customWidth="1"/>
    <col min="11802" max="11802" width="10" style="2722" customWidth="1"/>
    <col min="11803" max="11803" width="9.140625" style="2722"/>
    <col min="11804" max="11804" width="10.85546875" style="2722" customWidth="1"/>
    <col min="11805" max="11805" width="10.140625" style="2722" customWidth="1"/>
    <col min="11806" max="11806" width="9.140625" style="2722"/>
    <col min="11807" max="11807" width="10.140625" style="2722" customWidth="1"/>
    <col min="11808" max="11808" width="10.42578125" style="2722" customWidth="1"/>
    <col min="11809" max="12032" width="9.140625" style="2722"/>
    <col min="12033" max="12033" width="3.85546875" style="2722" customWidth="1"/>
    <col min="12034" max="12034" width="13.85546875" style="2722" customWidth="1"/>
    <col min="12035" max="12035" width="3.85546875" style="2722" customWidth="1"/>
    <col min="12036" max="12036" width="11.85546875" style="2722" customWidth="1"/>
    <col min="12037" max="12037" width="30.42578125" style="2722" customWidth="1"/>
    <col min="12038" max="12038" width="21.140625" style="2722" customWidth="1"/>
    <col min="12039" max="12041" width="10.140625" style="2722" customWidth="1"/>
    <col min="12042" max="12042" width="11.42578125" style="2722" customWidth="1"/>
    <col min="12043" max="12052" width="10.140625" style="2722" customWidth="1"/>
    <col min="12053" max="12053" width="11" style="2722" customWidth="1"/>
    <col min="12054" max="12055" width="10.140625" style="2722" customWidth="1"/>
    <col min="12056" max="12056" width="9" style="2722" customWidth="1"/>
    <col min="12057" max="12057" width="9.85546875" style="2722" customWidth="1"/>
    <col min="12058" max="12058" width="10" style="2722" customWidth="1"/>
    <col min="12059" max="12059" width="9.140625" style="2722"/>
    <col min="12060" max="12060" width="10.85546875" style="2722" customWidth="1"/>
    <col min="12061" max="12061" width="10.140625" style="2722" customWidth="1"/>
    <col min="12062" max="12062" width="9.140625" style="2722"/>
    <col min="12063" max="12063" width="10.140625" style="2722" customWidth="1"/>
    <col min="12064" max="12064" width="10.42578125" style="2722" customWidth="1"/>
    <col min="12065" max="12288" width="9.140625" style="2722"/>
    <col min="12289" max="12289" width="3.85546875" style="2722" customWidth="1"/>
    <col min="12290" max="12290" width="13.85546875" style="2722" customWidth="1"/>
    <col min="12291" max="12291" width="3.85546875" style="2722" customWidth="1"/>
    <col min="12292" max="12292" width="11.85546875" style="2722" customWidth="1"/>
    <col min="12293" max="12293" width="30.42578125" style="2722" customWidth="1"/>
    <col min="12294" max="12294" width="21.140625" style="2722" customWidth="1"/>
    <col min="12295" max="12297" width="10.140625" style="2722" customWidth="1"/>
    <col min="12298" max="12298" width="11.42578125" style="2722" customWidth="1"/>
    <col min="12299" max="12308" width="10.140625" style="2722" customWidth="1"/>
    <col min="12309" max="12309" width="11" style="2722" customWidth="1"/>
    <col min="12310" max="12311" width="10.140625" style="2722" customWidth="1"/>
    <col min="12312" max="12312" width="9" style="2722" customWidth="1"/>
    <col min="12313" max="12313" width="9.85546875" style="2722" customWidth="1"/>
    <col min="12314" max="12314" width="10" style="2722" customWidth="1"/>
    <col min="12315" max="12315" width="9.140625" style="2722"/>
    <col min="12316" max="12316" width="10.85546875" style="2722" customWidth="1"/>
    <col min="12317" max="12317" width="10.140625" style="2722" customWidth="1"/>
    <col min="12318" max="12318" width="9.140625" style="2722"/>
    <col min="12319" max="12319" width="10.140625" style="2722" customWidth="1"/>
    <col min="12320" max="12320" width="10.42578125" style="2722" customWidth="1"/>
    <col min="12321" max="12544" width="9.140625" style="2722"/>
    <col min="12545" max="12545" width="3.85546875" style="2722" customWidth="1"/>
    <col min="12546" max="12546" width="13.85546875" style="2722" customWidth="1"/>
    <col min="12547" max="12547" width="3.85546875" style="2722" customWidth="1"/>
    <col min="12548" max="12548" width="11.85546875" style="2722" customWidth="1"/>
    <col min="12549" max="12549" width="30.42578125" style="2722" customWidth="1"/>
    <col min="12550" max="12550" width="21.140625" style="2722" customWidth="1"/>
    <col min="12551" max="12553" width="10.140625" style="2722" customWidth="1"/>
    <col min="12554" max="12554" width="11.42578125" style="2722" customWidth="1"/>
    <col min="12555" max="12564" width="10.140625" style="2722" customWidth="1"/>
    <col min="12565" max="12565" width="11" style="2722" customWidth="1"/>
    <col min="12566" max="12567" width="10.140625" style="2722" customWidth="1"/>
    <col min="12568" max="12568" width="9" style="2722" customWidth="1"/>
    <col min="12569" max="12569" width="9.85546875" style="2722" customWidth="1"/>
    <col min="12570" max="12570" width="10" style="2722" customWidth="1"/>
    <col min="12571" max="12571" width="9.140625" style="2722"/>
    <col min="12572" max="12572" width="10.85546875" style="2722" customWidth="1"/>
    <col min="12573" max="12573" width="10.140625" style="2722" customWidth="1"/>
    <col min="12574" max="12574" width="9.140625" style="2722"/>
    <col min="12575" max="12575" width="10.140625" style="2722" customWidth="1"/>
    <col min="12576" max="12576" width="10.42578125" style="2722" customWidth="1"/>
    <col min="12577" max="12800" width="9.140625" style="2722"/>
    <col min="12801" max="12801" width="3.85546875" style="2722" customWidth="1"/>
    <col min="12802" max="12802" width="13.85546875" style="2722" customWidth="1"/>
    <col min="12803" max="12803" width="3.85546875" style="2722" customWidth="1"/>
    <col min="12804" max="12804" width="11.85546875" style="2722" customWidth="1"/>
    <col min="12805" max="12805" width="30.42578125" style="2722" customWidth="1"/>
    <col min="12806" max="12806" width="21.140625" style="2722" customWidth="1"/>
    <col min="12807" max="12809" width="10.140625" style="2722" customWidth="1"/>
    <col min="12810" max="12810" width="11.42578125" style="2722" customWidth="1"/>
    <col min="12811" max="12820" width="10.140625" style="2722" customWidth="1"/>
    <col min="12821" max="12821" width="11" style="2722" customWidth="1"/>
    <col min="12822" max="12823" width="10.140625" style="2722" customWidth="1"/>
    <col min="12824" max="12824" width="9" style="2722" customWidth="1"/>
    <col min="12825" max="12825" width="9.85546875" style="2722" customWidth="1"/>
    <col min="12826" max="12826" width="10" style="2722" customWidth="1"/>
    <col min="12827" max="12827" width="9.140625" style="2722"/>
    <col min="12828" max="12828" width="10.85546875" style="2722" customWidth="1"/>
    <col min="12829" max="12829" width="10.140625" style="2722" customWidth="1"/>
    <col min="12830" max="12830" width="9.140625" style="2722"/>
    <col min="12831" max="12831" width="10.140625" style="2722" customWidth="1"/>
    <col min="12832" max="12832" width="10.42578125" style="2722" customWidth="1"/>
    <col min="12833" max="13056" width="9.140625" style="2722"/>
    <col min="13057" max="13057" width="3.85546875" style="2722" customWidth="1"/>
    <col min="13058" max="13058" width="13.85546875" style="2722" customWidth="1"/>
    <col min="13059" max="13059" width="3.85546875" style="2722" customWidth="1"/>
    <col min="13060" max="13060" width="11.85546875" style="2722" customWidth="1"/>
    <col min="13061" max="13061" width="30.42578125" style="2722" customWidth="1"/>
    <col min="13062" max="13062" width="21.140625" style="2722" customWidth="1"/>
    <col min="13063" max="13065" width="10.140625" style="2722" customWidth="1"/>
    <col min="13066" max="13066" width="11.42578125" style="2722" customWidth="1"/>
    <col min="13067" max="13076" width="10.140625" style="2722" customWidth="1"/>
    <col min="13077" max="13077" width="11" style="2722" customWidth="1"/>
    <col min="13078" max="13079" width="10.140625" style="2722" customWidth="1"/>
    <col min="13080" max="13080" width="9" style="2722" customWidth="1"/>
    <col min="13081" max="13081" width="9.85546875" style="2722" customWidth="1"/>
    <col min="13082" max="13082" width="10" style="2722" customWidth="1"/>
    <col min="13083" max="13083" width="9.140625" style="2722"/>
    <col min="13084" max="13084" width="10.85546875" style="2722" customWidth="1"/>
    <col min="13085" max="13085" width="10.140625" style="2722" customWidth="1"/>
    <col min="13086" max="13086" width="9.140625" style="2722"/>
    <col min="13087" max="13087" width="10.140625" style="2722" customWidth="1"/>
    <col min="13088" max="13088" width="10.42578125" style="2722" customWidth="1"/>
    <col min="13089" max="13312" width="9.140625" style="2722"/>
    <col min="13313" max="13313" width="3.85546875" style="2722" customWidth="1"/>
    <col min="13314" max="13314" width="13.85546875" style="2722" customWidth="1"/>
    <col min="13315" max="13315" width="3.85546875" style="2722" customWidth="1"/>
    <col min="13316" max="13316" width="11.85546875" style="2722" customWidth="1"/>
    <col min="13317" max="13317" width="30.42578125" style="2722" customWidth="1"/>
    <col min="13318" max="13318" width="21.140625" style="2722" customWidth="1"/>
    <col min="13319" max="13321" width="10.140625" style="2722" customWidth="1"/>
    <col min="13322" max="13322" width="11.42578125" style="2722" customWidth="1"/>
    <col min="13323" max="13332" width="10.140625" style="2722" customWidth="1"/>
    <col min="13333" max="13333" width="11" style="2722" customWidth="1"/>
    <col min="13334" max="13335" width="10.140625" style="2722" customWidth="1"/>
    <col min="13336" max="13336" width="9" style="2722" customWidth="1"/>
    <col min="13337" max="13337" width="9.85546875" style="2722" customWidth="1"/>
    <col min="13338" max="13338" width="10" style="2722" customWidth="1"/>
    <col min="13339" max="13339" width="9.140625" style="2722"/>
    <col min="13340" max="13340" width="10.85546875" style="2722" customWidth="1"/>
    <col min="13341" max="13341" width="10.140625" style="2722" customWidth="1"/>
    <col min="13342" max="13342" width="9.140625" style="2722"/>
    <col min="13343" max="13343" width="10.140625" style="2722" customWidth="1"/>
    <col min="13344" max="13344" width="10.42578125" style="2722" customWidth="1"/>
    <col min="13345" max="13568" width="9.140625" style="2722"/>
    <col min="13569" max="13569" width="3.85546875" style="2722" customWidth="1"/>
    <col min="13570" max="13570" width="13.85546875" style="2722" customWidth="1"/>
    <col min="13571" max="13571" width="3.85546875" style="2722" customWidth="1"/>
    <col min="13572" max="13572" width="11.85546875" style="2722" customWidth="1"/>
    <col min="13573" max="13573" width="30.42578125" style="2722" customWidth="1"/>
    <col min="13574" max="13574" width="21.140625" style="2722" customWidth="1"/>
    <col min="13575" max="13577" width="10.140625" style="2722" customWidth="1"/>
    <col min="13578" max="13578" width="11.42578125" style="2722" customWidth="1"/>
    <col min="13579" max="13588" width="10.140625" style="2722" customWidth="1"/>
    <col min="13589" max="13589" width="11" style="2722" customWidth="1"/>
    <col min="13590" max="13591" width="10.140625" style="2722" customWidth="1"/>
    <col min="13592" max="13592" width="9" style="2722" customWidth="1"/>
    <col min="13593" max="13593" width="9.85546875" style="2722" customWidth="1"/>
    <col min="13594" max="13594" width="10" style="2722" customWidth="1"/>
    <col min="13595" max="13595" width="9.140625" style="2722"/>
    <col min="13596" max="13596" width="10.85546875" style="2722" customWidth="1"/>
    <col min="13597" max="13597" width="10.140625" style="2722" customWidth="1"/>
    <col min="13598" max="13598" width="9.140625" style="2722"/>
    <col min="13599" max="13599" width="10.140625" style="2722" customWidth="1"/>
    <col min="13600" max="13600" width="10.42578125" style="2722" customWidth="1"/>
    <col min="13601" max="13824" width="9.140625" style="2722"/>
    <col min="13825" max="13825" width="3.85546875" style="2722" customWidth="1"/>
    <col min="13826" max="13826" width="13.85546875" style="2722" customWidth="1"/>
    <col min="13827" max="13827" width="3.85546875" style="2722" customWidth="1"/>
    <col min="13828" max="13828" width="11.85546875" style="2722" customWidth="1"/>
    <col min="13829" max="13829" width="30.42578125" style="2722" customWidth="1"/>
    <col min="13830" max="13830" width="21.140625" style="2722" customWidth="1"/>
    <col min="13831" max="13833" width="10.140625" style="2722" customWidth="1"/>
    <col min="13834" max="13834" width="11.42578125" style="2722" customWidth="1"/>
    <col min="13835" max="13844" width="10.140625" style="2722" customWidth="1"/>
    <col min="13845" max="13845" width="11" style="2722" customWidth="1"/>
    <col min="13846" max="13847" width="10.140625" style="2722" customWidth="1"/>
    <col min="13848" max="13848" width="9" style="2722" customWidth="1"/>
    <col min="13849" max="13849" width="9.85546875" style="2722" customWidth="1"/>
    <col min="13850" max="13850" width="10" style="2722" customWidth="1"/>
    <col min="13851" max="13851" width="9.140625" style="2722"/>
    <col min="13852" max="13852" width="10.85546875" style="2722" customWidth="1"/>
    <col min="13853" max="13853" width="10.140625" style="2722" customWidth="1"/>
    <col min="13854" max="13854" width="9.140625" style="2722"/>
    <col min="13855" max="13855" width="10.140625" style="2722" customWidth="1"/>
    <col min="13856" max="13856" width="10.42578125" style="2722" customWidth="1"/>
    <col min="13857" max="14080" width="9.140625" style="2722"/>
    <col min="14081" max="14081" width="3.85546875" style="2722" customWidth="1"/>
    <col min="14082" max="14082" width="13.85546875" style="2722" customWidth="1"/>
    <col min="14083" max="14083" width="3.85546875" style="2722" customWidth="1"/>
    <col min="14084" max="14084" width="11.85546875" style="2722" customWidth="1"/>
    <col min="14085" max="14085" width="30.42578125" style="2722" customWidth="1"/>
    <col min="14086" max="14086" width="21.140625" style="2722" customWidth="1"/>
    <col min="14087" max="14089" width="10.140625" style="2722" customWidth="1"/>
    <col min="14090" max="14090" width="11.42578125" style="2722" customWidth="1"/>
    <col min="14091" max="14100" width="10.140625" style="2722" customWidth="1"/>
    <col min="14101" max="14101" width="11" style="2722" customWidth="1"/>
    <col min="14102" max="14103" width="10.140625" style="2722" customWidth="1"/>
    <col min="14104" max="14104" width="9" style="2722" customWidth="1"/>
    <col min="14105" max="14105" width="9.85546875" style="2722" customWidth="1"/>
    <col min="14106" max="14106" width="10" style="2722" customWidth="1"/>
    <col min="14107" max="14107" width="9.140625" style="2722"/>
    <col min="14108" max="14108" width="10.85546875" style="2722" customWidth="1"/>
    <col min="14109" max="14109" width="10.140625" style="2722" customWidth="1"/>
    <col min="14110" max="14110" width="9.140625" style="2722"/>
    <col min="14111" max="14111" width="10.140625" style="2722" customWidth="1"/>
    <col min="14112" max="14112" width="10.42578125" style="2722" customWidth="1"/>
    <col min="14113" max="14336" width="9.140625" style="2722"/>
    <col min="14337" max="14337" width="3.85546875" style="2722" customWidth="1"/>
    <col min="14338" max="14338" width="13.85546875" style="2722" customWidth="1"/>
    <col min="14339" max="14339" width="3.85546875" style="2722" customWidth="1"/>
    <col min="14340" max="14340" width="11.85546875" style="2722" customWidth="1"/>
    <col min="14341" max="14341" width="30.42578125" style="2722" customWidth="1"/>
    <col min="14342" max="14342" width="21.140625" style="2722" customWidth="1"/>
    <col min="14343" max="14345" width="10.140625" style="2722" customWidth="1"/>
    <col min="14346" max="14346" width="11.42578125" style="2722" customWidth="1"/>
    <col min="14347" max="14356" width="10.140625" style="2722" customWidth="1"/>
    <col min="14357" max="14357" width="11" style="2722" customWidth="1"/>
    <col min="14358" max="14359" width="10.140625" style="2722" customWidth="1"/>
    <col min="14360" max="14360" width="9" style="2722" customWidth="1"/>
    <col min="14361" max="14361" width="9.85546875" style="2722" customWidth="1"/>
    <col min="14362" max="14362" width="10" style="2722" customWidth="1"/>
    <col min="14363" max="14363" width="9.140625" style="2722"/>
    <col min="14364" max="14364" width="10.85546875" style="2722" customWidth="1"/>
    <col min="14365" max="14365" width="10.140625" style="2722" customWidth="1"/>
    <col min="14366" max="14366" width="9.140625" style="2722"/>
    <col min="14367" max="14367" width="10.140625" style="2722" customWidth="1"/>
    <col min="14368" max="14368" width="10.42578125" style="2722" customWidth="1"/>
    <col min="14369" max="14592" width="9.140625" style="2722"/>
    <col min="14593" max="14593" width="3.85546875" style="2722" customWidth="1"/>
    <col min="14594" max="14594" width="13.85546875" style="2722" customWidth="1"/>
    <col min="14595" max="14595" width="3.85546875" style="2722" customWidth="1"/>
    <col min="14596" max="14596" width="11.85546875" style="2722" customWidth="1"/>
    <col min="14597" max="14597" width="30.42578125" style="2722" customWidth="1"/>
    <col min="14598" max="14598" width="21.140625" style="2722" customWidth="1"/>
    <col min="14599" max="14601" width="10.140625" style="2722" customWidth="1"/>
    <col min="14602" max="14602" width="11.42578125" style="2722" customWidth="1"/>
    <col min="14603" max="14612" width="10.140625" style="2722" customWidth="1"/>
    <col min="14613" max="14613" width="11" style="2722" customWidth="1"/>
    <col min="14614" max="14615" width="10.140625" style="2722" customWidth="1"/>
    <col min="14616" max="14616" width="9" style="2722" customWidth="1"/>
    <col min="14617" max="14617" width="9.85546875" style="2722" customWidth="1"/>
    <col min="14618" max="14618" width="10" style="2722" customWidth="1"/>
    <col min="14619" max="14619" width="9.140625" style="2722"/>
    <col min="14620" max="14620" width="10.85546875" style="2722" customWidth="1"/>
    <col min="14621" max="14621" width="10.140625" style="2722" customWidth="1"/>
    <col min="14622" max="14622" width="9.140625" style="2722"/>
    <col min="14623" max="14623" width="10.140625" style="2722" customWidth="1"/>
    <col min="14624" max="14624" width="10.42578125" style="2722" customWidth="1"/>
    <col min="14625" max="14848" width="9.140625" style="2722"/>
    <col min="14849" max="14849" width="3.85546875" style="2722" customWidth="1"/>
    <col min="14850" max="14850" width="13.85546875" style="2722" customWidth="1"/>
    <col min="14851" max="14851" width="3.85546875" style="2722" customWidth="1"/>
    <col min="14852" max="14852" width="11.85546875" style="2722" customWidth="1"/>
    <col min="14853" max="14853" width="30.42578125" style="2722" customWidth="1"/>
    <col min="14854" max="14854" width="21.140625" style="2722" customWidth="1"/>
    <col min="14855" max="14857" width="10.140625" style="2722" customWidth="1"/>
    <col min="14858" max="14858" width="11.42578125" style="2722" customWidth="1"/>
    <col min="14859" max="14868" width="10.140625" style="2722" customWidth="1"/>
    <col min="14869" max="14869" width="11" style="2722" customWidth="1"/>
    <col min="14870" max="14871" width="10.140625" style="2722" customWidth="1"/>
    <col min="14872" max="14872" width="9" style="2722" customWidth="1"/>
    <col min="14873" max="14873" width="9.85546875" style="2722" customWidth="1"/>
    <col min="14874" max="14874" width="10" style="2722" customWidth="1"/>
    <col min="14875" max="14875" width="9.140625" style="2722"/>
    <col min="14876" max="14876" width="10.85546875" style="2722" customWidth="1"/>
    <col min="14877" max="14877" width="10.140625" style="2722" customWidth="1"/>
    <col min="14878" max="14878" width="9.140625" style="2722"/>
    <col min="14879" max="14879" width="10.140625" style="2722" customWidth="1"/>
    <col min="14880" max="14880" width="10.42578125" style="2722" customWidth="1"/>
    <col min="14881" max="15104" width="9.140625" style="2722"/>
    <col min="15105" max="15105" width="3.85546875" style="2722" customWidth="1"/>
    <col min="15106" max="15106" width="13.85546875" style="2722" customWidth="1"/>
    <col min="15107" max="15107" width="3.85546875" style="2722" customWidth="1"/>
    <col min="15108" max="15108" width="11.85546875" style="2722" customWidth="1"/>
    <col min="15109" max="15109" width="30.42578125" style="2722" customWidth="1"/>
    <col min="15110" max="15110" width="21.140625" style="2722" customWidth="1"/>
    <col min="15111" max="15113" width="10.140625" style="2722" customWidth="1"/>
    <col min="15114" max="15114" width="11.42578125" style="2722" customWidth="1"/>
    <col min="15115" max="15124" width="10.140625" style="2722" customWidth="1"/>
    <col min="15125" max="15125" width="11" style="2722" customWidth="1"/>
    <col min="15126" max="15127" width="10.140625" style="2722" customWidth="1"/>
    <col min="15128" max="15128" width="9" style="2722" customWidth="1"/>
    <col min="15129" max="15129" width="9.85546875" style="2722" customWidth="1"/>
    <col min="15130" max="15130" width="10" style="2722" customWidth="1"/>
    <col min="15131" max="15131" width="9.140625" style="2722"/>
    <col min="15132" max="15132" width="10.85546875" style="2722" customWidth="1"/>
    <col min="15133" max="15133" width="10.140625" style="2722" customWidth="1"/>
    <col min="15134" max="15134" width="9.140625" style="2722"/>
    <col min="15135" max="15135" width="10.140625" style="2722" customWidth="1"/>
    <col min="15136" max="15136" width="10.42578125" style="2722" customWidth="1"/>
    <col min="15137" max="15360" width="9.140625" style="2722"/>
    <col min="15361" max="15361" width="3.85546875" style="2722" customWidth="1"/>
    <col min="15362" max="15362" width="13.85546875" style="2722" customWidth="1"/>
    <col min="15363" max="15363" width="3.85546875" style="2722" customWidth="1"/>
    <col min="15364" max="15364" width="11.85546875" style="2722" customWidth="1"/>
    <col min="15365" max="15365" width="30.42578125" style="2722" customWidth="1"/>
    <col min="15366" max="15366" width="21.140625" style="2722" customWidth="1"/>
    <col min="15367" max="15369" width="10.140625" style="2722" customWidth="1"/>
    <col min="15370" max="15370" width="11.42578125" style="2722" customWidth="1"/>
    <col min="15371" max="15380" width="10.140625" style="2722" customWidth="1"/>
    <col min="15381" max="15381" width="11" style="2722" customWidth="1"/>
    <col min="15382" max="15383" width="10.140625" style="2722" customWidth="1"/>
    <col min="15384" max="15384" width="9" style="2722" customWidth="1"/>
    <col min="15385" max="15385" width="9.85546875" style="2722" customWidth="1"/>
    <col min="15386" max="15386" width="10" style="2722" customWidth="1"/>
    <col min="15387" max="15387" width="9.140625" style="2722"/>
    <col min="15388" max="15388" width="10.85546875" style="2722" customWidth="1"/>
    <col min="15389" max="15389" width="10.140625" style="2722" customWidth="1"/>
    <col min="15390" max="15390" width="9.140625" style="2722"/>
    <col min="15391" max="15391" width="10.140625" style="2722" customWidth="1"/>
    <col min="15392" max="15392" width="10.42578125" style="2722" customWidth="1"/>
    <col min="15393" max="15616" width="9.140625" style="2722"/>
    <col min="15617" max="15617" width="3.85546875" style="2722" customWidth="1"/>
    <col min="15618" max="15618" width="13.85546875" style="2722" customWidth="1"/>
    <col min="15619" max="15619" width="3.85546875" style="2722" customWidth="1"/>
    <col min="15620" max="15620" width="11.85546875" style="2722" customWidth="1"/>
    <col min="15621" max="15621" width="30.42578125" style="2722" customWidth="1"/>
    <col min="15622" max="15622" width="21.140625" style="2722" customWidth="1"/>
    <col min="15623" max="15625" width="10.140625" style="2722" customWidth="1"/>
    <col min="15626" max="15626" width="11.42578125" style="2722" customWidth="1"/>
    <col min="15627" max="15636" width="10.140625" style="2722" customWidth="1"/>
    <col min="15637" max="15637" width="11" style="2722" customWidth="1"/>
    <col min="15638" max="15639" width="10.140625" style="2722" customWidth="1"/>
    <col min="15640" max="15640" width="9" style="2722" customWidth="1"/>
    <col min="15641" max="15641" width="9.85546875" style="2722" customWidth="1"/>
    <col min="15642" max="15642" width="10" style="2722" customWidth="1"/>
    <col min="15643" max="15643" width="9.140625" style="2722"/>
    <col min="15644" max="15644" width="10.85546875" style="2722" customWidth="1"/>
    <col min="15645" max="15645" width="10.140625" style="2722" customWidth="1"/>
    <col min="15646" max="15646" width="9.140625" style="2722"/>
    <col min="15647" max="15647" width="10.140625" style="2722" customWidth="1"/>
    <col min="15648" max="15648" width="10.42578125" style="2722" customWidth="1"/>
    <col min="15649" max="15872" width="9.140625" style="2722"/>
    <col min="15873" max="15873" width="3.85546875" style="2722" customWidth="1"/>
    <col min="15874" max="15874" width="13.85546875" style="2722" customWidth="1"/>
    <col min="15875" max="15875" width="3.85546875" style="2722" customWidth="1"/>
    <col min="15876" max="15876" width="11.85546875" style="2722" customWidth="1"/>
    <col min="15877" max="15877" width="30.42578125" style="2722" customWidth="1"/>
    <col min="15878" max="15878" width="21.140625" style="2722" customWidth="1"/>
    <col min="15879" max="15881" width="10.140625" style="2722" customWidth="1"/>
    <col min="15882" max="15882" width="11.42578125" style="2722" customWidth="1"/>
    <col min="15883" max="15892" width="10.140625" style="2722" customWidth="1"/>
    <col min="15893" max="15893" width="11" style="2722" customWidth="1"/>
    <col min="15894" max="15895" width="10.140625" style="2722" customWidth="1"/>
    <col min="15896" max="15896" width="9" style="2722" customWidth="1"/>
    <col min="15897" max="15897" width="9.85546875" style="2722" customWidth="1"/>
    <col min="15898" max="15898" width="10" style="2722" customWidth="1"/>
    <col min="15899" max="15899" width="9.140625" style="2722"/>
    <col min="15900" max="15900" width="10.85546875" style="2722" customWidth="1"/>
    <col min="15901" max="15901" width="10.140625" style="2722" customWidth="1"/>
    <col min="15902" max="15902" width="9.140625" style="2722"/>
    <col min="15903" max="15903" width="10.140625" style="2722" customWidth="1"/>
    <col min="15904" max="15904" width="10.42578125" style="2722" customWidth="1"/>
    <col min="15905" max="16128" width="9.140625" style="2722"/>
    <col min="16129" max="16129" width="3.85546875" style="2722" customWidth="1"/>
    <col min="16130" max="16130" width="13.85546875" style="2722" customWidth="1"/>
    <col min="16131" max="16131" width="3.85546875" style="2722" customWidth="1"/>
    <col min="16132" max="16132" width="11.85546875" style="2722" customWidth="1"/>
    <col min="16133" max="16133" width="30.42578125" style="2722" customWidth="1"/>
    <col min="16134" max="16134" width="21.140625" style="2722" customWidth="1"/>
    <col min="16135" max="16137" width="10.140625" style="2722" customWidth="1"/>
    <col min="16138" max="16138" width="11.42578125" style="2722" customWidth="1"/>
    <col min="16139" max="16148" width="10.140625" style="2722" customWidth="1"/>
    <col min="16149" max="16149" width="11" style="2722" customWidth="1"/>
    <col min="16150" max="16151" width="10.140625" style="2722" customWidth="1"/>
    <col min="16152" max="16152" width="9" style="2722" customWidth="1"/>
    <col min="16153" max="16153" width="9.85546875" style="2722" customWidth="1"/>
    <col min="16154" max="16154" width="10" style="2722" customWidth="1"/>
    <col min="16155" max="16155" width="9.140625" style="2722"/>
    <col min="16156" max="16156" width="10.85546875" style="2722" customWidth="1"/>
    <col min="16157" max="16157" width="10.140625" style="2722" customWidth="1"/>
    <col min="16158" max="16158" width="9.140625" style="2722"/>
    <col min="16159" max="16159" width="10.140625" style="2722" customWidth="1"/>
    <col min="16160" max="16160" width="10.42578125" style="2722" customWidth="1"/>
    <col min="16161" max="16384" width="9.140625" style="2722"/>
  </cols>
  <sheetData>
    <row r="1" spans="1:59" x14ac:dyDescent="0.25">
      <c r="A1" s="2124"/>
      <c r="B1" s="2717"/>
      <c r="C1" s="2717"/>
      <c r="D1" s="510"/>
      <c r="E1" s="510"/>
      <c r="F1" s="510"/>
      <c r="G1" s="859"/>
      <c r="H1" s="859"/>
      <c r="I1" s="859"/>
      <c r="J1" s="859"/>
      <c r="K1" s="859"/>
      <c r="L1" s="859"/>
      <c r="M1" s="859"/>
      <c r="N1" s="859"/>
      <c r="O1" s="859"/>
      <c r="P1" s="859"/>
      <c r="Q1" s="859"/>
      <c r="R1" s="859"/>
      <c r="S1" s="2718"/>
      <c r="T1" s="2719"/>
      <c r="W1" s="2721"/>
    </row>
    <row r="2" spans="1:59" ht="15" customHeight="1" x14ac:dyDescent="0.25">
      <c r="A2" s="2124">
        <v>1</v>
      </c>
      <c r="B2" s="2124" t="s">
        <v>0</v>
      </c>
      <c r="C2" s="2124">
        <v>33</v>
      </c>
      <c r="D2" s="4800" t="s">
        <v>933</v>
      </c>
      <c r="E2" s="4801"/>
      <c r="F2" s="4801"/>
      <c r="G2" s="4801"/>
      <c r="H2" s="4801"/>
      <c r="I2" s="4801"/>
      <c r="J2" s="4801"/>
      <c r="K2" s="4801"/>
      <c r="L2" s="4801"/>
      <c r="M2" s="4801"/>
      <c r="N2" s="4801"/>
      <c r="O2" s="4801"/>
      <c r="P2" s="4802"/>
      <c r="Q2" s="991"/>
      <c r="R2" s="991"/>
      <c r="S2" s="991"/>
      <c r="T2" s="991"/>
      <c r="U2" s="991"/>
      <c r="V2" s="991"/>
      <c r="W2" s="991"/>
    </row>
    <row r="3" spans="1:59" ht="12.75" customHeight="1" x14ac:dyDescent="0.25">
      <c r="A3" s="2124">
        <v>2</v>
      </c>
      <c r="B3" s="2124" t="s">
        <v>2</v>
      </c>
      <c r="C3" s="2124"/>
      <c r="D3" s="4800" t="s">
        <v>934</v>
      </c>
      <c r="E3" s="4801"/>
      <c r="F3" s="4801"/>
      <c r="G3" s="4801"/>
      <c r="H3" s="4801"/>
      <c r="I3" s="4801"/>
      <c r="J3" s="4801"/>
      <c r="K3" s="4801"/>
      <c r="L3" s="4801"/>
      <c r="M3" s="4801"/>
      <c r="N3" s="4801"/>
      <c r="O3" s="4801"/>
      <c r="P3" s="4802"/>
      <c r="Q3" s="991"/>
      <c r="R3" s="991"/>
      <c r="S3" s="991"/>
      <c r="T3" s="991"/>
      <c r="U3" s="991"/>
      <c r="V3" s="991"/>
      <c r="W3" s="991"/>
      <c r="X3" s="10"/>
      <c r="Y3" s="10"/>
    </row>
    <row r="4" spans="1:59" ht="15" customHeight="1" x14ac:dyDescent="0.25">
      <c r="A4" s="2124">
        <v>3</v>
      </c>
      <c r="B4" s="2124" t="s">
        <v>4</v>
      </c>
      <c r="C4" s="2124"/>
      <c r="D4" s="4800" t="s">
        <v>935</v>
      </c>
      <c r="E4" s="4801"/>
      <c r="F4" s="4801"/>
      <c r="G4" s="4801"/>
      <c r="H4" s="4801"/>
      <c r="I4" s="4801"/>
      <c r="J4" s="4801"/>
      <c r="K4" s="4801"/>
      <c r="L4" s="4801"/>
      <c r="M4" s="4801"/>
      <c r="N4" s="4801"/>
      <c r="O4" s="4801"/>
      <c r="P4" s="4802"/>
      <c r="Q4" s="991"/>
      <c r="R4" s="991"/>
      <c r="S4" s="991"/>
      <c r="T4" s="991"/>
      <c r="U4" s="991"/>
      <c r="V4" s="991"/>
      <c r="W4" s="991"/>
      <c r="X4" s="991"/>
      <c r="Y4" s="10"/>
    </row>
    <row r="5" spans="1:59" x14ac:dyDescent="0.25">
      <c r="A5" s="2124">
        <v>4</v>
      </c>
      <c r="B5" s="2124" t="s">
        <v>62</v>
      </c>
      <c r="C5" s="2124"/>
      <c r="D5" s="4800"/>
      <c r="E5" s="4801"/>
      <c r="F5" s="4801"/>
      <c r="G5" s="4801"/>
      <c r="H5" s="4801"/>
      <c r="I5" s="4801"/>
      <c r="J5" s="4801"/>
      <c r="K5" s="4801"/>
      <c r="L5" s="4801"/>
      <c r="M5" s="4801"/>
      <c r="N5" s="4801"/>
      <c r="O5" s="4801"/>
      <c r="P5" s="4802"/>
      <c r="Q5" s="991"/>
      <c r="R5" s="991"/>
      <c r="S5" s="991"/>
      <c r="T5" s="991"/>
      <c r="U5" s="991"/>
      <c r="V5" s="991"/>
      <c r="W5" s="991"/>
      <c r="X5" s="991"/>
      <c r="Y5" s="10"/>
    </row>
    <row r="6" spans="1:59" ht="15" customHeight="1" x14ac:dyDescent="0.25">
      <c r="A6" s="2124"/>
      <c r="B6" s="2124"/>
      <c r="C6" s="2124"/>
      <c r="D6" s="880"/>
      <c r="E6" s="880"/>
      <c r="F6" s="880"/>
      <c r="G6" s="880"/>
      <c r="H6" s="880"/>
      <c r="I6" s="880"/>
      <c r="J6" s="880"/>
      <c r="K6" s="880"/>
      <c r="L6" s="880"/>
      <c r="M6" s="880"/>
      <c r="N6" s="880"/>
      <c r="O6" s="880"/>
      <c r="P6" s="880"/>
      <c r="Q6" s="880"/>
      <c r="R6" s="880"/>
      <c r="S6" s="880"/>
      <c r="T6" s="880"/>
      <c r="U6" s="880"/>
      <c r="V6" s="880"/>
      <c r="W6" s="880"/>
      <c r="X6" s="991"/>
      <c r="Y6" s="10"/>
    </row>
    <row r="7" spans="1:59" ht="15" customHeight="1" x14ac:dyDescent="0.25">
      <c r="A7" s="2124">
        <v>5</v>
      </c>
      <c r="B7" s="2124" t="s">
        <v>6</v>
      </c>
      <c r="C7" s="2124"/>
      <c r="D7" s="880"/>
      <c r="E7" s="880"/>
      <c r="F7" s="880"/>
      <c r="G7" s="880"/>
      <c r="H7" s="880"/>
      <c r="I7" s="880"/>
      <c r="J7" s="880"/>
      <c r="K7" s="880"/>
      <c r="L7" s="880"/>
      <c r="M7" s="880"/>
      <c r="N7" s="880"/>
      <c r="O7" s="880"/>
      <c r="P7" s="880"/>
      <c r="Q7" s="880"/>
      <c r="R7" s="880"/>
      <c r="S7" s="880"/>
      <c r="T7" s="880"/>
      <c r="U7" s="880"/>
      <c r="V7" s="880"/>
      <c r="W7" s="880"/>
      <c r="X7" s="991"/>
      <c r="Y7" s="10"/>
    </row>
    <row r="8" spans="1:59" s="1008" customFormat="1" ht="12.75" x14ac:dyDescent="0.2">
      <c r="A8" s="2723"/>
      <c r="B8" s="2723"/>
      <c r="C8" s="2723"/>
      <c r="D8" s="998" t="s">
        <v>80</v>
      </c>
      <c r="E8" s="656" t="s">
        <v>936</v>
      </c>
      <c r="F8" s="656"/>
      <c r="G8" s="656"/>
      <c r="H8" s="656"/>
    </row>
    <row r="9" spans="1:59" s="1008" customFormat="1" ht="12" x14ac:dyDescent="0.2">
      <c r="A9" s="2724"/>
      <c r="D9" s="2725"/>
      <c r="E9" s="4803">
        <v>2010</v>
      </c>
      <c r="F9" s="4803"/>
      <c r="G9" s="4803"/>
      <c r="H9" s="4803"/>
      <c r="I9" s="4804"/>
      <c r="J9" s="4805">
        <v>2011</v>
      </c>
      <c r="K9" s="4803"/>
      <c r="L9" s="4803"/>
      <c r="M9" s="4803"/>
      <c r="N9" s="4804"/>
      <c r="O9" s="4805">
        <v>2012</v>
      </c>
      <c r="P9" s="4803"/>
      <c r="Q9" s="4803"/>
      <c r="R9" s="4803"/>
      <c r="S9" s="4804"/>
      <c r="T9" s="4805">
        <v>2013</v>
      </c>
      <c r="U9" s="4803"/>
      <c r="V9" s="4803"/>
      <c r="W9" s="4803"/>
      <c r="X9" s="4804"/>
      <c r="Y9" s="4805">
        <v>2014</v>
      </c>
      <c r="Z9" s="4803"/>
      <c r="AA9" s="4803"/>
      <c r="AB9" s="4803"/>
      <c r="AC9" s="4804"/>
      <c r="AD9" s="4805">
        <v>2015</v>
      </c>
      <c r="AE9" s="4803"/>
      <c r="AF9" s="4803"/>
      <c r="AG9" s="4803"/>
      <c r="AH9" s="4804"/>
      <c r="AI9" s="4805">
        <v>2016</v>
      </c>
      <c r="AJ9" s="4803"/>
      <c r="AK9" s="4803"/>
      <c r="AL9" s="4803"/>
      <c r="AM9" s="4804"/>
      <c r="AN9" s="4805">
        <v>2017</v>
      </c>
      <c r="AO9" s="4803"/>
      <c r="AP9" s="4803"/>
      <c r="AQ9" s="4803"/>
      <c r="AR9" s="4804"/>
      <c r="AS9" s="4805">
        <v>2018</v>
      </c>
      <c r="AT9" s="4803"/>
      <c r="AU9" s="4803"/>
      <c r="AV9" s="4803"/>
      <c r="AW9" s="4804"/>
      <c r="AX9" s="4805">
        <v>2019</v>
      </c>
      <c r="AY9" s="4803"/>
      <c r="AZ9" s="4803"/>
      <c r="BA9" s="4803"/>
      <c r="BB9" s="4804"/>
      <c r="BC9" s="4805">
        <v>2020</v>
      </c>
      <c r="BD9" s="4803"/>
      <c r="BE9" s="4803"/>
      <c r="BF9" s="4803"/>
      <c r="BG9" s="4804"/>
    </row>
    <row r="10" spans="1:59" s="1008" customFormat="1" ht="12" x14ac:dyDescent="0.2">
      <c r="A10" s="2724"/>
      <c r="D10" s="2726"/>
      <c r="E10" s="2727" t="s">
        <v>937</v>
      </c>
      <c r="F10" s="2728" t="s">
        <v>938</v>
      </c>
      <c r="G10" s="2728" t="s">
        <v>939</v>
      </c>
      <c r="H10" s="2728" t="s">
        <v>940</v>
      </c>
      <c r="I10" s="2729" t="s">
        <v>50</v>
      </c>
      <c r="J10" s="2728" t="s">
        <v>937</v>
      </c>
      <c r="K10" s="2728" t="s">
        <v>938</v>
      </c>
      <c r="L10" s="2728" t="s">
        <v>939</v>
      </c>
      <c r="M10" s="2728" t="s">
        <v>940</v>
      </c>
      <c r="N10" s="2729" t="s">
        <v>50</v>
      </c>
      <c r="O10" s="2727" t="s">
        <v>937</v>
      </c>
      <c r="P10" s="2728" t="s">
        <v>938</v>
      </c>
      <c r="Q10" s="2728" t="s">
        <v>939</v>
      </c>
      <c r="R10" s="2728" t="s">
        <v>940</v>
      </c>
      <c r="S10" s="2729" t="s">
        <v>50</v>
      </c>
      <c r="T10" s="2727" t="s">
        <v>937</v>
      </c>
      <c r="U10" s="2728" t="s">
        <v>938</v>
      </c>
      <c r="V10" s="2728" t="s">
        <v>939</v>
      </c>
      <c r="W10" s="2728" t="s">
        <v>940</v>
      </c>
      <c r="X10" s="2729" t="s">
        <v>50</v>
      </c>
      <c r="Y10" s="2728" t="s">
        <v>937</v>
      </c>
      <c r="Z10" s="2728" t="s">
        <v>938</v>
      </c>
      <c r="AA10" s="2728" t="s">
        <v>939</v>
      </c>
      <c r="AB10" s="2728" t="s">
        <v>940</v>
      </c>
      <c r="AC10" s="2729" t="s">
        <v>50</v>
      </c>
      <c r="AD10" s="2728" t="s">
        <v>937</v>
      </c>
      <c r="AE10" s="2728" t="s">
        <v>938</v>
      </c>
      <c r="AF10" s="2728" t="s">
        <v>939</v>
      </c>
      <c r="AG10" s="2728" t="s">
        <v>940</v>
      </c>
      <c r="AH10" s="2729" t="s">
        <v>50</v>
      </c>
      <c r="AI10" s="2728" t="s">
        <v>937</v>
      </c>
      <c r="AJ10" s="2728" t="s">
        <v>938</v>
      </c>
      <c r="AK10" s="2728" t="s">
        <v>939</v>
      </c>
      <c r="AL10" s="2728" t="s">
        <v>940</v>
      </c>
      <c r="AM10" s="2729" t="s">
        <v>50</v>
      </c>
      <c r="AN10" s="2728" t="s">
        <v>937</v>
      </c>
      <c r="AO10" s="2728" t="s">
        <v>938</v>
      </c>
      <c r="AP10" s="2728" t="s">
        <v>939</v>
      </c>
      <c r="AQ10" s="2728" t="s">
        <v>940</v>
      </c>
      <c r="AR10" s="2729" t="s">
        <v>50</v>
      </c>
      <c r="AS10" s="2728" t="s">
        <v>937</v>
      </c>
      <c r="AT10" s="2728" t="s">
        <v>938</v>
      </c>
      <c r="AU10" s="2728" t="s">
        <v>939</v>
      </c>
      <c r="AV10" s="2728" t="s">
        <v>940</v>
      </c>
      <c r="AW10" s="2729" t="s">
        <v>50</v>
      </c>
      <c r="AX10" s="2728" t="s">
        <v>937</v>
      </c>
      <c r="AY10" s="2728" t="s">
        <v>938</v>
      </c>
      <c r="AZ10" s="2728" t="s">
        <v>939</v>
      </c>
      <c r="BA10" s="2728" t="s">
        <v>940</v>
      </c>
      <c r="BB10" s="2729" t="s">
        <v>50</v>
      </c>
      <c r="BC10" s="2727" t="s">
        <v>937</v>
      </c>
      <c r="BD10" s="2728" t="s">
        <v>938</v>
      </c>
      <c r="BE10" s="2728" t="s">
        <v>939</v>
      </c>
      <c r="BF10" s="2728" t="s">
        <v>940</v>
      </c>
      <c r="BG10" s="2729" t="s">
        <v>50</v>
      </c>
    </row>
    <row r="11" spans="1:59" s="1008" customFormat="1" ht="12" x14ac:dyDescent="0.2">
      <c r="A11" s="2724"/>
      <c r="D11" s="2730" t="s">
        <v>941</v>
      </c>
      <c r="E11" s="2731">
        <v>12772022</v>
      </c>
      <c r="F11" s="2732">
        <v>23247</v>
      </c>
      <c r="G11" s="2732">
        <v>514551</v>
      </c>
      <c r="H11" s="2732">
        <v>13114</v>
      </c>
      <c r="I11" s="2733">
        <v>13322935</v>
      </c>
      <c r="J11" s="2732">
        <v>10293764</v>
      </c>
      <c r="K11" s="2732">
        <v>12523</v>
      </c>
      <c r="L11" s="2732">
        <v>362515</v>
      </c>
      <c r="M11" s="2732">
        <v>10500</v>
      </c>
      <c r="N11" s="3671">
        <v>10679300</v>
      </c>
      <c r="O11" s="2732">
        <v>11094986</v>
      </c>
      <c r="P11" s="2732">
        <v>11547</v>
      </c>
      <c r="Q11" s="2732">
        <v>449710</v>
      </c>
      <c r="R11" s="2732">
        <v>10434</v>
      </c>
      <c r="S11" s="3671">
        <v>11566676</v>
      </c>
      <c r="T11" s="2732">
        <v>11460832</v>
      </c>
      <c r="U11" s="2732">
        <v>10649</v>
      </c>
      <c r="V11" s="2732">
        <v>500717</v>
      </c>
      <c r="W11" s="2732">
        <v>9758</v>
      </c>
      <c r="X11" s="2733">
        <v>11981955</v>
      </c>
      <c r="Y11" s="2732">
        <v>12293179</v>
      </c>
      <c r="Z11" s="2732">
        <v>9869</v>
      </c>
      <c r="AA11" s="2732">
        <v>574241</v>
      </c>
      <c r="AB11" s="2732">
        <v>8817</v>
      </c>
      <c r="AC11" s="2733">
        <v>12886107</v>
      </c>
      <c r="AD11" s="2732">
        <v>12725246</v>
      </c>
      <c r="AE11" s="2732">
        <v>8766</v>
      </c>
      <c r="AF11" s="2732">
        <v>609427</v>
      </c>
      <c r="AG11" s="2732">
        <v>7730</v>
      </c>
      <c r="AH11" s="2733">
        <v>13351169</v>
      </c>
      <c r="AI11" s="2732">
        <v>14713976</v>
      </c>
      <c r="AJ11" s="2732">
        <v>10443</v>
      </c>
      <c r="AK11" s="2732">
        <v>669943</v>
      </c>
      <c r="AL11" s="2732">
        <v>14154</v>
      </c>
      <c r="AM11" s="2733">
        <v>15408516</v>
      </c>
      <c r="AN11" s="2732">
        <v>15818957</v>
      </c>
      <c r="AO11" s="2732">
        <v>11171</v>
      </c>
      <c r="AP11" s="2732">
        <v>704911</v>
      </c>
      <c r="AQ11" s="2732">
        <v>20898</v>
      </c>
      <c r="AR11" s="2733">
        <v>16555937</v>
      </c>
      <c r="AS11" s="2732">
        <v>16284025</v>
      </c>
      <c r="AT11" s="2732">
        <v>11502</v>
      </c>
      <c r="AU11" s="2732">
        <v>701720</v>
      </c>
      <c r="AV11" s="2732">
        <v>25759</v>
      </c>
      <c r="AW11" s="2733">
        <v>17023006</v>
      </c>
      <c r="AX11" s="2732">
        <v>17007584</v>
      </c>
      <c r="AY11" s="2732">
        <v>12252</v>
      </c>
      <c r="AZ11" s="2732">
        <v>718536</v>
      </c>
      <c r="BA11" s="2732">
        <v>29700</v>
      </c>
      <c r="BB11" s="3671">
        <v>17768071</v>
      </c>
      <c r="BC11" s="2732">
        <v>18634506</v>
      </c>
      <c r="BD11" s="2732">
        <v>14433</v>
      </c>
      <c r="BE11" s="2732">
        <v>803955</v>
      </c>
      <c r="BF11" s="2732">
        <v>36344</v>
      </c>
      <c r="BG11" s="2733">
        <v>19489238</v>
      </c>
    </row>
    <row r="12" spans="1:59" s="1008" customFormat="1" ht="12" x14ac:dyDescent="0.2">
      <c r="A12" s="2724"/>
      <c r="D12" s="2730" t="s">
        <v>942</v>
      </c>
      <c r="E12" s="2734">
        <v>0.316</v>
      </c>
      <c r="F12" s="2735">
        <v>5.0000000000000001E-3</v>
      </c>
      <c r="G12" s="2735">
        <v>0.112</v>
      </c>
      <c r="H12" s="2735">
        <v>0.01</v>
      </c>
      <c r="I12" s="2736">
        <v>0.26100000000000001</v>
      </c>
      <c r="J12" s="2735">
        <v>0.25</v>
      </c>
      <c r="K12" s="2735">
        <v>3.0000000000000001E-3</v>
      </c>
      <c r="L12" s="2735">
        <v>7.8E-2</v>
      </c>
      <c r="M12" s="2735">
        <v>8.0000000000000002E-3</v>
      </c>
      <c r="N12" s="2736">
        <v>0.20499999999999999</v>
      </c>
      <c r="O12" s="2735">
        <v>0.26400000000000001</v>
      </c>
      <c r="P12" s="2735">
        <v>2E-3</v>
      </c>
      <c r="Q12" s="2735">
        <v>9.5000000000000001E-2</v>
      </c>
      <c r="R12" s="2735">
        <v>8.0000000000000002E-3</v>
      </c>
      <c r="S12" s="2736">
        <v>0.219</v>
      </c>
      <c r="T12" s="2735">
        <v>0.26800000000000002</v>
      </c>
      <c r="U12" s="2735">
        <v>2E-3</v>
      </c>
      <c r="V12" s="2735">
        <v>0.104</v>
      </c>
      <c r="W12" s="2735">
        <v>7.0000000000000001E-3</v>
      </c>
      <c r="X12" s="2736">
        <v>0.223</v>
      </c>
      <c r="Y12" s="3672">
        <v>0.28199999999999997</v>
      </c>
      <c r="Z12" s="3672">
        <v>2E-3</v>
      </c>
      <c r="AA12" s="3672">
        <v>0.11799999999999999</v>
      </c>
      <c r="AB12" s="3672">
        <v>6.0000000000000001E-3</v>
      </c>
      <c r="AC12" s="3673">
        <v>0.23599999999999999</v>
      </c>
      <c r="AD12" s="3672">
        <v>0.28699999999999998</v>
      </c>
      <c r="AE12" s="3672">
        <v>2E-3</v>
      </c>
      <c r="AF12" s="3672">
        <v>0.123</v>
      </c>
      <c r="AG12" s="3672">
        <v>5.0000000000000001E-3</v>
      </c>
      <c r="AH12" s="3673">
        <v>0.24099999999999999</v>
      </c>
      <c r="AI12" s="3672">
        <v>0.32600000000000001</v>
      </c>
      <c r="AJ12" s="3672">
        <v>2E-3</v>
      </c>
      <c r="AK12" s="3672">
        <v>0.13400000000000001</v>
      </c>
      <c r="AL12" s="3672">
        <v>0.01</v>
      </c>
      <c r="AM12" s="3673">
        <v>0.27300000000000002</v>
      </c>
      <c r="AN12" s="3672">
        <v>0.34399999999999997</v>
      </c>
      <c r="AO12" s="3672">
        <v>2E-3</v>
      </c>
      <c r="AP12" s="3672">
        <v>0.13900000000000001</v>
      </c>
      <c r="AQ12" s="3672">
        <v>1.4E-2</v>
      </c>
      <c r="AR12" s="3673">
        <v>0.28899999999999998</v>
      </c>
      <c r="AS12" s="3672">
        <v>0.34799999999999998</v>
      </c>
      <c r="AT12" s="3672">
        <v>2E-3</v>
      </c>
      <c r="AU12" s="3672">
        <v>0.13600000000000001</v>
      </c>
      <c r="AV12" s="3672">
        <v>1.7000000000000001E-2</v>
      </c>
      <c r="AW12" s="3673">
        <v>0.29299999999999998</v>
      </c>
      <c r="AX12" s="3672">
        <v>0.35699999999999998</v>
      </c>
      <c r="AY12" s="3672">
        <v>3.0000000000000001E-3</v>
      </c>
      <c r="AZ12" s="3672">
        <v>0.13800000000000001</v>
      </c>
      <c r="BA12" s="3672">
        <v>0.02</v>
      </c>
      <c r="BB12" s="3673">
        <v>0.30099999999999999</v>
      </c>
      <c r="BC12" s="3672">
        <v>0.38500000000000001</v>
      </c>
      <c r="BD12" s="3672">
        <v>3.0000000000000001E-3</v>
      </c>
      <c r="BE12" s="3672">
        <v>0.153</v>
      </c>
      <c r="BF12" s="3672">
        <v>2.4E-2</v>
      </c>
      <c r="BG12" s="3673">
        <v>0.32600000000000001</v>
      </c>
    </row>
    <row r="13" spans="1:59" s="1008" customFormat="1" ht="12" x14ac:dyDescent="0.2">
      <c r="A13" s="2724"/>
      <c r="D13" s="671"/>
      <c r="E13" s="898"/>
      <c r="F13" s="898"/>
      <c r="G13" s="898"/>
      <c r="H13" s="898"/>
      <c r="I13" s="898"/>
      <c r="J13" s="898"/>
      <c r="K13" s="898"/>
      <c r="L13" s="898"/>
      <c r="M13" s="898"/>
      <c r="N13" s="898"/>
      <c r="O13" s="898"/>
      <c r="P13" s="898"/>
      <c r="Q13" s="898"/>
      <c r="R13" s="898"/>
      <c r="S13" s="898"/>
      <c r="T13" s="898"/>
      <c r="U13" s="898"/>
      <c r="V13" s="898"/>
      <c r="W13" s="898"/>
      <c r="X13" s="898"/>
      <c r="Y13" s="2737"/>
      <c r="Z13" s="2737"/>
      <c r="AA13" s="2737"/>
      <c r="AB13" s="2737"/>
      <c r="AC13" s="2737"/>
    </row>
    <row r="14" spans="1:59" s="1008" customFormat="1" ht="12" x14ac:dyDescent="0.2">
      <c r="A14" s="2724"/>
      <c r="D14" s="671"/>
      <c r="E14" s="898"/>
      <c r="F14" s="898"/>
      <c r="G14" s="898"/>
      <c r="H14" s="898"/>
      <c r="I14" s="898"/>
      <c r="J14" s="898"/>
      <c r="K14" s="898"/>
      <c r="L14" s="898"/>
      <c r="M14" s="898"/>
      <c r="N14" s="898"/>
      <c r="O14" s="898"/>
      <c r="P14" s="898"/>
      <c r="Q14" s="898"/>
      <c r="R14" s="898"/>
      <c r="S14" s="898"/>
      <c r="T14" s="898"/>
      <c r="U14" s="898"/>
      <c r="V14" s="898"/>
      <c r="W14" s="898"/>
      <c r="X14" s="898"/>
      <c r="Y14" s="2737"/>
      <c r="Z14" s="2737"/>
      <c r="AA14" s="2737"/>
      <c r="AB14" s="2737"/>
      <c r="AC14" s="2737"/>
    </row>
    <row r="15" spans="1:59" s="1008" customFormat="1" ht="12.75" x14ac:dyDescent="0.2">
      <c r="A15" s="2724"/>
      <c r="D15" s="72" t="s">
        <v>267</v>
      </c>
      <c r="E15" s="896" t="s">
        <v>943</v>
      </c>
      <c r="F15" s="897"/>
      <c r="G15" s="897"/>
      <c r="H15" s="555"/>
      <c r="I15" s="555"/>
      <c r="J15" s="555"/>
      <c r="K15" s="555"/>
      <c r="L15" s="555"/>
      <c r="M15" s="555"/>
      <c r="N15" s="555"/>
      <c r="O15" s="898"/>
      <c r="P15" s="898"/>
      <c r="Q15" s="898"/>
      <c r="R15" s="898"/>
      <c r="S15" s="898"/>
      <c r="T15" s="898"/>
      <c r="U15" s="898"/>
      <c r="V15" s="898"/>
      <c r="W15" s="898"/>
      <c r="X15" s="898"/>
      <c r="Y15" s="2737"/>
      <c r="Z15" s="2737"/>
      <c r="AA15" s="2737"/>
      <c r="AB15" s="2737"/>
      <c r="AC15" s="2737"/>
      <c r="BA15" s="2738"/>
    </row>
    <row r="16" spans="1:59" s="1008" customFormat="1" ht="12" x14ac:dyDescent="0.2">
      <c r="A16" s="2724"/>
      <c r="D16" s="824" t="s">
        <v>944</v>
      </c>
      <c r="E16" s="128">
        <v>2010</v>
      </c>
      <c r="F16" s="128">
        <v>2011</v>
      </c>
      <c r="G16" s="128">
        <v>2012</v>
      </c>
      <c r="H16" s="128">
        <v>2013</v>
      </c>
      <c r="I16" s="128">
        <v>2014</v>
      </c>
      <c r="J16" s="128">
        <v>2015</v>
      </c>
      <c r="K16" s="128">
        <v>2016</v>
      </c>
      <c r="L16" s="128">
        <v>2017</v>
      </c>
      <c r="M16" s="128">
        <v>2018</v>
      </c>
      <c r="N16" s="128">
        <v>2019</v>
      </c>
      <c r="O16" s="129">
        <v>2020</v>
      </c>
      <c r="P16" s="898"/>
      <c r="Q16" s="898"/>
      <c r="R16" s="898"/>
      <c r="S16" s="898"/>
      <c r="T16" s="898"/>
      <c r="U16" s="898"/>
      <c r="V16" s="898"/>
      <c r="W16" s="898"/>
      <c r="X16" s="898"/>
      <c r="Y16" s="2737"/>
      <c r="Z16" s="2737"/>
      <c r="AA16" s="2737"/>
      <c r="AB16" s="2737"/>
      <c r="AC16" s="2737"/>
    </row>
    <row r="17" spans="1:31" s="1008" customFormat="1" ht="12" x14ac:dyDescent="0.2">
      <c r="A17" s="2724"/>
      <c r="D17" s="181" t="s">
        <v>276</v>
      </c>
      <c r="E17" s="2739">
        <v>0.34200000000000003</v>
      </c>
      <c r="F17" s="2739">
        <v>0.27600000000000002</v>
      </c>
      <c r="G17" s="2739">
        <v>0.29099999999999998</v>
      </c>
      <c r="H17" s="2739">
        <v>0.29499999999999998</v>
      </c>
      <c r="I17" s="2739">
        <v>0.311</v>
      </c>
      <c r="J17" s="2739">
        <v>0.316</v>
      </c>
      <c r="K17" s="2739">
        <v>0.35599999999999998</v>
      </c>
      <c r="L17" s="2739">
        <v>0.372</v>
      </c>
      <c r="M17" s="2739">
        <v>0.374</v>
      </c>
      <c r="N17" s="2739">
        <v>0.38400000000000001</v>
      </c>
      <c r="O17" s="2740">
        <v>0.41299999999999998</v>
      </c>
      <c r="P17" s="898"/>
      <c r="Q17" s="898"/>
      <c r="R17" s="898"/>
      <c r="S17" s="898"/>
      <c r="T17" s="898"/>
      <c r="U17" s="898"/>
      <c r="V17" s="898"/>
      <c r="W17" s="898"/>
      <c r="X17" s="898"/>
      <c r="Y17" s="2737"/>
      <c r="Z17" s="2737"/>
      <c r="AA17" s="2737"/>
      <c r="AB17" s="2737"/>
      <c r="AC17" s="2737"/>
    </row>
    <row r="18" spans="1:31" s="1008" customFormat="1" ht="12" x14ac:dyDescent="0.2">
      <c r="A18" s="2724"/>
      <c r="D18" s="181" t="s">
        <v>277</v>
      </c>
      <c r="E18" s="2739">
        <v>0.25</v>
      </c>
      <c r="F18" s="2739">
        <v>0.192</v>
      </c>
      <c r="G18" s="2739">
        <v>0.20899999999999999</v>
      </c>
      <c r="H18" s="2739">
        <v>0.21099999999999999</v>
      </c>
      <c r="I18" s="2739">
        <v>0.222</v>
      </c>
      <c r="J18" s="2739">
        <v>0.224</v>
      </c>
      <c r="K18" s="2739">
        <v>0.26</v>
      </c>
      <c r="L18" s="2739">
        <v>0.27400000000000002</v>
      </c>
      <c r="M18" s="2739">
        <v>0.27600000000000002</v>
      </c>
      <c r="N18" s="2739">
        <v>0.28199999999999997</v>
      </c>
      <c r="O18" s="2740">
        <v>0.307</v>
      </c>
      <c r="P18" s="898"/>
      <c r="Q18" s="898"/>
      <c r="R18" s="898"/>
      <c r="S18" s="898"/>
      <c r="T18" s="898"/>
      <c r="U18" s="898"/>
      <c r="V18" s="898"/>
      <c r="W18" s="898"/>
      <c r="X18" s="898"/>
      <c r="Y18" s="2737"/>
      <c r="Z18" s="2737"/>
      <c r="AA18" s="2737"/>
      <c r="AB18" s="2737"/>
      <c r="AC18" s="2737"/>
    </row>
    <row r="19" spans="1:31" s="1008" customFormat="1" ht="12" x14ac:dyDescent="0.2">
      <c r="A19" s="2724"/>
      <c r="D19" s="181" t="s">
        <v>278</v>
      </c>
      <c r="E19" s="2739">
        <v>0.17399999999999999</v>
      </c>
      <c r="F19" s="2739">
        <v>0.13300000000000001</v>
      </c>
      <c r="G19" s="2739">
        <v>0.14499999999999999</v>
      </c>
      <c r="H19" s="2739">
        <v>0.14899999999999999</v>
      </c>
      <c r="I19" s="2739">
        <v>0.158</v>
      </c>
      <c r="J19" s="2739">
        <v>0.16200000000000001</v>
      </c>
      <c r="K19" s="2739">
        <v>0.187</v>
      </c>
      <c r="L19" s="2739">
        <v>0.20200000000000001</v>
      </c>
      <c r="M19" s="2739">
        <v>0.20699999999999999</v>
      </c>
      <c r="N19" s="2739">
        <v>0.215</v>
      </c>
      <c r="O19" s="2740">
        <v>0.23799999999999999</v>
      </c>
      <c r="P19" s="898"/>
      <c r="Q19" s="898"/>
      <c r="R19" s="898"/>
      <c r="S19" s="898"/>
      <c r="T19" s="898"/>
      <c r="U19" s="898"/>
      <c r="V19" s="898"/>
      <c r="W19" s="898"/>
      <c r="X19" s="898"/>
      <c r="Y19" s="2737"/>
      <c r="Z19" s="2737"/>
      <c r="AA19" s="2737"/>
      <c r="AB19" s="2737"/>
      <c r="AC19" s="2737"/>
    </row>
    <row r="20" spans="1:31" s="1008" customFormat="1" ht="12" x14ac:dyDescent="0.2">
      <c r="A20" s="2724"/>
      <c r="D20" s="181" t="s">
        <v>641</v>
      </c>
      <c r="E20" s="2739">
        <v>0.32400000000000001</v>
      </c>
      <c r="F20" s="2739">
        <v>0.26200000000000001</v>
      </c>
      <c r="G20" s="2739">
        <v>0.27800000000000002</v>
      </c>
      <c r="H20" s="2739">
        <v>0.28299999999999997</v>
      </c>
      <c r="I20" s="2739">
        <v>0.29699999999999999</v>
      </c>
      <c r="J20" s="2739">
        <v>0.30299999999999999</v>
      </c>
      <c r="K20" s="2739">
        <v>0.34399999999999997</v>
      </c>
      <c r="L20" s="2739">
        <v>0.36299999999999999</v>
      </c>
      <c r="M20" s="2739">
        <v>0.36799999999999999</v>
      </c>
      <c r="N20" s="2739">
        <v>0.378</v>
      </c>
      <c r="O20" s="2740">
        <v>0.40400000000000003</v>
      </c>
      <c r="P20" s="898"/>
      <c r="Q20" s="898"/>
      <c r="R20" s="898"/>
      <c r="S20" s="898"/>
      <c r="T20" s="898"/>
      <c r="U20" s="898"/>
      <c r="V20" s="898"/>
      <c r="W20" s="898"/>
      <c r="X20" s="898"/>
      <c r="Y20" s="2737"/>
      <c r="Z20" s="2737"/>
      <c r="AA20" s="2737"/>
      <c r="AB20" s="2737"/>
      <c r="AC20" s="2737"/>
    </row>
    <row r="21" spans="1:31" s="1008" customFormat="1" ht="12" x14ac:dyDescent="0.2">
      <c r="A21" s="2724"/>
      <c r="D21" s="181" t="s">
        <v>280</v>
      </c>
      <c r="E21" s="2739">
        <v>0.34799999999999998</v>
      </c>
      <c r="F21" s="2739">
        <v>0.27800000000000002</v>
      </c>
      <c r="G21" s="2739">
        <v>0.28899999999999998</v>
      </c>
      <c r="H21" s="2739">
        <v>0.29199999999999998</v>
      </c>
      <c r="I21" s="2739">
        <v>0.30599999999999999</v>
      </c>
      <c r="J21" s="2739">
        <v>0.309</v>
      </c>
      <c r="K21" s="2739">
        <v>0.34599999999999997</v>
      </c>
      <c r="L21" s="2739">
        <v>0.36299999999999999</v>
      </c>
      <c r="M21" s="2739">
        <v>0.36499999999999999</v>
      </c>
      <c r="N21" s="2739">
        <v>0.374</v>
      </c>
      <c r="O21" s="2740">
        <v>0.40200000000000002</v>
      </c>
      <c r="P21" s="898"/>
      <c r="Q21" s="898"/>
      <c r="R21" s="898"/>
      <c r="S21" s="898"/>
      <c r="T21" s="898"/>
      <c r="U21" s="898"/>
      <c r="V21" s="898"/>
      <c r="W21" s="898"/>
      <c r="X21" s="898"/>
      <c r="Y21" s="2737"/>
      <c r="Z21" s="2737"/>
      <c r="AA21" s="2737"/>
      <c r="AB21" s="2737"/>
      <c r="AC21" s="2737"/>
    </row>
    <row r="22" spans="1:31" s="1008" customFormat="1" ht="12" x14ac:dyDescent="0.2">
      <c r="A22" s="2724"/>
      <c r="D22" s="181" t="s">
        <v>281</v>
      </c>
      <c r="E22" s="2739">
        <v>0.29199999999999998</v>
      </c>
      <c r="F22" s="2739">
        <v>0.23</v>
      </c>
      <c r="G22" s="2739">
        <v>0.23899999999999999</v>
      </c>
      <c r="H22" s="2739">
        <v>0.246</v>
      </c>
      <c r="I22" s="2739">
        <v>0.26</v>
      </c>
      <c r="J22" s="2739">
        <v>0.26800000000000002</v>
      </c>
      <c r="K22" s="2739">
        <v>0.307</v>
      </c>
      <c r="L22" s="2739">
        <v>0.32400000000000001</v>
      </c>
      <c r="M22" s="2739">
        <v>0.32800000000000001</v>
      </c>
      <c r="N22" s="2739">
        <v>0.33700000000000002</v>
      </c>
      <c r="O22" s="2740">
        <v>0.36299999999999999</v>
      </c>
      <c r="P22" s="898"/>
      <c r="Q22" s="898"/>
      <c r="R22" s="898"/>
      <c r="S22" s="898"/>
      <c r="T22" s="898"/>
      <c r="U22" s="898"/>
      <c r="V22" s="898"/>
      <c r="W22" s="898"/>
      <c r="X22" s="898"/>
      <c r="Y22" s="2737"/>
      <c r="Z22" s="2737"/>
      <c r="AA22" s="2737"/>
      <c r="AB22" s="2737"/>
      <c r="AC22" s="2737"/>
    </row>
    <row r="23" spans="1:31" s="1008" customFormat="1" ht="12" x14ac:dyDescent="0.2">
      <c r="A23" s="2724"/>
      <c r="D23" s="181" t="s">
        <v>283</v>
      </c>
      <c r="E23" s="2739">
        <v>0.19900000000000001</v>
      </c>
      <c r="F23" s="2739">
        <v>0.14699999999999999</v>
      </c>
      <c r="G23" s="2739">
        <v>0.16400000000000001</v>
      </c>
      <c r="H23" s="2739">
        <v>0.17599999999999999</v>
      </c>
      <c r="I23" s="2739">
        <v>0.183</v>
      </c>
      <c r="J23" s="2739">
        <v>0.19400000000000001</v>
      </c>
      <c r="K23" s="2739">
        <v>0.224</v>
      </c>
      <c r="L23" s="2739">
        <v>0.23799999999999999</v>
      </c>
      <c r="M23" s="2739">
        <v>0.24199999999999999</v>
      </c>
      <c r="N23" s="2739">
        <v>0.251</v>
      </c>
      <c r="O23" s="2740">
        <v>0.27500000000000002</v>
      </c>
      <c r="P23" s="898"/>
      <c r="Q23" s="898"/>
      <c r="R23" s="898"/>
      <c r="S23" s="898"/>
      <c r="T23" s="898"/>
      <c r="U23" s="898"/>
      <c r="V23" s="898"/>
      <c r="W23" s="898"/>
      <c r="X23" s="898"/>
      <c r="Y23" s="2737"/>
      <c r="Z23" s="2737"/>
      <c r="AA23" s="2737"/>
      <c r="AB23" s="2737"/>
      <c r="AC23" s="2737"/>
    </row>
    <row r="24" spans="1:31" s="1008" customFormat="1" ht="12" x14ac:dyDescent="0.2">
      <c r="A24" s="2724"/>
      <c r="D24" s="181" t="s">
        <v>945</v>
      </c>
      <c r="E24" s="2739">
        <v>0.26100000000000001</v>
      </c>
      <c r="F24" s="2739">
        <v>0.20399999999999999</v>
      </c>
      <c r="G24" s="2739">
        <v>0.22</v>
      </c>
      <c r="H24" s="2739">
        <v>0.218</v>
      </c>
      <c r="I24" s="2739">
        <v>0.23599999999999999</v>
      </c>
      <c r="J24" s="2739">
        <v>0.23699999999999999</v>
      </c>
      <c r="K24" s="2739">
        <v>0.27300000000000002</v>
      </c>
      <c r="L24" s="2739">
        <v>0.29099999999999998</v>
      </c>
      <c r="M24" s="2739">
        <v>0.29599999999999999</v>
      </c>
      <c r="N24" s="2739">
        <v>0.30499999999999999</v>
      </c>
      <c r="O24" s="2740">
        <v>0.33100000000000002</v>
      </c>
      <c r="P24" s="898"/>
      <c r="Q24" s="898"/>
      <c r="R24" s="898"/>
      <c r="S24" s="898"/>
      <c r="T24" s="898"/>
      <c r="U24" s="898"/>
      <c r="V24" s="898"/>
      <c r="W24" s="898"/>
      <c r="X24" s="898"/>
      <c r="Y24" s="2737"/>
      <c r="Z24" s="2737"/>
      <c r="AA24" s="2737"/>
      <c r="AB24" s="2737"/>
      <c r="AC24" s="2737"/>
    </row>
    <row r="25" spans="1:31" s="1008" customFormat="1" ht="12" x14ac:dyDescent="0.2">
      <c r="A25" s="2724"/>
      <c r="D25" s="246" t="s">
        <v>284</v>
      </c>
      <c r="E25" s="2735">
        <v>0.13900000000000001</v>
      </c>
      <c r="F25" s="2735">
        <v>0.105</v>
      </c>
      <c r="G25" s="2735">
        <v>0.122</v>
      </c>
      <c r="H25" s="2735">
        <v>0.13100000000000001</v>
      </c>
      <c r="I25" s="2735">
        <v>0.14699999999999999</v>
      </c>
      <c r="J25" s="2735">
        <v>0.154</v>
      </c>
      <c r="K25" s="2735">
        <v>0.17399999999999999</v>
      </c>
      <c r="L25" s="2735">
        <v>0.188</v>
      </c>
      <c r="M25" s="2735">
        <v>0.191</v>
      </c>
      <c r="N25" s="2735">
        <v>0.19800000000000001</v>
      </c>
      <c r="O25" s="2736">
        <v>0.219</v>
      </c>
      <c r="P25" s="1043"/>
      <c r="Q25" s="1043"/>
      <c r="R25" s="1043"/>
      <c r="S25" s="1043"/>
      <c r="T25" s="1043"/>
      <c r="U25" s="1043"/>
      <c r="V25" s="1043"/>
      <c r="W25" s="1043"/>
      <c r="X25" s="1043"/>
      <c r="Y25" s="1043"/>
      <c r="Z25" s="1043"/>
      <c r="AA25" s="1043"/>
      <c r="AB25" s="1043"/>
      <c r="AC25" s="1043"/>
    </row>
    <row r="26" spans="1:31" ht="15" customHeight="1" x14ac:dyDescent="0.25">
      <c r="A26" s="2124"/>
      <c r="B26" s="2124"/>
      <c r="C26" s="2124"/>
      <c r="D26" s="880"/>
      <c r="E26" s="880"/>
      <c r="F26" s="880"/>
      <c r="G26" s="880"/>
      <c r="H26" s="880"/>
      <c r="I26" s="880"/>
      <c r="J26" s="880"/>
      <c r="K26" s="880"/>
      <c r="L26" s="880"/>
      <c r="M26" s="880"/>
      <c r="N26" s="880"/>
      <c r="O26" s="880"/>
      <c r="P26" s="880"/>
      <c r="Q26" s="880"/>
      <c r="R26" s="880"/>
      <c r="S26" s="880"/>
      <c r="T26" s="880"/>
      <c r="U26" s="880"/>
      <c r="V26" s="880"/>
      <c r="W26" s="880"/>
      <c r="X26" s="991"/>
      <c r="Y26" s="10"/>
    </row>
    <row r="27" spans="1:31" ht="12" customHeight="1" x14ac:dyDescent="0.25">
      <c r="D27" s="2743"/>
      <c r="E27" s="2339"/>
      <c r="F27" s="2340"/>
      <c r="G27" s="2339"/>
      <c r="H27" s="2339"/>
      <c r="I27" s="2722"/>
      <c r="J27" s="2722"/>
      <c r="K27" s="2722"/>
      <c r="L27" s="2722"/>
      <c r="M27" s="2722"/>
      <c r="N27" s="2722"/>
      <c r="O27" s="2722"/>
      <c r="P27" s="2722"/>
      <c r="Q27" s="2722"/>
      <c r="R27" s="2722"/>
      <c r="S27" s="2722"/>
      <c r="T27" s="2722"/>
      <c r="U27" s="2722"/>
      <c r="V27" s="2337"/>
      <c r="W27" s="38"/>
      <c r="X27" s="2744"/>
      <c r="Y27" s="2337"/>
      <c r="Z27" s="2335"/>
      <c r="AA27" s="2341"/>
      <c r="AB27" s="2337"/>
      <c r="AC27" s="2335"/>
      <c r="AD27" s="2341"/>
      <c r="AE27" s="2337"/>
    </row>
    <row r="28" spans="1:31" s="2747" customFormat="1" ht="15.75" customHeight="1" x14ac:dyDescent="0.25">
      <c r="A28" s="2745">
        <v>6</v>
      </c>
      <c r="B28" s="2745" t="s">
        <v>52</v>
      </c>
      <c r="C28" s="2746"/>
      <c r="D28" s="4800" t="s">
        <v>946</v>
      </c>
      <c r="E28" s="4801"/>
      <c r="F28" s="4801"/>
      <c r="G28" s="4801"/>
      <c r="H28" s="4801"/>
      <c r="I28" s="4801"/>
      <c r="J28" s="4801"/>
      <c r="K28" s="4801"/>
      <c r="L28" s="4801"/>
      <c r="M28" s="4801"/>
      <c r="N28" s="4801"/>
      <c r="O28" s="4801"/>
      <c r="P28" s="4802"/>
      <c r="V28" s="2748"/>
      <c r="W28" s="2748"/>
      <c r="X28" s="2749"/>
      <c r="Y28" s="2750"/>
      <c r="AA28" s="2751"/>
      <c r="AB28" s="2752"/>
      <c r="AC28" s="2751"/>
    </row>
    <row r="29" spans="1:31" ht="51.95" customHeight="1" x14ac:dyDescent="0.25">
      <c r="A29" s="533">
        <v>7</v>
      </c>
      <c r="B29" s="533" t="s">
        <v>54</v>
      </c>
      <c r="C29" s="2124"/>
      <c r="D29" s="4800" t="s">
        <v>947</v>
      </c>
      <c r="E29" s="4801"/>
      <c r="F29" s="4801"/>
      <c r="G29" s="4801"/>
      <c r="H29" s="4801"/>
      <c r="I29" s="4801"/>
      <c r="J29" s="4801"/>
      <c r="K29" s="4801"/>
      <c r="L29" s="4801"/>
      <c r="M29" s="4801"/>
      <c r="N29" s="4801"/>
      <c r="O29" s="4801"/>
      <c r="P29" s="4802"/>
      <c r="Q29" s="2722"/>
      <c r="R29" s="2722"/>
      <c r="S29" s="2722"/>
      <c r="T29" s="2722"/>
      <c r="U29" s="2722"/>
      <c r="V29" s="2748"/>
      <c r="W29" s="2748"/>
      <c r="Y29" s="2744"/>
      <c r="AA29" s="2328"/>
      <c r="AB29" s="2753"/>
      <c r="AC29" s="2328"/>
    </row>
    <row r="30" spans="1:31" s="2755" customFormat="1" ht="30.6" customHeight="1" x14ac:dyDescent="0.25">
      <c r="A30" s="531">
        <v>8</v>
      </c>
      <c r="B30" s="531" t="s">
        <v>56</v>
      </c>
      <c r="C30" s="2754"/>
      <c r="D30" s="4800" t="s">
        <v>948</v>
      </c>
      <c r="E30" s="4801"/>
      <c r="F30" s="4801"/>
      <c r="G30" s="4801"/>
      <c r="H30" s="4801"/>
      <c r="I30" s="4801"/>
      <c r="J30" s="4801"/>
      <c r="K30" s="4801"/>
      <c r="L30" s="4801"/>
      <c r="M30" s="4801"/>
      <c r="N30" s="4801"/>
      <c r="O30" s="4801"/>
      <c r="P30" s="4802"/>
      <c r="V30" s="2756"/>
      <c r="W30" s="2756"/>
      <c r="AA30" s="2328"/>
      <c r="AB30" s="2757"/>
      <c r="AC30" s="2328"/>
      <c r="AD30" s="10"/>
    </row>
    <row r="31" spans="1:31" ht="96" customHeight="1" x14ac:dyDescent="0.25">
      <c r="A31" s="531">
        <v>9</v>
      </c>
      <c r="B31" s="2758" t="s">
        <v>949</v>
      </c>
      <c r="C31" s="2759"/>
      <c r="D31" s="4800" t="s">
        <v>950</v>
      </c>
      <c r="E31" s="4801"/>
      <c r="F31" s="4801"/>
      <c r="G31" s="4801"/>
      <c r="H31" s="4801"/>
      <c r="I31" s="4801"/>
      <c r="J31" s="4801"/>
      <c r="K31" s="4801"/>
      <c r="L31" s="4801"/>
      <c r="M31" s="4801"/>
      <c r="N31" s="4801"/>
      <c r="O31" s="4801"/>
      <c r="P31" s="4802"/>
      <c r="Q31" s="2722"/>
      <c r="R31" s="2722"/>
      <c r="S31" s="2722"/>
      <c r="T31" s="2722"/>
      <c r="U31" s="2722"/>
      <c r="V31" s="2748"/>
      <c r="W31" s="2748"/>
      <c r="AA31" s="2328"/>
      <c r="AB31" s="2753"/>
      <c r="AC31" s="2328"/>
    </row>
    <row r="32" spans="1:31" ht="15.75" x14ac:dyDescent="0.25">
      <c r="A32" s="507"/>
      <c r="B32" s="507"/>
      <c r="C32" s="507"/>
      <c r="D32" s="880"/>
      <c r="E32" s="880"/>
      <c r="F32" s="880"/>
      <c r="G32" s="880"/>
      <c r="H32" s="880"/>
      <c r="I32" s="880"/>
      <c r="J32" s="880"/>
      <c r="K32" s="880"/>
      <c r="L32" s="880"/>
      <c r="M32" s="880"/>
      <c r="N32" s="880"/>
      <c r="O32" s="880"/>
      <c r="P32" s="880"/>
      <c r="Q32" s="880"/>
      <c r="R32" s="880"/>
      <c r="S32" s="880"/>
      <c r="T32" s="880"/>
      <c r="U32" s="880"/>
      <c r="V32" s="880"/>
      <c r="W32" s="880"/>
      <c r="AA32" s="2328"/>
      <c r="AB32" s="2753"/>
      <c r="AC32" s="2328"/>
    </row>
    <row r="33" spans="1:29" ht="15.75" x14ac:dyDescent="0.25">
      <c r="A33" s="2124"/>
      <c r="B33" s="507"/>
      <c r="C33" s="507"/>
      <c r="D33" s="880"/>
      <c r="E33" s="880"/>
      <c r="F33" s="880"/>
      <c r="G33" s="880"/>
      <c r="H33" s="880"/>
      <c r="I33" s="880"/>
      <c r="J33" s="880"/>
      <c r="K33" s="880"/>
      <c r="L33" s="880"/>
      <c r="M33" s="880"/>
      <c r="N33" s="880"/>
      <c r="O33" s="880"/>
      <c r="P33" s="880"/>
      <c r="Q33" s="880"/>
      <c r="R33" s="880"/>
      <c r="S33" s="880"/>
      <c r="T33" s="880"/>
      <c r="U33" s="880"/>
      <c r="V33" s="880"/>
      <c r="W33" s="880"/>
      <c r="Z33" s="2744"/>
      <c r="AA33" s="2328"/>
      <c r="AB33" s="2753"/>
      <c r="AC33" s="2328"/>
    </row>
  </sheetData>
  <mergeCells count="19">
    <mergeCell ref="AX9:BB9"/>
    <mergeCell ref="BC9:BG9"/>
    <mergeCell ref="D28:P28"/>
    <mergeCell ref="D29:P29"/>
    <mergeCell ref="D30:P30"/>
    <mergeCell ref="AN9:AR9"/>
    <mergeCell ref="AS9:AW9"/>
    <mergeCell ref="D31:P31"/>
    <mergeCell ref="T9:X9"/>
    <mergeCell ref="Y9:AC9"/>
    <mergeCell ref="AD9:AH9"/>
    <mergeCell ref="AI9:AM9"/>
    <mergeCell ref="D2:P2"/>
    <mergeCell ref="D3:P3"/>
    <mergeCell ref="D4:P4"/>
    <mergeCell ref="D5:P5"/>
    <mergeCell ref="E9:I9"/>
    <mergeCell ref="J9:N9"/>
    <mergeCell ref="O9:S9"/>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242B2-B1FB-445E-88DB-E301E00515CE}">
  <sheetPr>
    <tabColor rgb="FF7030A0"/>
  </sheetPr>
  <dimension ref="A1:CZ740"/>
  <sheetViews>
    <sheetView showGridLines="0" view="pageBreakPreview" topLeftCell="A4" zoomScaleNormal="90" zoomScaleSheetLayoutView="100" workbookViewId="0">
      <pane xSplit="1" topLeftCell="B1" activePane="topRight" state="frozen"/>
      <selection activeCell="D43" sqref="D43:AK43"/>
      <selection pane="topRight" activeCell="AD16" sqref="AD16"/>
    </sheetView>
  </sheetViews>
  <sheetFormatPr defaultColWidth="9.140625" defaultRowHeight="15" x14ac:dyDescent="0.2"/>
  <cols>
    <col min="1" max="1" width="3.85546875" style="509" customWidth="1"/>
    <col min="2" max="2" width="9.85546875" style="568" customWidth="1"/>
    <col min="3" max="3" width="3.85546875" style="568" customWidth="1"/>
    <col min="4" max="4" width="16.42578125" style="751" bestFit="1" customWidth="1"/>
    <col min="5" max="6" width="8.85546875" style="751" customWidth="1"/>
    <col min="7" max="12" width="8.85546875" style="751" hidden="1" customWidth="1"/>
    <col min="13" max="13" width="8.85546875" style="751" customWidth="1"/>
    <col min="14" max="14" width="9.85546875" style="751" customWidth="1"/>
    <col min="15" max="15" width="8.42578125" style="751" customWidth="1"/>
    <col min="16" max="18" width="8.85546875" style="751" customWidth="1"/>
    <col min="19" max="19" width="9.5703125" style="751" customWidth="1"/>
    <col min="20" max="26" width="9.42578125" style="751" customWidth="1"/>
    <col min="27" max="28" width="9.140625" style="751" customWidth="1"/>
    <col min="29" max="29" width="9" style="751" customWidth="1"/>
    <col min="30" max="54" width="9.140625" style="751" customWidth="1"/>
    <col min="55" max="83" width="9.140625" style="751"/>
    <col min="84" max="84" width="10.140625" style="751" customWidth="1"/>
    <col min="85" max="16384" width="9.140625" style="751"/>
  </cols>
  <sheetData>
    <row r="1" spans="1:84" x14ac:dyDescent="0.25">
      <c r="T1" s="68"/>
      <c r="V1" s="68"/>
      <c r="W1" s="68"/>
      <c r="X1" s="68"/>
      <c r="Y1" s="68"/>
      <c r="Z1" s="68"/>
      <c r="AA1" s="68"/>
      <c r="AB1" s="68"/>
      <c r="AC1" s="68"/>
      <c r="AD1" s="68"/>
      <c r="AE1" s="68"/>
    </row>
    <row r="2" spans="1:84" ht="12.75" customHeight="1" x14ac:dyDescent="0.2">
      <c r="A2" s="509">
        <v>1</v>
      </c>
      <c r="B2" s="509" t="s">
        <v>0</v>
      </c>
      <c r="C2" s="509">
        <v>34</v>
      </c>
      <c r="D2" s="4809" t="s">
        <v>951</v>
      </c>
      <c r="E2" s="4810"/>
      <c r="F2" s="4810"/>
      <c r="G2" s="4810"/>
      <c r="H2" s="4810"/>
      <c r="I2" s="4810"/>
      <c r="J2" s="4810"/>
      <c r="K2" s="4810"/>
      <c r="L2" s="4810"/>
      <c r="M2" s="4810"/>
      <c r="N2" s="4810"/>
      <c r="O2" s="4810"/>
      <c r="P2" s="4810"/>
      <c r="Q2" s="4810"/>
      <c r="R2" s="4810"/>
      <c r="S2" s="4810"/>
      <c r="T2" s="4810"/>
      <c r="U2" s="4810"/>
      <c r="V2" s="4810"/>
      <c r="W2" s="4810"/>
      <c r="X2" s="4810"/>
      <c r="Y2" s="4810"/>
      <c r="Z2" s="4810"/>
      <c r="AA2" s="4810"/>
      <c r="AB2" s="4810"/>
      <c r="AC2" s="4810"/>
      <c r="AD2" s="4810"/>
      <c r="AE2" s="4810"/>
      <c r="AF2" s="4810"/>
      <c r="AG2" s="4810"/>
      <c r="AH2" s="4810"/>
      <c r="AI2" s="4810"/>
      <c r="AJ2" s="4810"/>
      <c r="AK2" s="4810"/>
      <c r="AL2" s="4810"/>
      <c r="AM2" s="4810"/>
      <c r="AN2" s="4810"/>
      <c r="AO2" s="4810"/>
      <c r="AP2" s="4810"/>
      <c r="AQ2" s="4810"/>
      <c r="AR2" s="4810"/>
      <c r="AS2" s="4810"/>
      <c r="AT2" s="4810"/>
      <c r="AU2" s="4810"/>
      <c r="AV2" s="4810"/>
      <c r="AW2" s="4810"/>
      <c r="AX2" s="4810"/>
      <c r="AY2" s="4810"/>
      <c r="AZ2" s="4810"/>
      <c r="BA2" s="4810"/>
      <c r="BB2" s="4811"/>
    </row>
    <row r="3" spans="1:84" ht="15" customHeight="1" x14ac:dyDescent="0.2">
      <c r="A3" s="509">
        <v>2</v>
      </c>
      <c r="B3" s="509" t="s">
        <v>2</v>
      </c>
      <c r="C3" s="509"/>
      <c r="D3" s="4624" t="s">
        <v>951</v>
      </c>
      <c r="E3" s="4625"/>
      <c r="F3" s="4625"/>
      <c r="G3" s="4625"/>
      <c r="H3" s="4625"/>
      <c r="I3" s="4625"/>
      <c r="J3" s="4625"/>
      <c r="K3" s="4625"/>
      <c r="L3" s="4625"/>
      <c r="M3" s="4625"/>
      <c r="N3" s="4625"/>
      <c r="O3" s="4625"/>
      <c r="P3" s="4625"/>
      <c r="Q3" s="4625"/>
      <c r="R3" s="4625"/>
      <c r="S3" s="4625"/>
      <c r="T3" s="4625"/>
      <c r="U3" s="4625"/>
      <c r="V3" s="4625"/>
      <c r="W3" s="4625"/>
      <c r="X3" s="4625"/>
      <c r="Y3" s="4625"/>
      <c r="Z3" s="4625"/>
      <c r="AA3" s="4625"/>
      <c r="AB3" s="4625"/>
      <c r="AC3" s="4625"/>
      <c r="AD3" s="4625"/>
      <c r="AE3" s="4625"/>
      <c r="AF3" s="4625"/>
      <c r="AG3" s="4625"/>
      <c r="AH3" s="4625"/>
      <c r="AI3" s="4625"/>
      <c r="AJ3" s="4625"/>
      <c r="AK3" s="4625"/>
      <c r="AL3" s="4625"/>
      <c r="AM3" s="4625"/>
      <c r="AN3" s="4625"/>
      <c r="AO3" s="4625"/>
      <c r="AP3" s="4625"/>
      <c r="AQ3" s="4625"/>
      <c r="AR3" s="4625"/>
      <c r="AS3" s="4625"/>
      <c r="AT3" s="4625"/>
      <c r="AU3" s="4625"/>
      <c r="AV3" s="4625"/>
      <c r="AW3" s="4625"/>
      <c r="AX3" s="4625"/>
      <c r="AY3" s="4625"/>
      <c r="AZ3" s="4625"/>
      <c r="BA3" s="4625"/>
      <c r="BB3" s="4626"/>
    </row>
    <row r="4" spans="1:84" ht="15" customHeight="1" x14ac:dyDescent="0.2">
      <c r="A4" s="509">
        <v>3</v>
      </c>
      <c r="B4" s="509" t="s">
        <v>4</v>
      </c>
      <c r="C4" s="509"/>
      <c r="D4" s="4624" t="s">
        <v>952</v>
      </c>
      <c r="E4" s="4625"/>
      <c r="F4" s="4625"/>
      <c r="G4" s="4625"/>
      <c r="H4" s="4625"/>
      <c r="I4" s="4625"/>
      <c r="J4" s="4625"/>
      <c r="K4" s="4625"/>
      <c r="L4" s="4625"/>
      <c r="M4" s="4625"/>
      <c r="N4" s="4625"/>
      <c r="O4" s="4625"/>
      <c r="P4" s="4625"/>
      <c r="Q4" s="4625"/>
      <c r="R4" s="4625"/>
      <c r="S4" s="4625"/>
      <c r="T4" s="4625"/>
      <c r="U4" s="4625"/>
      <c r="V4" s="4625"/>
      <c r="W4" s="4625"/>
      <c r="X4" s="4625"/>
      <c r="Y4" s="4625"/>
      <c r="Z4" s="4625"/>
      <c r="AA4" s="4625"/>
      <c r="AB4" s="4625"/>
      <c r="AC4" s="4625"/>
      <c r="AD4" s="4625"/>
      <c r="AE4" s="4625"/>
      <c r="AF4" s="4625"/>
      <c r="AG4" s="4625"/>
      <c r="AH4" s="4625"/>
      <c r="AI4" s="4625"/>
      <c r="AJ4" s="4625"/>
      <c r="AK4" s="4625"/>
      <c r="AL4" s="4625"/>
      <c r="AM4" s="4625"/>
      <c r="AN4" s="4625"/>
      <c r="AO4" s="4625"/>
      <c r="AP4" s="4625"/>
      <c r="AQ4" s="4625"/>
      <c r="AR4" s="4625"/>
      <c r="AS4" s="4625"/>
      <c r="AT4" s="4625"/>
      <c r="AU4" s="4625"/>
      <c r="AV4" s="4625"/>
      <c r="AW4" s="4625"/>
      <c r="AX4" s="4625"/>
      <c r="AY4" s="4625"/>
      <c r="AZ4" s="4625"/>
      <c r="BA4" s="4625"/>
      <c r="BB4" s="4626"/>
    </row>
    <row r="5" spans="1:84" ht="15" customHeight="1" x14ac:dyDescent="0.2">
      <c r="B5" s="509"/>
      <c r="C5" s="509"/>
      <c r="AA5" s="880"/>
      <c r="AB5" s="880"/>
      <c r="AC5" s="880"/>
      <c r="AD5" s="880"/>
      <c r="AE5" s="880"/>
      <c r="AF5" s="880"/>
      <c r="AG5" s="880"/>
      <c r="AH5" s="880"/>
      <c r="AI5" s="880"/>
      <c r="AJ5" s="880"/>
      <c r="AK5" s="880"/>
      <c r="AL5" s="880"/>
      <c r="AM5" s="880"/>
      <c r="AN5" s="880"/>
      <c r="AO5" s="880"/>
      <c r="AP5" s="880"/>
      <c r="AQ5" s="880"/>
      <c r="AR5" s="880"/>
      <c r="AS5" s="880"/>
      <c r="AT5" s="880"/>
      <c r="AU5" s="880"/>
      <c r="AV5" s="880"/>
      <c r="AW5" s="880"/>
      <c r="AX5" s="880"/>
      <c r="AY5" s="880"/>
      <c r="AZ5" s="880"/>
      <c r="BA5" s="880"/>
      <c r="BB5" s="880"/>
    </row>
    <row r="6" spans="1:84" x14ac:dyDescent="0.25">
      <c r="A6" s="509">
        <v>4</v>
      </c>
      <c r="B6" s="509" t="s">
        <v>6</v>
      </c>
      <c r="C6" s="509"/>
      <c r="L6" s="68"/>
      <c r="M6" s="68"/>
      <c r="N6" s="88"/>
      <c r="T6" s="68"/>
      <c r="V6" s="68"/>
      <c r="W6" s="68"/>
      <c r="X6" s="68"/>
      <c r="Y6" s="68"/>
      <c r="Z6" s="68"/>
      <c r="AA6" s="68"/>
      <c r="AB6" s="68"/>
      <c r="AC6" s="68"/>
      <c r="AD6" s="68"/>
      <c r="AE6" s="68"/>
    </row>
    <row r="7" spans="1:84" x14ac:dyDescent="0.25">
      <c r="B7" s="509"/>
      <c r="C7" s="509"/>
      <c r="D7" s="72" t="s">
        <v>80</v>
      </c>
      <c r="E7" s="896" t="s">
        <v>953</v>
      </c>
      <c r="F7" s="897"/>
      <c r="G7" s="897"/>
      <c r="H7" s="555"/>
      <c r="I7" s="555"/>
      <c r="J7" s="555"/>
      <c r="K7" s="555"/>
      <c r="L7" s="555"/>
      <c r="M7" s="555"/>
      <c r="N7" s="555"/>
      <c r="O7" s="555"/>
      <c r="P7" s="555"/>
      <c r="Q7" s="555"/>
      <c r="R7" s="555"/>
      <c r="S7" s="413"/>
      <c r="T7" s="68"/>
      <c r="U7" s="413"/>
      <c r="V7" s="68"/>
      <c r="W7" s="68"/>
      <c r="X7" s="68"/>
      <c r="Y7" s="68"/>
      <c r="Z7" s="68"/>
      <c r="AA7" s="68"/>
      <c r="AB7" s="68"/>
      <c r="AC7" s="68"/>
      <c r="AD7" s="68"/>
      <c r="AE7" s="68"/>
    </row>
    <row r="8" spans="1:84" x14ac:dyDescent="0.25">
      <c r="B8" s="531"/>
      <c r="C8" s="531"/>
      <c r="D8" s="403" t="s">
        <v>954</v>
      </c>
      <c r="E8" s="2424" t="s">
        <v>9</v>
      </c>
      <c r="F8" s="2424" t="s">
        <v>10</v>
      </c>
      <c r="G8" s="2424" t="s">
        <v>11</v>
      </c>
      <c r="H8" s="2424" t="s">
        <v>12</v>
      </c>
      <c r="I8" s="2424" t="s">
        <v>13</v>
      </c>
      <c r="J8" s="2424" t="s">
        <v>14</v>
      </c>
      <c r="K8" s="2424" t="s">
        <v>15</v>
      </c>
      <c r="L8" s="2424" t="s">
        <v>16</v>
      </c>
      <c r="M8" s="2424" t="s">
        <v>17</v>
      </c>
      <c r="N8" s="2424" t="s">
        <v>18</v>
      </c>
      <c r="O8" s="2424" t="s">
        <v>19</v>
      </c>
      <c r="P8" s="3099" t="s">
        <v>20</v>
      </c>
      <c r="Q8" s="2424" t="s">
        <v>21</v>
      </c>
      <c r="R8" s="2424" t="s">
        <v>22</v>
      </c>
      <c r="S8" s="3099" t="s">
        <v>23</v>
      </c>
      <c r="T8" s="3099" t="s">
        <v>24</v>
      </c>
      <c r="U8" s="3099" t="s">
        <v>25</v>
      </c>
      <c r="V8" s="3099" t="s">
        <v>26</v>
      </c>
      <c r="W8" s="3099" t="s">
        <v>27</v>
      </c>
      <c r="X8" s="3099" t="s">
        <v>28</v>
      </c>
      <c r="Y8" s="3099" t="s">
        <v>29</v>
      </c>
      <c r="Z8" s="3099" t="s">
        <v>30</v>
      </c>
      <c r="AA8" s="3099" t="s">
        <v>31</v>
      </c>
      <c r="AB8" s="3099" t="s">
        <v>32</v>
      </c>
      <c r="AC8" s="3099" t="s">
        <v>33</v>
      </c>
      <c r="AD8" s="3417" t="s">
        <v>59</v>
      </c>
      <c r="AE8" s="68"/>
      <c r="AF8" s="68"/>
    </row>
    <row r="9" spans="1:84" x14ac:dyDescent="0.25">
      <c r="B9" s="836"/>
      <c r="C9" s="836"/>
      <c r="D9" s="181" t="s">
        <v>955</v>
      </c>
      <c r="E9" s="898">
        <v>1637934</v>
      </c>
      <c r="F9" s="898">
        <v>1697725</v>
      </c>
      <c r="G9" s="898">
        <v>1812695</v>
      </c>
      <c r="H9" s="898">
        <v>1848726</v>
      </c>
      <c r="I9" s="898">
        <v>1900406</v>
      </c>
      <c r="J9" s="898">
        <v>1903042</v>
      </c>
      <c r="K9" s="898">
        <v>1943348</v>
      </c>
      <c r="L9" s="898">
        <v>2050572</v>
      </c>
      <c r="M9" s="898">
        <v>2124984</v>
      </c>
      <c r="N9" s="898">
        <v>2146344</v>
      </c>
      <c r="O9" s="898">
        <v>2195018</v>
      </c>
      <c r="P9" s="898">
        <v>2229550</v>
      </c>
      <c r="Q9" s="898">
        <v>2390543</v>
      </c>
      <c r="R9" s="898">
        <v>2546657</v>
      </c>
      <c r="S9" s="898">
        <v>2678554</v>
      </c>
      <c r="T9" s="898">
        <v>2750857</v>
      </c>
      <c r="U9" s="898">
        <v>2873197</v>
      </c>
      <c r="V9" s="898">
        <v>2969933</v>
      </c>
      <c r="W9" s="898">
        <v>3086851</v>
      </c>
      <c r="X9" s="898">
        <v>3194087</v>
      </c>
      <c r="Y9" s="898">
        <v>3302202</v>
      </c>
      <c r="Z9" s="898">
        <v>3423337</v>
      </c>
      <c r="AA9" s="899">
        <v>3553317</v>
      </c>
      <c r="AB9" s="899">
        <v>3676791</v>
      </c>
      <c r="AC9" s="899">
        <v>3722675</v>
      </c>
      <c r="AD9" s="900" t="s">
        <v>956</v>
      </c>
      <c r="AF9" s="68"/>
    </row>
    <row r="10" spans="1:84" s="902" customFormat="1" x14ac:dyDescent="0.25">
      <c r="A10" s="901"/>
      <c r="B10" s="836"/>
      <c r="C10" s="836"/>
      <c r="D10" s="181" t="s">
        <v>957</v>
      </c>
      <c r="E10" s="898">
        <v>13473</v>
      </c>
      <c r="F10" s="898">
        <v>10525</v>
      </c>
      <c r="G10" s="898">
        <v>9197</v>
      </c>
      <c r="H10" s="898">
        <v>7908</v>
      </c>
      <c r="I10" s="898">
        <v>5617</v>
      </c>
      <c r="J10" s="898">
        <v>5336</v>
      </c>
      <c r="K10" s="898">
        <v>4638</v>
      </c>
      <c r="L10" s="898">
        <v>3996</v>
      </c>
      <c r="M10" s="898">
        <v>2963</v>
      </c>
      <c r="N10" s="898">
        <v>2817</v>
      </c>
      <c r="O10" s="898">
        <v>2340</v>
      </c>
      <c r="P10" s="898">
        <v>1924</v>
      </c>
      <c r="Q10" s="898">
        <v>1500</v>
      </c>
      <c r="R10" s="898">
        <v>1216</v>
      </c>
      <c r="S10" s="898">
        <v>958</v>
      </c>
      <c r="T10" s="898">
        <v>753</v>
      </c>
      <c r="U10" s="898">
        <v>587</v>
      </c>
      <c r="V10" s="898">
        <v>429</v>
      </c>
      <c r="W10" s="898">
        <v>326</v>
      </c>
      <c r="X10" s="898">
        <v>245</v>
      </c>
      <c r="Y10" s="898">
        <v>176</v>
      </c>
      <c r="Z10" s="898">
        <v>134</v>
      </c>
      <c r="AA10" s="899">
        <v>92</v>
      </c>
      <c r="AB10" s="899">
        <v>62</v>
      </c>
      <c r="AC10" s="899">
        <v>40</v>
      </c>
      <c r="AD10" s="900">
        <v>25</v>
      </c>
    </row>
    <row r="11" spans="1:84" s="902" customFormat="1" x14ac:dyDescent="0.25">
      <c r="A11" s="901"/>
      <c r="B11" s="836"/>
      <c r="C11" s="836"/>
      <c r="D11" s="181" t="s">
        <v>958</v>
      </c>
      <c r="E11" s="898">
        <v>711629</v>
      </c>
      <c r="F11" s="898">
        <v>660528</v>
      </c>
      <c r="G11" s="898">
        <v>633778</v>
      </c>
      <c r="H11" s="898">
        <v>607537</v>
      </c>
      <c r="I11" s="898">
        <v>655822</v>
      </c>
      <c r="J11" s="898">
        <v>694232</v>
      </c>
      <c r="K11" s="898">
        <v>840424</v>
      </c>
      <c r="L11" s="898">
        <v>1228231</v>
      </c>
      <c r="M11" s="898">
        <v>1293280</v>
      </c>
      <c r="N11" s="898">
        <v>1315143</v>
      </c>
      <c r="O11" s="898">
        <v>1422808</v>
      </c>
      <c r="P11" s="898">
        <v>1408456</v>
      </c>
      <c r="Q11" s="898">
        <v>1286883</v>
      </c>
      <c r="R11" s="898">
        <v>1264477</v>
      </c>
      <c r="S11" s="898">
        <v>1200898</v>
      </c>
      <c r="T11" s="898">
        <v>1198131</v>
      </c>
      <c r="U11" s="898">
        <v>1164192</v>
      </c>
      <c r="V11" s="898">
        <v>1120419</v>
      </c>
      <c r="W11" s="898">
        <v>1112663</v>
      </c>
      <c r="X11" s="898">
        <v>1085541</v>
      </c>
      <c r="Y11" s="898">
        <v>1067176</v>
      </c>
      <c r="Z11" s="898">
        <v>1061866</v>
      </c>
      <c r="AA11" s="899">
        <v>1048255</v>
      </c>
      <c r="AB11" s="899">
        <v>1042025</v>
      </c>
      <c r="AC11" s="899">
        <v>997752</v>
      </c>
      <c r="AD11" s="900" t="s">
        <v>959</v>
      </c>
    </row>
    <row r="12" spans="1:84" s="902" customFormat="1" x14ac:dyDescent="0.25">
      <c r="A12" s="901"/>
      <c r="B12" s="836"/>
      <c r="C12" s="836"/>
      <c r="D12" s="181" t="s">
        <v>960</v>
      </c>
      <c r="E12" s="898"/>
      <c r="F12" s="898"/>
      <c r="G12" s="898"/>
      <c r="H12" s="898"/>
      <c r="I12" s="898"/>
      <c r="J12" s="898"/>
      <c r="K12" s="898"/>
      <c r="L12" s="898"/>
      <c r="M12" s="898"/>
      <c r="N12" s="898"/>
      <c r="O12" s="898">
        <v>31918</v>
      </c>
      <c r="P12" s="898">
        <v>37343</v>
      </c>
      <c r="Q12" s="898">
        <v>46069</v>
      </c>
      <c r="R12" s="898">
        <v>53237</v>
      </c>
      <c r="S12" s="898">
        <v>58413</v>
      </c>
      <c r="T12" s="898">
        <v>66493</v>
      </c>
      <c r="U12" s="898">
        <v>73719</v>
      </c>
      <c r="V12" s="898">
        <v>83059</v>
      </c>
      <c r="W12" s="898">
        <v>113087</v>
      </c>
      <c r="X12" s="898">
        <v>137806</v>
      </c>
      <c r="Y12" s="898">
        <v>164349</v>
      </c>
      <c r="Z12" s="898">
        <v>192091</v>
      </c>
      <c r="AA12" s="899">
        <v>221989</v>
      </c>
      <c r="AB12" s="899">
        <v>273922</v>
      </c>
      <c r="AC12" s="899">
        <v>267912</v>
      </c>
      <c r="AD12" s="900">
        <v>294031</v>
      </c>
    </row>
    <row r="13" spans="1:84" s="902" customFormat="1" x14ac:dyDescent="0.25">
      <c r="A13" s="901"/>
      <c r="B13" s="836"/>
      <c r="C13" s="836"/>
      <c r="D13" s="181" t="s">
        <v>961</v>
      </c>
      <c r="E13" s="898">
        <v>42999</v>
      </c>
      <c r="F13" s="898">
        <v>43520</v>
      </c>
      <c r="G13" s="898">
        <v>46496</v>
      </c>
      <c r="H13" s="898">
        <v>49843</v>
      </c>
      <c r="I13" s="898">
        <v>66967</v>
      </c>
      <c r="J13" s="898">
        <v>67817</v>
      </c>
      <c r="K13" s="898">
        <v>83574</v>
      </c>
      <c r="L13" s="898">
        <v>120571</v>
      </c>
      <c r="M13" s="898">
        <v>195454</v>
      </c>
      <c r="N13" s="898">
        <v>317434</v>
      </c>
      <c r="O13" s="898">
        <v>400503</v>
      </c>
      <c r="P13" s="898">
        <v>454199</v>
      </c>
      <c r="Q13" s="898">
        <v>474759</v>
      </c>
      <c r="R13" s="898">
        <v>510760</v>
      </c>
      <c r="S13" s="898">
        <v>512874</v>
      </c>
      <c r="T13" s="898">
        <v>536747</v>
      </c>
      <c r="U13" s="898">
        <v>532159</v>
      </c>
      <c r="V13" s="898">
        <v>512055</v>
      </c>
      <c r="W13" s="898">
        <v>499774</v>
      </c>
      <c r="X13" s="898">
        <v>470015</v>
      </c>
      <c r="Y13" s="898">
        <v>440295</v>
      </c>
      <c r="Z13" s="898">
        <v>416016</v>
      </c>
      <c r="AA13" s="899">
        <v>386019</v>
      </c>
      <c r="AB13" s="899">
        <v>355609</v>
      </c>
      <c r="AC13" s="899">
        <v>309453</v>
      </c>
      <c r="AD13" s="900">
        <v>283771</v>
      </c>
    </row>
    <row r="14" spans="1:84" s="902" customFormat="1" x14ac:dyDescent="0.25">
      <c r="A14" s="901"/>
      <c r="B14" s="836"/>
      <c r="C14" s="836"/>
      <c r="D14" s="181" t="s">
        <v>962</v>
      </c>
      <c r="E14" s="898">
        <v>2707</v>
      </c>
      <c r="F14" s="898">
        <v>8172</v>
      </c>
      <c r="G14" s="898">
        <v>16835</v>
      </c>
      <c r="H14" s="898">
        <v>22789</v>
      </c>
      <c r="I14" s="898">
        <v>33574</v>
      </c>
      <c r="J14" s="898">
        <v>34978</v>
      </c>
      <c r="K14" s="898">
        <v>42355</v>
      </c>
      <c r="L14" s="898">
        <v>76494</v>
      </c>
      <c r="M14" s="898">
        <v>86917</v>
      </c>
      <c r="N14" s="898">
        <v>90112</v>
      </c>
      <c r="O14" s="898">
        <v>98631</v>
      </c>
      <c r="P14" s="898">
        <v>102292</v>
      </c>
      <c r="Q14" s="898">
        <v>107065</v>
      </c>
      <c r="R14" s="898">
        <v>110731</v>
      </c>
      <c r="S14" s="898">
        <v>112185</v>
      </c>
      <c r="T14" s="898">
        <v>114993</v>
      </c>
      <c r="U14" s="898">
        <v>120268</v>
      </c>
      <c r="V14" s="898">
        <v>120632</v>
      </c>
      <c r="W14" s="898">
        <v>126777</v>
      </c>
      <c r="X14" s="898">
        <v>131040</v>
      </c>
      <c r="Y14" s="898">
        <v>144952</v>
      </c>
      <c r="Z14" s="898">
        <v>147467</v>
      </c>
      <c r="AA14" s="899">
        <v>150001</v>
      </c>
      <c r="AB14" s="899">
        <v>154735</v>
      </c>
      <c r="AC14" s="899">
        <v>150151</v>
      </c>
      <c r="AD14" s="900">
        <v>153768</v>
      </c>
    </row>
    <row r="15" spans="1:84" s="902" customFormat="1" x14ac:dyDescent="0.25">
      <c r="A15" s="901"/>
      <c r="B15" s="836"/>
      <c r="C15" s="836"/>
      <c r="D15" s="181" t="s">
        <v>963</v>
      </c>
      <c r="E15" s="898"/>
      <c r="F15" s="898"/>
      <c r="G15" s="898">
        <v>21997</v>
      </c>
      <c r="H15" s="898">
        <v>150366</v>
      </c>
      <c r="I15" s="898">
        <v>1111612</v>
      </c>
      <c r="J15" s="898">
        <v>1277396</v>
      </c>
      <c r="K15" s="898">
        <v>1998936</v>
      </c>
      <c r="L15" s="898">
        <v>2996723</v>
      </c>
      <c r="M15" s="898">
        <v>4165545</v>
      </c>
      <c r="N15" s="898">
        <v>7075266</v>
      </c>
      <c r="O15" s="898">
        <v>7863841</v>
      </c>
      <c r="P15" s="898">
        <v>8189975</v>
      </c>
      <c r="Q15" s="898">
        <v>8765354</v>
      </c>
      <c r="R15" s="898">
        <v>9570287</v>
      </c>
      <c r="S15" s="898">
        <v>10371950</v>
      </c>
      <c r="T15" s="898">
        <v>10927731</v>
      </c>
      <c r="U15" s="898">
        <v>11341988</v>
      </c>
      <c r="V15" s="898">
        <v>11125946</v>
      </c>
      <c r="W15" s="898">
        <v>11703165</v>
      </c>
      <c r="X15" s="898">
        <v>11972900</v>
      </c>
      <c r="Y15" s="898">
        <v>12081375</v>
      </c>
      <c r="Z15" s="898">
        <v>12269084</v>
      </c>
      <c r="AA15" s="899">
        <v>12452072</v>
      </c>
      <c r="AB15" s="3418">
        <v>12787448</v>
      </c>
      <c r="AC15" s="3418">
        <v>12992589</v>
      </c>
      <c r="AD15" s="3419" t="s">
        <v>964</v>
      </c>
    </row>
    <row r="16" spans="1:84" s="903" customFormat="1" x14ac:dyDescent="0.25">
      <c r="A16" s="901"/>
      <c r="B16" s="836"/>
      <c r="C16" s="836"/>
      <c r="D16" s="3689" t="s">
        <v>965</v>
      </c>
      <c r="E16" s="3714">
        <f t="shared" ref="E16:Z16" si="0">SUM(E9:E15)</f>
        <v>2408742</v>
      </c>
      <c r="F16" s="3714">
        <f t="shared" si="0"/>
        <v>2420470</v>
      </c>
      <c r="G16" s="3714">
        <f t="shared" si="0"/>
        <v>2540998</v>
      </c>
      <c r="H16" s="3714">
        <f t="shared" si="0"/>
        <v>2687169</v>
      </c>
      <c r="I16" s="3714">
        <f t="shared" si="0"/>
        <v>3773998</v>
      </c>
      <c r="J16" s="3714">
        <f t="shared" si="0"/>
        <v>3982801</v>
      </c>
      <c r="K16" s="3714">
        <f t="shared" si="0"/>
        <v>4913275</v>
      </c>
      <c r="L16" s="3714">
        <f t="shared" si="0"/>
        <v>6476587</v>
      </c>
      <c r="M16" s="3714">
        <f t="shared" si="0"/>
        <v>7869143</v>
      </c>
      <c r="N16" s="3714">
        <f t="shared" si="0"/>
        <v>10947116</v>
      </c>
      <c r="O16" s="3714">
        <f t="shared" si="0"/>
        <v>12015059</v>
      </c>
      <c r="P16" s="3714">
        <f t="shared" si="0"/>
        <v>12423739</v>
      </c>
      <c r="Q16" s="3714">
        <f t="shared" si="0"/>
        <v>13072173</v>
      </c>
      <c r="R16" s="3714">
        <f t="shared" si="0"/>
        <v>14057365</v>
      </c>
      <c r="S16" s="3714">
        <f t="shared" si="0"/>
        <v>14935832</v>
      </c>
      <c r="T16" s="3714">
        <f t="shared" si="0"/>
        <v>15595705</v>
      </c>
      <c r="U16" s="3714">
        <f t="shared" si="0"/>
        <v>16106110</v>
      </c>
      <c r="V16" s="3714">
        <f t="shared" si="0"/>
        <v>15932473</v>
      </c>
      <c r="W16" s="3714">
        <f t="shared" si="0"/>
        <v>16642643</v>
      </c>
      <c r="X16" s="3714">
        <f t="shared" si="0"/>
        <v>16991634</v>
      </c>
      <c r="Y16" s="3714">
        <f t="shared" si="0"/>
        <v>17200525</v>
      </c>
      <c r="Z16" s="3714">
        <f t="shared" si="0"/>
        <v>17509995</v>
      </c>
      <c r="AA16" s="3714">
        <v>17811745</v>
      </c>
      <c r="AB16" s="3420">
        <v>18290592</v>
      </c>
      <c r="AC16" s="3420">
        <v>18440572</v>
      </c>
      <c r="AD16" s="3421">
        <v>18677339</v>
      </c>
      <c r="AE16" s="902"/>
      <c r="AF16" s="902"/>
      <c r="AG16" s="902"/>
      <c r="AH16" s="902"/>
      <c r="AI16" s="902"/>
      <c r="AJ16" s="902"/>
      <c r="AK16" s="902"/>
      <c r="AL16" s="902"/>
      <c r="AM16" s="902"/>
      <c r="AN16" s="902"/>
      <c r="AO16" s="902"/>
      <c r="AP16" s="902"/>
      <c r="AQ16" s="902"/>
      <c r="AR16" s="902"/>
      <c r="AS16" s="902"/>
      <c r="AT16" s="902"/>
      <c r="AU16" s="902"/>
      <c r="AV16" s="902"/>
      <c r="AW16" s="902"/>
      <c r="AX16" s="902"/>
      <c r="AY16" s="902"/>
      <c r="AZ16" s="902"/>
      <c r="BA16" s="902"/>
      <c r="BB16" s="902"/>
      <c r="BC16" s="902"/>
      <c r="BD16" s="902"/>
      <c r="BE16" s="902"/>
      <c r="BF16" s="902"/>
      <c r="BG16" s="902"/>
      <c r="BH16" s="902"/>
      <c r="BI16" s="902"/>
      <c r="BJ16" s="902"/>
      <c r="BK16" s="902"/>
      <c r="BL16" s="902"/>
      <c r="BM16" s="902"/>
      <c r="BN16" s="902"/>
      <c r="BO16" s="902"/>
      <c r="BP16" s="902"/>
      <c r="BQ16" s="902"/>
      <c r="BR16" s="902"/>
      <c r="BS16" s="902"/>
      <c r="BT16" s="902"/>
      <c r="BU16" s="902"/>
      <c r="BV16" s="902"/>
      <c r="BW16" s="902"/>
      <c r="BX16" s="902"/>
      <c r="BY16" s="902"/>
      <c r="BZ16" s="902"/>
      <c r="CA16" s="902"/>
      <c r="CB16" s="902"/>
      <c r="CC16" s="902"/>
      <c r="CD16" s="902"/>
      <c r="CE16" s="902"/>
      <c r="CF16" s="902"/>
    </row>
    <row r="17" spans="1:104" s="909" customFormat="1" x14ac:dyDescent="0.25">
      <c r="A17" s="904"/>
      <c r="B17" s="905"/>
      <c r="C17" s="905"/>
      <c r="D17" s="906" t="s">
        <v>966</v>
      </c>
      <c r="E17" s="907"/>
      <c r="F17" s="907">
        <f>(F16-E16)/E16</f>
        <v>4.8689315833742256E-3</v>
      </c>
      <c r="G17" s="907">
        <f t="shared" ref="G17:Z17" si="1">(G16-F16)/F16</f>
        <v>4.9795287692059806E-2</v>
      </c>
      <c r="H17" s="907">
        <f t="shared" si="1"/>
        <v>5.7525035438831515E-2</v>
      </c>
      <c r="I17" s="907">
        <f t="shared" si="1"/>
        <v>0.40445130172311455</v>
      </c>
      <c r="J17" s="907">
        <f t="shared" si="1"/>
        <v>5.5326738381949327E-2</v>
      </c>
      <c r="K17" s="907">
        <f t="shared" si="1"/>
        <v>0.2336230205827507</v>
      </c>
      <c r="L17" s="907">
        <f t="shared" si="1"/>
        <v>0.31818125384799345</v>
      </c>
      <c r="M17" s="907">
        <f t="shared" si="1"/>
        <v>0.21501386455551358</v>
      </c>
      <c r="N17" s="907">
        <f t="shared" si="1"/>
        <v>0.39114462654954929</v>
      </c>
      <c r="O17" s="907">
        <f t="shared" si="1"/>
        <v>9.7554734963985035E-2</v>
      </c>
      <c r="P17" s="907">
        <f t="shared" si="1"/>
        <v>3.4013981953813124E-2</v>
      </c>
      <c r="Q17" s="907">
        <f t="shared" si="1"/>
        <v>5.2193144109031912E-2</v>
      </c>
      <c r="R17" s="907">
        <f t="shared" si="1"/>
        <v>7.5365587649429064E-2</v>
      </c>
      <c r="S17" s="907">
        <f t="shared" si="1"/>
        <v>6.2491583593369031E-2</v>
      </c>
      <c r="T17" s="907">
        <f t="shared" si="1"/>
        <v>4.4180531757454157E-2</v>
      </c>
      <c r="U17" s="907">
        <f t="shared" si="1"/>
        <v>3.2727279722205571E-2</v>
      </c>
      <c r="V17" s="907">
        <f t="shared" si="1"/>
        <v>-1.0780815479342933E-2</v>
      </c>
      <c r="W17" s="907">
        <f t="shared" si="1"/>
        <v>4.457374570790109E-2</v>
      </c>
      <c r="X17" s="907">
        <f t="shared" si="1"/>
        <v>2.0969686124974261E-2</v>
      </c>
      <c r="Y17" s="907">
        <f t="shared" si="1"/>
        <v>1.2293755856558586E-2</v>
      </c>
      <c r="Z17" s="907">
        <f t="shared" si="1"/>
        <v>1.7991892689321984E-2</v>
      </c>
      <c r="AA17" s="907">
        <v>1.7233014629644383E-2</v>
      </c>
      <c r="AB17" s="907">
        <f>((AB16-AA16)/AA16)</f>
        <v>2.6883778091366117E-2</v>
      </c>
      <c r="AC17" s="907">
        <f>((AC16-AB16)/AB16)</f>
        <v>8.1998439416285703E-3</v>
      </c>
      <c r="AD17" s="908">
        <f>((AD16-AC16)/AC16)</f>
        <v>1.28394607282247E-2</v>
      </c>
      <c r="AG17" s="902"/>
      <c r="AH17" s="902"/>
      <c r="AI17" s="902"/>
      <c r="AJ17" s="902"/>
      <c r="AK17" s="902"/>
      <c r="AL17" s="902"/>
      <c r="AM17" s="902"/>
      <c r="AN17" s="902"/>
      <c r="AO17" s="902"/>
      <c r="AP17" s="902"/>
      <c r="AQ17" s="902"/>
      <c r="AR17" s="902"/>
      <c r="AS17" s="902"/>
      <c r="AT17" s="902"/>
      <c r="AU17" s="902"/>
      <c r="AV17" s="902"/>
      <c r="AW17" s="902"/>
      <c r="AX17" s="902"/>
      <c r="AY17" s="902"/>
      <c r="AZ17" s="902"/>
      <c r="BA17" s="902"/>
      <c r="BB17" s="902"/>
      <c r="BC17" s="902"/>
      <c r="BD17" s="902"/>
      <c r="BE17" s="902"/>
      <c r="BF17" s="902"/>
      <c r="BG17" s="902"/>
      <c r="BH17" s="902"/>
      <c r="BI17" s="902"/>
      <c r="BJ17" s="902"/>
      <c r="BK17" s="902"/>
      <c r="BL17" s="902"/>
      <c r="BM17" s="902"/>
      <c r="BN17" s="902"/>
      <c r="BO17" s="902"/>
      <c r="BP17" s="902"/>
      <c r="BQ17" s="902"/>
      <c r="BR17" s="902"/>
      <c r="BS17" s="902"/>
      <c r="BT17" s="902"/>
      <c r="BU17" s="902"/>
      <c r="BV17" s="902"/>
      <c r="BW17" s="902"/>
      <c r="BX17" s="902"/>
      <c r="BY17" s="902"/>
      <c r="BZ17" s="902"/>
      <c r="CA17" s="902"/>
      <c r="CB17" s="902"/>
      <c r="CC17" s="902"/>
      <c r="CD17" s="902"/>
      <c r="CE17" s="902"/>
      <c r="CF17" s="902"/>
    </row>
    <row r="18" spans="1:104" s="902" customFormat="1" x14ac:dyDescent="0.25">
      <c r="A18" s="901"/>
      <c r="B18" s="836"/>
      <c r="C18" s="836"/>
      <c r="D18" s="246"/>
      <c r="E18" s="910"/>
      <c r="F18" s="910"/>
      <c r="G18" s="910"/>
      <c r="H18" s="910"/>
      <c r="I18" s="910"/>
      <c r="J18" s="910"/>
      <c r="K18" s="910"/>
      <c r="L18" s="910"/>
      <c r="M18" s="910"/>
      <c r="N18" s="910"/>
      <c r="O18" s="910"/>
      <c r="P18" s="910"/>
      <c r="Q18" s="910"/>
      <c r="R18" s="910"/>
      <c r="S18" s="910"/>
      <c r="T18" s="910"/>
      <c r="U18" s="910"/>
      <c r="V18" s="910"/>
      <c r="W18" s="910"/>
      <c r="X18" s="910"/>
      <c r="Y18" s="910"/>
      <c r="Z18" s="910"/>
      <c r="AA18" s="910"/>
      <c r="AB18" s="910"/>
      <c r="AC18" s="910"/>
      <c r="AD18" s="3100"/>
    </row>
    <row r="19" spans="1:104" s="902" customFormat="1" x14ac:dyDescent="0.25">
      <c r="A19" s="901"/>
      <c r="B19" s="836"/>
      <c r="C19" s="836"/>
      <c r="D19" s="71"/>
      <c r="E19" s="866"/>
      <c r="F19" s="866"/>
      <c r="G19" s="866"/>
      <c r="H19" s="866"/>
      <c r="I19" s="866"/>
      <c r="J19" s="866"/>
      <c r="K19" s="866"/>
      <c r="L19" s="866"/>
      <c r="M19" s="866"/>
      <c r="N19" s="866"/>
      <c r="O19" s="866"/>
      <c r="P19" s="866"/>
      <c r="Q19" s="911"/>
      <c r="R19" s="911"/>
      <c r="S19" s="911"/>
      <c r="T19" s="912"/>
      <c r="U19" s="911"/>
      <c r="V19" s="912"/>
      <c r="W19" s="912"/>
      <c r="X19" s="912"/>
    </row>
    <row r="20" spans="1:104" s="902" customFormat="1" x14ac:dyDescent="0.25">
      <c r="A20" s="901"/>
      <c r="B20" s="913"/>
      <c r="C20" s="913"/>
      <c r="D20" s="914"/>
      <c r="E20" s="914"/>
      <c r="F20" s="915"/>
      <c r="G20" s="915"/>
      <c r="H20" s="915"/>
      <c r="I20" s="915"/>
      <c r="J20" s="915"/>
      <c r="K20" s="915"/>
      <c r="L20" s="915"/>
      <c r="M20" s="915"/>
      <c r="N20" s="915"/>
      <c r="O20" s="915"/>
      <c r="P20" s="915"/>
      <c r="Q20" s="915"/>
      <c r="R20" s="911"/>
      <c r="S20" s="911"/>
      <c r="T20" s="912"/>
      <c r="U20" s="911"/>
      <c r="V20" s="912"/>
      <c r="W20" s="912"/>
      <c r="X20" s="912"/>
    </row>
    <row r="21" spans="1:104" s="902" customFormat="1" x14ac:dyDescent="0.25">
      <c r="A21" s="901"/>
      <c r="B21" s="913"/>
      <c r="C21" s="913"/>
      <c r="D21" s="72" t="s">
        <v>267</v>
      </c>
      <c r="E21" s="896" t="s">
        <v>967</v>
      </c>
      <c r="F21" s="897"/>
      <c r="G21" s="897"/>
      <c r="H21" s="916"/>
      <c r="I21" s="916"/>
      <c r="J21" s="916"/>
      <c r="K21" s="916"/>
      <c r="L21" s="916"/>
      <c r="M21" s="916"/>
      <c r="N21" s="917"/>
      <c r="O21" s="918"/>
      <c r="P21" s="896" t="s">
        <v>968</v>
      </c>
      <c r="Q21" s="897"/>
      <c r="R21" s="897"/>
      <c r="S21" s="916"/>
      <c r="T21" s="916"/>
      <c r="U21" s="916"/>
      <c r="V21" s="916"/>
      <c r="W21" s="916"/>
      <c r="X21" s="916"/>
      <c r="Y21" s="919"/>
      <c r="Z21" s="72"/>
      <c r="AA21" s="896" t="s">
        <v>969</v>
      </c>
      <c r="AB21" s="911"/>
      <c r="AC21" s="911"/>
      <c r="AD21" s="911"/>
      <c r="AE21" s="911"/>
      <c r="AF21" s="920"/>
      <c r="AG21" s="920"/>
      <c r="AH21" s="920"/>
      <c r="AI21" s="921"/>
      <c r="AJ21" s="72"/>
      <c r="AK21" s="896" t="s">
        <v>970</v>
      </c>
      <c r="AL21" s="911"/>
      <c r="AM21" s="911"/>
      <c r="AN21" s="911"/>
      <c r="AO21" s="911"/>
      <c r="AP21" s="920"/>
      <c r="AQ21" s="920"/>
      <c r="AR21" s="922"/>
      <c r="AS21" s="72"/>
      <c r="AT21" s="896" t="s">
        <v>971</v>
      </c>
      <c r="BE21" s="896" t="s">
        <v>972</v>
      </c>
      <c r="BO21" s="896" t="s">
        <v>973</v>
      </c>
      <c r="BY21" s="896" t="s">
        <v>974</v>
      </c>
      <c r="CI21" s="896" t="s">
        <v>975</v>
      </c>
      <c r="CS21" s="896" t="s">
        <v>976</v>
      </c>
    </row>
    <row r="22" spans="1:104" s="934" customFormat="1" ht="27" customHeight="1" x14ac:dyDescent="0.25">
      <c r="A22" s="923"/>
      <c r="B22" s="924"/>
      <c r="C22" s="924"/>
      <c r="D22" s="925" t="s">
        <v>954</v>
      </c>
      <c r="E22" s="926" t="s">
        <v>276</v>
      </c>
      <c r="F22" s="927" t="s">
        <v>277</v>
      </c>
      <c r="G22" s="927" t="s">
        <v>278</v>
      </c>
      <c r="H22" s="927" t="s">
        <v>641</v>
      </c>
      <c r="I22" s="927" t="s">
        <v>280</v>
      </c>
      <c r="J22" s="927" t="s">
        <v>977</v>
      </c>
      <c r="K22" s="927" t="s">
        <v>945</v>
      </c>
      <c r="L22" s="927" t="s">
        <v>283</v>
      </c>
      <c r="M22" s="927" t="s">
        <v>284</v>
      </c>
      <c r="N22" s="926" t="s">
        <v>50</v>
      </c>
      <c r="O22" s="926" t="s">
        <v>276</v>
      </c>
      <c r="P22" s="927" t="s">
        <v>277</v>
      </c>
      <c r="Q22" s="927" t="s">
        <v>278</v>
      </c>
      <c r="R22" s="927" t="s">
        <v>641</v>
      </c>
      <c r="S22" s="927" t="s">
        <v>280</v>
      </c>
      <c r="T22" s="927" t="s">
        <v>977</v>
      </c>
      <c r="U22" s="927" t="s">
        <v>945</v>
      </c>
      <c r="V22" s="927" t="s">
        <v>283</v>
      </c>
      <c r="W22" s="927" t="s">
        <v>284</v>
      </c>
      <c r="X22" s="926" t="s">
        <v>50</v>
      </c>
      <c r="Y22" s="928" t="s">
        <v>276</v>
      </c>
      <c r="Z22" s="927" t="s">
        <v>277</v>
      </c>
      <c r="AA22" s="927" t="s">
        <v>278</v>
      </c>
      <c r="AB22" s="3422" t="s">
        <v>641</v>
      </c>
      <c r="AC22" s="3422" t="s">
        <v>280</v>
      </c>
      <c r="AD22" s="3422" t="s">
        <v>977</v>
      </c>
      <c r="AE22" s="3422" t="s">
        <v>945</v>
      </c>
      <c r="AF22" s="3422" t="s">
        <v>283</v>
      </c>
      <c r="AG22" s="3422" t="s">
        <v>284</v>
      </c>
      <c r="AH22" s="929" t="s">
        <v>50</v>
      </c>
      <c r="AI22" s="3422" t="s">
        <v>276</v>
      </c>
      <c r="AJ22" s="927" t="s">
        <v>277</v>
      </c>
      <c r="AK22" s="927" t="s">
        <v>278</v>
      </c>
      <c r="AL22" s="3422" t="s">
        <v>641</v>
      </c>
      <c r="AM22" s="3422" t="s">
        <v>280</v>
      </c>
      <c r="AN22" s="3422" t="s">
        <v>977</v>
      </c>
      <c r="AO22" s="3422" t="s">
        <v>945</v>
      </c>
      <c r="AP22" s="3422" t="s">
        <v>283</v>
      </c>
      <c r="AQ22" s="930" t="s">
        <v>284</v>
      </c>
      <c r="AR22" s="931" t="s">
        <v>50</v>
      </c>
      <c r="AS22" s="926" t="s">
        <v>276</v>
      </c>
      <c r="AT22" s="927" t="s">
        <v>277</v>
      </c>
      <c r="AU22" s="3422" t="s">
        <v>278</v>
      </c>
      <c r="AV22" s="3422" t="s">
        <v>641</v>
      </c>
      <c r="AW22" s="3422" t="s">
        <v>280</v>
      </c>
      <c r="AX22" s="3422" t="s">
        <v>977</v>
      </c>
      <c r="AY22" s="3422" t="s">
        <v>945</v>
      </c>
      <c r="AZ22" s="3422" t="s">
        <v>283</v>
      </c>
      <c r="BA22" s="930" t="s">
        <v>284</v>
      </c>
      <c r="BB22" s="932" t="s">
        <v>50</v>
      </c>
      <c r="BC22" s="933" t="s">
        <v>276</v>
      </c>
      <c r="BD22" s="3422" t="s">
        <v>277</v>
      </c>
      <c r="BE22" s="3422" t="s">
        <v>278</v>
      </c>
      <c r="BF22" s="3422" t="s">
        <v>641</v>
      </c>
      <c r="BG22" s="3422" t="s">
        <v>280</v>
      </c>
      <c r="BH22" s="3422" t="s">
        <v>977</v>
      </c>
      <c r="BI22" s="3422" t="s">
        <v>945</v>
      </c>
      <c r="BJ22" s="3422" t="s">
        <v>283</v>
      </c>
      <c r="BK22" s="930" t="s">
        <v>284</v>
      </c>
      <c r="BL22" s="932" t="s">
        <v>50</v>
      </c>
      <c r="BM22" s="933" t="s">
        <v>276</v>
      </c>
      <c r="BN22" s="3422" t="s">
        <v>277</v>
      </c>
      <c r="BO22" s="3422" t="s">
        <v>278</v>
      </c>
      <c r="BP22" s="3422" t="s">
        <v>641</v>
      </c>
      <c r="BQ22" s="3422" t="s">
        <v>280</v>
      </c>
      <c r="BR22" s="3422" t="s">
        <v>977</v>
      </c>
      <c r="BS22" s="3422" t="s">
        <v>945</v>
      </c>
      <c r="BT22" s="3422" t="s">
        <v>283</v>
      </c>
      <c r="BU22" s="930" t="s">
        <v>284</v>
      </c>
      <c r="BV22" s="932" t="s">
        <v>50</v>
      </c>
      <c r="BW22" s="933" t="s">
        <v>276</v>
      </c>
      <c r="BX22" s="3422" t="s">
        <v>277</v>
      </c>
      <c r="BY22" s="3422" t="s">
        <v>278</v>
      </c>
      <c r="BZ22" s="3422" t="s">
        <v>641</v>
      </c>
      <c r="CA22" s="3422" t="s">
        <v>280</v>
      </c>
      <c r="CB22" s="3422" t="s">
        <v>977</v>
      </c>
      <c r="CC22" s="3422" t="s">
        <v>945</v>
      </c>
      <c r="CD22" s="3422" t="s">
        <v>283</v>
      </c>
      <c r="CE22" s="930" t="s">
        <v>284</v>
      </c>
      <c r="CF22" s="932" t="s">
        <v>50</v>
      </c>
      <c r="CG22" s="933" t="s">
        <v>276</v>
      </c>
      <c r="CH22" s="3422" t="s">
        <v>277</v>
      </c>
      <c r="CI22" s="3422" t="s">
        <v>278</v>
      </c>
      <c r="CJ22" s="3422" t="s">
        <v>641</v>
      </c>
      <c r="CK22" s="3422" t="s">
        <v>280</v>
      </c>
      <c r="CL22" s="3422" t="s">
        <v>977</v>
      </c>
      <c r="CM22" s="3422" t="s">
        <v>945</v>
      </c>
      <c r="CN22" s="3422" t="s">
        <v>283</v>
      </c>
      <c r="CO22" s="930" t="s">
        <v>284</v>
      </c>
      <c r="CP22" s="932" t="s">
        <v>50</v>
      </c>
      <c r="CQ22" s="4325" t="s">
        <v>276</v>
      </c>
      <c r="CR22" s="4326" t="s">
        <v>277</v>
      </c>
      <c r="CS22" s="4326" t="s">
        <v>278</v>
      </c>
      <c r="CT22" s="4326" t="s">
        <v>641</v>
      </c>
      <c r="CU22" s="4326" t="s">
        <v>280</v>
      </c>
      <c r="CV22" s="4326" t="s">
        <v>977</v>
      </c>
      <c r="CW22" s="4326" t="s">
        <v>945</v>
      </c>
      <c r="CX22" s="4326" t="s">
        <v>283</v>
      </c>
      <c r="CY22" s="4327" t="s">
        <v>284</v>
      </c>
      <c r="CZ22" s="4328" t="s">
        <v>50</v>
      </c>
    </row>
    <row r="23" spans="1:104" s="934" customFormat="1" ht="12.75" x14ac:dyDescent="0.2">
      <c r="A23" s="901"/>
      <c r="B23" s="913"/>
      <c r="C23" s="913"/>
      <c r="D23" s="181" t="s">
        <v>978</v>
      </c>
      <c r="E23" s="935">
        <v>492248</v>
      </c>
      <c r="F23" s="898">
        <v>165328</v>
      </c>
      <c r="G23" s="898">
        <v>368316</v>
      </c>
      <c r="H23" s="898">
        <v>573040</v>
      </c>
      <c r="I23" s="898">
        <v>379783</v>
      </c>
      <c r="J23" s="898">
        <v>219920</v>
      </c>
      <c r="K23" s="898">
        <v>234505</v>
      </c>
      <c r="L23" s="898">
        <v>71721</v>
      </c>
      <c r="M23" s="898">
        <v>245996</v>
      </c>
      <c r="N23" s="935">
        <v>2750857</v>
      </c>
      <c r="O23" s="935">
        <v>509612</v>
      </c>
      <c r="P23" s="898">
        <v>172103</v>
      </c>
      <c r="Q23" s="898">
        <v>424892</v>
      </c>
      <c r="R23" s="898">
        <v>590959</v>
      </c>
      <c r="S23" s="898">
        <v>395264</v>
      </c>
      <c r="T23" s="898">
        <v>227239</v>
      </c>
      <c r="U23" s="898">
        <v>217274</v>
      </c>
      <c r="V23" s="898">
        <v>74919</v>
      </c>
      <c r="W23" s="898">
        <v>260935</v>
      </c>
      <c r="X23" s="935">
        <v>2873197</v>
      </c>
      <c r="Y23" s="935">
        <v>516952</v>
      </c>
      <c r="Z23" s="898">
        <v>176973</v>
      </c>
      <c r="AA23" s="898">
        <v>449843</v>
      </c>
      <c r="AB23" s="898">
        <v>611625</v>
      </c>
      <c r="AC23" s="898">
        <v>421053</v>
      </c>
      <c r="AD23" s="898">
        <v>217045</v>
      </c>
      <c r="AE23" s="898">
        <v>224898</v>
      </c>
      <c r="AF23" s="898">
        <v>77081</v>
      </c>
      <c r="AG23" s="898">
        <v>274463</v>
      </c>
      <c r="AH23" s="936">
        <v>2969933</v>
      </c>
      <c r="AI23" s="937">
        <v>528291</v>
      </c>
      <c r="AJ23" s="898">
        <v>182314</v>
      </c>
      <c r="AK23" s="898">
        <v>482168</v>
      </c>
      <c r="AL23" s="898">
        <v>631713</v>
      </c>
      <c r="AM23" s="898">
        <v>430368</v>
      </c>
      <c r="AN23" s="898">
        <v>226625</v>
      </c>
      <c r="AO23" s="898">
        <v>233547</v>
      </c>
      <c r="AP23" s="898">
        <v>79080</v>
      </c>
      <c r="AQ23" s="898">
        <v>292745</v>
      </c>
      <c r="AR23" s="936">
        <v>3086851</v>
      </c>
      <c r="AS23" s="898">
        <v>537250</v>
      </c>
      <c r="AT23" s="898">
        <v>187887</v>
      </c>
      <c r="AU23" s="937">
        <v>514733</v>
      </c>
      <c r="AV23" s="898">
        <v>649094</v>
      </c>
      <c r="AW23" s="898">
        <v>441175</v>
      </c>
      <c r="AX23" s="937">
        <v>234576</v>
      </c>
      <c r="AY23" s="898">
        <v>240084</v>
      </c>
      <c r="AZ23" s="898">
        <v>81241</v>
      </c>
      <c r="BA23" s="938">
        <v>308047</v>
      </c>
      <c r="BB23" s="939">
        <v>3194087</v>
      </c>
      <c r="BC23" s="898">
        <v>548933</v>
      </c>
      <c r="BD23" s="898">
        <v>193804</v>
      </c>
      <c r="BE23" s="937">
        <v>548422</v>
      </c>
      <c r="BF23" s="898">
        <v>662767</v>
      </c>
      <c r="BG23" s="898">
        <v>451691</v>
      </c>
      <c r="BH23" s="937">
        <v>241271</v>
      </c>
      <c r="BI23" s="898">
        <v>247703</v>
      </c>
      <c r="BJ23" s="898">
        <v>83914</v>
      </c>
      <c r="BK23" s="938">
        <v>323697</v>
      </c>
      <c r="BL23" s="939">
        <v>3302202</v>
      </c>
      <c r="BM23" s="898">
        <v>563424</v>
      </c>
      <c r="BN23" s="898">
        <v>199775</v>
      </c>
      <c r="BO23" s="937">
        <v>585280</v>
      </c>
      <c r="BP23" s="898">
        <v>680826</v>
      </c>
      <c r="BQ23" s="898">
        <v>462498</v>
      </c>
      <c r="BR23" s="937">
        <v>249651</v>
      </c>
      <c r="BS23" s="898">
        <v>256415</v>
      </c>
      <c r="BT23" s="898">
        <v>86409</v>
      </c>
      <c r="BU23" s="938">
        <v>339059</v>
      </c>
      <c r="BV23" s="939">
        <v>3423337</v>
      </c>
      <c r="BW23" s="898">
        <v>581489</v>
      </c>
      <c r="BX23" s="939">
        <v>206444</v>
      </c>
      <c r="BY23" s="939">
        <v>620417</v>
      </c>
      <c r="BZ23" s="939">
        <v>705290</v>
      </c>
      <c r="CA23" s="939">
        <v>474289</v>
      </c>
      <c r="CB23" s="939">
        <v>257160</v>
      </c>
      <c r="CC23" s="939">
        <v>264790</v>
      </c>
      <c r="CD23" s="939">
        <v>89126</v>
      </c>
      <c r="CE23" s="939">
        <v>354312</v>
      </c>
      <c r="CF23" s="939">
        <v>3553317</v>
      </c>
      <c r="CG23" s="898">
        <v>594585</v>
      </c>
      <c r="CH23" s="898">
        <v>213002</v>
      </c>
      <c r="CI23" s="937">
        <v>659215</v>
      </c>
      <c r="CJ23" s="898">
        <v>726994</v>
      </c>
      <c r="CK23" s="898">
        <v>483976</v>
      </c>
      <c r="CL23" s="937">
        <v>263950</v>
      </c>
      <c r="CM23" s="898">
        <v>273753</v>
      </c>
      <c r="CN23" s="898">
        <v>91826</v>
      </c>
      <c r="CO23" s="938">
        <v>369490</v>
      </c>
      <c r="CP23" s="939">
        <v>3676791</v>
      </c>
      <c r="CQ23" s="2174">
        <v>592404</v>
      </c>
      <c r="CR23" s="2174">
        <v>213663</v>
      </c>
      <c r="CS23" s="1121">
        <v>679083</v>
      </c>
      <c r="CT23" s="2174">
        <v>730111</v>
      </c>
      <c r="CU23" s="2174">
        <v>489248</v>
      </c>
      <c r="CV23" s="1121">
        <v>267169</v>
      </c>
      <c r="CW23" s="2174">
        <v>279179</v>
      </c>
      <c r="CX23" s="2174">
        <v>93726</v>
      </c>
      <c r="CY23" s="4329">
        <v>378092</v>
      </c>
      <c r="CZ23" s="4330">
        <v>3722675</v>
      </c>
    </row>
    <row r="24" spans="1:104" s="902" customFormat="1" x14ac:dyDescent="0.25">
      <c r="A24" s="901"/>
      <c r="B24" s="913"/>
      <c r="C24" s="913"/>
      <c r="D24" s="181" t="s">
        <v>979</v>
      </c>
      <c r="E24" s="935">
        <v>101</v>
      </c>
      <c r="F24" s="898">
        <v>14</v>
      </c>
      <c r="G24" s="898">
        <v>171</v>
      </c>
      <c r="H24" s="898">
        <v>109</v>
      </c>
      <c r="I24" s="898">
        <v>59</v>
      </c>
      <c r="J24" s="898">
        <v>34</v>
      </c>
      <c r="K24" s="898">
        <v>26</v>
      </c>
      <c r="L24" s="898">
        <v>26</v>
      </c>
      <c r="M24" s="898">
        <v>213</v>
      </c>
      <c r="N24" s="935">
        <v>753</v>
      </c>
      <c r="O24" s="935">
        <v>76</v>
      </c>
      <c r="P24" s="898">
        <v>8</v>
      </c>
      <c r="Q24" s="898">
        <v>147</v>
      </c>
      <c r="R24" s="898">
        <v>86</v>
      </c>
      <c r="S24" s="898">
        <v>47</v>
      </c>
      <c r="T24" s="898">
        <v>27</v>
      </c>
      <c r="U24" s="898">
        <v>19</v>
      </c>
      <c r="V24" s="898">
        <v>17</v>
      </c>
      <c r="W24" s="898">
        <v>160</v>
      </c>
      <c r="X24" s="935">
        <v>587</v>
      </c>
      <c r="Y24" s="935">
        <v>62</v>
      </c>
      <c r="Z24" s="898">
        <v>6</v>
      </c>
      <c r="AA24" s="898">
        <v>109</v>
      </c>
      <c r="AB24" s="898">
        <v>58</v>
      </c>
      <c r="AC24" s="898">
        <v>29</v>
      </c>
      <c r="AD24" s="898">
        <v>17</v>
      </c>
      <c r="AE24" s="898">
        <v>16</v>
      </c>
      <c r="AF24" s="898">
        <v>12</v>
      </c>
      <c r="AG24" s="898">
        <v>120</v>
      </c>
      <c r="AH24" s="936">
        <v>429</v>
      </c>
      <c r="AI24" s="937">
        <v>47</v>
      </c>
      <c r="AJ24" s="898">
        <v>5</v>
      </c>
      <c r="AK24" s="898">
        <v>89</v>
      </c>
      <c r="AL24" s="898">
        <v>38</v>
      </c>
      <c r="AM24" s="898">
        <v>21</v>
      </c>
      <c r="AN24" s="898">
        <v>14</v>
      </c>
      <c r="AO24" s="898">
        <v>11</v>
      </c>
      <c r="AP24" s="898">
        <v>9</v>
      </c>
      <c r="AQ24" s="898">
        <v>92</v>
      </c>
      <c r="AR24" s="936">
        <v>326</v>
      </c>
      <c r="AS24" s="898">
        <v>40</v>
      </c>
      <c r="AT24" s="898">
        <v>2</v>
      </c>
      <c r="AU24" s="937">
        <v>66</v>
      </c>
      <c r="AV24" s="898">
        <v>30</v>
      </c>
      <c r="AW24" s="898">
        <v>14</v>
      </c>
      <c r="AX24" s="937">
        <v>13</v>
      </c>
      <c r="AY24" s="898">
        <v>6</v>
      </c>
      <c r="AZ24" s="898">
        <v>8</v>
      </c>
      <c r="BA24" s="938">
        <v>66</v>
      </c>
      <c r="BB24" s="939">
        <v>245</v>
      </c>
      <c r="BC24" s="898">
        <v>29</v>
      </c>
      <c r="BD24" s="898">
        <v>1</v>
      </c>
      <c r="BE24" s="937">
        <v>55</v>
      </c>
      <c r="BF24" s="898">
        <v>23</v>
      </c>
      <c r="BG24" s="898">
        <v>7</v>
      </c>
      <c r="BH24" s="937">
        <v>4</v>
      </c>
      <c r="BI24" s="898">
        <v>3</v>
      </c>
      <c r="BJ24" s="898">
        <v>4</v>
      </c>
      <c r="BK24" s="938">
        <v>50</v>
      </c>
      <c r="BL24" s="939">
        <v>176</v>
      </c>
      <c r="BM24" s="898">
        <v>21</v>
      </c>
      <c r="BN24" s="898">
        <v>1</v>
      </c>
      <c r="BO24" s="937">
        <v>47</v>
      </c>
      <c r="BP24" s="898">
        <v>15</v>
      </c>
      <c r="BQ24" s="898">
        <v>3</v>
      </c>
      <c r="BR24" s="937">
        <v>3</v>
      </c>
      <c r="BS24" s="898">
        <v>2</v>
      </c>
      <c r="BT24" s="898">
        <v>3</v>
      </c>
      <c r="BU24" s="938">
        <v>39</v>
      </c>
      <c r="BV24" s="939">
        <v>134</v>
      </c>
      <c r="BW24" s="898">
        <v>14</v>
      </c>
      <c r="BX24" s="939">
        <v>1</v>
      </c>
      <c r="BY24" s="939">
        <v>33</v>
      </c>
      <c r="BZ24" s="939">
        <v>9</v>
      </c>
      <c r="CA24" s="939">
        <v>3</v>
      </c>
      <c r="CB24" s="939">
        <v>1</v>
      </c>
      <c r="CC24" s="939"/>
      <c r="CD24" s="939">
        <v>3</v>
      </c>
      <c r="CE24" s="939">
        <v>28</v>
      </c>
      <c r="CF24" s="939">
        <v>92</v>
      </c>
      <c r="CG24" s="898">
        <v>12</v>
      </c>
      <c r="CH24" s="898"/>
      <c r="CI24" s="937">
        <v>21</v>
      </c>
      <c r="CJ24" s="898">
        <v>6</v>
      </c>
      <c r="CK24" s="898">
        <v>2</v>
      </c>
      <c r="CL24" s="937">
        <v>1</v>
      </c>
      <c r="CM24" s="898">
        <v>1</v>
      </c>
      <c r="CN24" s="898">
        <v>1</v>
      </c>
      <c r="CO24" s="938">
        <v>18</v>
      </c>
      <c r="CP24" s="939">
        <v>62</v>
      </c>
      <c r="CQ24" s="2174">
        <v>8</v>
      </c>
      <c r="CR24" s="2174"/>
      <c r="CS24" s="1121">
        <v>11</v>
      </c>
      <c r="CT24" s="2174">
        <v>5</v>
      </c>
      <c r="CU24" s="2174">
        <v>2</v>
      </c>
      <c r="CV24" s="1121"/>
      <c r="CW24" s="2174">
        <v>1</v>
      </c>
      <c r="CX24" s="2174">
        <v>1</v>
      </c>
      <c r="CY24" s="4329">
        <v>12</v>
      </c>
      <c r="CZ24" s="4330">
        <v>40</v>
      </c>
    </row>
    <row r="25" spans="1:104" s="902" customFormat="1" x14ac:dyDescent="0.25">
      <c r="A25" s="901"/>
      <c r="B25" s="913"/>
      <c r="C25" s="913"/>
      <c r="D25" s="181" t="s">
        <v>958</v>
      </c>
      <c r="E25" s="935">
        <v>190620</v>
      </c>
      <c r="F25" s="898">
        <v>95760</v>
      </c>
      <c r="G25" s="898">
        <v>120838</v>
      </c>
      <c r="H25" s="898">
        <v>325459</v>
      </c>
      <c r="I25" s="898">
        <v>88040</v>
      </c>
      <c r="J25" s="898">
        <v>82084</v>
      </c>
      <c r="K25" s="898">
        <v>89784</v>
      </c>
      <c r="L25" s="898">
        <v>47920</v>
      </c>
      <c r="M25" s="898">
        <v>157626</v>
      </c>
      <c r="N25" s="935">
        <v>1198131</v>
      </c>
      <c r="O25" s="935">
        <v>185541</v>
      </c>
      <c r="P25" s="898">
        <v>86310</v>
      </c>
      <c r="Q25" s="898">
        <v>123247</v>
      </c>
      <c r="R25" s="898">
        <v>311402</v>
      </c>
      <c r="S25" s="898">
        <v>89155</v>
      </c>
      <c r="T25" s="898">
        <v>80824</v>
      </c>
      <c r="U25" s="898">
        <v>85867</v>
      </c>
      <c r="V25" s="898">
        <v>50012</v>
      </c>
      <c r="W25" s="898">
        <v>151834</v>
      </c>
      <c r="X25" s="935">
        <v>1164192</v>
      </c>
      <c r="Y25" s="935">
        <v>179712</v>
      </c>
      <c r="Z25" s="898">
        <v>80203</v>
      </c>
      <c r="AA25" s="898">
        <v>112822</v>
      </c>
      <c r="AB25" s="898">
        <v>296133</v>
      </c>
      <c r="AC25" s="898">
        <v>91357</v>
      </c>
      <c r="AD25" s="898">
        <v>77258</v>
      </c>
      <c r="AE25" s="898">
        <v>85854</v>
      </c>
      <c r="AF25" s="898">
        <v>48201</v>
      </c>
      <c r="AG25" s="898">
        <v>148879</v>
      </c>
      <c r="AH25" s="936">
        <v>1120419</v>
      </c>
      <c r="AI25" s="937">
        <v>182479</v>
      </c>
      <c r="AJ25" s="898">
        <v>75526</v>
      </c>
      <c r="AK25" s="898">
        <v>106015</v>
      </c>
      <c r="AL25" s="898">
        <v>284574</v>
      </c>
      <c r="AM25" s="898">
        <v>93428</v>
      </c>
      <c r="AN25" s="898">
        <v>78487</v>
      </c>
      <c r="AO25" s="898">
        <v>85517</v>
      </c>
      <c r="AP25" s="898">
        <v>50787</v>
      </c>
      <c r="AQ25" s="898">
        <v>155850</v>
      </c>
      <c r="AR25" s="936">
        <v>1112663</v>
      </c>
      <c r="AS25" s="898">
        <v>181263</v>
      </c>
      <c r="AT25" s="910">
        <v>73915</v>
      </c>
      <c r="AU25" s="940">
        <v>111438</v>
      </c>
      <c r="AV25" s="910">
        <v>262512</v>
      </c>
      <c r="AW25" s="910">
        <v>95658</v>
      </c>
      <c r="AX25" s="940">
        <v>77577</v>
      </c>
      <c r="AY25" s="910">
        <v>82305</v>
      </c>
      <c r="AZ25" s="910">
        <v>49580</v>
      </c>
      <c r="BA25" s="938">
        <v>151293</v>
      </c>
      <c r="BB25" s="941">
        <v>1085541</v>
      </c>
      <c r="BC25" s="898">
        <v>181491</v>
      </c>
      <c r="BD25" s="910">
        <v>74788</v>
      </c>
      <c r="BE25" s="940">
        <v>114088</v>
      </c>
      <c r="BF25" s="910">
        <v>242412</v>
      </c>
      <c r="BG25" s="910">
        <v>94470</v>
      </c>
      <c r="BH25" s="940">
        <v>76921</v>
      </c>
      <c r="BI25" s="910">
        <v>77245</v>
      </c>
      <c r="BJ25" s="910">
        <v>50386</v>
      </c>
      <c r="BK25" s="942">
        <v>155375</v>
      </c>
      <c r="BL25" s="941">
        <v>1067176</v>
      </c>
      <c r="BM25" s="898">
        <v>181856</v>
      </c>
      <c r="BN25" s="910">
        <v>74635</v>
      </c>
      <c r="BO25" s="940">
        <v>117069</v>
      </c>
      <c r="BP25" s="910">
        <v>235297</v>
      </c>
      <c r="BQ25" s="910">
        <v>96020</v>
      </c>
      <c r="BR25" s="940">
        <v>78251</v>
      </c>
      <c r="BS25" s="910">
        <v>73535</v>
      </c>
      <c r="BT25" s="910">
        <v>50369</v>
      </c>
      <c r="BU25" s="938">
        <v>154834</v>
      </c>
      <c r="BV25" s="941">
        <v>1061866</v>
      </c>
      <c r="BW25" s="898">
        <v>182393</v>
      </c>
      <c r="BX25" s="941">
        <v>74047</v>
      </c>
      <c r="BY25" s="941">
        <v>116710</v>
      </c>
      <c r="BZ25" s="941">
        <v>228743</v>
      </c>
      <c r="CA25" s="941">
        <v>96729</v>
      </c>
      <c r="CB25" s="941">
        <v>78308</v>
      </c>
      <c r="CC25" s="941">
        <v>67149</v>
      </c>
      <c r="CD25" s="941">
        <v>48572</v>
      </c>
      <c r="CE25" s="941">
        <v>155604</v>
      </c>
      <c r="CF25" s="941">
        <v>1048255</v>
      </c>
      <c r="CG25" s="898">
        <v>179453</v>
      </c>
      <c r="CH25" s="910">
        <v>74810</v>
      </c>
      <c r="CI25" s="940">
        <v>119582</v>
      </c>
      <c r="CJ25" s="910">
        <v>226891</v>
      </c>
      <c r="CK25" s="910">
        <v>97188</v>
      </c>
      <c r="CL25" s="940">
        <v>78010</v>
      </c>
      <c r="CM25" s="910">
        <v>65357</v>
      </c>
      <c r="CN25" s="910">
        <v>46675</v>
      </c>
      <c r="CO25" s="938">
        <v>154059</v>
      </c>
      <c r="CP25" s="941">
        <v>1042025</v>
      </c>
      <c r="CQ25" s="2174">
        <v>177074</v>
      </c>
      <c r="CR25" s="4331">
        <v>74596</v>
      </c>
      <c r="CS25" s="4332">
        <v>112823</v>
      </c>
      <c r="CT25" s="4331">
        <v>214302</v>
      </c>
      <c r="CU25" s="4331">
        <v>96663</v>
      </c>
      <c r="CV25" s="4332">
        <v>76022</v>
      </c>
      <c r="CW25" s="4331">
        <v>62454</v>
      </c>
      <c r="CX25" s="4331">
        <v>48228</v>
      </c>
      <c r="CY25" s="4329">
        <v>135590</v>
      </c>
      <c r="CZ25" s="4333">
        <v>997752</v>
      </c>
    </row>
    <row r="26" spans="1:104" s="902" customFormat="1" x14ac:dyDescent="0.25">
      <c r="A26" s="901"/>
      <c r="B26" s="913"/>
      <c r="C26" s="913"/>
      <c r="D26" s="943" t="s">
        <v>980</v>
      </c>
      <c r="E26" s="3423">
        <v>182989</v>
      </c>
      <c r="F26" s="3424">
        <v>72699</v>
      </c>
      <c r="G26" s="3424">
        <v>96038</v>
      </c>
      <c r="H26" s="3424">
        <v>244738</v>
      </c>
      <c r="I26" s="3424">
        <v>71883</v>
      </c>
      <c r="J26" s="3424">
        <v>65764</v>
      </c>
      <c r="K26" s="3424">
        <v>73328</v>
      </c>
      <c r="L26" s="3424">
        <v>36348</v>
      </c>
      <c r="M26" s="3424">
        <v>111815</v>
      </c>
      <c r="N26" s="3425">
        <v>955602</v>
      </c>
      <c r="O26" s="3423">
        <v>179088</v>
      </c>
      <c r="P26" s="3424">
        <v>69381</v>
      </c>
      <c r="Q26" s="3424">
        <v>100269</v>
      </c>
      <c r="R26" s="3424">
        <v>241000</v>
      </c>
      <c r="S26" s="3424">
        <v>73148</v>
      </c>
      <c r="T26" s="3424">
        <v>65906</v>
      </c>
      <c r="U26" s="3424">
        <v>70186</v>
      </c>
      <c r="V26" s="3424">
        <v>36451</v>
      </c>
      <c r="W26" s="3424">
        <v>112513</v>
      </c>
      <c r="X26" s="3425">
        <v>947942</v>
      </c>
      <c r="Y26" s="3423">
        <v>173429</v>
      </c>
      <c r="Z26" s="3424">
        <v>64332</v>
      </c>
      <c r="AA26" s="3424">
        <v>87136</v>
      </c>
      <c r="AB26" s="3424">
        <v>228690</v>
      </c>
      <c r="AC26" s="3424">
        <v>74846</v>
      </c>
      <c r="AD26" s="3424">
        <v>63202</v>
      </c>
      <c r="AE26" s="3424">
        <v>68581</v>
      </c>
      <c r="AF26" s="3424">
        <v>33009</v>
      </c>
      <c r="AG26" s="3424">
        <v>113734</v>
      </c>
      <c r="AH26" s="944">
        <v>906959</v>
      </c>
      <c r="AI26" s="3423">
        <v>174036</v>
      </c>
      <c r="AJ26" s="3424">
        <v>62627</v>
      </c>
      <c r="AK26" s="3424">
        <v>78902</v>
      </c>
      <c r="AL26" s="3424">
        <v>221927</v>
      </c>
      <c r="AM26" s="3424">
        <v>76877</v>
      </c>
      <c r="AN26" s="3424">
        <v>64365</v>
      </c>
      <c r="AO26" s="3424">
        <v>68471</v>
      </c>
      <c r="AP26" s="3424">
        <v>34277</v>
      </c>
      <c r="AQ26" s="3424">
        <v>115396</v>
      </c>
      <c r="AR26" s="945">
        <v>896878</v>
      </c>
      <c r="AS26" s="3424">
        <v>172922</v>
      </c>
      <c r="AT26" s="938">
        <v>62052</v>
      </c>
      <c r="AU26" s="946">
        <v>82572</v>
      </c>
      <c r="AV26" s="938">
        <v>209914</v>
      </c>
      <c r="AW26" s="946">
        <v>78053</v>
      </c>
      <c r="AX26" s="938">
        <v>63846</v>
      </c>
      <c r="AY26" s="946">
        <v>65200</v>
      </c>
      <c r="AZ26" s="938">
        <v>34583</v>
      </c>
      <c r="BA26" s="3424">
        <v>114119</v>
      </c>
      <c r="BB26" s="947">
        <v>883261</v>
      </c>
      <c r="BC26" s="3424">
        <v>172945</v>
      </c>
      <c r="BD26" s="938">
        <v>61916</v>
      </c>
      <c r="BE26" s="946">
        <v>84540</v>
      </c>
      <c r="BF26" s="938">
        <v>199979</v>
      </c>
      <c r="BG26" s="946">
        <v>77585</v>
      </c>
      <c r="BH26" s="938">
        <v>64692</v>
      </c>
      <c r="BI26" s="946">
        <v>62146</v>
      </c>
      <c r="BJ26" s="938">
        <v>35286</v>
      </c>
      <c r="BK26" s="946">
        <v>112966</v>
      </c>
      <c r="BL26" s="947">
        <v>872055</v>
      </c>
      <c r="BM26" s="898">
        <v>172652</v>
      </c>
      <c r="BN26" s="938">
        <v>61512</v>
      </c>
      <c r="BO26" s="946">
        <v>85601</v>
      </c>
      <c r="BP26" s="938">
        <v>195570</v>
      </c>
      <c r="BQ26" s="946">
        <v>77600</v>
      </c>
      <c r="BR26" s="938">
        <v>65393</v>
      </c>
      <c r="BS26" s="938">
        <v>58956</v>
      </c>
      <c r="BT26" s="946">
        <v>37128</v>
      </c>
      <c r="BU26" s="3424">
        <v>111013</v>
      </c>
      <c r="BV26" s="947">
        <v>865425</v>
      </c>
      <c r="BW26" s="3424">
        <v>169668</v>
      </c>
      <c r="BX26" s="3424">
        <v>60314</v>
      </c>
      <c r="BY26" s="3424">
        <v>85493</v>
      </c>
      <c r="BZ26" s="3424">
        <v>190349</v>
      </c>
      <c r="CA26" s="3424">
        <v>76673</v>
      </c>
      <c r="CB26" s="3424">
        <v>64432</v>
      </c>
      <c r="CC26" s="3424">
        <v>55768</v>
      </c>
      <c r="CD26" s="3424">
        <v>36618</v>
      </c>
      <c r="CE26" s="3424">
        <v>109621</v>
      </c>
      <c r="CF26" s="3424">
        <v>848936</v>
      </c>
      <c r="CG26" s="3424">
        <v>168743</v>
      </c>
      <c r="CH26" s="938">
        <v>60503</v>
      </c>
      <c r="CI26" s="946">
        <v>86041</v>
      </c>
      <c r="CJ26" s="938">
        <v>186227</v>
      </c>
      <c r="CK26" s="946">
        <v>76346</v>
      </c>
      <c r="CL26" s="938">
        <v>64768</v>
      </c>
      <c r="CM26" s="946">
        <v>53365</v>
      </c>
      <c r="CN26" s="938">
        <v>35343</v>
      </c>
      <c r="CO26" s="3424">
        <v>107374</v>
      </c>
      <c r="CP26" s="947">
        <v>838710</v>
      </c>
      <c r="CQ26" s="4334">
        <v>165485</v>
      </c>
      <c r="CR26" s="4329">
        <v>60350</v>
      </c>
      <c r="CS26" s="4335">
        <v>86956</v>
      </c>
      <c r="CT26" s="4329">
        <v>181545</v>
      </c>
      <c r="CU26" s="4335">
        <v>76681</v>
      </c>
      <c r="CV26" s="4329">
        <v>64398</v>
      </c>
      <c r="CW26" s="4335">
        <v>51470</v>
      </c>
      <c r="CX26" s="4329">
        <v>33287</v>
      </c>
      <c r="CY26" s="4334">
        <v>104201</v>
      </c>
      <c r="CZ26" s="4336">
        <v>824373</v>
      </c>
    </row>
    <row r="27" spans="1:104" s="902" customFormat="1" x14ac:dyDescent="0.25">
      <c r="A27" s="901"/>
      <c r="B27" s="913"/>
      <c r="C27" s="913"/>
      <c r="D27" s="948" t="s">
        <v>981</v>
      </c>
      <c r="E27" s="949">
        <v>7631</v>
      </c>
      <c r="F27" s="950">
        <v>23061</v>
      </c>
      <c r="G27" s="950">
        <v>24800</v>
      </c>
      <c r="H27" s="950">
        <v>80721</v>
      </c>
      <c r="I27" s="950">
        <v>16157</v>
      </c>
      <c r="J27" s="950">
        <v>16320</v>
      </c>
      <c r="K27" s="950">
        <v>16456</v>
      </c>
      <c r="L27" s="950">
        <v>11572</v>
      </c>
      <c r="M27" s="950">
        <v>45811</v>
      </c>
      <c r="N27" s="940">
        <v>242529</v>
      </c>
      <c r="O27" s="949">
        <v>6453</v>
      </c>
      <c r="P27" s="950">
        <v>16929</v>
      </c>
      <c r="Q27" s="950">
        <v>22978</v>
      </c>
      <c r="R27" s="950">
        <v>70402</v>
      </c>
      <c r="S27" s="950">
        <v>16007</v>
      </c>
      <c r="T27" s="950">
        <v>14918</v>
      </c>
      <c r="U27" s="950">
        <v>15681</v>
      </c>
      <c r="V27" s="950">
        <v>13561</v>
      </c>
      <c r="W27" s="950">
        <v>39321</v>
      </c>
      <c r="X27" s="940">
        <v>216250</v>
      </c>
      <c r="Y27" s="949">
        <v>6283</v>
      </c>
      <c r="Z27" s="950">
        <v>15871</v>
      </c>
      <c r="AA27" s="950">
        <v>25686</v>
      </c>
      <c r="AB27" s="950">
        <v>67443</v>
      </c>
      <c r="AC27" s="950">
        <v>16511</v>
      </c>
      <c r="AD27" s="950">
        <v>14056</v>
      </c>
      <c r="AE27" s="950">
        <v>17273</v>
      </c>
      <c r="AF27" s="950">
        <v>15192</v>
      </c>
      <c r="AG27" s="950">
        <v>35145</v>
      </c>
      <c r="AH27" s="936">
        <v>213460</v>
      </c>
      <c r="AI27" s="949">
        <v>8443</v>
      </c>
      <c r="AJ27" s="950">
        <v>12899</v>
      </c>
      <c r="AK27" s="950">
        <v>27113</v>
      </c>
      <c r="AL27" s="950">
        <v>62647</v>
      </c>
      <c r="AM27" s="950">
        <v>16551</v>
      </c>
      <c r="AN27" s="950">
        <v>14122</v>
      </c>
      <c r="AO27" s="950">
        <v>17046</v>
      </c>
      <c r="AP27" s="950">
        <v>16510</v>
      </c>
      <c r="AQ27" s="950">
        <v>40454</v>
      </c>
      <c r="AR27" s="942">
        <v>215785</v>
      </c>
      <c r="AS27" s="950">
        <v>8341</v>
      </c>
      <c r="AT27" s="942">
        <v>11863</v>
      </c>
      <c r="AU27" s="950">
        <v>28866</v>
      </c>
      <c r="AV27" s="942">
        <v>52598</v>
      </c>
      <c r="AW27" s="950">
        <v>17605</v>
      </c>
      <c r="AX27" s="942">
        <v>13731</v>
      </c>
      <c r="AY27" s="950">
        <v>17105</v>
      </c>
      <c r="AZ27" s="942">
        <v>14997</v>
      </c>
      <c r="BA27" s="950">
        <v>37174</v>
      </c>
      <c r="BB27" s="951">
        <v>202280</v>
      </c>
      <c r="BC27" s="950">
        <v>8546</v>
      </c>
      <c r="BD27" s="942">
        <v>12872</v>
      </c>
      <c r="BE27" s="950">
        <v>29548</v>
      </c>
      <c r="BF27" s="942">
        <v>42433</v>
      </c>
      <c r="BG27" s="950">
        <v>16885</v>
      </c>
      <c r="BH27" s="942">
        <v>12229</v>
      </c>
      <c r="BI27" s="950">
        <v>15099</v>
      </c>
      <c r="BJ27" s="942">
        <v>15100</v>
      </c>
      <c r="BK27" s="950">
        <v>42409</v>
      </c>
      <c r="BL27" s="951">
        <v>195121</v>
      </c>
      <c r="BM27" s="952">
        <v>9204</v>
      </c>
      <c r="BN27" s="942">
        <v>13123</v>
      </c>
      <c r="BO27" s="950">
        <v>31468</v>
      </c>
      <c r="BP27" s="942">
        <v>39727</v>
      </c>
      <c r="BQ27" s="950">
        <v>18420</v>
      </c>
      <c r="BR27" s="942">
        <v>12858</v>
      </c>
      <c r="BS27" s="942">
        <v>14579</v>
      </c>
      <c r="BT27" s="950">
        <v>13241</v>
      </c>
      <c r="BU27" s="950">
        <v>43821</v>
      </c>
      <c r="BV27" s="951">
        <v>196441</v>
      </c>
      <c r="BW27" s="950">
        <v>12725</v>
      </c>
      <c r="BX27" s="950">
        <v>13733</v>
      </c>
      <c r="BY27" s="950">
        <v>31217</v>
      </c>
      <c r="BZ27" s="950">
        <v>38394</v>
      </c>
      <c r="CA27" s="950">
        <v>20056</v>
      </c>
      <c r="CB27" s="950">
        <v>13876</v>
      </c>
      <c r="CC27" s="950">
        <v>11381</v>
      </c>
      <c r="CD27" s="950">
        <v>11954</v>
      </c>
      <c r="CE27" s="950">
        <v>45983</v>
      </c>
      <c r="CF27" s="950">
        <v>199319</v>
      </c>
      <c r="CG27" s="950">
        <v>10710</v>
      </c>
      <c r="CH27" s="942">
        <v>14307</v>
      </c>
      <c r="CI27" s="950">
        <v>33541</v>
      </c>
      <c r="CJ27" s="942">
        <v>40664</v>
      </c>
      <c r="CK27" s="950">
        <v>20842</v>
      </c>
      <c r="CL27" s="942">
        <v>13242</v>
      </c>
      <c r="CM27" s="950">
        <v>11992</v>
      </c>
      <c r="CN27" s="942">
        <v>11332</v>
      </c>
      <c r="CO27" s="950">
        <v>46685</v>
      </c>
      <c r="CP27" s="951">
        <v>203315</v>
      </c>
      <c r="CQ27" s="4337">
        <v>11589</v>
      </c>
      <c r="CR27" s="4338">
        <v>14246</v>
      </c>
      <c r="CS27" s="4337">
        <v>25867</v>
      </c>
      <c r="CT27" s="4338">
        <v>32757</v>
      </c>
      <c r="CU27" s="4337">
        <v>19982</v>
      </c>
      <c r="CV27" s="4338">
        <v>11624</v>
      </c>
      <c r="CW27" s="4337">
        <v>10984</v>
      </c>
      <c r="CX27" s="4338">
        <v>14941</v>
      </c>
      <c r="CY27" s="4337">
        <v>31389</v>
      </c>
      <c r="CZ27" s="4339">
        <v>173379</v>
      </c>
    </row>
    <row r="28" spans="1:104" s="902" customFormat="1" x14ac:dyDescent="0.25">
      <c r="A28" s="901"/>
      <c r="B28" s="913"/>
      <c r="C28" s="913"/>
      <c r="D28" s="181" t="s">
        <v>982</v>
      </c>
      <c r="E28" s="935">
        <v>8488</v>
      </c>
      <c r="F28" s="898">
        <v>1035</v>
      </c>
      <c r="G28" s="898">
        <v>1297</v>
      </c>
      <c r="H28" s="898">
        <v>28077</v>
      </c>
      <c r="I28" s="898">
        <v>8895</v>
      </c>
      <c r="J28" s="898">
        <v>2185</v>
      </c>
      <c r="K28" s="898">
        <v>3376</v>
      </c>
      <c r="L28" s="898">
        <v>4092</v>
      </c>
      <c r="M28" s="898">
        <v>9048</v>
      </c>
      <c r="N28" s="935">
        <v>66493</v>
      </c>
      <c r="O28" s="935">
        <v>9545</v>
      </c>
      <c r="P28" s="898">
        <v>1199</v>
      </c>
      <c r="Q28" s="898">
        <v>1655</v>
      </c>
      <c r="R28" s="898">
        <v>29190</v>
      </c>
      <c r="S28" s="898">
        <v>11321</v>
      </c>
      <c r="T28" s="898">
        <v>2883</v>
      </c>
      <c r="U28" s="898">
        <v>4092</v>
      </c>
      <c r="V28" s="898">
        <v>4214</v>
      </c>
      <c r="W28" s="898">
        <v>9620</v>
      </c>
      <c r="X28" s="935">
        <v>73719</v>
      </c>
      <c r="Y28" s="935">
        <v>12145</v>
      </c>
      <c r="Z28" s="898">
        <v>1543</v>
      </c>
      <c r="AA28" s="898">
        <v>2168</v>
      </c>
      <c r="AB28" s="898">
        <v>30652</v>
      </c>
      <c r="AC28" s="898">
        <v>13048</v>
      </c>
      <c r="AD28" s="898">
        <v>3572</v>
      </c>
      <c r="AE28" s="898">
        <v>5142</v>
      </c>
      <c r="AF28" s="898">
        <v>4755</v>
      </c>
      <c r="AG28" s="898">
        <v>10034</v>
      </c>
      <c r="AH28" s="944">
        <v>83059</v>
      </c>
      <c r="AI28" s="937">
        <v>16391</v>
      </c>
      <c r="AJ28" s="898">
        <v>2095</v>
      </c>
      <c r="AK28" s="898">
        <v>2989</v>
      </c>
      <c r="AL28" s="898">
        <v>39333</v>
      </c>
      <c r="AM28" s="898">
        <v>21228</v>
      </c>
      <c r="AN28" s="898">
        <v>5154</v>
      </c>
      <c r="AO28" s="898">
        <v>7217</v>
      </c>
      <c r="AP28" s="898">
        <v>6587</v>
      </c>
      <c r="AQ28" s="898">
        <v>12093</v>
      </c>
      <c r="AR28" s="936">
        <v>113087</v>
      </c>
      <c r="AS28" s="898">
        <v>18671</v>
      </c>
      <c r="AT28" s="936">
        <v>2777</v>
      </c>
      <c r="AU28" s="898">
        <v>4358</v>
      </c>
      <c r="AV28" s="936">
        <v>47109</v>
      </c>
      <c r="AW28" s="898">
        <v>28349</v>
      </c>
      <c r="AX28" s="936">
        <v>7121</v>
      </c>
      <c r="AY28" s="898">
        <v>8134</v>
      </c>
      <c r="AZ28" s="936">
        <v>7311</v>
      </c>
      <c r="BA28" s="898">
        <v>13976</v>
      </c>
      <c r="BB28" s="953">
        <v>137806</v>
      </c>
      <c r="BC28" s="898">
        <v>20540</v>
      </c>
      <c r="BD28" s="936">
        <v>4170</v>
      </c>
      <c r="BE28" s="898">
        <v>5466</v>
      </c>
      <c r="BF28" s="936">
        <v>52484</v>
      </c>
      <c r="BG28" s="898">
        <v>37145</v>
      </c>
      <c r="BH28" s="936">
        <v>10262</v>
      </c>
      <c r="BI28" s="936">
        <v>9392</v>
      </c>
      <c r="BJ28" s="898">
        <v>8761</v>
      </c>
      <c r="BK28" s="898">
        <v>16129</v>
      </c>
      <c r="BL28" s="953">
        <v>164349</v>
      </c>
      <c r="BM28" s="898">
        <v>22013</v>
      </c>
      <c r="BN28" s="936">
        <v>5758</v>
      </c>
      <c r="BO28" s="898">
        <v>6585</v>
      </c>
      <c r="BP28" s="936">
        <v>56314</v>
      </c>
      <c r="BQ28" s="898">
        <v>44496</v>
      </c>
      <c r="BR28" s="936">
        <v>16162</v>
      </c>
      <c r="BS28" s="936">
        <v>11110</v>
      </c>
      <c r="BT28" s="898">
        <v>10715</v>
      </c>
      <c r="BU28" s="898">
        <v>18938</v>
      </c>
      <c r="BV28" s="953">
        <v>192091</v>
      </c>
      <c r="BW28" s="898">
        <v>25214</v>
      </c>
      <c r="BX28" s="936">
        <v>6561</v>
      </c>
      <c r="BY28" s="936">
        <v>7286</v>
      </c>
      <c r="BZ28" s="936">
        <v>65674</v>
      </c>
      <c r="CA28" s="936">
        <v>49971</v>
      </c>
      <c r="CB28" s="936">
        <v>20010</v>
      </c>
      <c r="CC28" s="936">
        <v>12446</v>
      </c>
      <c r="CD28" s="936">
        <v>13006</v>
      </c>
      <c r="CE28" s="898">
        <v>21821</v>
      </c>
      <c r="CF28" s="939">
        <v>221989</v>
      </c>
      <c r="CG28" s="898">
        <v>32296</v>
      </c>
      <c r="CH28" s="936">
        <v>9904</v>
      </c>
      <c r="CI28" s="898">
        <v>9105</v>
      </c>
      <c r="CJ28" s="936">
        <v>82783</v>
      </c>
      <c r="CK28" s="898">
        <v>56679</v>
      </c>
      <c r="CL28" s="936">
        <v>23987</v>
      </c>
      <c r="CM28" s="898">
        <v>16760</v>
      </c>
      <c r="CN28" s="936">
        <v>17267</v>
      </c>
      <c r="CO28" s="898">
        <v>25141</v>
      </c>
      <c r="CP28" s="953">
        <v>273922</v>
      </c>
      <c r="CQ28" s="2174">
        <v>32528</v>
      </c>
      <c r="CR28" s="4340">
        <v>10162</v>
      </c>
      <c r="CS28" s="2174">
        <v>9770</v>
      </c>
      <c r="CT28" s="4340">
        <v>78651</v>
      </c>
      <c r="CU28" s="2174">
        <v>54248</v>
      </c>
      <c r="CV28" s="4340">
        <v>23409</v>
      </c>
      <c r="CW28" s="2174">
        <v>16919</v>
      </c>
      <c r="CX28" s="4340">
        <v>18296</v>
      </c>
      <c r="CY28" s="2174">
        <v>23929</v>
      </c>
      <c r="CZ28" s="4341">
        <v>267912</v>
      </c>
    </row>
    <row r="29" spans="1:104" s="902" customFormat="1" x14ac:dyDescent="0.25">
      <c r="A29" s="901"/>
      <c r="B29" s="913"/>
      <c r="C29" s="913"/>
      <c r="D29" s="181" t="s">
        <v>961</v>
      </c>
      <c r="E29" s="935">
        <v>116826</v>
      </c>
      <c r="F29" s="898">
        <v>43311</v>
      </c>
      <c r="G29" s="898">
        <v>56451</v>
      </c>
      <c r="H29" s="898">
        <v>142114</v>
      </c>
      <c r="I29" s="898">
        <v>56066</v>
      </c>
      <c r="J29" s="898">
        <v>32886</v>
      </c>
      <c r="K29" s="898">
        <v>45634</v>
      </c>
      <c r="L29" s="898">
        <v>14456</v>
      </c>
      <c r="M29" s="898">
        <v>29003</v>
      </c>
      <c r="N29" s="935">
        <v>536747</v>
      </c>
      <c r="O29" s="935">
        <v>117231</v>
      </c>
      <c r="P29" s="898">
        <v>41317</v>
      </c>
      <c r="Q29" s="898">
        <v>58722</v>
      </c>
      <c r="R29" s="898">
        <v>135442</v>
      </c>
      <c r="S29" s="898">
        <v>58953</v>
      </c>
      <c r="T29" s="898">
        <v>35359</v>
      </c>
      <c r="U29" s="898">
        <v>42215</v>
      </c>
      <c r="V29" s="898">
        <v>14342</v>
      </c>
      <c r="W29" s="898">
        <v>28578</v>
      </c>
      <c r="X29" s="935">
        <v>532159</v>
      </c>
      <c r="Y29" s="935">
        <v>116172</v>
      </c>
      <c r="Z29" s="898">
        <v>39178</v>
      </c>
      <c r="AA29" s="898">
        <v>55027</v>
      </c>
      <c r="AB29" s="898">
        <v>125702</v>
      </c>
      <c r="AC29" s="898">
        <v>58571</v>
      </c>
      <c r="AD29" s="898">
        <v>33877</v>
      </c>
      <c r="AE29" s="898">
        <v>40726</v>
      </c>
      <c r="AF29" s="898">
        <v>14307</v>
      </c>
      <c r="AG29" s="898">
        <v>28495</v>
      </c>
      <c r="AH29" s="936">
        <v>512055</v>
      </c>
      <c r="AI29" s="937">
        <v>115849</v>
      </c>
      <c r="AJ29" s="898">
        <v>37985</v>
      </c>
      <c r="AK29" s="898">
        <v>53411</v>
      </c>
      <c r="AL29" s="898">
        <v>118505</v>
      </c>
      <c r="AM29" s="898">
        <v>57694</v>
      </c>
      <c r="AN29" s="898">
        <v>34260</v>
      </c>
      <c r="AO29" s="898">
        <v>37984</v>
      </c>
      <c r="AP29" s="898">
        <v>14513</v>
      </c>
      <c r="AQ29" s="898">
        <v>29573</v>
      </c>
      <c r="AR29" s="936">
        <v>499774</v>
      </c>
      <c r="AS29" s="898">
        <v>110007</v>
      </c>
      <c r="AT29" s="936">
        <v>35426</v>
      </c>
      <c r="AU29" s="898">
        <v>51568</v>
      </c>
      <c r="AV29" s="936">
        <v>106755</v>
      </c>
      <c r="AW29" s="898">
        <v>52272</v>
      </c>
      <c r="AX29" s="936">
        <v>33735</v>
      </c>
      <c r="AY29" s="898">
        <v>36001</v>
      </c>
      <c r="AZ29" s="936">
        <v>14075</v>
      </c>
      <c r="BA29" s="898">
        <v>30176</v>
      </c>
      <c r="BB29" s="953">
        <v>470015</v>
      </c>
      <c r="BC29" s="898">
        <v>104910</v>
      </c>
      <c r="BD29" s="936">
        <v>33196</v>
      </c>
      <c r="BE29" s="898">
        <v>50379</v>
      </c>
      <c r="BF29" s="936">
        <v>92060</v>
      </c>
      <c r="BG29" s="898">
        <v>47921</v>
      </c>
      <c r="BH29" s="936">
        <v>32087</v>
      </c>
      <c r="BI29" s="936">
        <v>35134</v>
      </c>
      <c r="BJ29" s="898">
        <v>13657</v>
      </c>
      <c r="BK29" s="898">
        <v>30951</v>
      </c>
      <c r="BL29" s="953">
        <v>440295</v>
      </c>
      <c r="BM29" s="898">
        <v>99033</v>
      </c>
      <c r="BN29" s="936">
        <v>30991</v>
      </c>
      <c r="BO29" s="898">
        <v>48132</v>
      </c>
      <c r="BP29" s="936">
        <v>83525</v>
      </c>
      <c r="BQ29" s="898">
        <v>46341</v>
      </c>
      <c r="BR29" s="936">
        <v>30351</v>
      </c>
      <c r="BS29" s="936">
        <v>33094</v>
      </c>
      <c r="BT29" s="898">
        <v>12880</v>
      </c>
      <c r="BU29" s="898">
        <v>31669</v>
      </c>
      <c r="BV29" s="953">
        <v>416016</v>
      </c>
      <c r="BW29" s="898">
        <v>90704</v>
      </c>
      <c r="BX29" s="936">
        <v>28813</v>
      </c>
      <c r="BY29" s="936">
        <v>45848</v>
      </c>
      <c r="BZ29" s="936">
        <v>75177</v>
      </c>
      <c r="CA29" s="936">
        <v>44314</v>
      </c>
      <c r="CB29" s="936">
        <v>27768</v>
      </c>
      <c r="CC29" s="936">
        <v>29553</v>
      </c>
      <c r="CD29" s="936">
        <v>11970</v>
      </c>
      <c r="CE29" s="898">
        <v>31872</v>
      </c>
      <c r="CF29" s="939">
        <v>386019</v>
      </c>
      <c r="CG29" s="898">
        <v>81128</v>
      </c>
      <c r="CH29" s="936">
        <v>26116</v>
      </c>
      <c r="CI29" s="898">
        <v>43354</v>
      </c>
      <c r="CJ29" s="936">
        <v>66722</v>
      </c>
      <c r="CK29" s="898">
        <v>42317</v>
      </c>
      <c r="CL29" s="936">
        <v>24512</v>
      </c>
      <c r="CM29" s="898">
        <v>28495</v>
      </c>
      <c r="CN29" s="936">
        <v>11211</v>
      </c>
      <c r="CO29" s="898">
        <v>31754</v>
      </c>
      <c r="CP29" s="953">
        <v>355609</v>
      </c>
      <c r="CQ29" s="2174">
        <v>71051</v>
      </c>
      <c r="CR29" s="4340">
        <v>21946</v>
      </c>
      <c r="CS29" s="2174">
        <v>38019</v>
      </c>
      <c r="CT29" s="4340">
        <v>56088</v>
      </c>
      <c r="CU29" s="2174">
        <v>36990</v>
      </c>
      <c r="CV29" s="4340">
        <v>20300</v>
      </c>
      <c r="CW29" s="2174">
        <v>24363</v>
      </c>
      <c r="CX29" s="4340">
        <v>9882</v>
      </c>
      <c r="CY29" s="2174">
        <v>30814</v>
      </c>
      <c r="CZ29" s="4341">
        <v>309453</v>
      </c>
    </row>
    <row r="30" spans="1:104" s="902" customFormat="1" x14ac:dyDescent="0.25">
      <c r="A30" s="901"/>
      <c r="B30" s="913"/>
      <c r="C30" s="913"/>
      <c r="D30" s="181" t="s">
        <v>962</v>
      </c>
      <c r="E30" s="954">
        <v>18235</v>
      </c>
      <c r="F30" s="898">
        <v>5419</v>
      </c>
      <c r="G30" s="898">
        <v>14170</v>
      </c>
      <c r="H30" s="898">
        <v>34969</v>
      </c>
      <c r="I30" s="898">
        <v>11318</v>
      </c>
      <c r="J30" s="898">
        <v>7950</v>
      </c>
      <c r="K30" s="898">
        <v>8736</v>
      </c>
      <c r="L30" s="898">
        <v>4236</v>
      </c>
      <c r="M30" s="898">
        <v>9960</v>
      </c>
      <c r="N30" s="935">
        <v>114993</v>
      </c>
      <c r="O30" s="954">
        <v>18429</v>
      </c>
      <c r="P30" s="898">
        <v>5864</v>
      </c>
      <c r="Q30" s="898">
        <v>15783</v>
      </c>
      <c r="R30" s="898">
        <v>36012</v>
      </c>
      <c r="S30" s="898">
        <v>11913</v>
      </c>
      <c r="T30" s="898">
        <v>8652</v>
      </c>
      <c r="U30" s="898">
        <v>8339</v>
      </c>
      <c r="V30" s="898">
        <v>4485</v>
      </c>
      <c r="W30" s="898">
        <v>10791</v>
      </c>
      <c r="X30" s="935">
        <v>120268</v>
      </c>
      <c r="Y30" s="954">
        <v>18199</v>
      </c>
      <c r="Z30" s="898">
        <v>6146</v>
      </c>
      <c r="AA30" s="898">
        <v>15428</v>
      </c>
      <c r="AB30" s="898">
        <v>35392</v>
      </c>
      <c r="AC30" s="898">
        <v>12559</v>
      </c>
      <c r="AD30" s="898">
        <v>8807</v>
      </c>
      <c r="AE30" s="898">
        <v>8463</v>
      </c>
      <c r="AF30" s="898">
        <v>4610</v>
      </c>
      <c r="AG30" s="898">
        <v>11028</v>
      </c>
      <c r="AH30" s="936">
        <v>120632</v>
      </c>
      <c r="AI30" s="955">
        <v>19165</v>
      </c>
      <c r="AJ30" s="898">
        <v>6385</v>
      </c>
      <c r="AK30" s="898">
        <v>16170</v>
      </c>
      <c r="AL30" s="898">
        <v>36471</v>
      </c>
      <c r="AM30" s="898">
        <v>13266</v>
      </c>
      <c r="AN30" s="898">
        <v>9572</v>
      </c>
      <c r="AO30" s="898">
        <v>8940</v>
      </c>
      <c r="AP30" s="898">
        <v>4787</v>
      </c>
      <c r="AQ30" s="898">
        <v>12021</v>
      </c>
      <c r="AR30" s="936">
        <v>126777</v>
      </c>
      <c r="AS30" s="898">
        <v>19671</v>
      </c>
      <c r="AT30" s="936">
        <v>6759</v>
      </c>
      <c r="AU30" s="898">
        <v>16916</v>
      </c>
      <c r="AV30" s="936">
        <v>37148</v>
      </c>
      <c r="AW30" s="898">
        <v>13850</v>
      </c>
      <c r="AX30" s="936">
        <v>9928</v>
      </c>
      <c r="AY30" s="898">
        <v>9122</v>
      </c>
      <c r="AZ30" s="936">
        <v>5020</v>
      </c>
      <c r="BA30" s="898">
        <v>12626</v>
      </c>
      <c r="BB30" s="953">
        <v>131040</v>
      </c>
      <c r="BC30" s="898">
        <v>22370</v>
      </c>
      <c r="BD30" s="936">
        <v>7880</v>
      </c>
      <c r="BE30" s="898">
        <v>18536</v>
      </c>
      <c r="BF30" s="936">
        <v>39871</v>
      </c>
      <c r="BG30" s="898">
        <v>14968</v>
      </c>
      <c r="BH30" s="936">
        <v>10995</v>
      </c>
      <c r="BI30" s="936">
        <v>10003</v>
      </c>
      <c r="BJ30" s="898">
        <v>5987</v>
      </c>
      <c r="BK30" s="898">
        <v>14342</v>
      </c>
      <c r="BL30" s="953">
        <v>144952</v>
      </c>
      <c r="BM30" s="898">
        <v>22454</v>
      </c>
      <c r="BN30" s="936">
        <v>8147</v>
      </c>
      <c r="BO30" s="898">
        <v>19369</v>
      </c>
      <c r="BP30" s="936">
        <v>39518</v>
      </c>
      <c r="BQ30" s="898">
        <v>15436</v>
      </c>
      <c r="BR30" s="936">
        <v>11345</v>
      </c>
      <c r="BS30" s="936">
        <v>10047</v>
      </c>
      <c r="BT30" s="898">
        <v>6004</v>
      </c>
      <c r="BU30" s="898">
        <v>15147</v>
      </c>
      <c r="BV30" s="953">
        <v>147467</v>
      </c>
      <c r="BW30" s="898">
        <v>1908650</v>
      </c>
      <c r="BX30" s="936">
        <v>693003</v>
      </c>
      <c r="BY30" s="936">
        <v>1867017</v>
      </c>
      <c r="BZ30" s="936">
        <v>2838909</v>
      </c>
      <c r="CA30" s="936">
        <v>1846762</v>
      </c>
      <c r="CB30" s="936">
        <v>1105791</v>
      </c>
      <c r="CC30" s="936">
        <v>856779</v>
      </c>
      <c r="CD30" s="936">
        <v>314069</v>
      </c>
      <c r="CE30" s="898">
        <v>1021092</v>
      </c>
      <c r="CF30" s="939">
        <v>12452072</v>
      </c>
      <c r="CG30" s="898">
        <v>23652</v>
      </c>
      <c r="CH30" s="936">
        <v>8896</v>
      </c>
      <c r="CI30" s="898">
        <v>20947</v>
      </c>
      <c r="CJ30" s="936">
        <v>40107</v>
      </c>
      <c r="CK30" s="898">
        <v>16603</v>
      </c>
      <c r="CL30" s="936">
        <v>11866</v>
      </c>
      <c r="CM30" s="898">
        <v>10045</v>
      </c>
      <c r="CN30" s="936">
        <v>6042</v>
      </c>
      <c r="CO30" s="898">
        <v>16577</v>
      </c>
      <c r="CP30" s="953">
        <v>154735</v>
      </c>
      <c r="CQ30" s="2174">
        <v>23065</v>
      </c>
      <c r="CR30" s="4340">
        <v>8740</v>
      </c>
      <c r="CS30" s="2174">
        <v>20345</v>
      </c>
      <c r="CT30" s="4340">
        <v>38485</v>
      </c>
      <c r="CU30" s="2174">
        <v>16473</v>
      </c>
      <c r="CV30" s="4340">
        <v>11398</v>
      </c>
      <c r="CW30" s="2174">
        <v>9725</v>
      </c>
      <c r="CX30" s="4340">
        <v>5782</v>
      </c>
      <c r="CY30" s="2174">
        <v>16138</v>
      </c>
      <c r="CZ30" s="4341">
        <v>150151</v>
      </c>
    </row>
    <row r="31" spans="1:104" s="902" customFormat="1" x14ac:dyDescent="0.25">
      <c r="A31" s="509"/>
      <c r="B31" s="913"/>
      <c r="C31" s="913"/>
      <c r="D31" s="181" t="s">
        <v>963</v>
      </c>
      <c r="E31" s="935">
        <v>1837801</v>
      </c>
      <c r="F31" s="898">
        <v>617311</v>
      </c>
      <c r="G31" s="898">
        <v>1387159</v>
      </c>
      <c r="H31" s="898">
        <v>2726635</v>
      </c>
      <c r="I31" s="898">
        <v>1497044</v>
      </c>
      <c r="J31" s="898">
        <v>1008223</v>
      </c>
      <c r="K31" s="898">
        <v>793189</v>
      </c>
      <c r="L31" s="898">
        <v>262488</v>
      </c>
      <c r="M31" s="898">
        <v>797881</v>
      </c>
      <c r="N31" s="935">
        <v>10927731</v>
      </c>
      <c r="O31" s="935">
        <v>1843684</v>
      </c>
      <c r="P31" s="898">
        <v>637075</v>
      </c>
      <c r="Q31" s="898">
        <v>1581756</v>
      </c>
      <c r="R31" s="898">
        <v>2746888</v>
      </c>
      <c r="S31" s="898">
        <v>1588489</v>
      </c>
      <c r="T31" s="898">
        <v>1051626</v>
      </c>
      <c r="U31" s="898">
        <v>751195</v>
      </c>
      <c r="V31" s="898">
        <v>277835</v>
      </c>
      <c r="W31" s="898">
        <v>863440</v>
      </c>
      <c r="X31" s="935">
        <v>11341988</v>
      </c>
      <c r="Y31" s="956">
        <v>1777042</v>
      </c>
      <c r="Z31" s="910">
        <v>630717</v>
      </c>
      <c r="AA31" s="910">
        <v>1548796</v>
      </c>
      <c r="AB31" s="910">
        <v>2662100</v>
      </c>
      <c r="AC31" s="910">
        <v>1626113</v>
      </c>
      <c r="AD31" s="910">
        <v>984641</v>
      </c>
      <c r="AE31" s="910">
        <v>754935</v>
      </c>
      <c r="AF31" s="910">
        <v>275849</v>
      </c>
      <c r="AG31" s="910">
        <v>865753</v>
      </c>
      <c r="AH31" s="936">
        <v>11125946</v>
      </c>
      <c r="AI31" s="940">
        <v>1856250</v>
      </c>
      <c r="AJ31" s="910">
        <v>656464</v>
      </c>
      <c r="AK31" s="910">
        <v>1657061</v>
      </c>
      <c r="AL31" s="910">
        <v>2775481</v>
      </c>
      <c r="AM31" s="910">
        <v>1699494</v>
      </c>
      <c r="AN31" s="910">
        <v>1034942</v>
      </c>
      <c r="AO31" s="910">
        <v>797289</v>
      </c>
      <c r="AP31" s="910">
        <v>290497</v>
      </c>
      <c r="AQ31" s="910">
        <v>935687</v>
      </c>
      <c r="AR31" s="957">
        <v>11703165</v>
      </c>
      <c r="AS31" s="957">
        <v>1875603</v>
      </c>
      <c r="AT31" s="957">
        <v>669854</v>
      </c>
      <c r="AU31" s="957">
        <v>1727620</v>
      </c>
      <c r="AV31" s="957">
        <v>2815815</v>
      </c>
      <c r="AW31" s="957">
        <v>1749230</v>
      </c>
      <c r="AX31" s="957">
        <v>1053716</v>
      </c>
      <c r="AY31" s="957">
        <v>817437</v>
      </c>
      <c r="AZ31" s="957">
        <v>297280</v>
      </c>
      <c r="BA31" s="957">
        <v>966345</v>
      </c>
      <c r="BB31" s="958">
        <v>11972900</v>
      </c>
      <c r="BC31" s="957">
        <v>1876348</v>
      </c>
      <c r="BD31" s="957">
        <v>676120</v>
      </c>
      <c r="BE31" s="957">
        <v>1776247</v>
      </c>
      <c r="BF31" s="957">
        <v>2788600</v>
      </c>
      <c r="BG31" s="957">
        <v>1780010</v>
      </c>
      <c r="BH31" s="957">
        <v>1067239</v>
      </c>
      <c r="BI31" s="957">
        <v>830177</v>
      </c>
      <c r="BJ31" s="957">
        <v>303199</v>
      </c>
      <c r="BK31" s="957">
        <v>983435</v>
      </c>
      <c r="BL31" s="958">
        <v>12081375</v>
      </c>
      <c r="BM31" s="959">
        <v>1896733</v>
      </c>
      <c r="BN31" s="957">
        <v>685863</v>
      </c>
      <c r="BO31" s="957">
        <v>1836031</v>
      </c>
      <c r="BP31" s="957">
        <v>2791870</v>
      </c>
      <c r="BQ31" s="957">
        <v>1812522</v>
      </c>
      <c r="BR31" s="957">
        <v>1086592</v>
      </c>
      <c r="BS31" s="957">
        <v>844394</v>
      </c>
      <c r="BT31" s="957">
        <v>309034</v>
      </c>
      <c r="BU31" s="957">
        <v>1006045</v>
      </c>
      <c r="BV31" s="958">
        <v>12269084</v>
      </c>
      <c r="BW31" s="957">
        <v>22783</v>
      </c>
      <c r="BX31" s="957">
        <v>8439</v>
      </c>
      <c r="BY31" s="957">
        <v>19834</v>
      </c>
      <c r="BZ31" s="957">
        <v>39715</v>
      </c>
      <c r="CA31" s="957">
        <v>16012</v>
      </c>
      <c r="CB31" s="957">
        <v>11580</v>
      </c>
      <c r="CC31" s="957">
        <v>9916</v>
      </c>
      <c r="CD31" s="957">
        <v>5959</v>
      </c>
      <c r="CE31" s="957">
        <v>15763</v>
      </c>
      <c r="CF31" s="941">
        <v>150001</v>
      </c>
      <c r="CG31" s="957">
        <v>1942541</v>
      </c>
      <c r="CH31" s="957">
        <v>706208</v>
      </c>
      <c r="CI31" s="957">
        <v>1944247</v>
      </c>
      <c r="CJ31" s="957">
        <v>2912799</v>
      </c>
      <c r="CK31" s="957">
        <v>1896974</v>
      </c>
      <c r="CL31" s="957">
        <v>1133288</v>
      </c>
      <c r="CM31" s="957">
        <v>880963</v>
      </c>
      <c r="CN31" s="957">
        <v>321597</v>
      </c>
      <c r="CO31" s="957">
        <v>1048831</v>
      </c>
      <c r="CP31" s="958">
        <v>12787448</v>
      </c>
      <c r="CQ31" s="4342">
        <v>1953054</v>
      </c>
      <c r="CR31" s="4342">
        <v>711730</v>
      </c>
      <c r="CS31" s="4342">
        <v>1987769</v>
      </c>
      <c r="CT31" s="4342">
        <v>2947870</v>
      </c>
      <c r="CU31" s="4342">
        <v>1953668</v>
      </c>
      <c r="CV31" s="4342">
        <v>1157540</v>
      </c>
      <c r="CW31" s="4342">
        <v>898666</v>
      </c>
      <c r="CX31" s="4342">
        <v>326810</v>
      </c>
      <c r="CY31" s="4342">
        <v>1055482</v>
      </c>
      <c r="CZ31" s="4343">
        <v>12992589</v>
      </c>
    </row>
    <row r="32" spans="1:104" x14ac:dyDescent="0.25">
      <c r="D32" s="824" t="s">
        <v>983</v>
      </c>
      <c r="E32" s="960">
        <v>2244303</v>
      </c>
      <c r="F32" s="961">
        <v>723698</v>
      </c>
      <c r="G32" s="961">
        <v>1406445</v>
      </c>
      <c r="H32" s="961">
        <v>2931722</v>
      </c>
      <c r="I32" s="961">
        <v>1751512</v>
      </c>
      <c r="J32" s="961">
        <v>901386</v>
      </c>
      <c r="K32" s="961">
        <v>1001629</v>
      </c>
      <c r="L32" s="961">
        <v>232102</v>
      </c>
      <c r="M32" s="961">
        <v>790344</v>
      </c>
      <c r="N32" s="960">
        <v>11983141</v>
      </c>
      <c r="O32" s="960">
        <v>2244303</v>
      </c>
      <c r="P32" s="961">
        <v>723698</v>
      </c>
      <c r="Q32" s="961">
        <v>1406445</v>
      </c>
      <c r="R32" s="961">
        <v>2931722</v>
      </c>
      <c r="S32" s="961">
        <v>1751512</v>
      </c>
      <c r="T32" s="961">
        <v>901386</v>
      </c>
      <c r="U32" s="961">
        <v>1001629</v>
      </c>
      <c r="V32" s="961">
        <v>232102</v>
      </c>
      <c r="W32" s="961">
        <v>790344</v>
      </c>
      <c r="X32" s="960">
        <v>11983141</v>
      </c>
      <c r="Y32" s="962"/>
      <c r="Z32" s="68"/>
      <c r="AA32" s="68"/>
      <c r="AB32" s="907"/>
      <c r="AC32" s="907"/>
      <c r="AD32" s="963"/>
      <c r="AE32" s="963"/>
      <c r="AF32" s="963"/>
      <c r="AH32" s="3426"/>
      <c r="AI32" s="964"/>
      <c r="AJ32" s="965"/>
      <c r="AK32" s="965"/>
      <c r="AL32" s="965"/>
      <c r="AM32" s="965"/>
      <c r="AN32" s="965"/>
      <c r="AO32" s="965"/>
      <c r="AP32" s="965"/>
      <c r="AQ32" s="965"/>
      <c r="AR32" s="964"/>
      <c r="AS32" s="965"/>
      <c r="AT32" s="965"/>
      <c r="AU32" s="964"/>
      <c r="AV32" s="965"/>
      <c r="AW32" s="965"/>
      <c r="AX32" s="964"/>
      <c r="AY32" s="965"/>
      <c r="AZ32" s="965"/>
      <c r="BA32" s="964"/>
      <c r="BB32" s="965"/>
    </row>
    <row r="33" spans="1:54" x14ac:dyDescent="0.25">
      <c r="D33" s="824" t="s">
        <v>984</v>
      </c>
      <c r="E33" s="960">
        <v>2228201</v>
      </c>
      <c r="F33" s="961">
        <v>752763</v>
      </c>
      <c r="G33" s="961">
        <v>1450009</v>
      </c>
      <c r="H33" s="961">
        <v>3119502</v>
      </c>
      <c r="I33" s="961">
        <v>1802325</v>
      </c>
      <c r="J33" s="961">
        <v>924958</v>
      </c>
      <c r="K33" s="961">
        <v>982904</v>
      </c>
      <c r="L33" s="961">
        <v>303974</v>
      </c>
      <c r="M33" s="961">
        <v>821760</v>
      </c>
      <c r="N33" s="960">
        <v>12386396</v>
      </c>
      <c r="O33" s="960">
        <v>2228201</v>
      </c>
      <c r="P33" s="961">
        <v>752763</v>
      </c>
      <c r="Q33" s="961">
        <v>1450009</v>
      </c>
      <c r="R33" s="961">
        <v>3119502</v>
      </c>
      <c r="S33" s="961">
        <v>1802325</v>
      </c>
      <c r="T33" s="961">
        <v>924958</v>
      </c>
      <c r="U33" s="961">
        <v>982904</v>
      </c>
      <c r="V33" s="961">
        <v>303974</v>
      </c>
      <c r="W33" s="961">
        <v>821760</v>
      </c>
      <c r="X33" s="960">
        <v>12386396</v>
      </c>
      <c r="Y33" s="962"/>
      <c r="Z33" s="68"/>
      <c r="AA33" s="68"/>
      <c r="AB33" s="413"/>
      <c r="AC33" s="413"/>
      <c r="AD33" s="68"/>
      <c r="AI33" s="966"/>
      <c r="AJ33" s="966"/>
      <c r="AK33" s="966"/>
      <c r="AL33" s="966"/>
      <c r="AM33" s="966"/>
      <c r="AN33" s="966"/>
      <c r="AO33" s="966"/>
      <c r="AP33" s="966"/>
      <c r="AQ33" s="966"/>
      <c r="AR33" s="966"/>
      <c r="AS33" s="966"/>
      <c r="AT33" s="966"/>
      <c r="AU33" s="966"/>
      <c r="AV33" s="966"/>
      <c r="AW33" s="966"/>
      <c r="AX33" s="966"/>
      <c r="AY33" s="966"/>
      <c r="AZ33" s="966"/>
      <c r="BA33" s="966"/>
      <c r="BB33" s="966"/>
    </row>
    <row r="34" spans="1:54" x14ac:dyDescent="0.25">
      <c r="D34" s="824" t="s">
        <v>985</v>
      </c>
      <c r="E34" s="960">
        <v>2325456</v>
      </c>
      <c r="F34" s="961">
        <v>752694</v>
      </c>
      <c r="G34" s="961">
        <v>1530018</v>
      </c>
      <c r="H34" s="961">
        <v>3302953</v>
      </c>
      <c r="I34" s="961">
        <v>1905435</v>
      </c>
      <c r="J34" s="961">
        <v>974645</v>
      </c>
      <c r="K34" s="961">
        <v>1020906</v>
      </c>
      <c r="L34" s="961">
        <v>329367</v>
      </c>
      <c r="M34" s="961">
        <v>884630</v>
      </c>
      <c r="N34" s="960">
        <v>13026104</v>
      </c>
      <c r="O34" s="960">
        <v>2325456</v>
      </c>
      <c r="P34" s="961">
        <v>752694</v>
      </c>
      <c r="Q34" s="961">
        <v>1530018</v>
      </c>
      <c r="R34" s="961">
        <v>3302953</v>
      </c>
      <c r="S34" s="961">
        <v>1905435</v>
      </c>
      <c r="T34" s="961">
        <v>974645</v>
      </c>
      <c r="U34" s="961">
        <v>1020906</v>
      </c>
      <c r="V34" s="961">
        <v>329367</v>
      </c>
      <c r="W34" s="961">
        <v>884630</v>
      </c>
      <c r="X34" s="960">
        <v>13026104</v>
      </c>
      <c r="Y34" s="962"/>
      <c r="Z34" s="68"/>
      <c r="AA34" s="68"/>
      <c r="AB34" s="413"/>
      <c r="AC34" s="413"/>
      <c r="AD34" s="68"/>
    </row>
    <row r="35" spans="1:54" x14ac:dyDescent="0.25">
      <c r="D35" s="824" t="s">
        <v>986</v>
      </c>
      <c r="E35" s="960">
        <v>2459221</v>
      </c>
      <c r="F35" s="961">
        <v>827557</v>
      </c>
      <c r="G35" s="961">
        <v>1683849</v>
      </c>
      <c r="H35" s="961">
        <v>3515750</v>
      </c>
      <c r="I35" s="961">
        <v>2024072</v>
      </c>
      <c r="J35" s="961">
        <v>1035313</v>
      </c>
      <c r="K35" s="961">
        <v>1073507</v>
      </c>
      <c r="L35" s="961">
        <v>356876</v>
      </c>
      <c r="M35" s="961">
        <v>1027983</v>
      </c>
      <c r="N35" s="960">
        <v>14004128</v>
      </c>
      <c r="O35" s="960">
        <v>2459221</v>
      </c>
      <c r="P35" s="961">
        <v>827557</v>
      </c>
      <c r="Q35" s="961">
        <v>1683849</v>
      </c>
      <c r="R35" s="961">
        <v>3515750</v>
      </c>
      <c r="S35" s="961">
        <v>2024072</v>
      </c>
      <c r="T35" s="961">
        <v>1035313</v>
      </c>
      <c r="U35" s="961">
        <v>1073507</v>
      </c>
      <c r="V35" s="961">
        <v>356876</v>
      </c>
      <c r="W35" s="961">
        <v>1027983</v>
      </c>
      <c r="X35" s="960">
        <v>14004128</v>
      </c>
      <c r="Y35" s="962"/>
      <c r="Z35" s="68"/>
      <c r="AA35" s="68"/>
      <c r="AB35" s="413"/>
      <c r="AC35" s="413"/>
      <c r="AD35" s="68"/>
    </row>
    <row r="36" spans="1:54" x14ac:dyDescent="0.25">
      <c r="D36" s="824" t="s">
        <v>987</v>
      </c>
      <c r="E36" s="960">
        <v>2578175</v>
      </c>
      <c r="F36" s="961">
        <v>889945</v>
      </c>
      <c r="G36" s="961">
        <v>1824485</v>
      </c>
      <c r="H36" s="961">
        <v>3684894</v>
      </c>
      <c r="I36" s="961">
        <v>2155739</v>
      </c>
      <c r="J36" s="961">
        <v>1095593</v>
      </c>
      <c r="K36" s="961">
        <v>1117992</v>
      </c>
      <c r="L36" s="961">
        <v>383581</v>
      </c>
      <c r="M36" s="961">
        <v>1147015</v>
      </c>
      <c r="N36" s="960">
        <v>14877419</v>
      </c>
      <c r="O36" s="960">
        <v>2578175</v>
      </c>
      <c r="P36" s="961">
        <v>889945</v>
      </c>
      <c r="Q36" s="961">
        <v>1824485</v>
      </c>
      <c r="R36" s="961">
        <v>3684894</v>
      </c>
      <c r="S36" s="961">
        <v>2155739</v>
      </c>
      <c r="T36" s="961">
        <v>1095593</v>
      </c>
      <c r="U36" s="961">
        <v>1117992</v>
      </c>
      <c r="V36" s="961">
        <v>383581</v>
      </c>
      <c r="W36" s="961">
        <v>1147015</v>
      </c>
      <c r="X36" s="960">
        <v>14877419</v>
      </c>
      <c r="Y36" s="962"/>
      <c r="Z36" s="68"/>
      <c r="AA36" s="68"/>
      <c r="AB36" s="413"/>
      <c r="AC36" s="413"/>
      <c r="AD36" s="68"/>
    </row>
    <row r="37" spans="1:54" x14ac:dyDescent="0.25">
      <c r="D37" s="824" t="s">
        <v>988</v>
      </c>
      <c r="E37" s="960">
        <v>2655831</v>
      </c>
      <c r="F37" s="961">
        <v>927143</v>
      </c>
      <c r="G37" s="961">
        <v>1947105</v>
      </c>
      <c r="H37" s="961">
        <v>3802326</v>
      </c>
      <c r="I37" s="961">
        <v>2032310</v>
      </c>
      <c r="J37" s="961">
        <v>1351097</v>
      </c>
      <c r="K37" s="961">
        <v>1171874</v>
      </c>
      <c r="L37" s="961">
        <v>400847</v>
      </c>
      <c r="M37" s="961">
        <v>1240679</v>
      </c>
      <c r="N37" s="960">
        <v>15529212</v>
      </c>
      <c r="O37" s="960">
        <v>2655831</v>
      </c>
      <c r="P37" s="961">
        <v>927143</v>
      </c>
      <c r="Q37" s="961">
        <v>1947105</v>
      </c>
      <c r="R37" s="961">
        <v>3802326</v>
      </c>
      <c r="S37" s="961">
        <v>2032310</v>
      </c>
      <c r="T37" s="961">
        <v>1351097</v>
      </c>
      <c r="U37" s="961">
        <v>1171874</v>
      </c>
      <c r="V37" s="961">
        <v>400847</v>
      </c>
      <c r="W37" s="961">
        <v>1240679</v>
      </c>
      <c r="X37" s="960">
        <v>15529212</v>
      </c>
      <c r="Y37" s="962"/>
      <c r="Z37" s="68"/>
      <c r="AA37" s="68"/>
      <c r="AB37" s="413"/>
      <c r="AC37" s="413"/>
      <c r="AD37" s="68"/>
    </row>
    <row r="38" spans="1:54" x14ac:dyDescent="0.25">
      <c r="D38" s="824" t="s">
        <v>989</v>
      </c>
      <c r="E38" s="960">
        <v>2674573</v>
      </c>
      <c r="F38" s="961">
        <v>942677</v>
      </c>
      <c r="G38" s="961">
        <v>2204547</v>
      </c>
      <c r="H38" s="961">
        <v>3820789</v>
      </c>
      <c r="I38" s="961">
        <v>2143821</v>
      </c>
      <c r="J38" s="961">
        <v>1403727</v>
      </c>
      <c r="K38" s="961">
        <v>1104909</v>
      </c>
      <c r="L38" s="961">
        <v>421610</v>
      </c>
      <c r="M38" s="961">
        <v>1315738</v>
      </c>
      <c r="N38" s="960">
        <v>16032391</v>
      </c>
      <c r="O38" s="960">
        <v>2674573</v>
      </c>
      <c r="P38" s="961">
        <v>942677</v>
      </c>
      <c r="Q38" s="961">
        <v>2204547</v>
      </c>
      <c r="R38" s="961">
        <v>3820789</v>
      </c>
      <c r="S38" s="961">
        <v>2143821</v>
      </c>
      <c r="T38" s="961">
        <v>1403727</v>
      </c>
      <c r="U38" s="961">
        <v>1104909</v>
      </c>
      <c r="V38" s="961">
        <v>421610</v>
      </c>
      <c r="W38" s="961">
        <v>1315738</v>
      </c>
      <c r="X38" s="960">
        <v>16032391</v>
      </c>
      <c r="Y38" s="962"/>
      <c r="Z38" s="68"/>
      <c r="AA38" s="68"/>
      <c r="AB38" s="413"/>
      <c r="AC38" s="413"/>
      <c r="AD38" s="68"/>
    </row>
    <row r="39" spans="1:54" x14ac:dyDescent="0.25">
      <c r="D39" s="824" t="s">
        <v>990</v>
      </c>
      <c r="E39" s="960">
        <v>2608139</v>
      </c>
      <c r="F39" s="961">
        <v>933223</v>
      </c>
      <c r="G39" s="961">
        <v>2182025</v>
      </c>
      <c r="H39" s="961">
        <v>3731010</v>
      </c>
      <c r="I39" s="961">
        <v>2209682</v>
      </c>
      <c r="J39" s="961">
        <v>1321645</v>
      </c>
      <c r="K39" s="961">
        <v>1114892</v>
      </c>
      <c r="L39" s="961">
        <v>420060</v>
      </c>
      <c r="M39" s="961">
        <v>1328738</v>
      </c>
      <c r="N39" s="960">
        <v>15849414</v>
      </c>
      <c r="O39" s="960">
        <v>2608139</v>
      </c>
      <c r="P39" s="961">
        <v>933223</v>
      </c>
      <c r="Q39" s="961">
        <v>2182025</v>
      </c>
      <c r="R39" s="961">
        <v>3731010</v>
      </c>
      <c r="S39" s="961">
        <v>2209682</v>
      </c>
      <c r="T39" s="961">
        <v>1321645</v>
      </c>
      <c r="U39" s="961">
        <v>1114892</v>
      </c>
      <c r="V39" s="961">
        <v>420060</v>
      </c>
      <c r="W39" s="961">
        <v>1328738</v>
      </c>
      <c r="X39" s="960">
        <v>15849414</v>
      </c>
      <c r="Y39" s="962"/>
      <c r="Z39" s="68"/>
      <c r="AA39" s="68"/>
      <c r="AB39" s="413"/>
      <c r="AC39" s="413"/>
      <c r="AD39" s="68"/>
    </row>
    <row r="40" spans="1:54" x14ac:dyDescent="0.25">
      <c r="D40" s="824" t="s">
        <v>991</v>
      </c>
      <c r="E40" s="960">
        <v>2718472</v>
      </c>
      <c r="F40" s="961">
        <v>960774</v>
      </c>
      <c r="G40" s="961">
        <v>2317903</v>
      </c>
      <c r="H40" s="961">
        <v>3886115</v>
      </c>
      <c r="I40" s="961">
        <v>2315499</v>
      </c>
      <c r="J40" s="961">
        <v>1389054</v>
      </c>
      <c r="K40" s="961">
        <v>1170505</v>
      </c>
      <c r="L40" s="961">
        <v>446260</v>
      </c>
      <c r="M40" s="961">
        <v>1438061</v>
      </c>
      <c r="N40" s="960">
        <v>16642643</v>
      </c>
      <c r="O40" s="967">
        <v>2672661</v>
      </c>
      <c r="P40" s="3425">
        <v>950353</v>
      </c>
      <c r="Q40" s="3425">
        <v>2254147</v>
      </c>
      <c r="R40" s="3425">
        <v>3816893</v>
      </c>
      <c r="S40" s="3425">
        <v>2263767</v>
      </c>
      <c r="T40" s="3425">
        <v>1359315</v>
      </c>
      <c r="U40" s="3425">
        <v>1144442</v>
      </c>
      <c r="V40" s="3425">
        <v>430598</v>
      </c>
      <c r="W40" s="3425">
        <v>1382395</v>
      </c>
      <c r="X40" s="967">
        <v>16274571</v>
      </c>
      <c r="Y40" s="962"/>
      <c r="Z40" s="68"/>
      <c r="AA40" s="68"/>
      <c r="AB40" s="413"/>
      <c r="AC40" s="413"/>
      <c r="AD40" s="68"/>
    </row>
    <row r="41" spans="1:54" x14ac:dyDescent="0.25">
      <c r="D41" s="824" t="s">
        <v>992</v>
      </c>
      <c r="E41" s="960">
        <v>2742505</v>
      </c>
      <c r="F41" s="961">
        <v>976620</v>
      </c>
      <c r="G41" s="961">
        <v>2426699</v>
      </c>
      <c r="H41" s="961">
        <v>3918463</v>
      </c>
      <c r="I41" s="961">
        <v>2380548</v>
      </c>
      <c r="J41" s="961">
        <v>1416666</v>
      </c>
      <c r="K41" s="961">
        <v>1193089</v>
      </c>
      <c r="L41" s="961">
        <v>454515</v>
      </c>
      <c r="M41" s="961">
        <v>1482529</v>
      </c>
      <c r="N41" s="960">
        <v>16991634</v>
      </c>
      <c r="O41" s="960"/>
      <c r="P41" s="961"/>
      <c r="Q41" s="961"/>
      <c r="R41" s="961"/>
      <c r="S41" s="961"/>
      <c r="T41" s="961"/>
      <c r="U41" s="961"/>
      <c r="V41" s="961"/>
      <c r="W41" s="961"/>
      <c r="X41" s="968"/>
      <c r="Y41" s="68"/>
      <c r="Z41" s="68"/>
      <c r="AA41" s="68"/>
      <c r="AB41" s="413"/>
      <c r="AC41" s="413"/>
      <c r="AD41" s="68"/>
    </row>
    <row r="42" spans="1:54" x14ac:dyDescent="0.25">
      <c r="D42" s="824" t="s">
        <v>993</v>
      </c>
      <c r="E42" s="960">
        <v>2754621</v>
      </c>
      <c r="F42" s="969">
        <v>989959</v>
      </c>
      <c r="G42" s="969">
        <v>2513193</v>
      </c>
      <c r="H42" s="969">
        <v>3878217</v>
      </c>
      <c r="I42" s="969">
        <v>2426212</v>
      </c>
      <c r="J42" s="969">
        <v>1438779</v>
      </c>
      <c r="K42" s="969">
        <v>1209657</v>
      </c>
      <c r="L42" s="969">
        <v>465908</v>
      </c>
      <c r="M42" s="961">
        <v>1523979</v>
      </c>
      <c r="N42" s="970">
        <v>17200525</v>
      </c>
      <c r="O42" s="935"/>
      <c r="P42" s="971"/>
      <c r="Q42" s="971"/>
      <c r="R42" s="971"/>
      <c r="S42" s="971"/>
      <c r="T42" s="971"/>
      <c r="U42" s="971"/>
      <c r="V42" s="971"/>
      <c r="W42" s="971"/>
      <c r="X42" s="971"/>
      <c r="Y42" s="971"/>
      <c r="Z42" s="68"/>
      <c r="AA42" s="68"/>
      <c r="AB42" s="68"/>
      <c r="AC42" s="413"/>
      <c r="AD42" s="413"/>
      <c r="AE42" s="68"/>
    </row>
    <row r="43" spans="1:54" x14ac:dyDescent="0.2">
      <c r="D43" s="824" t="s">
        <v>994</v>
      </c>
      <c r="E43" s="960">
        <v>2785534</v>
      </c>
      <c r="F43" s="910">
        <v>1005170</v>
      </c>
      <c r="G43" s="910">
        <v>2612513</v>
      </c>
      <c r="H43" s="910">
        <v>3887365</v>
      </c>
      <c r="I43" s="910">
        <v>2477316</v>
      </c>
      <c r="J43" s="910">
        <v>1472355</v>
      </c>
      <c r="K43" s="910">
        <v>1228597</v>
      </c>
      <c r="L43" s="910">
        <v>475414</v>
      </c>
      <c r="M43" s="961">
        <v>1565731</v>
      </c>
      <c r="N43" s="970">
        <v>17509995</v>
      </c>
      <c r="O43" s="935"/>
    </row>
    <row r="44" spans="1:54" x14ac:dyDescent="0.25">
      <c r="D44" s="824" t="s">
        <v>995</v>
      </c>
      <c r="E44" s="960">
        <v>2811247</v>
      </c>
      <c r="F44" s="969">
        <v>1017308</v>
      </c>
      <c r="G44" s="969">
        <v>2677145</v>
      </c>
      <c r="H44" s="969">
        <v>3953517</v>
      </c>
      <c r="I44" s="969">
        <v>2528080</v>
      </c>
      <c r="J44" s="969">
        <v>1500618</v>
      </c>
      <c r="K44" s="969">
        <v>1240633</v>
      </c>
      <c r="L44" s="969">
        <v>482705</v>
      </c>
      <c r="M44" s="961">
        <v>1600492</v>
      </c>
      <c r="N44" s="970">
        <v>17811745</v>
      </c>
      <c r="O44" s="935"/>
      <c r="AB44" s="68"/>
      <c r="AC44" s="413"/>
      <c r="AD44" s="413"/>
      <c r="AE44" s="68"/>
    </row>
    <row r="45" spans="1:54" x14ac:dyDescent="0.25">
      <c r="D45" s="824" t="s">
        <v>996</v>
      </c>
      <c r="E45" s="960">
        <v>2853667</v>
      </c>
      <c r="F45" s="940">
        <v>1038936</v>
      </c>
      <c r="G45" s="940">
        <v>2796471</v>
      </c>
      <c r="H45" s="940">
        <v>4056302</v>
      </c>
      <c r="I45" s="940">
        <v>2593739</v>
      </c>
      <c r="J45" s="940">
        <v>1535614</v>
      </c>
      <c r="K45" s="940">
        <v>1275374</v>
      </c>
      <c r="L45" s="940">
        <v>494619</v>
      </c>
      <c r="M45" s="961">
        <v>1645870</v>
      </c>
      <c r="N45" s="970">
        <v>18290592</v>
      </c>
      <c r="O45" s="935"/>
      <c r="P45" s="68"/>
      <c r="Q45" s="68"/>
      <c r="R45" s="971"/>
      <c r="S45" s="971"/>
      <c r="T45" s="971"/>
      <c r="U45" s="971"/>
      <c r="V45" s="971"/>
      <c r="W45" s="971"/>
      <c r="X45" s="971"/>
      <c r="Y45" s="971"/>
      <c r="Z45" s="68"/>
      <c r="AA45" s="68"/>
      <c r="AB45" s="68"/>
      <c r="AC45" s="413"/>
      <c r="AD45" s="413"/>
      <c r="AE45" s="68"/>
    </row>
    <row r="46" spans="1:54" x14ac:dyDescent="0.25">
      <c r="D46" s="972" t="s">
        <v>997</v>
      </c>
      <c r="E46" s="961">
        <v>2849184</v>
      </c>
      <c r="F46" s="961">
        <v>1040837</v>
      </c>
      <c r="G46" s="961">
        <v>2847820</v>
      </c>
      <c r="H46" s="961">
        <v>4065512</v>
      </c>
      <c r="I46" s="961">
        <v>2647292</v>
      </c>
      <c r="J46" s="961">
        <v>1555838</v>
      </c>
      <c r="K46" s="961">
        <v>1291307</v>
      </c>
      <c r="L46" s="961">
        <v>502725</v>
      </c>
      <c r="M46" s="961">
        <v>1640057</v>
      </c>
      <c r="N46" s="973">
        <v>18440572</v>
      </c>
      <c r="O46" s="71"/>
      <c r="P46" s="971"/>
      <c r="Q46" s="971"/>
      <c r="R46" s="971"/>
      <c r="S46" s="971"/>
      <c r="T46" s="971"/>
      <c r="U46" s="971"/>
      <c r="V46" s="971"/>
      <c r="W46" s="971"/>
      <c r="X46" s="971"/>
      <c r="Y46" s="971"/>
      <c r="Z46" s="68"/>
      <c r="AA46" s="68"/>
      <c r="AB46" s="68"/>
      <c r="AC46" s="413"/>
      <c r="AD46" s="413"/>
      <c r="AE46" s="68"/>
    </row>
    <row r="47" spans="1:54" x14ac:dyDescent="0.25">
      <c r="D47" s="71" t="s">
        <v>656</v>
      </c>
      <c r="E47" s="71" t="s">
        <v>998</v>
      </c>
      <c r="F47" s="510"/>
      <c r="G47" s="510"/>
      <c r="H47" s="68"/>
      <c r="I47" s="68"/>
      <c r="J47" s="68"/>
      <c r="K47" s="68"/>
      <c r="L47" s="68"/>
      <c r="M47" s="68"/>
      <c r="N47" s="68"/>
      <c r="O47" s="68"/>
      <c r="P47" s="68"/>
      <c r="Q47" s="68"/>
      <c r="R47" s="68"/>
      <c r="S47" s="68"/>
      <c r="T47" s="68"/>
      <c r="U47" s="68"/>
      <c r="V47" s="68"/>
      <c r="W47" s="68"/>
      <c r="X47" s="68"/>
      <c r="Y47" s="68"/>
      <c r="Z47" s="68"/>
      <c r="AA47" s="68"/>
      <c r="AB47" s="68"/>
      <c r="AC47" s="68"/>
      <c r="AD47" s="68"/>
      <c r="AE47" s="68"/>
    </row>
    <row r="48" spans="1:54" s="68" customFormat="1" x14ac:dyDescent="0.25">
      <c r="A48" s="509"/>
      <c r="B48" s="568"/>
      <c r="C48" s="568"/>
      <c r="D48" s="243"/>
      <c r="E48" s="3427"/>
      <c r="F48" s="3427"/>
      <c r="G48" s="3427"/>
      <c r="H48" s="3427"/>
      <c r="I48" s="3427"/>
      <c r="J48" s="3427"/>
      <c r="K48" s="3427"/>
      <c r="L48" s="2424" t="s">
        <v>16</v>
      </c>
      <c r="M48" s="2424" t="s">
        <v>17</v>
      </c>
      <c r="N48" s="2424" t="s">
        <v>18</v>
      </c>
      <c r="O48" s="2424" t="s">
        <v>19</v>
      </c>
      <c r="P48" s="2424" t="s">
        <v>20</v>
      </c>
      <c r="Q48" s="2424" t="s">
        <v>21</v>
      </c>
      <c r="R48" s="2424" t="s">
        <v>22</v>
      </c>
      <c r="S48" s="3099" t="s">
        <v>23</v>
      </c>
      <c r="T48" s="3099" t="s">
        <v>24</v>
      </c>
      <c r="U48" s="3099" t="s">
        <v>25</v>
      </c>
      <c r="V48" s="3099" t="s">
        <v>999</v>
      </c>
      <c r="W48" s="3099" t="s">
        <v>1000</v>
      </c>
      <c r="X48" s="3099" t="s">
        <v>1001</v>
      </c>
      <c r="Y48" s="974" t="s">
        <v>29</v>
      </c>
      <c r="Z48" s="3416" t="s">
        <v>30</v>
      </c>
      <c r="AA48" s="2955" t="s">
        <v>31</v>
      </c>
      <c r="AB48" s="3289" t="s">
        <v>32</v>
      </c>
      <c r="AC48" s="4321" t="s">
        <v>33</v>
      </c>
      <c r="AD48" s="4321" t="s">
        <v>59</v>
      </c>
    </row>
    <row r="49" spans="1:54" s="68" customFormat="1" ht="23.25" x14ac:dyDescent="0.25">
      <c r="A49" s="509"/>
      <c r="B49" s="568"/>
      <c r="C49" s="568"/>
      <c r="D49" s="579" t="s">
        <v>1002</v>
      </c>
      <c r="K49" s="579" t="s">
        <v>1002</v>
      </c>
      <c r="L49" s="419">
        <v>36982</v>
      </c>
      <c r="M49" s="419">
        <v>44885</v>
      </c>
      <c r="N49" s="419">
        <v>50708</v>
      </c>
      <c r="O49" s="419">
        <v>57032</v>
      </c>
      <c r="P49" s="419">
        <v>62467</v>
      </c>
      <c r="Q49" s="419">
        <v>70715</v>
      </c>
      <c r="R49" s="419">
        <v>80080</v>
      </c>
      <c r="S49" s="419">
        <v>87493</v>
      </c>
      <c r="T49" s="419">
        <v>95973</v>
      </c>
      <c r="U49" s="975">
        <v>103899</v>
      </c>
      <c r="V49" s="975">
        <v>109597</v>
      </c>
      <c r="W49" s="975">
        <v>120702</v>
      </c>
      <c r="X49" s="975">
        <v>128868</v>
      </c>
      <c r="Y49" s="976">
        <v>164936</v>
      </c>
      <c r="Z49" s="975">
        <v>178330</v>
      </c>
      <c r="AA49" s="977">
        <v>162642</v>
      </c>
      <c r="AB49" s="4322">
        <v>190289.38054653999</v>
      </c>
      <c r="AC49" s="4159">
        <v>199189.14634820999</v>
      </c>
      <c r="AD49" s="4159">
        <v>222178</v>
      </c>
    </row>
    <row r="50" spans="1:54" s="68" customFormat="1" x14ac:dyDescent="0.25">
      <c r="A50" s="509"/>
      <c r="B50" s="568"/>
      <c r="C50" s="568"/>
      <c r="D50" s="82" t="s">
        <v>451</v>
      </c>
      <c r="E50" s="73"/>
      <c r="F50" s="73"/>
      <c r="G50" s="73"/>
      <c r="H50" s="73"/>
      <c r="I50" s="73"/>
      <c r="J50" s="73"/>
      <c r="K50" s="82" t="s">
        <v>451</v>
      </c>
      <c r="L50" s="978">
        <v>2.9000000000000001E-2</v>
      </c>
      <c r="M50" s="978">
        <v>3.1E-2</v>
      </c>
      <c r="N50" s="978">
        <v>3.2000000000000001E-2</v>
      </c>
      <c r="O50" s="978">
        <v>3.3000000000000002E-2</v>
      </c>
      <c r="P50" s="978">
        <v>3.2000000000000001E-2</v>
      </c>
      <c r="Q50" s="978">
        <v>3.3000000000000002E-2</v>
      </c>
      <c r="R50" s="978">
        <v>3.5000000000000003E-2</v>
      </c>
      <c r="S50" s="978">
        <v>3.4000000000000002E-2</v>
      </c>
      <c r="T50" s="978">
        <v>3.1E-2</v>
      </c>
      <c r="U50" s="979">
        <v>3.1E-2</v>
      </c>
      <c r="V50" s="979">
        <v>0.03</v>
      </c>
      <c r="W50" s="979">
        <v>3.1E-2</v>
      </c>
      <c r="X50" s="979">
        <v>3.2000000000000001E-2</v>
      </c>
      <c r="Y50" s="980">
        <v>3.1E-2</v>
      </c>
      <c r="Z50" s="980">
        <v>3.2000000000000001E-2</v>
      </c>
      <c r="AA50" s="980">
        <v>3.2000000000000001E-2</v>
      </c>
      <c r="AB50" s="4323">
        <v>3.5999999999999997E-2</v>
      </c>
      <c r="AC50" s="4323">
        <v>3.9E-2</v>
      </c>
      <c r="AD50" s="4324">
        <v>3.5999999999999997E-2</v>
      </c>
    </row>
    <row r="51" spans="1:54" s="68" customFormat="1" x14ac:dyDescent="0.25">
      <c r="A51" s="509"/>
      <c r="B51" s="568"/>
      <c r="C51" s="568"/>
      <c r="D51" s="751"/>
      <c r="E51" s="751"/>
      <c r="F51" s="751"/>
      <c r="G51" s="751"/>
      <c r="H51" s="751"/>
      <c r="I51" s="751"/>
      <c r="J51" s="751"/>
      <c r="K51" s="751"/>
      <c r="L51" s="751"/>
      <c r="M51" s="751"/>
      <c r="N51" s="751"/>
      <c r="O51" s="751"/>
      <c r="P51" s="751"/>
      <c r="Q51" s="751"/>
      <c r="R51" s="751"/>
      <c r="S51" s="751"/>
      <c r="U51" s="751"/>
    </row>
    <row r="52" spans="1:54" ht="12.75" customHeight="1" x14ac:dyDescent="0.2">
      <c r="A52" s="509">
        <v>5</v>
      </c>
      <c r="B52" s="509" t="s">
        <v>52</v>
      </c>
      <c r="C52" s="509"/>
      <c r="D52" s="4624" t="s">
        <v>1003</v>
      </c>
      <c r="E52" s="4625"/>
      <c r="F52" s="4625"/>
      <c r="G52" s="4625"/>
      <c r="H52" s="4625"/>
      <c r="I52" s="4625"/>
      <c r="J52" s="4625"/>
      <c r="K52" s="4625"/>
      <c r="L52" s="4625"/>
      <c r="M52" s="4625"/>
      <c r="N52" s="4625"/>
      <c r="O52" s="4625"/>
      <c r="P52" s="4625"/>
      <c r="Q52" s="4625"/>
      <c r="R52" s="4625"/>
      <c r="S52" s="4625"/>
      <c r="T52" s="4625"/>
      <c r="U52" s="4625"/>
      <c r="V52" s="4625"/>
      <c r="W52" s="4625"/>
      <c r="X52" s="4625"/>
      <c r="Y52" s="4625"/>
      <c r="Z52" s="4625"/>
      <c r="AA52" s="4625"/>
      <c r="AB52" s="4625"/>
      <c r="AC52" s="4625"/>
      <c r="AD52" s="4625"/>
      <c r="AE52" s="4625"/>
      <c r="AF52" s="4625"/>
      <c r="AG52" s="4625"/>
      <c r="AH52" s="4625"/>
      <c r="AI52" s="4625"/>
      <c r="AJ52" s="4625"/>
      <c r="AK52" s="4625"/>
      <c r="AL52" s="4625"/>
      <c r="AM52" s="4625"/>
      <c r="AN52" s="4625"/>
      <c r="AO52" s="4625"/>
      <c r="AP52" s="4625"/>
      <c r="AQ52" s="4625"/>
      <c r="AR52" s="4625"/>
      <c r="AS52" s="4625"/>
      <c r="AT52" s="4625"/>
      <c r="AU52" s="4625"/>
      <c r="AV52" s="4625"/>
      <c r="AW52" s="4625"/>
      <c r="AX52" s="4625"/>
      <c r="AY52" s="4625"/>
      <c r="AZ52" s="4625"/>
      <c r="BA52" s="4625"/>
      <c r="BB52" s="4626"/>
    </row>
    <row r="53" spans="1:54" ht="15" customHeight="1" x14ac:dyDescent="0.2">
      <c r="A53" s="546">
        <v>6</v>
      </c>
      <c r="B53" s="546" t="s">
        <v>54</v>
      </c>
      <c r="C53" s="546"/>
      <c r="D53" s="4624" t="s">
        <v>1004</v>
      </c>
      <c r="E53" s="4625"/>
      <c r="F53" s="4625"/>
      <c r="G53" s="4625"/>
      <c r="H53" s="4625"/>
      <c r="I53" s="4625"/>
      <c r="J53" s="4625"/>
      <c r="K53" s="4625"/>
      <c r="L53" s="4625"/>
      <c r="M53" s="4625"/>
      <c r="N53" s="4625"/>
      <c r="O53" s="4625"/>
      <c r="P53" s="4625"/>
      <c r="Q53" s="4625"/>
      <c r="R53" s="4625"/>
      <c r="S53" s="4625"/>
      <c r="T53" s="4625"/>
      <c r="U53" s="4625"/>
      <c r="V53" s="4625"/>
      <c r="W53" s="4625"/>
      <c r="X53" s="4625"/>
      <c r="Y53" s="4625"/>
      <c r="Z53" s="4625"/>
      <c r="AA53" s="4625"/>
      <c r="AB53" s="4625"/>
      <c r="AC53" s="4625"/>
      <c r="AD53" s="4625"/>
      <c r="AE53" s="4625"/>
      <c r="AF53" s="4625"/>
      <c r="AG53" s="4625"/>
      <c r="AH53" s="4625"/>
      <c r="AI53" s="4625"/>
      <c r="AJ53" s="4625"/>
      <c r="AK53" s="4625"/>
      <c r="AL53" s="4625"/>
      <c r="AM53" s="4625"/>
      <c r="AN53" s="4625"/>
      <c r="AO53" s="4625"/>
      <c r="AP53" s="4625"/>
      <c r="AQ53" s="4625"/>
      <c r="AR53" s="4625"/>
      <c r="AS53" s="4625"/>
      <c r="AT53" s="4625"/>
      <c r="AU53" s="4625"/>
      <c r="AV53" s="4625"/>
      <c r="AW53" s="4625"/>
      <c r="AX53" s="4625"/>
      <c r="AY53" s="4625"/>
      <c r="AZ53" s="4625"/>
      <c r="BA53" s="4625"/>
      <c r="BB53" s="4626"/>
    </row>
    <row r="54" spans="1:54" ht="28.35" customHeight="1" x14ac:dyDescent="0.2">
      <c r="A54" s="509">
        <v>7</v>
      </c>
      <c r="B54" s="509" t="s">
        <v>56</v>
      </c>
      <c r="C54" s="509"/>
      <c r="D54" s="4806" t="s">
        <v>2190</v>
      </c>
      <c r="E54" s="4807"/>
      <c r="F54" s="4807"/>
      <c r="G54" s="4807"/>
      <c r="H54" s="4807"/>
      <c r="I54" s="4807"/>
      <c r="J54" s="4807"/>
      <c r="K54" s="4807"/>
      <c r="L54" s="4807"/>
      <c r="M54" s="4807"/>
      <c r="N54" s="4807"/>
      <c r="O54" s="4807"/>
      <c r="P54" s="4807"/>
      <c r="Q54" s="4807"/>
      <c r="R54" s="4807"/>
      <c r="S54" s="4807"/>
      <c r="T54" s="4807"/>
      <c r="U54" s="4807"/>
      <c r="V54" s="4807"/>
      <c r="W54" s="4807"/>
      <c r="X54" s="4807"/>
      <c r="Y54" s="4807"/>
      <c r="Z54" s="4807"/>
      <c r="AA54" s="4807"/>
      <c r="AB54" s="4807"/>
      <c r="AC54" s="4807"/>
      <c r="AD54" s="4807"/>
      <c r="AE54" s="4807"/>
      <c r="AF54" s="4807"/>
      <c r="AG54" s="4807"/>
      <c r="AH54" s="4807"/>
      <c r="AI54" s="4807"/>
      <c r="AJ54" s="4807"/>
      <c r="AK54" s="4807"/>
      <c r="AL54" s="4807"/>
      <c r="AM54" s="4807"/>
      <c r="AN54" s="4807"/>
      <c r="AO54" s="4807"/>
      <c r="AP54" s="4807"/>
      <c r="AQ54" s="4807"/>
      <c r="AR54" s="4807"/>
      <c r="AS54" s="4807"/>
      <c r="AT54" s="4807"/>
      <c r="AU54" s="4807"/>
      <c r="AV54" s="4807"/>
      <c r="AW54" s="4807"/>
      <c r="AX54" s="4807"/>
      <c r="AY54" s="4807"/>
      <c r="AZ54" s="4807"/>
      <c r="BA54" s="4807"/>
      <c r="BB54" s="4808"/>
    </row>
    <row r="55" spans="1:54" ht="12.75" customHeight="1" x14ac:dyDescent="0.2">
      <c r="A55" s="509">
        <v>8</v>
      </c>
      <c r="B55" s="509" t="s">
        <v>355</v>
      </c>
      <c r="C55" s="509"/>
      <c r="D55" s="4624" t="s">
        <v>1005</v>
      </c>
      <c r="E55" s="4625"/>
      <c r="F55" s="4625"/>
      <c r="G55" s="4625"/>
      <c r="H55" s="4625"/>
      <c r="I55" s="4625"/>
      <c r="J55" s="4625"/>
      <c r="K55" s="4625"/>
      <c r="L55" s="4625"/>
      <c r="M55" s="4625"/>
      <c r="N55" s="4625"/>
      <c r="O55" s="4625"/>
      <c r="P55" s="4625"/>
      <c r="Q55" s="4625"/>
      <c r="R55" s="4625"/>
      <c r="S55" s="4625"/>
      <c r="T55" s="4625"/>
      <c r="U55" s="4625"/>
      <c r="V55" s="4625"/>
      <c r="W55" s="4625"/>
      <c r="X55" s="4625"/>
      <c r="Y55" s="4625"/>
      <c r="Z55" s="4625"/>
      <c r="AA55" s="4625"/>
      <c r="AB55" s="4625"/>
      <c r="AC55" s="4625"/>
      <c r="AD55" s="4625"/>
      <c r="AE55" s="4625"/>
      <c r="AF55" s="4625"/>
      <c r="AG55" s="4625"/>
      <c r="AH55" s="4625"/>
      <c r="AI55" s="4625"/>
      <c r="AJ55" s="4625"/>
      <c r="AK55" s="4625"/>
      <c r="AL55" s="4625"/>
      <c r="AM55" s="4625"/>
      <c r="AN55" s="4625"/>
      <c r="AO55" s="4625"/>
      <c r="AP55" s="4625"/>
      <c r="AQ55" s="4625"/>
      <c r="AR55" s="4625"/>
      <c r="AS55" s="4625"/>
      <c r="AT55" s="4625"/>
      <c r="AU55" s="4625"/>
      <c r="AV55" s="4625"/>
      <c r="AW55" s="4625"/>
      <c r="AX55" s="4625"/>
      <c r="AY55" s="4625"/>
      <c r="AZ55" s="4625"/>
      <c r="BA55" s="4625"/>
      <c r="BB55" s="4626"/>
    </row>
    <row r="56" spans="1:54" ht="12.75" customHeight="1" x14ac:dyDescent="0.2">
      <c r="D56" s="4624"/>
      <c r="E56" s="4625"/>
      <c r="F56" s="4625"/>
      <c r="G56" s="4625"/>
      <c r="H56" s="4625"/>
      <c r="I56" s="4625"/>
      <c r="J56" s="4625"/>
      <c r="K56" s="4625"/>
      <c r="L56" s="4625"/>
      <c r="M56" s="4625"/>
      <c r="N56" s="4625"/>
      <c r="O56" s="4625"/>
      <c r="P56" s="4625"/>
      <c r="Q56" s="4625"/>
      <c r="R56" s="4625"/>
      <c r="S56" s="4625"/>
      <c r="T56" s="4625"/>
      <c r="U56" s="4625"/>
      <c r="V56" s="4625"/>
      <c r="W56" s="4625"/>
      <c r="X56" s="4625"/>
      <c r="Y56" s="4625"/>
      <c r="Z56" s="4625"/>
      <c r="AA56" s="4625"/>
      <c r="AB56" s="4625"/>
      <c r="AC56" s="4625"/>
      <c r="AD56" s="4625"/>
      <c r="AE56" s="4625"/>
      <c r="AF56" s="4625"/>
      <c r="AG56" s="4625"/>
      <c r="AH56" s="4625"/>
      <c r="AI56" s="4625"/>
      <c r="AJ56" s="4625"/>
      <c r="AK56" s="4625"/>
      <c r="AL56" s="4625"/>
      <c r="AM56" s="4625"/>
      <c r="AN56" s="4625"/>
      <c r="AO56" s="4625"/>
      <c r="AP56" s="4625"/>
      <c r="AQ56" s="4625"/>
      <c r="AR56" s="4625"/>
      <c r="AS56" s="4625"/>
      <c r="AT56" s="4625"/>
      <c r="AU56" s="4625"/>
      <c r="AV56" s="4625"/>
      <c r="AW56" s="4625"/>
      <c r="AX56" s="4625"/>
      <c r="AY56" s="4625"/>
      <c r="AZ56" s="4625"/>
      <c r="BA56" s="4625"/>
      <c r="BB56" s="4626"/>
    </row>
    <row r="57" spans="1:54" x14ac:dyDescent="0.2">
      <c r="D57" s="4624"/>
      <c r="E57" s="4625"/>
      <c r="F57" s="4625"/>
      <c r="G57" s="4625"/>
      <c r="H57" s="4625"/>
      <c r="I57" s="4625"/>
      <c r="J57" s="4625"/>
      <c r="K57" s="4625"/>
      <c r="L57" s="4625"/>
      <c r="M57" s="4625"/>
      <c r="N57" s="4625"/>
      <c r="O57" s="4625"/>
      <c r="P57" s="4625"/>
      <c r="Q57" s="4625"/>
      <c r="R57" s="4625"/>
      <c r="S57" s="4625"/>
      <c r="T57" s="4625"/>
      <c r="U57" s="4625"/>
      <c r="V57" s="4625"/>
      <c r="W57" s="4625"/>
      <c r="X57" s="4625"/>
      <c r="Y57" s="4625"/>
      <c r="Z57" s="4625"/>
      <c r="AA57" s="4625"/>
      <c r="AB57" s="4625"/>
      <c r="AC57" s="4625"/>
      <c r="AD57" s="4625"/>
      <c r="AE57" s="4625"/>
      <c r="AF57" s="4625"/>
      <c r="AG57" s="4625"/>
      <c r="AH57" s="4625"/>
      <c r="AI57" s="4625"/>
      <c r="AJ57" s="4625"/>
      <c r="AK57" s="4625"/>
      <c r="AL57" s="4625"/>
      <c r="AM57" s="4625"/>
      <c r="AN57" s="4625"/>
      <c r="AO57" s="4625"/>
      <c r="AP57" s="4625"/>
      <c r="AQ57" s="4625"/>
      <c r="AR57" s="4625"/>
      <c r="AS57" s="4625"/>
      <c r="AT57" s="4625"/>
      <c r="AU57" s="4625"/>
      <c r="AV57" s="4625"/>
      <c r="AW57" s="4625"/>
      <c r="AX57" s="4625"/>
      <c r="AY57" s="4625"/>
      <c r="AZ57" s="4625"/>
      <c r="BA57" s="4625"/>
      <c r="BB57" s="4626"/>
    </row>
    <row r="58" spans="1:54" ht="21" customHeight="1" x14ac:dyDescent="0.25">
      <c r="D58" s="4813"/>
      <c r="E58" s="4814"/>
      <c r="F58" s="4814"/>
      <c r="G58" s="4814"/>
      <c r="H58" s="4814"/>
      <c r="I58" s="4814"/>
      <c r="J58" s="4814"/>
      <c r="K58" s="4814"/>
      <c r="L58" s="4814"/>
      <c r="M58" s="4814"/>
      <c r="N58" s="4814"/>
      <c r="O58" s="4814"/>
      <c r="P58" s="4814"/>
      <c r="Q58" s="4814"/>
      <c r="R58" s="4814"/>
      <c r="S58" s="4814"/>
      <c r="T58" s="4814"/>
      <c r="U58" s="4814"/>
      <c r="V58" s="4814"/>
      <c r="W58" s="4814"/>
      <c r="X58" s="4814"/>
      <c r="Y58" s="4814"/>
      <c r="Z58" s="4814"/>
      <c r="AA58" s="4814"/>
      <c r="AB58" s="4814"/>
      <c r="AC58" s="4814"/>
      <c r="AD58" s="4814"/>
      <c r="AE58" s="4814"/>
      <c r="AF58" s="4814"/>
      <c r="AG58" s="4814"/>
      <c r="AH58" s="4814"/>
      <c r="AI58" s="4814"/>
      <c r="AJ58" s="4814"/>
      <c r="AK58" s="4814"/>
      <c r="AL58" s="4814"/>
      <c r="AM58" s="4814"/>
      <c r="AN58" s="4814"/>
      <c r="AO58" s="4814"/>
      <c r="AP58" s="4814"/>
      <c r="AQ58" s="4814"/>
      <c r="AR58" s="4814"/>
      <c r="AS58" s="4814"/>
      <c r="AT58" s="4814"/>
      <c r="AU58" s="4814"/>
      <c r="AV58" s="4814"/>
      <c r="AW58" s="4814"/>
      <c r="AX58" s="4814"/>
      <c r="AY58" s="4814"/>
      <c r="AZ58" s="4814"/>
      <c r="BA58" s="4814"/>
      <c r="BB58" s="4815"/>
    </row>
    <row r="61" spans="1:54" s="68" customFormat="1" x14ac:dyDescent="0.25">
      <c r="A61" s="509"/>
      <c r="B61" s="568"/>
      <c r="C61" s="568"/>
    </row>
    <row r="62" spans="1:54" s="68" customFormat="1" x14ac:dyDescent="0.25">
      <c r="A62" s="509"/>
      <c r="B62" s="568"/>
      <c r="C62" s="568"/>
      <c r="D62" s="71"/>
      <c r="E62" s="981"/>
      <c r="F62" s="859"/>
      <c r="G62" s="859"/>
      <c r="H62" s="312"/>
      <c r="I62" s="312"/>
      <c r="J62" s="312"/>
      <c r="K62" s="312"/>
      <c r="L62" s="312"/>
      <c r="M62" s="312"/>
      <c r="N62" s="982"/>
      <c r="O62" s="983"/>
      <c r="P62" s="911"/>
      <c r="Q62" s="911"/>
      <c r="R62" s="911"/>
      <c r="S62" s="911"/>
      <c r="T62" s="912"/>
      <c r="U62" s="911"/>
      <c r="V62" s="912"/>
      <c r="W62" s="912"/>
      <c r="X62" s="912"/>
      <c r="Y62" s="902"/>
      <c r="Z62" s="902"/>
      <c r="AA62" s="902"/>
      <c r="AB62" s="902"/>
    </row>
    <row r="63" spans="1:54" s="68" customFormat="1" x14ac:dyDescent="0.25">
      <c r="A63" s="509"/>
      <c r="B63" s="568"/>
      <c r="C63" s="568"/>
      <c r="D63" s="984"/>
      <c r="E63" s="4812"/>
      <c r="F63" s="4812"/>
      <c r="G63" s="4812"/>
      <c r="H63" s="4812"/>
      <c r="I63" s="4812"/>
      <c r="J63" s="4812"/>
      <c r="K63" s="4812"/>
      <c r="L63" s="4812"/>
      <c r="M63" s="4812"/>
      <c r="N63" s="4812"/>
      <c r="O63" s="4812"/>
      <c r="P63" s="4812"/>
      <c r="Q63" s="927"/>
      <c r="R63" s="4812"/>
      <c r="S63" s="4812"/>
      <c r="T63" s="4812"/>
      <c r="U63" s="4812"/>
      <c r="V63" s="4812"/>
      <c r="W63" s="4812"/>
      <c r="X63" s="4812"/>
      <c r="Y63" s="4812"/>
      <c r="Z63" s="4812"/>
      <c r="AA63" s="4812"/>
      <c r="AB63" s="4812"/>
    </row>
    <row r="64" spans="1:54" s="68" customFormat="1" x14ac:dyDescent="0.25">
      <c r="A64" s="509"/>
      <c r="B64" s="568"/>
      <c r="C64" s="568"/>
      <c r="D64" s="984"/>
      <c r="E64" s="985"/>
      <c r="F64" s="985"/>
      <c r="G64" s="985"/>
      <c r="H64" s="985"/>
      <c r="I64" s="985"/>
      <c r="J64" s="985"/>
      <c r="K64" s="985"/>
      <c r="L64" s="985"/>
      <c r="M64" s="985"/>
      <c r="N64" s="985"/>
      <c r="O64" s="985"/>
      <c r="P64" s="985"/>
      <c r="Q64" s="985"/>
      <c r="R64" s="985"/>
      <c r="S64" s="985"/>
      <c r="T64" s="985"/>
      <c r="U64" s="985"/>
      <c r="V64" s="985"/>
      <c r="W64" s="985"/>
      <c r="X64" s="985"/>
      <c r="Y64" s="985"/>
      <c r="Z64" s="985"/>
      <c r="AA64" s="927"/>
      <c r="AB64" s="927"/>
    </row>
    <row r="65" spans="1:28" s="68" customFormat="1" x14ac:dyDescent="0.25">
      <c r="A65" s="509"/>
      <c r="B65" s="568"/>
      <c r="C65" s="568"/>
      <c r="D65" s="88"/>
      <c r="E65" s="937"/>
      <c r="F65" s="898"/>
      <c r="G65" s="937"/>
      <c r="H65" s="898"/>
      <c r="I65" s="937"/>
      <c r="J65" s="898"/>
      <c r="K65" s="937"/>
      <c r="L65" s="898"/>
      <c r="M65" s="937"/>
      <c r="N65" s="898"/>
      <c r="O65" s="937"/>
      <c r="P65" s="898"/>
      <c r="Q65" s="898"/>
      <c r="R65" s="937"/>
      <c r="S65" s="937"/>
      <c r="T65" s="898"/>
      <c r="U65" s="937"/>
      <c r="V65" s="898"/>
      <c r="W65" s="937"/>
      <c r="X65" s="898"/>
      <c r="Y65" s="937"/>
      <c r="Z65" s="898"/>
      <c r="AA65" s="937"/>
      <c r="AB65" s="937"/>
    </row>
    <row r="66" spans="1:28" s="68" customFormat="1" x14ac:dyDescent="0.25">
      <c r="A66" s="509"/>
      <c r="B66" s="568"/>
      <c r="C66" s="568"/>
      <c r="D66" s="88"/>
      <c r="E66" s="937"/>
      <c r="F66" s="898"/>
      <c r="G66" s="937"/>
      <c r="H66" s="898"/>
      <c r="I66" s="937"/>
      <c r="J66" s="898"/>
      <c r="K66" s="937"/>
      <c r="L66" s="898"/>
      <c r="M66" s="937"/>
      <c r="N66" s="898"/>
      <c r="O66" s="937"/>
      <c r="P66" s="898"/>
      <c r="Q66" s="898"/>
      <c r="R66" s="937"/>
      <c r="S66" s="937"/>
      <c r="T66" s="898"/>
      <c r="U66" s="937"/>
      <c r="V66" s="898"/>
      <c r="W66" s="937"/>
      <c r="X66" s="898"/>
      <c r="Y66" s="937"/>
      <c r="Z66" s="898"/>
      <c r="AA66" s="937"/>
      <c r="AB66" s="937"/>
    </row>
    <row r="67" spans="1:28" s="68" customFormat="1" x14ac:dyDescent="0.25">
      <c r="A67" s="509"/>
      <c r="B67" s="568"/>
      <c r="C67" s="568"/>
      <c r="D67" s="88"/>
      <c r="E67" s="937"/>
      <c r="F67" s="898"/>
      <c r="G67" s="937"/>
      <c r="H67" s="898"/>
      <c r="I67" s="937"/>
      <c r="J67" s="898"/>
      <c r="K67" s="937"/>
      <c r="L67" s="898"/>
      <c r="M67" s="937"/>
      <c r="N67" s="898"/>
      <c r="O67" s="937"/>
      <c r="P67" s="898"/>
      <c r="Q67" s="898"/>
      <c r="R67" s="937"/>
      <c r="S67" s="937"/>
      <c r="T67" s="898"/>
      <c r="U67" s="937"/>
      <c r="V67" s="898"/>
      <c r="W67" s="937"/>
      <c r="X67" s="898"/>
      <c r="Y67" s="937"/>
      <c r="Z67" s="898"/>
      <c r="AA67" s="937"/>
      <c r="AB67" s="937"/>
    </row>
    <row r="68" spans="1:28" s="68" customFormat="1" x14ac:dyDescent="0.25">
      <c r="A68" s="509"/>
      <c r="B68" s="568"/>
      <c r="C68" s="568"/>
      <c r="D68" s="88"/>
      <c r="E68" s="937"/>
      <c r="F68" s="898"/>
      <c r="G68" s="937"/>
      <c r="H68" s="898"/>
      <c r="I68" s="937"/>
      <c r="J68" s="898"/>
      <c r="K68" s="937"/>
      <c r="L68" s="898"/>
      <c r="M68" s="937"/>
      <c r="N68" s="898"/>
      <c r="O68" s="937"/>
      <c r="P68" s="898"/>
      <c r="Q68" s="898"/>
      <c r="R68" s="937"/>
      <c r="S68" s="937"/>
      <c r="T68" s="898"/>
      <c r="U68" s="937"/>
      <c r="V68" s="898"/>
      <c r="W68" s="937"/>
      <c r="X68" s="898"/>
      <c r="Y68" s="937"/>
      <c r="Z68" s="898"/>
      <c r="AA68" s="937"/>
      <c r="AB68" s="937"/>
    </row>
    <row r="69" spans="1:28" s="68" customFormat="1" x14ac:dyDescent="0.25">
      <c r="A69" s="509"/>
      <c r="B69" s="568"/>
      <c r="C69" s="568"/>
      <c r="D69" s="88"/>
      <c r="E69" s="937"/>
      <c r="F69" s="898"/>
      <c r="G69" s="937"/>
      <c r="H69" s="898"/>
      <c r="I69" s="937"/>
      <c r="J69" s="898"/>
      <c r="K69" s="937"/>
      <c r="L69" s="898"/>
      <c r="M69" s="937"/>
      <c r="N69" s="898"/>
      <c r="O69" s="937"/>
      <c r="P69" s="898"/>
      <c r="Q69" s="898"/>
      <c r="R69" s="937"/>
      <c r="S69" s="937"/>
      <c r="T69" s="898"/>
      <c r="U69" s="937"/>
      <c r="V69" s="898"/>
      <c r="W69" s="937"/>
      <c r="X69" s="898"/>
      <c r="Y69" s="937"/>
      <c r="Z69" s="898"/>
      <c r="AA69" s="937"/>
      <c r="AB69" s="937"/>
    </row>
    <row r="70" spans="1:28" s="68" customFormat="1" x14ac:dyDescent="0.25">
      <c r="A70" s="509"/>
      <c r="B70" s="568"/>
      <c r="C70" s="568"/>
      <c r="D70" s="88"/>
      <c r="E70" s="831"/>
      <c r="F70" s="898"/>
      <c r="G70" s="831"/>
      <c r="H70" s="898"/>
      <c r="I70" s="831"/>
      <c r="J70" s="898"/>
      <c r="K70" s="831"/>
      <c r="L70" s="898"/>
      <c r="M70" s="831"/>
      <c r="N70" s="898"/>
      <c r="O70" s="831"/>
      <c r="P70" s="898"/>
      <c r="Q70" s="898"/>
      <c r="R70" s="831"/>
      <c r="S70" s="831"/>
      <c r="T70" s="898"/>
      <c r="U70" s="831"/>
      <c r="V70" s="898"/>
      <c r="W70" s="831"/>
      <c r="X70" s="898"/>
      <c r="Y70" s="831"/>
      <c r="Z70" s="898"/>
      <c r="AA70" s="831"/>
      <c r="AB70" s="831"/>
    </row>
    <row r="71" spans="1:28" s="68" customFormat="1" x14ac:dyDescent="0.25">
      <c r="A71" s="509"/>
      <c r="B71" s="568"/>
      <c r="C71" s="568"/>
      <c r="D71" s="88"/>
      <c r="E71" s="937"/>
      <c r="F71" s="898"/>
      <c r="G71" s="937"/>
      <c r="H71" s="898"/>
      <c r="I71" s="937"/>
      <c r="J71" s="898"/>
      <c r="K71" s="937"/>
      <c r="L71" s="898"/>
      <c r="M71" s="937"/>
      <c r="N71" s="898"/>
      <c r="O71" s="937"/>
      <c r="P71" s="898"/>
      <c r="Q71" s="898"/>
      <c r="R71" s="937"/>
      <c r="S71" s="937"/>
      <c r="T71" s="898"/>
      <c r="U71" s="937"/>
      <c r="V71" s="898"/>
      <c r="W71" s="937"/>
      <c r="X71" s="898"/>
      <c r="Y71" s="937"/>
      <c r="Z71" s="898"/>
      <c r="AA71" s="937"/>
      <c r="AB71" s="937"/>
    </row>
    <row r="72" spans="1:28" s="68" customFormat="1" x14ac:dyDescent="0.25">
      <c r="A72" s="509"/>
      <c r="B72" s="568"/>
      <c r="C72" s="568"/>
      <c r="D72" s="71"/>
      <c r="E72" s="971"/>
      <c r="F72" s="971"/>
      <c r="G72" s="971"/>
      <c r="H72" s="971"/>
      <c r="I72" s="971"/>
      <c r="J72" s="971"/>
      <c r="K72" s="971"/>
      <c r="L72" s="971"/>
      <c r="M72" s="971"/>
      <c r="N72" s="971"/>
      <c r="O72" s="971"/>
      <c r="P72" s="971"/>
      <c r="Q72" s="971"/>
      <c r="R72" s="971"/>
      <c r="S72" s="971"/>
      <c r="T72" s="971"/>
      <c r="U72" s="971"/>
      <c r="V72" s="971"/>
      <c r="W72" s="971"/>
      <c r="X72" s="971"/>
      <c r="Y72" s="971"/>
      <c r="Z72" s="971"/>
      <c r="AA72" s="971"/>
      <c r="AB72" s="971"/>
    </row>
    <row r="73" spans="1:28" s="68" customFormat="1" x14ac:dyDescent="0.25">
      <c r="A73" s="509"/>
      <c r="B73" s="568"/>
      <c r="C73" s="568"/>
    </row>
    <row r="74" spans="1:28" s="68" customFormat="1" x14ac:dyDescent="0.25">
      <c r="A74" s="509"/>
      <c r="B74" s="568"/>
      <c r="C74" s="568"/>
    </row>
    <row r="75" spans="1:28" s="68" customFormat="1" hidden="1" x14ac:dyDescent="0.25">
      <c r="A75" s="509"/>
      <c r="B75" s="568"/>
      <c r="C75" s="568"/>
    </row>
    <row r="76" spans="1:28" s="68" customFormat="1" hidden="1" x14ac:dyDescent="0.25">
      <c r="A76" s="509"/>
      <c r="B76" s="865"/>
      <c r="C76" s="865"/>
      <c r="D76" s="71"/>
      <c r="E76" s="71"/>
      <c r="F76" s="71"/>
      <c r="G76" s="71"/>
      <c r="H76" s="71"/>
      <c r="I76" s="71"/>
      <c r="J76" s="71"/>
      <c r="K76" s="71"/>
    </row>
    <row r="77" spans="1:28" s="68" customFormat="1" hidden="1" x14ac:dyDescent="0.25">
      <c r="A77" s="509"/>
      <c r="B77" s="836"/>
      <c r="C77" s="836"/>
      <c r="D77" s="71"/>
      <c r="E77" s="71"/>
      <c r="F77" s="71"/>
      <c r="G77" s="71"/>
      <c r="H77" s="71"/>
      <c r="I77" s="71"/>
      <c r="J77" s="71"/>
      <c r="K77" s="71"/>
      <c r="N77" s="71"/>
      <c r="O77" s="71"/>
      <c r="P77" s="71"/>
      <c r="Q77" s="71"/>
      <c r="R77" s="71"/>
      <c r="S77" s="71"/>
      <c r="T77" s="71"/>
      <c r="U77" s="71"/>
      <c r="V77" s="71"/>
      <c r="W77" s="71"/>
      <c r="X77" s="71"/>
      <c r="Y77" s="71"/>
      <c r="Z77" s="71"/>
      <c r="AA77" s="71"/>
      <c r="AB77" s="71"/>
    </row>
    <row r="78" spans="1:28" s="68" customFormat="1" hidden="1" x14ac:dyDescent="0.25">
      <c r="A78" s="509"/>
      <c r="B78" s="836"/>
      <c r="C78" s="836"/>
      <c r="D78" s="986"/>
      <c r="E78" s="986"/>
      <c r="F78" s="986"/>
      <c r="G78" s="986"/>
      <c r="H78" s="986"/>
      <c r="I78" s="912"/>
      <c r="J78" s="912"/>
      <c r="K78" s="912"/>
      <c r="N78" s="88"/>
      <c r="O78" s="71"/>
      <c r="P78" s="71"/>
      <c r="Q78" s="71"/>
      <c r="R78" s="71"/>
      <c r="S78" s="71"/>
      <c r="T78" s="71"/>
      <c r="U78" s="71"/>
      <c r="V78" s="71"/>
      <c r="W78" s="71"/>
      <c r="X78" s="71"/>
      <c r="Y78" s="71"/>
      <c r="Z78" s="71"/>
      <c r="AA78" s="312"/>
    </row>
    <row r="79" spans="1:28" s="68" customFormat="1" hidden="1" x14ac:dyDescent="0.25">
      <c r="A79" s="509"/>
      <c r="B79" s="836"/>
      <c r="C79" s="836"/>
      <c r="D79" s="912"/>
      <c r="E79" s="912"/>
      <c r="F79" s="912"/>
      <c r="G79" s="912"/>
      <c r="H79" s="912"/>
      <c r="I79" s="912"/>
      <c r="J79" s="912"/>
      <c r="K79" s="912"/>
      <c r="N79" s="88"/>
      <c r="O79" s="987"/>
      <c r="P79" s="987"/>
      <c r="Q79" s="987"/>
      <c r="R79" s="987"/>
      <c r="S79" s="987"/>
      <c r="T79" s="987"/>
      <c r="U79" s="987"/>
      <c r="V79" s="987"/>
      <c r="W79" s="987"/>
      <c r="X79" s="912"/>
      <c r="Y79" s="912"/>
      <c r="Z79" s="912"/>
      <c r="AA79" s="912"/>
      <c r="AB79" s="912"/>
    </row>
    <row r="80" spans="1:28" s="68" customFormat="1" hidden="1" x14ac:dyDescent="0.25">
      <c r="A80" s="509"/>
      <c r="B80" s="836"/>
      <c r="C80" s="836"/>
      <c r="D80" s="912"/>
      <c r="E80" s="912"/>
      <c r="F80" s="912"/>
      <c r="G80" s="912"/>
      <c r="H80" s="912"/>
      <c r="I80" s="912"/>
      <c r="J80" s="912"/>
      <c r="K80" s="912"/>
      <c r="N80" s="88"/>
      <c r="O80" s="912"/>
      <c r="P80" s="912"/>
      <c r="Q80" s="912"/>
      <c r="R80" s="912"/>
      <c r="S80" s="912"/>
      <c r="T80" s="912"/>
      <c r="U80" s="912"/>
      <c r="V80" s="912"/>
      <c r="W80" s="912"/>
      <c r="X80" s="912"/>
      <c r="Y80" s="912"/>
      <c r="Z80" s="912"/>
      <c r="AA80" s="912"/>
      <c r="AB80" s="912"/>
    </row>
    <row r="81" spans="1:28" s="68" customFormat="1" hidden="1" x14ac:dyDescent="0.25">
      <c r="A81" s="509"/>
      <c r="B81" s="836"/>
      <c r="C81" s="836"/>
      <c r="D81" s="912"/>
      <c r="E81" s="912"/>
      <c r="F81" s="912"/>
      <c r="G81" s="912"/>
      <c r="H81" s="912"/>
      <c r="I81" s="912"/>
      <c r="J81" s="912"/>
      <c r="K81" s="912"/>
      <c r="N81" s="88"/>
      <c r="O81" s="912"/>
      <c r="P81" s="912"/>
      <c r="Q81" s="912"/>
      <c r="R81" s="912"/>
      <c r="S81" s="912"/>
      <c r="T81" s="912"/>
      <c r="U81" s="912"/>
      <c r="V81" s="912"/>
      <c r="W81" s="912"/>
      <c r="X81" s="912"/>
      <c r="Y81" s="912"/>
      <c r="Z81" s="912"/>
      <c r="AA81" s="912"/>
      <c r="AB81" s="912"/>
    </row>
    <row r="82" spans="1:28" s="68" customFormat="1" hidden="1" x14ac:dyDescent="0.25">
      <c r="A82" s="509"/>
      <c r="B82" s="836"/>
      <c r="C82" s="836"/>
      <c r="D82" s="912"/>
      <c r="E82" s="912"/>
      <c r="F82" s="912"/>
      <c r="G82" s="912"/>
      <c r="H82" s="912"/>
      <c r="I82" s="912"/>
      <c r="J82" s="912"/>
      <c r="K82" s="912"/>
      <c r="N82" s="88"/>
      <c r="O82" s="912"/>
      <c r="P82" s="912"/>
      <c r="Q82" s="912"/>
      <c r="R82" s="912"/>
      <c r="S82" s="912"/>
      <c r="T82" s="912"/>
      <c r="U82" s="912"/>
      <c r="V82" s="912"/>
      <c r="W82" s="912"/>
      <c r="X82" s="912"/>
      <c r="Y82" s="912"/>
      <c r="Z82" s="912"/>
      <c r="AA82" s="912"/>
      <c r="AB82" s="912"/>
    </row>
    <row r="83" spans="1:28" s="68" customFormat="1" hidden="1" x14ac:dyDescent="0.25">
      <c r="A83" s="509"/>
      <c r="B83" s="836"/>
      <c r="C83" s="836"/>
      <c r="D83" s="912"/>
      <c r="E83" s="912"/>
      <c r="F83" s="912"/>
      <c r="G83" s="912"/>
      <c r="H83" s="912"/>
      <c r="I83" s="912"/>
      <c r="J83" s="912"/>
      <c r="K83" s="912"/>
      <c r="N83" s="88"/>
      <c r="O83" s="912"/>
      <c r="P83" s="912"/>
      <c r="Q83" s="912"/>
      <c r="R83" s="912"/>
      <c r="S83" s="912"/>
      <c r="T83" s="912"/>
      <c r="U83" s="912"/>
      <c r="V83" s="912"/>
      <c r="W83" s="912"/>
      <c r="X83" s="912"/>
      <c r="Y83" s="912"/>
      <c r="Z83" s="912"/>
      <c r="AA83" s="912"/>
      <c r="AB83" s="912"/>
    </row>
    <row r="84" spans="1:28" s="68" customFormat="1" hidden="1" x14ac:dyDescent="0.25">
      <c r="A84" s="509"/>
      <c r="B84" s="836"/>
      <c r="C84" s="836"/>
      <c r="D84" s="912"/>
      <c r="E84" s="912"/>
      <c r="F84" s="912"/>
      <c r="G84" s="912"/>
      <c r="H84" s="912"/>
      <c r="I84" s="912"/>
      <c r="J84" s="912"/>
      <c r="K84" s="912"/>
      <c r="N84" s="88"/>
      <c r="O84" s="912"/>
      <c r="P84" s="912"/>
      <c r="Q84" s="912"/>
      <c r="R84" s="912"/>
      <c r="S84" s="912"/>
      <c r="T84" s="912"/>
      <c r="U84" s="912"/>
      <c r="V84" s="912"/>
      <c r="W84" s="912"/>
      <c r="X84" s="912"/>
      <c r="Y84" s="912"/>
      <c r="Z84" s="912"/>
      <c r="AA84" s="912"/>
      <c r="AB84" s="912"/>
    </row>
    <row r="85" spans="1:28" s="68" customFormat="1" hidden="1" x14ac:dyDescent="0.25">
      <c r="A85" s="509"/>
      <c r="B85" s="988"/>
      <c r="C85" s="988"/>
      <c r="D85" s="912"/>
      <c r="E85" s="912"/>
      <c r="F85" s="912"/>
      <c r="G85" s="912"/>
      <c r="H85" s="912"/>
      <c r="I85" s="912"/>
      <c r="J85" s="912"/>
      <c r="K85" s="912"/>
      <c r="N85" s="88"/>
      <c r="O85" s="912"/>
      <c r="P85" s="912"/>
      <c r="Q85" s="912"/>
      <c r="R85" s="912"/>
      <c r="S85" s="912"/>
      <c r="T85" s="912"/>
      <c r="U85" s="912"/>
      <c r="V85" s="912"/>
      <c r="W85" s="912"/>
      <c r="X85" s="912"/>
      <c r="Y85" s="912"/>
      <c r="Z85" s="912"/>
      <c r="AA85" s="912"/>
      <c r="AB85" s="912"/>
    </row>
    <row r="86" spans="1:28" s="68" customFormat="1" hidden="1" x14ac:dyDescent="0.25">
      <c r="A86" s="509"/>
      <c r="B86" s="988"/>
      <c r="C86" s="988"/>
      <c r="D86" s="88"/>
      <c r="E86" s="989"/>
      <c r="F86" s="989"/>
      <c r="G86" s="989"/>
      <c r="H86" s="989"/>
      <c r="I86" s="989"/>
      <c r="J86" s="989"/>
      <c r="K86" s="989"/>
      <c r="N86" s="88"/>
      <c r="O86" s="912"/>
      <c r="P86" s="912"/>
      <c r="Q86" s="912"/>
      <c r="R86" s="912"/>
      <c r="S86" s="912"/>
      <c r="T86" s="912"/>
      <c r="U86" s="912"/>
      <c r="V86" s="912"/>
      <c r="W86" s="912"/>
      <c r="X86" s="912"/>
      <c r="Y86" s="912"/>
      <c r="Z86" s="912"/>
      <c r="AA86" s="912"/>
      <c r="AB86" s="912"/>
    </row>
    <row r="87" spans="1:28" s="68" customFormat="1" hidden="1" x14ac:dyDescent="0.25">
      <c r="A87" s="509"/>
      <c r="B87" s="988"/>
      <c r="C87" s="988"/>
      <c r="D87" s="88"/>
      <c r="E87" s="989"/>
      <c r="F87" s="989"/>
      <c r="G87" s="989"/>
      <c r="H87" s="989"/>
      <c r="I87" s="989"/>
      <c r="J87" s="989"/>
      <c r="K87" s="989"/>
      <c r="N87" s="831"/>
      <c r="O87" s="912"/>
      <c r="P87" s="912"/>
      <c r="Q87" s="912"/>
      <c r="R87" s="912"/>
      <c r="S87" s="912"/>
      <c r="T87" s="912"/>
      <c r="U87" s="912"/>
      <c r="V87" s="912"/>
      <c r="W87" s="912"/>
      <c r="X87" s="912"/>
      <c r="Y87" s="912"/>
      <c r="Z87" s="912"/>
      <c r="AA87" s="912"/>
      <c r="AB87" s="963"/>
    </row>
    <row r="88" spans="1:28" s="68" customFormat="1" hidden="1" x14ac:dyDescent="0.25">
      <c r="A88" s="509"/>
      <c r="B88" s="865"/>
      <c r="C88" s="865"/>
      <c r="D88" s="71"/>
      <c r="E88" s="71"/>
      <c r="F88" s="71"/>
      <c r="G88" s="71"/>
      <c r="H88" s="71"/>
      <c r="I88" s="71"/>
      <c r="J88" s="71"/>
      <c r="K88" s="71"/>
      <c r="N88" s="831"/>
      <c r="O88" s="88"/>
      <c r="P88" s="963"/>
      <c r="Q88" s="963"/>
      <c r="R88" s="963"/>
      <c r="S88" s="963"/>
      <c r="T88" s="963"/>
      <c r="U88" s="963"/>
      <c r="V88" s="963"/>
      <c r="W88" s="963"/>
      <c r="X88" s="963"/>
      <c r="Y88" s="963"/>
      <c r="Z88" s="963"/>
      <c r="AA88" s="963"/>
      <c r="AB88" s="88"/>
    </row>
    <row r="89" spans="1:28" s="68" customFormat="1" hidden="1" x14ac:dyDescent="0.25">
      <c r="A89" s="509"/>
      <c r="B89" s="988"/>
      <c r="C89" s="988"/>
      <c r="D89" s="990"/>
      <c r="H89" s="991"/>
      <c r="I89" s="991"/>
      <c r="J89" s="991"/>
      <c r="K89" s="991"/>
      <c r="N89" s="831"/>
      <c r="O89" s="88"/>
      <c r="P89" s="963"/>
      <c r="Q89" s="963"/>
      <c r="R89" s="963"/>
      <c r="S89" s="963"/>
      <c r="T89" s="963"/>
      <c r="U89" s="963"/>
      <c r="V89" s="963"/>
      <c r="W89" s="963"/>
      <c r="X89" s="963"/>
      <c r="Y89" s="963"/>
      <c r="Z89" s="963"/>
      <c r="AA89" s="963"/>
      <c r="AB89" s="88"/>
    </row>
    <row r="90" spans="1:28" s="68" customFormat="1" hidden="1" x14ac:dyDescent="0.25">
      <c r="A90" s="509"/>
      <c r="B90" s="988"/>
      <c r="C90" s="988"/>
      <c r="D90" s="178"/>
      <c r="H90" s="992"/>
      <c r="I90" s="992"/>
      <c r="J90" s="992"/>
      <c r="K90" s="992"/>
      <c r="N90" s="71"/>
      <c r="O90" s="71"/>
      <c r="P90" s="71"/>
      <c r="Q90" s="71"/>
      <c r="R90" s="71"/>
      <c r="S90" s="71"/>
      <c r="T90" s="71"/>
      <c r="U90" s="71"/>
      <c r="V90" s="71"/>
      <c r="W90" s="71"/>
      <c r="X90" s="71"/>
      <c r="Y90" s="71"/>
      <c r="Z90" s="71"/>
      <c r="AB90" s="88"/>
    </row>
    <row r="91" spans="1:28" s="68" customFormat="1" hidden="1" x14ac:dyDescent="0.25">
      <c r="A91" s="509"/>
      <c r="B91" s="988"/>
      <c r="C91" s="988"/>
      <c r="D91" s="88"/>
      <c r="H91" s="993"/>
      <c r="I91" s="993"/>
      <c r="J91" s="993"/>
      <c r="K91" s="993"/>
      <c r="N91" s="994"/>
      <c r="O91" s="990"/>
      <c r="W91" s="991"/>
      <c r="X91" s="991"/>
      <c r="Y91" s="991"/>
      <c r="Z91" s="991"/>
      <c r="AA91" s="991"/>
      <c r="AB91" s="88"/>
    </row>
    <row r="92" spans="1:28" s="68" customFormat="1" hidden="1" x14ac:dyDescent="0.25">
      <c r="A92" s="509"/>
      <c r="B92" s="568"/>
      <c r="C92" s="568"/>
      <c r="N92" s="994"/>
      <c r="O92" s="178"/>
      <c r="W92" s="992"/>
      <c r="X92" s="992"/>
      <c r="Y92" s="992"/>
      <c r="Z92" s="992"/>
      <c r="AA92" s="992"/>
      <c r="AB92" s="88"/>
    </row>
    <row r="93" spans="1:28" s="68" customFormat="1" hidden="1" x14ac:dyDescent="0.25">
      <c r="A93" s="509"/>
      <c r="B93" s="568"/>
      <c r="C93" s="568"/>
      <c r="N93" s="994"/>
      <c r="O93" s="88"/>
      <c r="W93" s="993"/>
      <c r="X93" s="993"/>
      <c r="Y93" s="993"/>
      <c r="Z93" s="993"/>
      <c r="AA93" s="993"/>
      <c r="AB93" s="88"/>
    </row>
    <row r="94" spans="1:28" s="68" customFormat="1" hidden="1" x14ac:dyDescent="0.25">
      <c r="A94" s="509"/>
      <c r="B94" s="568"/>
      <c r="C94" s="568"/>
    </row>
    <row r="95" spans="1:28" s="68" customFormat="1" hidden="1" x14ac:dyDescent="0.25">
      <c r="A95" s="509"/>
      <c r="B95" s="568"/>
      <c r="C95" s="568"/>
    </row>
    <row r="96" spans="1:28" s="68" customFormat="1" hidden="1" x14ac:dyDescent="0.25">
      <c r="A96" s="509"/>
      <c r="B96" s="568"/>
      <c r="C96" s="568"/>
    </row>
    <row r="97" spans="1:3" s="68" customFormat="1" hidden="1" x14ac:dyDescent="0.25">
      <c r="A97" s="509"/>
      <c r="B97" s="568"/>
      <c r="C97" s="568"/>
    </row>
    <row r="98" spans="1:3" s="68" customFormat="1" hidden="1" x14ac:dyDescent="0.25">
      <c r="A98" s="509"/>
      <c r="B98" s="568"/>
      <c r="C98" s="568"/>
    </row>
    <row r="99" spans="1:3" s="68" customFormat="1" hidden="1" x14ac:dyDescent="0.25">
      <c r="A99" s="509"/>
      <c r="B99" s="568"/>
      <c r="C99" s="568"/>
    </row>
    <row r="100" spans="1:3" s="68" customFormat="1" hidden="1" x14ac:dyDescent="0.25">
      <c r="A100" s="509"/>
      <c r="B100" s="568"/>
      <c r="C100" s="568"/>
    </row>
    <row r="101" spans="1:3" s="68" customFormat="1" hidden="1" x14ac:dyDescent="0.25">
      <c r="A101" s="509"/>
      <c r="B101" s="568"/>
      <c r="C101" s="568"/>
    </row>
    <row r="102" spans="1:3" s="68" customFormat="1" hidden="1" x14ac:dyDescent="0.25">
      <c r="A102" s="509"/>
      <c r="B102" s="568"/>
      <c r="C102" s="568"/>
    </row>
    <row r="103" spans="1:3" s="68" customFormat="1" hidden="1" x14ac:dyDescent="0.25">
      <c r="A103" s="509"/>
      <c r="B103" s="568"/>
      <c r="C103" s="568"/>
    </row>
    <row r="104" spans="1:3" s="68" customFormat="1" hidden="1" x14ac:dyDescent="0.25">
      <c r="A104" s="509"/>
      <c r="B104" s="568"/>
      <c r="C104" s="568"/>
    </row>
    <row r="105" spans="1:3" s="68" customFormat="1" hidden="1" x14ac:dyDescent="0.25">
      <c r="A105" s="509"/>
      <c r="B105" s="568"/>
      <c r="C105" s="568"/>
    </row>
    <row r="106" spans="1:3" s="68" customFormat="1" hidden="1" x14ac:dyDescent="0.25">
      <c r="A106" s="509"/>
      <c r="B106" s="568"/>
      <c r="C106" s="568"/>
    </row>
    <row r="107" spans="1:3" s="68" customFormat="1" hidden="1" x14ac:dyDescent="0.25">
      <c r="A107" s="509"/>
      <c r="B107" s="568"/>
      <c r="C107" s="568"/>
    </row>
    <row r="108" spans="1:3" s="68" customFormat="1" hidden="1" x14ac:dyDescent="0.25">
      <c r="A108" s="509"/>
      <c r="B108" s="568"/>
      <c r="C108" s="568"/>
    </row>
    <row r="109" spans="1:3" s="68" customFormat="1" hidden="1" x14ac:dyDescent="0.25">
      <c r="A109" s="509"/>
      <c r="B109" s="568"/>
      <c r="C109" s="568"/>
    </row>
    <row r="110" spans="1:3" s="68" customFormat="1" hidden="1" x14ac:dyDescent="0.25">
      <c r="A110" s="509"/>
      <c r="B110" s="568"/>
      <c r="C110" s="568"/>
    </row>
    <row r="111" spans="1:3" s="68" customFormat="1" hidden="1" x14ac:dyDescent="0.25">
      <c r="A111" s="509"/>
      <c r="B111" s="568"/>
      <c r="C111" s="568"/>
    </row>
    <row r="112" spans="1:3" s="68" customFormat="1" x14ac:dyDescent="0.25">
      <c r="A112" s="509"/>
      <c r="B112" s="568"/>
      <c r="C112" s="568"/>
    </row>
    <row r="113" spans="1:3" s="68" customFormat="1" x14ac:dyDescent="0.25">
      <c r="A113" s="509"/>
      <c r="B113" s="568"/>
      <c r="C113" s="568"/>
    </row>
    <row r="114" spans="1:3" s="68" customFormat="1" x14ac:dyDescent="0.25">
      <c r="A114" s="509"/>
      <c r="B114" s="568"/>
      <c r="C114" s="568"/>
    </row>
    <row r="115" spans="1:3" s="68" customFormat="1" x14ac:dyDescent="0.25">
      <c r="A115" s="509"/>
      <c r="B115" s="568"/>
      <c r="C115" s="568"/>
    </row>
    <row r="116" spans="1:3" s="68" customFormat="1" x14ac:dyDescent="0.25">
      <c r="A116" s="509"/>
      <c r="B116" s="568"/>
      <c r="C116" s="568"/>
    </row>
    <row r="117" spans="1:3" s="68" customFormat="1" x14ac:dyDescent="0.25">
      <c r="A117" s="509"/>
      <c r="B117" s="568"/>
      <c r="C117" s="568"/>
    </row>
    <row r="118" spans="1:3" s="68" customFormat="1" x14ac:dyDescent="0.25">
      <c r="A118" s="509"/>
      <c r="B118" s="568"/>
      <c r="C118" s="568"/>
    </row>
    <row r="119" spans="1:3" s="68" customFormat="1" x14ac:dyDescent="0.25">
      <c r="A119" s="509"/>
      <c r="B119" s="568"/>
      <c r="C119" s="568"/>
    </row>
    <row r="120" spans="1:3" s="68" customFormat="1" x14ac:dyDescent="0.25">
      <c r="A120" s="509"/>
      <c r="B120" s="568"/>
      <c r="C120" s="568"/>
    </row>
    <row r="121" spans="1:3" s="68" customFormat="1" x14ac:dyDescent="0.25">
      <c r="A121" s="509"/>
      <c r="B121" s="568"/>
      <c r="C121" s="568"/>
    </row>
    <row r="122" spans="1:3" s="68" customFormat="1" x14ac:dyDescent="0.25">
      <c r="A122" s="509"/>
      <c r="B122" s="568"/>
      <c r="C122" s="568"/>
    </row>
    <row r="123" spans="1:3" s="68" customFormat="1" x14ac:dyDescent="0.25">
      <c r="A123" s="509"/>
      <c r="B123" s="568"/>
      <c r="C123" s="568"/>
    </row>
    <row r="124" spans="1:3" s="68" customFormat="1" x14ac:dyDescent="0.25">
      <c r="A124" s="509"/>
      <c r="B124" s="568"/>
      <c r="C124" s="568"/>
    </row>
    <row r="125" spans="1:3" s="68" customFormat="1" x14ac:dyDescent="0.25">
      <c r="A125" s="509"/>
      <c r="B125" s="568"/>
      <c r="C125" s="568"/>
    </row>
    <row r="126" spans="1:3" s="68" customFormat="1" x14ac:dyDescent="0.25">
      <c r="A126" s="509"/>
      <c r="B126" s="568"/>
      <c r="C126" s="568"/>
    </row>
    <row r="127" spans="1:3" s="68" customFormat="1" x14ac:dyDescent="0.25">
      <c r="A127" s="509"/>
      <c r="B127" s="568"/>
      <c r="C127" s="568"/>
    </row>
    <row r="128" spans="1:3" s="68" customFormat="1" x14ac:dyDescent="0.25">
      <c r="A128" s="509"/>
      <c r="B128" s="568"/>
      <c r="C128" s="568"/>
    </row>
    <row r="129" spans="1:3" s="68" customFormat="1" x14ac:dyDescent="0.25">
      <c r="A129" s="509"/>
      <c r="B129" s="568"/>
      <c r="C129" s="568"/>
    </row>
    <row r="130" spans="1:3" s="68" customFormat="1" x14ac:dyDescent="0.25">
      <c r="A130" s="509"/>
      <c r="B130" s="568"/>
      <c r="C130" s="568"/>
    </row>
    <row r="131" spans="1:3" s="68" customFormat="1" x14ac:dyDescent="0.25">
      <c r="A131" s="509"/>
      <c r="B131" s="568"/>
      <c r="C131" s="568"/>
    </row>
    <row r="132" spans="1:3" s="68" customFormat="1" x14ac:dyDescent="0.25">
      <c r="A132" s="509"/>
      <c r="B132" s="568"/>
      <c r="C132" s="568"/>
    </row>
    <row r="133" spans="1:3" s="68" customFormat="1" x14ac:dyDescent="0.25">
      <c r="A133" s="509"/>
      <c r="B133" s="568"/>
      <c r="C133" s="568"/>
    </row>
    <row r="134" spans="1:3" s="68" customFormat="1" x14ac:dyDescent="0.25">
      <c r="A134" s="509"/>
      <c r="B134" s="568"/>
      <c r="C134" s="568"/>
    </row>
    <row r="135" spans="1:3" s="68" customFormat="1" x14ac:dyDescent="0.25">
      <c r="A135" s="509"/>
      <c r="B135" s="568"/>
      <c r="C135" s="568"/>
    </row>
    <row r="136" spans="1:3" s="68" customFormat="1" x14ac:dyDescent="0.25">
      <c r="A136" s="509"/>
      <c r="B136" s="568"/>
      <c r="C136" s="568"/>
    </row>
    <row r="137" spans="1:3" s="68" customFormat="1" x14ac:dyDescent="0.25">
      <c r="A137" s="509"/>
      <c r="B137" s="568"/>
      <c r="C137" s="568"/>
    </row>
    <row r="138" spans="1:3" s="68" customFormat="1" x14ac:dyDescent="0.25">
      <c r="A138" s="509"/>
      <c r="B138" s="568"/>
      <c r="C138" s="568"/>
    </row>
    <row r="139" spans="1:3" s="68" customFormat="1" x14ac:dyDescent="0.25">
      <c r="A139" s="509"/>
      <c r="B139" s="568"/>
      <c r="C139" s="568"/>
    </row>
    <row r="140" spans="1:3" s="68" customFormat="1" x14ac:dyDescent="0.25">
      <c r="A140" s="509"/>
      <c r="B140" s="568"/>
      <c r="C140" s="568"/>
    </row>
    <row r="141" spans="1:3" s="68" customFormat="1" x14ac:dyDescent="0.25">
      <c r="A141" s="509"/>
      <c r="B141" s="568"/>
      <c r="C141" s="568"/>
    </row>
    <row r="142" spans="1:3" s="68" customFormat="1" x14ac:dyDescent="0.25">
      <c r="A142" s="509"/>
      <c r="B142" s="568"/>
      <c r="C142" s="568"/>
    </row>
    <row r="143" spans="1:3" s="68" customFormat="1" x14ac:dyDescent="0.25">
      <c r="A143" s="509"/>
      <c r="B143" s="568"/>
      <c r="C143" s="568"/>
    </row>
    <row r="144" spans="1:3" s="68" customFormat="1" x14ac:dyDescent="0.25">
      <c r="A144" s="509"/>
      <c r="B144" s="568"/>
      <c r="C144" s="568"/>
    </row>
    <row r="145" spans="1:3" s="68" customFormat="1" x14ac:dyDescent="0.25">
      <c r="A145" s="509"/>
      <c r="B145" s="568"/>
      <c r="C145" s="568"/>
    </row>
    <row r="146" spans="1:3" s="68" customFormat="1" x14ac:dyDescent="0.25">
      <c r="A146" s="509"/>
      <c r="B146" s="568"/>
      <c r="C146" s="568"/>
    </row>
    <row r="147" spans="1:3" s="68" customFormat="1" x14ac:dyDescent="0.25">
      <c r="A147" s="509"/>
      <c r="B147" s="568"/>
      <c r="C147" s="568"/>
    </row>
    <row r="148" spans="1:3" s="68" customFormat="1" x14ac:dyDescent="0.25">
      <c r="A148" s="509"/>
      <c r="B148" s="568"/>
      <c r="C148" s="568"/>
    </row>
    <row r="149" spans="1:3" s="68" customFormat="1" x14ac:dyDescent="0.25">
      <c r="A149" s="509"/>
      <c r="B149" s="568"/>
      <c r="C149" s="568"/>
    </row>
    <row r="150" spans="1:3" s="68" customFormat="1" x14ac:dyDescent="0.25">
      <c r="A150" s="509"/>
      <c r="B150" s="568"/>
      <c r="C150" s="568"/>
    </row>
    <row r="151" spans="1:3" s="68" customFormat="1" x14ac:dyDescent="0.25">
      <c r="A151" s="509"/>
      <c r="B151" s="568"/>
      <c r="C151" s="568"/>
    </row>
    <row r="152" spans="1:3" s="68" customFormat="1" x14ac:dyDescent="0.25">
      <c r="A152" s="509"/>
      <c r="B152" s="568"/>
      <c r="C152" s="568"/>
    </row>
    <row r="153" spans="1:3" s="68" customFormat="1" x14ac:dyDescent="0.25">
      <c r="A153" s="509"/>
      <c r="B153" s="568"/>
      <c r="C153" s="568"/>
    </row>
    <row r="154" spans="1:3" s="68" customFormat="1" x14ac:dyDescent="0.25">
      <c r="A154" s="509"/>
      <c r="B154" s="568"/>
      <c r="C154" s="568"/>
    </row>
    <row r="155" spans="1:3" s="68" customFormat="1" x14ac:dyDescent="0.25">
      <c r="A155" s="509"/>
      <c r="B155" s="568"/>
      <c r="C155" s="568"/>
    </row>
    <row r="156" spans="1:3" s="68" customFormat="1" x14ac:dyDescent="0.25">
      <c r="A156" s="509"/>
      <c r="B156" s="568"/>
      <c r="C156" s="568"/>
    </row>
    <row r="157" spans="1:3" s="68" customFormat="1" x14ac:dyDescent="0.25">
      <c r="A157" s="509"/>
      <c r="B157" s="568"/>
      <c r="C157" s="568"/>
    </row>
    <row r="158" spans="1:3" s="68" customFormat="1" x14ac:dyDescent="0.25">
      <c r="A158" s="509"/>
      <c r="B158" s="568"/>
      <c r="C158" s="568"/>
    </row>
    <row r="159" spans="1:3" s="68" customFormat="1" x14ac:dyDescent="0.25">
      <c r="A159" s="509"/>
      <c r="B159" s="568"/>
      <c r="C159" s="568"/>
    </row>
    <row r="160" spans="1:3" s="68" customFormat="1" x14ac:dyDescent="0.25">
      <c r="A160" s="509"/>
      <c r="B160" s="568"/>
      <c r="C160" s="568"/>
    </row>
    <row r="161" spans="1:3" s="68" customFormat="1" x14ac:dyDescent="0.25">
      <c r="A161" s="509"/>
      <c r="B161" s="568"/>
      <c r="C161" s="568"/>
    </row>
    <row r="162" spans="1:3" s="68" customFormat="1" x14ac:dyDescent="0.25">
      <c r="A162" s="509"/>
      <c r="B162" s="568"/>
      <c r="C162" s="568"/>
    </row>
    <row r="163" spans="1:3" s="68" customFormat="1" x14ac:dyDescent="0.25">
      <c r="A163" s="509"/>
      <c r="B163" s="568"/>
      <c r="C163" s="568"/>
    </row>
    <row r="164" spans="1:3" s="68" customFormat="1" x14ac:dyDescent="0.25">
      <c r="A164" s="509"/>
      <c r="B164" s="568"/>
      <c r="C164" s="568"/>
    </row>
    <row r="165" spans="1:3" s="68" customFormat="1" x14ac:dyDescent="0.25">
      <c r="A165" s="509"/>
      <c r="B165" s="568"/>
      <c r="C165" s="568"/>
    </row>
    <row r="166" spans="1:3" s="68" customFormat="1" x14ac:dyDescent="0.25">
      <c r="A166" s="509"/>
      <c r="B166" s="568"/>
      <c r="C166" s="568"/>
    </row>
    <row r="167" spans="1:3" s="68" customFormat="1" x14ac:dyDescent="0.25">
      <c r="A167" s="509"/>
      <c r="B167" s="568"/>
      <c r="C167" s="568"/>
    </row>
    <row r="168" spans="1:3" s="68" customFormat="1" x14ac:dyDescent="0.25">
      <c r="A168" s="509"/>
      <c r="B168" s="568"/>
      <c r="C168" s="568"/>
    </row>
    <row r="169" spans="1:3" s="68" customFormat="1" x14ac:dyDescent="0.25">
      <c r="A169" s="509"/>
      <c r="B169" s="568"/>
      <c r="C169" s="568"/>
    </row>
    <row r="170" spans="1:3" s="68" customFormat="1" x14ac:dyDescent="0.25">
      <c r="A170" s="509"/>
      <c r="B170" s="568"/>
      <c r="C170" s="568"/>
    </row>
    <row r="171" spans="1:3" s="68" customFormat="1" x14ac:dyDescent="0.25">
      <c r="A171" s="509"/>
      <c r="B171" s="568"/>
      <c r="C171" s="568"/>
    </row>
    <row r="172" spans="1:3" s="68" customFormat="1" x14ac:dyDescent="0.25">
      <c r="A172" s="509"/>
      <c r="B172" s="568"/>
      <c r="C172" s="568"/>
    </row>
    <row r="173" spans="1:3" s="68" customFormat="1" x14ac:dyDescent="0.25">
      <c r="A173" s="509"/>
      <c r="B173" s="568"/>
      <c r="C173" s="568"/>
    </row>
    <row r="174" spans="1:3" s="68" customFormat="1" x14ac:dyDescent="0.25">
      <c r="A174" s="509"/>
      <c r="B174" s="568"/>
      <c r="C174" s="568"/>
    </row>
    <row r="175" spans="1:3" s="68" customFormat="1" x14ac:dyDescent="0.25">
      <c r="A175" s="509"/>
      <c r="B175" s="568"/>
      <c r="C175" s="568"/>
    </row>
    <row r="176" spans="1:3" s="68" customFormat="1" x14ac:dyDescent="0.25">
      <c r="A176" s="509"/>
      <c r="B176" s="568"/>
      <c r="C176" s="568"/>
    </row>
    <row r="177" spans="1:3" s="68" customFormat="1" x14ac:dyDescent="0.25">
      <c r="A177" s="509"/>
      <c r="B177" s="568"/>
      <c r="C177" s="568"/>
    </row>
    <row r="178" spans="1:3" s="68" customFormat="1" x14ac:dyDescent="0.25">
      <c r="A178" s="509"/>
      <c r="B178" s="568"/>
      <c r="C178" s="568"/>
    </row>
    <row r="179" spans="1:3" s="68" customFormat="1" x14ac:dyDescent="0.25">
      <c r="A179" s="509"/>
      <c r="B179" s="568"/>
      <c r="C179" s="568"/>
    </row>
    <row r="180" spans="1:3" s="68" customFormat="1" x14ac:dyDescent="0.25">
      <c r="A180" s="509"/>
      <c r="B180" s="568"/>
      <c r="C180" s="568"/>
    </row>
    <row r="181" spans="1:3" s="68" customFormat="1" x14ac:dyDescent="0.25">
      <c r="A181" s="509"/>
      <c r="B181" s="568"/>
      <c r="C181" s="568"/>
    </row>
    <row r="182" spans="1:3" s="68" customFormat="1" x14ac:dyDescent="0.25">
      <c r="A182" s="509"/>
      <c r="B182" s="568"/>
      <c r="C182" s="568"/>
    </row>
    <row r="183" spans="1:3" s="68" customFormat="1" x14ac:dyDescent="0.25">
      <c r="A183" s="509"/>
      <c r="B183" s="568"/>
      <c r="C183" s="568"/>
    </row>
    <row r="184" spans="1:3" s="68" customFormat="1" x14ac:dyDescent="0.25">
      <c r="A184" s="509"/>
      <c r="B184" s="568"/>
      <c r="C184" s="568"/>
    </row>
    <row r="185" spans="1:3" s="68" customFormat="1" x14ac:dyDescent="0.25">
      <c r="A185" s="509"/>
      <c r="B185" s="568"/>
      <c r="C185" s="568"/>
    </row>
    <row r="186" spans="1:3" s="68" customFormat="1" x14ac:dyDescent="0.25">
      <c r="A186" s="509"/>
      <c r="B186" s="568"/>
      <c r="C186" s="568"/>
    </row>
    <row r="187" spans="1:3" s="68" customFormat="1" x14ac:dyDescent="0.25">
      <c r="A187" s="509"/>
      <c r="B187" s="568"/>
      <c r="C187" s="568"/>
    </row>
    <row r="188" spans="1:3" s="68" customFormat="1" x14ac:dyDescent="0.25">
      <c r="A188" s="509"/>
      <c r="B188" s="568"/>
      <c r="C188" s="568"/>
    </row>
    <row r="189" spans="1:3" s="68" customFormat="1" x14ac:dyDescent="0.25">
      <c r="A189" s="509"/>
      <c r="B189" s="568"/>
      <c r="C189" s="568"/>
    </row>
    <row r="190" spans="1:3" s="68" customFormat="1" x14ac:dyDescent="0.25">
      <c r="A190" s="509"/>
      <c r="B190" s="568"/>
      <c r="C190" s="568"/>
    </row>
    <row r="191" spans="1:3" s="68" customFormat="1" x14ac:dyDescent="0.25">
      <c r="A191" s="509"/>
      <c r="B191" s="568"/>
      <c r="C191" s="568"/>
    </row>
    <row r="192" spans="1:3" s="68" customFormat="1" x14ac:dyDescent="0.25">
      <c r="A192" s="509"/>
      <c r="B192" s="568"/>
      <c r="C192" s="568"/>
    </row>
    <row r="193" spans="1:3" s="68" customFormat="1" x14ac:dyDescent="0.25">
      <c r="A193" s="509"/>
      <c r="B193" s="568"/>
      <c r="C193" s="568"/>
    </row>
    <row r="194" spans="1:3" s="68" customFormat="1" x14ac:dyDescent="0.25">
      <c r="A194" s="509"/>
      <c r="B194" s="568"/>
      <c r="C194" s="568"/>
    </row>
    <row r="195" spans="1:3" s="68" customFormat="1" x14ac:dyDescent="0.25">
      <c r="A195" s="509"/>
      <c r="B195" s="568"/>
      <c r="C195" s="568"/>
    </row>
    <row r="196" spans="1:3" s="68" customFormat="1" x14ac:dyDescent="0.25">
      <c r="A196" s="509"/>
      <c r="B196" s="568"/>
      <c r="C196" s="568"/>
    </row>
    <row r="197" spans="1:3" s="68" customFormat="1" x14ac:dyDescent="0.25">
      <c r="A197" s="509"/>
      <c r="B197" s="568"/>
      <c r="C197" s="568"/>
    </row>
    <row r="198" spans="1:3" s="68" customFormat="1" x14ac:dyDescent="0.25">
      <c r="A198" s="509"/>
      <c r="B198" s="568"/>
      <c r="C198" s="568"/>
    </row>
    <row r="199" spans="1:3" s="68" customFormat="1" x14ac:dyDescent="0.25">
      <c r="A199" s="509"/>
      <c r="B199" s="568"/>
      <c r="C199" s="568"/>
    </row>
    <row r="200" spans="1:3" s="68" customFormat="1" x14ac:dyDescent="0.25">
      <c r="A200" s="509"/>
      <c r="B200" s="568"/>
      <c r="C200" s="568"/>
    </row>
    <row r="201" spans="1:3" s="68" customFormat="1" x14ac:dyDescent="0.25">
      <c r="A201" s="509"/>
      <c r="B201" s="568"/>
      <c r="C201" s="568"/>
    </row>
    <row r="202" spans="1:3" s="68" customFormat="1" x14ac:dyDescent="0.25">
      <c r="A202" s="509"/>
      <c r="B202" s="568"/>
      <c r="C202" s="568"/>
    </row>
    <row r="203" spans="1:3" s="68" customFormat="1" x14ac:dyDescent="0.25">
      <c r="A203" s="509"/>
      <c r="B203" s="568"/>
      <c r="C203" s="568"/>
    </row>
    <row r="204" spans="1:3" s="68" customFormat="1" x14ac:dyDescent="0.25">
      <c r="A204" s="509"/>
      <c r="B204" s="568"/>
      <c r="C204" s="568"/>
    </row>
    <row r="205" spans="1:3" s="68" customFormat="1" x14ac:dyDescent="0.25">
      <c r="A205" s="509"/>
      <c r="B205" s="568"/>
      <c r="C205" s="568"/>
    </row>
    <row r="206" spans="1:3" s="68" customFormat="1" x14ac:dyDescent="0.25">
      <c r="A206" s="509"/>
      <c r="B206" s="568"/>
      <c r="C206" s="568"/>
    </row>
    <row r="207" spans="1:3" s="68" customFormat="1" x14ac:dyDescent="0.25">
      <c r="A207" s="509"/>
      <c r="B207" s="568"/>
      <c r="C207" s="568"/>
    </row>
    <row r="208" spans="1:3" s="68" customFormat="1" x14ac:dyDescent="0.25">
      <c r="A208" s="509"/>
      <c r="B208" s="568"/>
      <c r="C208" s="568"/>
    </row>
    <row r="209" spans="1:3" s="68" customFormat="1" x14ac:dyDescent="0.25">
      <c r="A209" s="509"/>
      <c r="B209" s="568"/>
      <c r="C209" s="568"/>
    </row>
    <row r="210" spans="1:3" s="68" customFormat="1" x14ac:dyDescent="0.25">
      <c r="A210" s="509"/>
      <c r="B210" s="568"/>
      <c r="C210" s="568"/>
    </row>
    <row r="211" spans="1:3" s="68" customFormat="1" x14ac:dyDescent="0.25">
      <c r="A211" s="509"/>
      <c r="B211" s="568"/>
      <c r="C211" s="568"/>
    </row>
    <row r="212" spans="1:3" s="68" customFormat="1" x14ac:dyDescent="0.25">
      <c r="A212" s="509"/>
      <c r="B212" s="568"/>
      <c r="C212" s="568"/>
    </row>
    <row r="213" spans="1:3" s="68" customFormat="1" x14ac:dyDescent="0.25">
      <c r="A213" s="509"/>
      <c r="B213" s="568"/>
      <c r="C213" s="568"/>
    </row>
    <row r="214" spans="1:3" s="68" customFormat="1" x14ac:dyDescent="0.25">
      <c r="A214" s="509"/>
      <c r="B214" s="568"/>
      <c r="C214" s="568"/>
    </row>
    <row r="215" spans="1:3" s="68" customFormat="1" x14ac:dyDescent="0.25">
      <c r="A215" s="509"/>
      <c r="B215" s="568"/>
      <c r="C215" s="568"/>
    </row>
    <row r="216" spans="1:3" s="68" customFormat="1" x14ac:dyDescent="0.25">
      <c r="A216" s="509"/>
      <c r="B216" s="568"/>
      <c r="C216" s="568"/>
    </row>
    <row r="217" spans="1:3" s="68" customFormat="1" x14ac:dyDescent="0.25">
      <c r="A217" s="509"/>
      <c r="B217" s="568"/>
      <c r="C217" s="568"/>
    </row>
    <row r="218" spans="1:3" s="68" customFormat="1" x14ac:dyDescent="0.25">
      <c r="A218" s="509"/>
      <c r="B218" s="568"/>
      <c r="C218" s="568"/>
    </row>
    <row r="219" spans="1:3" s="68" customFormat="1" x14ac:dyDescent="0.25">
      <c r="A219" s="509"/>
      <c r="B219" s="568"/>
      <c r="C219" s="568"/>
    </row>
    <row r="220" spans="1:3" s="68" customFormat="1" x14ac:dyDescent="0.25">
      <c r="A220" s="509"/>
      <c r="B220" s="568"/>
      <c r="C220" s="568"/>
    </row>
    <row r="221" spans="1:3" s="68" customFormat="1" x14ac:dyDescent="0.25">
      <c r="A221" s="509"/>
      <c r="B221" s="568"/>
      <c r="C221" s="568"/>
    </row>
    <row r="222" spans="1:3" s="68" customFormat="1" x14ac:dyDescent="0.25">
      <c r="A222" s="509"/>
      <c r="B222" s="568"/>
      <c r="C222" s="568"/>
    </row>
    <row r="223" spans="1:3" s="68" customFormat="1" x14ac:dyDescent="0.25">
      <c r="A223" s="509"/>
      <c r="B223" s="568"/>
      <c r="C223" s="568"/>
    </row>
    <row r="224" spans="1:3" s="68" customFormat="1" x14ac:dyDescent="0.25">
      <c r="A224" s="509"/>
      <c r="B224" s="568"/>
      <c r="C224" s="568"/>
    </row>
    <row r="225" spans="1:3" s="68" customFormat="1" x14ac:dyDescent="0.25">
      <c r="A225" s="509"/>
      <c r="B225" s="568"/>
      <c r="C225" s="568"/>
    </row>
    <row r="226" spans="1:3" s="68" customFormat="1" x14ac:dyDescent="0.25">
      <c r="A226" s="509"/>
      <c r="B226" s="568"/>
      <c r="C226" s="568"/>
    </row>
    <row r="227" spans="1:3" s="68" customFormat="1" x14ac:dyDescent="0.25">
      <c r="A227" s="509"/>
      <c r="B227" s="568"/>
      <c r="C227" s="568"/>
    </row>
    <row r="228" spans="1:3" s="68" customFormat="1" x14ac:dyDescent="0.25">
      <c r="A228" s="509"/>
      <c r="B228" s="568"/>
      <c r="C228" s="568"/>
    </row>
    <row r="229" spans="1:3" s="68" customFormat="1" x14ac:dyDescent="0.25">
      <c r="A229" s="509"/>
      <c r="B229" s="568"/>
      <c r="C229" s="568"/>
    </row>
    <row r="230" spans="1:3" s="68" customFormat="1" x14ac:dyDescent="0.25">
      <c r="A230" s="509"/>
      <c r="B230" s="568"/>
      <c r="C230" s="568"/>
    </row>
    <row r="231" spans="1:3" s="68" customFormat="1" x14ac:dyDescent="0.25">
      <c r="A231" s="509"/>
      <c r="B231" s="568"/>
      <c r="C231" s="568"/>
    </row>
    <row r="232" spans="1:3" s="68" customFormat="1" x14ac:dyDescent="0.25">
      <c r="A232" s="509"/>
      <c r="B232" s="568"/>
      <c r="C232" s="568"/>
    </row>
    <row r="233" spans="1:3" s="68" customFormat="1" x14ac:dyDescent="0.25">
      <c r="A233" s="509"/>
      <c r="B233" s="568"/>
      <c r="C233" s="568"/>
    </row>
    <row r="234" spans="1:3" s="68" customFormat="1" x14ac:dyDescent="0.25">
      <c r="A234" s="509"/>
      <c r="B234" s="568"/>
      <c r="C234" s="568"/>
    </row>
    <row r="235" spans="1:3" s="68" customFormat="1" x14ac:dyDescent="0.25">
      <c r="A235" s="509"/>
      <c r="B235" s="568"/>
      <c r="C235" s="568"/>
    </row>
    <row r="236" spans="1:3" s="68" customFormat="1" x14ac:dyDescent="0.25">
      <c r="A236" s="509"/>
      <c r="B236" s="568"/>
      <c r="C236" s="568"/>
    </row>
    <row r="237" spans="1:3" s="68" customFormat="1" x14ac:dyDescent="0.25">
      <c r="A237" s="509"/>
      <c r="B237" s="568"/>
      <c r="C237" s="568"/>
    </row>
    <row r="238" spans="1:3" s="68" customFormat="1" x14ac:dyDescent="0.25">
      <c r="A238" s="509"/>
      <c r="B238" s="568"/>
      <c r="C238" s="568"/>
    </row>
    <row r="239" spans="1:3" s="68" customFormat="1" x14ac:dyDescent="0.25">
      <c r="A239" s="509"/>
      <c r="B239" s="568"/>
      <c r="C239" s="568"/>
    </row>
    <row r="240" spans="1:3" s="68" customFormat="1" x14ac:dyDescent="0.25">
      <c r="A240" s="509"/>
      <c r="B240" s="568"/>
      <c r="C240" s="568"/>
    </row>
    <row r="241" spans="1:3" s="68" customFormat="1" x14ac:dyDescent="0.25">
      <c r="A241" s="509"/>
      <c r="B241" s="568"/>
      <c r="C241" s="568"/>
    </row>
    <row r="242" spans="1:3" s="68" customFormat="1" x14ac:dyDescent="0.25">
      <c r="A242" s="509"/>
      <c r="B242" s="568"/>
      <c r="C242" s="568"/>
    </row>
    <row r="243" spans="1:3" s="68" customFormat="1" x14ac:dyDescent="0.25">
      <c r="A243" s="509"/>
      <c r="B243" s="568"/>
      <c r="C243" s="568"/>
    </row>
    <row r="244" spans="1:3" s="68" customFormat="1" x14ac:dyDescent="0.25">
      <c r="A244" s="509"/>
      <c r="B244" s="568"/>
      <c r="C244" s="568"/>
    </row>
    <row r="245" spans="1:3" s="68" customFormat="1" x14ac:dyDescent="0.25">
      <c r="A245" s="509"/>
      <c r="B245" s="568"/>
      <c r="C245" s="568"/>
    </row>
    <row r="246" spans="1:3" s="68" customFormat="1" x14ac:dyDescent="0.25">
      <c r="A246" s="509"/>
      <c r="B246" s="568"/>
      <c r="C246" s="568"/>
    </row>
    <row r="247" spans="1:3" s="68" customFormat="1" x14ac:dyDescent="0.25">
      <c r="A247" s="509"/>
      <c r="B247" s="568"/>
      <c r="C247" s="568"/>
    </row>
    <row r="248" spans="1:3" s="68" customFormat="1" x14ac:dyDescent="0.25">
      <c r="A248" s="509"/>
      <c r="B248" s="568"/>
      <c r="C248" s="568"/>
    </row>
    <row r="249" spans="1:3" s="68" customFormat="1" x14ac:dyDescent="0.25">
      <c r="A249" s="509"/>
      <c r="B249" s="568"/>
      <c r="C249" s="568"/>
    </row>
    <row r="250" spans="1:3" s="68" customFormat="1" x14ac:dyDescent="0.25">
      <c r="A250" s="509"/>
      <c r="B250" s="568"/>
      <c r="C250" s="568"/>
    </row>
    <row r="251" spans="1:3" s="68" customFormat="1" x14ac:dyDescent="0.25">
      <c r="A251" s="509"/>
      <c r="B251" s="568"/>
      <c r="C251" s="568"/>
    </row>
    <row r="252" spans="1:3" s="68" customFormat="1" x14ac:dyDescent="0.25">
      <c r="A252" s="509"/>
      <c r="B252" s="568"/>
      <c r="C252" s="568"/>
    </row>
    <row r="253" spans="1:3" s="68" customFormat="1" x14ac:dyDescent="0.25">
      <c r="A253" s="509"/>
      <c r="B253" s="568"/>
      <c r="C253" s="568"/>
    </row>
    <row r="254" spans="1:3" s="68" customFormat="1" x14ac:dyDescent="0.25">
      <c r="A254" s="509"/>
      <c r="B254" s="568"/>
      <c r="C254" s="568"/>
    </row>
    <row r="255" spans="1:3" s="68" customFormat="1" x14ac:dyDescent="0.25">
      <c r="A255" s="509"/>
      <c r="B255" s="568"/>
      <c r="C255" s="568"/>
    </row>
    <row r="256" spans="1:3" s="68" customFormat="1" x14ac:dyDescent="0.25">
      <c r="A256" s="509"/>
      <c r="B256" s="568"/>
      <c r="C256" s="568"/>
    </row>
    <row r="257" spans="1:3" s="68" customFormat="1" x14ac:dyDescent="0.25">
      <c r="A257" s="509"/>
      <c r="B257" s="568"/>
      <c r="C257" s="568"/>
    </row>
    <row r="258" spans="1:3" s="68" customFormat="1" x14ac:dyDescent="0.25">
      <c r="A258" s="509"/>
      <c r="B258" s="568"/>
      <c r="C258" s="568"/>
    </row>
    <row r="259" spans="1:3" s="68" customFormat="1" x14ac:dyDescent="0.25">
      <c r="A259" s="509"/>
      <c r="B259" s="568"/>
      <c r="C259" s="568"/>
    </row>
    <row r="260" spans="1:3" s="68" customFormat="1" x14ac:dyDescent="0.25">
      <c r="A260" s="509"/>
      <c r="B260" s="568"/>
      <c r="C260" s="568"/>
    </row>
    <row r="261" spans="1:3" s="68" customFormat="1" x14ac:dyDescent="0.25">
      <c r="A261" s="509"/>
      <c r="B261" s="568"/>
      <c r="C261" s="568"/>
    </row>
    <row r="262" spans="1:3" s="68" customFormat="1" x14ac:dyDescent="0.25">
      <c r="A262" s="509"/>
      <c r="B262" s="568"/>
      <c r="C262" s="568"/>
    </row>
    <row r="263" spans="1:3" s="68" customFormat="1" x14ac:dyDescent="0.25">
      <c r="A263" s="509"/>
      <c r="B263" s="568"/>
      <c r="C263" s="568"/>
    </row>
    <row r="264" spans="1:3" s="68" customFormat="1" x14ac:dyDescent="0.25">
      <c r="A264" s="509"/>
      <c r="B264" s="568"/>
      <c r="C264" s="568"/>
    </row>
    <row r="265" spans="1:3" s="68" customFormat="1" x14ac:dyDescent="0.25">
      <c r="A265" s="509"/>
      <c r="B265" s="568"/>
      <c r="C265" s="568"/>
    </row>
    <row r="266" spans="1:3" s="68" customFormat="1" x14ac:dyDescent="0.25">
      <c r="A266" s="509"/>
      <c r="B266" s="568"/>
      <c r="C266" s="568"/>
    </row>
    <row r="267" spans="1:3" s="68" customFormat="1" x14ac:dyDescent="0.25">
      <c r="A267" s="509"/>
      <c r="B267" s="568"/>
      <c r="C267" s="568"/>
    </row>
    <row r="268" spans="1:3" s="68" customFormat="1" x14ac:dyDescent="0.25">
      <c r="A268" s="509"/>
      <c r="B268" s="568"/>
      <c r="C268" s="568"/>
    </row>
    <row r="269" spans="1:3" s="68" customFormat="1" x14ac:dyDescent="0.25">
      <c r="A269" s="509"/>
      <c r="B269" s="568"/>
      <c r="C269" s="568"/>
    </row>
    <row r="270" spans="1:3" s="68" customFormat="1" x14ac:dyDescent="0.25">
      <c r="A270" s="509"/>
      <c r="B270" s="568"/>
      <c r="C270" s="568"/>
    </row>
    <row r="271" spans="1:3" s="68" customFormat="1" x14ac:dyDescent="0.25">
      <c r="A271" s="509"/>
      <c r="B271" s="568"/>
      <c r="C271" s="568"/>
    </row>
    <row r="272" spans="1:3" s="68" customFormat="1" x14ac:dyDescent="0.25">
      <c r="A272" s="509"/>
      <c r="B272" s="568"/>
      <c r="C272" s="568"/>
    </row>
    <row r="273" spans="1:3" s="68" customFormat="1" x14ac:dyDescent="0.25">
      <c r="A273" s="509"/>
      <c r="B273" s="568"/>
      <c r="C273" s="568"/>
    </row>
    <row r="274" spans="1:3" s="68" customFormat="1" x14ac:dyDescent="0.25">
      <c r="A274" s="509"/>
      <c r="B274" s="568"/>
      <c r="C274" s="568"/>
    </row>
    <row r="275" spans="1:3" s="68" customFormat="1" x14ac:dyDescent="0.25">
      <c r="A275" s="509"/>
      <c r="B275" s="568"/>
      <c r="C275" s="568"/>
    </row>
    <row r="276" spans="1:3" s="68" customFormat="1" x14ac:dyDescent="0.25">
      <c r="A276" s="509"/>
      <c r="B276" s="568"/>
      <c r="C276" s="568"/>
    </row>
    <row r="277" spans="1:3" s="68" customFormat="1" x14ac:dyDescent="0.25">
      <c r="A277" s="509"/>
      <c r="B277" s="568"/>
      <c r="C277" s="568"/>
    </row>
    <row r="278" spans="1:3" s="68" customFormat="1" x14ac:dyDescent="0.25">
      <c r="A278" s="509"/>
      <c r="B278" s="568"/>
      <c r="C278" s="568"/>
    </row>
    <row r="279" spans="1:3" s="68" customFormat="1" x14ac:dyDescent="0.25">
      <c r="A279" s="509"/>
      <c r="B279" s="568"/>
      <c r="C279" s="568"/>
    </row>
    <row r="280" spans="1:3" s="68" customFormat="1" x14ac:dyDescent="0.25">
      <c r="A280" s="509"/>
      <c r="B280" s="568"/>
      <c r="C280" s="568"/>
    </row>
    <row r="281" spans="1:3" s="68" customFormat="1" x14ac:dyDescent="0.25">
      <c r="A281" s="509"/>
      <c r="B281" s="568"/>
      <c r="C281" s="568"/>
    </row>
    <row r="282" spans="1:3" s="68" customFormat="1" x14ac:dyDescent="0.25">
      <c r="A282" s="509"/>
      <c r="B282" s="568"/>
      <c r="C282" s="568"/>
    </row>
    <row r="283" spans="1:3" s="68" customFormat="1" x14ac:dyDescent="0.25">
      <c r="A283" s="509"/>
      <c r="B283" s="568"/>
      <c r="C283" s="568"/>
    </row>
    <row r="284" spans="1:3" s="68" customFormat="1" x14ac:dyDescent="0.25">
      <c r="A284" s="509"/>
      <c r="B284" s="568"/>
      <c r="C284" s="568"/>
    </row>
    <row r="285" spans="1:3" s="68" customFormat="1" x14ac:dyDescent="0.25">
      <c r="A285" s="509"/>
      <c r="B285" s="568"/>
      <c r="C285" s="568"/>
    </row>
    <row r="286" spans="1:3" s="68" customFormat="1" x14ac:dyDescent="0.25">
      <c r="A286" s="509"/>
      <c r="B286" s="568"/>
      <c r="C286" s="568"/>
    </row>
    <row r="287" spans="1:3" s="68" customFormat="1" x14ac:dyDescent="0.25">
      <c r="A287" s="509"/>
      <c r="B287" s="568"/>
      <c r="C287" s="568"/>
    </row>
    <row r="288" spans="1:3" s="68" customFormat="1" x14ac:dyDescent="0.25">
      <c r="A288" s="509"/>
      <c r="B288" s="568"/>
      <c r="C288" s="568"/>
    </row>
    <row r="289" spans="1:3" s="68" customFormat="1" x14ac:dyDescent="0.25">
      <c r="A289" s="509"/>
      <c r="B289" s="568"/>
      <c r="C289" s="568"/>
    </row>
    <row r="290" spans="1:3" s="68" customFormat="1" x14ac:dyDescent="0.25">
      <c r="A290" s="509"/>
      <c r="B290" s="568"/>
      <c r="C290" s="568"/>
    </row>
    <row r="291" spans="1:3" s="68" customFormat="1" x14ac:dyDescent="0.25">
      <c r="A291" s="509"/>
      <c r="B291" s="568"/>
      <c r="C291" s="568"/>
    </row>
    <row r="292" spans="1:3" s="68" customFormat="1" x14ac:dyDescent="0.25">
      <c r="A292" s="509"/>
      <c r="B292" s="568"/>
      <c r="C292" s="568"/>
    </row>
    <row r="293" spans="1:3" s="68" customFormat="1" x14ac:dyDescent="0.25">
      <c r="A293" s="509"/>
      <c r="B293" s="568"/>
      <c r="C293" s="568"/>
    </row>
    <row r="294" spans="1:3" s="68" customFormat="1" x14ac:dyDescent="0.25">
      <c r="A294" s="509"/>
      <c r="B294" s="568"/>
      <c r="C294" s="568"/>
    </row>
    <row r="295" spans="1:3" s="68" customFormat="1" x14ac:dyDescent="0.25">
      <c r="A295" s="509"/>
      <c r="B295" s="568"/>
      <c r="C295" s="568"/>
    </row>
    <row r="296" spans="1:3" s="68" customFormat="1" x14ac:dyDescent="0.25">
      <c r="A296" s="509"/>
      <c r="B296" s="568"/>
      <c r="C296" s="568"/>
    </row>
    <row r="297" spans="1:3" s="68" customFormat="1" x14ac:dyDescent="0.25">
      <c r="A297" s="509"/>
      <c r="B297" s="568"/>
      <c r="C297" s="568"/>
    </row>
    <row r="298" spans="1:3" s="68" customFormat="1" x14ac:dyDescent="0.25">
      <c r="A298" s="509"/>
      <c r="B298" s="568"/>
      <c r="C298" s="568"/>
    </row>
    <row r="299" spans="1:3" s="68" customFormat="1" x14ac:dyDescent="0.25">
      <c r="A299" s="509"/>
      <c r="B299" s="568"/>
      <c r="C299" s="568"/>
    </row>
    <row r="300" spans="1:3" s="68" customFormat="1" x14ac:dyDescent="0.25">
      <c r="A300" s="509"/>
      <c r="B300" s="568"/>
      <c r="C300" s="568"/>
    </row>
    <row r="301" spans="1:3" s="68" customFormat="1" x14ac:dyDescent="0.25">
      <c r="A301" s="509"/>
      <c r="B301" s="568"/>
      <c r="C301" s="568"/>
    </row>
    <row r="302" spans="1:3" s="68" customFormat="1" x14ac:dyDescent="0.25">
      <c r="A302" s="509"/>
      <c r="B302" s="568"/>
      <c r="C302" s="568"/>
    </row>
    <row r="303" spans="1:3" s="68" customFormat="1" x14ac:dyDescent="0.25">
      <c r="A303" s="509"/>
      <c r="B303" s="568"/>
      <c r="C303" s="568"/>
    </row>
    <row r="304" spans="1:3" s="68" customFormat="1" x14ac:dyDescent="0.25">
      <c r="A304" s="509"/>
      <c r="B304" s="568"/>
      <c r="C304" s="568"/>
    </row>
    <row r="305" spans="1:3" s="68" customFormat="1" x14ac:dyDescent="0.25">
      <c r="A305" s="509"/>
      <c r="B305" s="568"/>
      <c r="C305" s="568"/>
    </row>
    <row r="306" spans="1:3" s="68" customFormat="1" x14ac:dyDescent="0.25">
      <c r="A306" s="509"/>
      <c r="B306" s="568"/>
      <c r="C306" s="568"/>
    </row>
    <row r="307" spans="1:3" s="68" customFormat="1" x14ac:dyDescent="0.25">
      <c r="A307" s="509"/>
      <c r="B307" s="568"/>
      <c r="C307" s="568"/>
    </row>
    <row r="308" spans="1:3" s="68" customFormat="1" x14ac:dyDescent="0.25">
      <c r="A308" s="509"/>
      <c r="B308" s="568"/>
      <c r="C308" s="568"/>
    </row>
    <row r="309" spans="1:3" s="68" customFormat="1" x14ac:dyDescent="0.25">
      <c r="A309" s="509"/>
      <c r="B309" s="568"/>
      <c r="C309" s="568"/>
    </row>
    <row r="310" spans="1:3" s="68" customFormat="1" x14ac:dyDescent="0.25">
      <c r="A310" s="509"/>
      <c r="B310" s="568"/>
      <c r="C310" s="568"/>
    </row>
    <row r="311" spans="1:3" s="68" customFormat="1" x14ac:dyDescent="0.25">
      <c r="A311" s="509"/>
      <c r="B311" s="568"/>
      <c r="C311" s="568"/>
    </row>
    <row r="312" spans="1:3" s="68" customFormat="1" x14ac:dyDescent="0.25">
      <c r="A312" s="509"/>
      <c r="B312" s="568"/>
      <c r="C312" s="568"/>
    </row>
    <row r="313" spans="1:3" s="68" customFormat="1" x14ac:dyDescent="0.25">
      <c r="A313" s="509"/>
      <c r="B313" s="568"/>
      <c r="C313" s="568"/>
    </row>
    <row r="314" spans="1:3" s="68" customFormat="1" x14ac:dyDescent="0.25">
      <c r="A314" s="509"/>
      <c r="B314" s="568"/>
      <c r="C314" s="568"/>
    </row>
    <row r="315" spans="1:3" s="68" customFormat="1" x14ac:dyDescent="0.25">
      <c r="A315" s="509"/>
      <c r="B315" s="568"/>
      <c r="C315" s="568"/>
    </row>
    <row r="316" spans="1:3" s="68" customFormat="1" x14ac:dyDescent="0.25">
      <c r="A316" s="509"/>
      <c r="B316" s="568"/>
      <c r="C316" s="568"/>
    </row>
    <row r="317" spans="1:3" s="68" customFormat="1" x14ac:dyDescent="0.25">
      <c r="A317" s="509"/>
      <c r="B317" s="568"/>
      <c r="C317" s="568"/>
    </row>
    <row r="318" spans="1:3" s="68" customFormat="1" x14ac:dyDescent="0.25">
      <c r="A318" s="509"/>
      <c r="B318" s="568"/>
      <c r="C318" s="568"/>
    </row>
    <row r="319" spans="1:3" s="68" customFormat="1" x14ac:dyDescent="0.25">
      <c r="A319" s="509"/>
      <c r="B319" s="568"/>
      <c r="C319" s="568"/>
    </row>
    <row r="320" spans="1:3" s="68" customFormat="1" x14ac:dyDescent="0.25">
      <c r="A320" s="509"/>
      <c r="B320" s="568"/>
      <c r="C320" s="568"/>
    </row>
    <row r="321" spans="1:3" s="68" customFormat="1" x14ac:dyDescent="0.25">
      <c r="A321" s="509"/>
      <c r="B321" s="568"/>
      <c r="C321" s="568"/>
    </row>
    <row r="322" spans="1:3" s="68" customFormat="1" x14ac:dyDescent="0.25">
      <c r="A322" s="509"/>
      <c r="B322" s="568"/>
      <c r="C322" s="568"/>
    </row>
    <row r="323" spans="1:3" s="68" customFormat="1" x14ac:dyDescent="0.25">
      <c r="A323" s="509"/>
      <c r="B323" s="568"/>
      <c r="C323" s="568"/>
    </row>
    <row r="324" spans="1:3" s="68" customFormat="1" x14ac:dyDescent="0.25">
      <c r="A324" s="509"/>
      <c r="B324" s="568"/>
      <c r="C324" s="568"/>
    </row>
    <row r="325" spans="1:3" s="68" customFormat="1" x14ac:dyDescent="0.25">
      <c r="A325" s="509"/>
      <c r="B325" s="568"/>
      <c r="C325" s="568"/>
    </row>
    <row r="326" spans="1:3" s="68" customFormat="1" x14ac:dyDescent="0.25">
      <c r="A326" s="509"/>
      <c r="B326" s="568"/>
      <c r="C326" s="568"/>
    </row>
    <row r="327" spans="1:3" s="68" customFormat="1" x14ac:dyDescent="0.25">
      <c r="A327" s="509"/>
      <c r="B327" s="568"/>
      <c r="C327" s="568"/>
    </row>
    <row r="328" spans="1:3" s="68" customFormat="1" x14ac:dyDescent="0.25">
      <c r="A328" s="509"/>
      <c r="B328" s="568"/>
      <c r="C328" s="568"/>
    </row>
    <row r="329" spans="1:3" s="68" customFormat="1" x14ac:dyDescent="0.25">
      <c r="A329" s="509"/>
      <c r="B329" s="568"/>
      <c r="C329" s="568"/>
    </row>
    <row r="330" spans="1:3" s="68" customFormat="1" x14ac:dyDescent="0.25">
      <c r="A330" s="509"/>
      <c r="B330" s="568"/>
      <c r="C330" s="568"/>
    </row>
    <row r="331" spans="1:3" s="68" customFormat="1" x14ac:dyDescent="0.25">
      <c r="A331" s="509"/>
      <c r="B331" s="568"/>
      <c r="C331" s="568"/>
    </row>
    <row r="332" spans="1:3" s="68" customFormat="1" x14ac:dyDescent="0.25">
      <c r="A332" s="509"/>
      <c r="B332" s="568"/>
      <c r="C332" s="568"/>
    </row>
    <row r="333" spans="1:3" s="68" customFormat="1" x14ac:dyDescent="0.25">
      <c r="A333" s="509"/>
      <c r="B333" s="568"/>
      <c r="C333" s="568"/>
    </row>
    <row r="334" spans="1:3" s="68" customFormat="1" x14ac:dyDescent="0.25">
      <c r="A334" s="509"/>
      <c r="B334" s="568"/>
      <c r="C334" s="568"/>
    </row>
    <row r="335" spans="1:3" s="68" customFormat="1" x14ac:dyDescent="0.25">
      <c r="A335" s="509"/>
      <c r="B335" s="568"/>
      <c r="C335" s="568"/>
    </row>
    <row r="336" spans="1:3" s="68" customFormat="1" x14ac:dyDescent="0.25">
      <c r="A336" s="509"/>
      <c r="B336" s="568"/>
      <c r="C336" s="568"/>
    </row>
    <row r="337" spans="1:3" s="68" customFormat="1" x14ac:dyDescent="0.25">
      <c r="A337" s="509"/>
      <c r="B337" s="568"/>
      <c r="C337" s="568"/>
    </row>
    <row r="338" spans="1:3" s="68" customFormat="1" x14ac:dyDescent="0.25">
      <c r="A338" s="509"/>
      <c r="B338" s="568"/>
      <c r="C338" s="568"/>
    </row>
    <row r="339" spans="1:3" s="68" customFormat="1" x14ac:dyDescent="0.25">
      <c r="A339" s="509"/>
      <c r="B339" s="568"/>
      <c r="C339" s="568"/>
    </row>
    <row r="340" spans="1:3" s="68" customFormat="1" x14ac:dyDescent="0.25">
      <c r="A340" s="509"/>
      <c r="B340" s="568"/>
      <c r="C340" s="568"/>
    </row>
    <row r="341" spans="1:3" s="68" customFormat="1" x14ac:dyDescent="0.25">
      <c r="A341" s="509"/>
      <c r="B341" s="568"/>
      <c r="C341" s="568"/>
    </row>
    <row r="342" spans="1:3" s="68" customFormat="1" x14ac:dyDescent="0.25">
      <c r="A342" s="509"/>
      <c r="B342" s="568"/>
      <c r="C342" s="568"/>
    </row>
    <row r="343" spans="1:3" s="68" customFormat="1" x14ac:dyDescent="0.25">
      <c r="A343" s="509"/>
      <c r="B343" s="568"/>
      <c r="C343" s="568"/>
    </row>
    <row r="344" spans="1:3" s="68" customFormat="1" x14ac:dyDescent="0.25">
      <c r="A344" s="509"/>
      <c r="B344" s="568"/>
      <c r="C344" s="568"/>
    </row>
    <row r="345" spans="1:3" s="68" customFormat="1" x14ac:dyDescent="0.25">
      <c r="A345" s="509"/>
      <c r="B345" s="568"/>
      <c r="C345" s="568"/>
    </row>
    <row r="346" spans="1:3" s="68" customFormat="1" x14ac:dyDescent="0.25">
      <c r="A346" s="509"/>
      <c r="B346" s="568"/>
      <c r="C346" s="568"/>
    </row>
    <row r="347" spans="1:3" s="68" customFormat="1" x14ac:dyDescent="0.25">
      <c r="A347" s="509"/>
      <c r="B347" s="568"/>
      <c r="C347" s="568"/>
    </row>
    <row r="348" spans="1:3" s="68" customFormat="1" x14ac:dyDescent="0.25">
      <c r="A348" s="509"/>
      <c r="B348" s="568"/>
      <c r="C348" s="568"/>
    </row>
    <row r="349" spans="1:3" s="68" customFormat="1" x14ac:dyDescent="0.25">
      <c r="A349" s="509"/>
      <c r="B349" s="568"/>
      <c r="C349" s="568"/>
    </row>
    <row r="350" spans="1:3" s="68" customFormat="1" x14ac:dyDescent="0.25">
      <c r="A350" s="509"/>
      <c r="B350" s="568"/>
      <c r="C350" s="568"/>
    </row>
    <row r="351" spans="1:3" s="68" customFormat="1" x14ac:dyDescent="0.25">
      <c r="A351" s="509"/>
      <c r="B351" s="568"/>
      <c r="C351" s="568"/>
    </row>
    <row r="352" spans="1:3" s="68" customFormat="1" x14ac:dyDescent="0.25">
      <c r="A352" s="509"/>
      <c r="B352" s="568"/>
      <c r="C352" s="568"/>
    </row>
    <row r="353" spans="1:3" s="68" customFormat="1" x14ac:dyDescent="0.25">
      <c r="A353" s="509"/>
      <c r="B353" s="568"/>
      <c r="C353" s="568"/>
    </row>
    <row r="354" spans="1:3" s="68" customFormat="1" x14ac:dyDescent="0.25">
      <c r="A354" s="509"/>
      <c r="B354" s="568"/>
      <c r="C354" s="568"/>
    </row>
    <row r="355" spans="1:3" s="68" customFormat="1" x14ac:dyDescent="0.25">
      <c r="A355" s="509"/>
      <c r="B355" s="568"/>
      <c r="C355" s="568"/>
    </row>
    <row r="356" spans="1:3" s="68" customFormat="1" x14ac:dyDescent="0.25">
      <c r="A356" s="509"/>
      <c r="B356" s="568"/>
      <c r="C356" s="568"/>
    </row>
    <row r="357" spans="1:3" s="68" customFormat="1" x14ac:dyDescent="0.25">
      <c r="A357" s="509"/>
      <c r="B357" s="568"/>
      <c r="C357" s="568"/>
    </row>
    <row r="358" spans="1:3" s="68" customFormat="1" x14ac:dyDescent="0.25">
      <c r="A358" s="509"/>
      <c r="B358" s="568"/>
      <c r="C358" s="568"/>
    </row>
    <row r="359" spans="1:3" s="68" customFormat="1" x14ac:dyDescent="0.25">
      <c r="A359" s="509"/>
      <c r="B359" s="568"/>
      <c r="C359" s="568"/>
    </row>
    <row r="360" spans="1:3" s="68" customFormat="1" x14ac:dyDescent="0.25">
      <c r="A360" s="509"/>
      <c r="B360" s="568"/>
      <c r="C360" s="568"/>
    </row>
    <row r="361" spans="1:3" s="68" customFormat="1" x14ac:dyDescent="0.25">
      <c r="A361" s="509"/>
      <c r="B361" s="568"/>
      <c r="C361" s="568"/>
    </row>
    <row r="362" spans="1:3" s="68" customFormat="1" x14ac:dyDescent="0.25">
      <c r="A362" s="509"/>
      <c r="B362" s="568"/>
      <c r="C362" s="568"/>
    </row>
    <row r="363" spans="1:3" s="68" customFormat="1" x14ac:dyDescent="0.25">
      <c r="A363" s="509"/>
      <c r="B363" s="568"/>
      <c r="C363" s="568"/>
    </row>
    <row r="364" spans="1:3" s="68" customFormat="1" x14ac:dyDescent="0.25">
      <c r="A364" s="509"/>
      <c r="B364" s="568"/>
      <c r="C364" s="568"/>
    </row>
    <row r="365" spans="1:3" s="68" customFormat="1" x14ac:dyDescent="0.25">
      <c r="A365" s="509"/>
      <c r="B365" s="568"/>
      <c r="C365" s="568"/>
    </row>
    <row r="366" spans="1:3" s="68" customFormat="1" x14ac:dyDescent="0.25">
      <c r="A366" s="509"/>
      <c r="B366" s="568"/>
      <c r="C366" s="568"/>
    </row>
    <row r="367" spans="1:3" s="68" customFormat="1" x14ac:dyDescent="0.25">
      <c r="A367" s="509"/>
      <c r="B367" s="568"/>
      <c r="C367" s="568"/>
    </row>
    <row r="368" spans="1:3" s="68" customFormat="1" x14ac:dyDescent="0.25">
      <c r="A368" s="509"/>
      <c r="B368" s="568"/>
      <c r="C368" s="568"/>
    </row>
    <row r="369" spans="1:3" s="68" customFormat="1" x14ac:dyDescent="0.25">
      <c r="A369" s="509"/>
      <c r="B369" s="568"/>
      <c r="C369" s="568"/>
    </row>
    <row r="370" spans="1:3" s="68" customFormat="1" x14ac:dyDescent="0.25">
      <c r="A370" s="509"/>
      <c r="B370" s="568"/>
      <c r="C370" s="568"/>
    </row>
    <row r="371" spans="1:3" s="68" customFormat="1" x14ac:dyDescent="0.25">
      <c r="A371" s="509"/>
      <c r="B371" s="568"/>
      <c r="C371" s="568"/>
    </row>
    <row r="372" spans="1:3" s="68" customFormat="1" x14ac:dyDescent="0.25">
      <c r="A372" s="509"/>
      <c r="B372" s="568"/>
      <c r="C372" s="568"/>
    </row>
    <row r="373" spans="1:3" s="68" customFormat="1" x14ac:dyDescent="0.25">
      <c r="A373" s="509"/>
      <c r="B373" s="568"/>
      <c r="C373" s="568"/>
    </row>
    <row r="374" spans="1:3" s="68" customFormat="1" x14ac:dyDescent="0.25">
      <c r="A374" s="509"/>
      <c r="B374" s="568"/>
      <c r="C374" s="568"/>
    </row>
    <row r="375" spans="1:3" s="68" customFormat="1" x14ac:dyDescent="0.25">
      <c r="A375" s="509"/>
      <c r="B375" s="568"/>
      <c r="C375" s="568"/>
    </row>
    <row r="376" spans="1:3" s="68" customFormat="1" x14ac:dyDescent="0.25">
      <c r="A376" s="509"/>
      <c r="B376" s="568"/>
      <c r="C376" s="568"/>
    </row>
    <row r="377" spans="1:3" s="68" customFormat="1" x14ac:dyDescent="0.25">
      <c r="A377" s="509"/>
      <c r="B377" s="568"/>
      <c r="C377" s="568"/>
    </row>
    <row r="378" spans="1:3" s="68" customFormat="1" x14ac:dyDescent="0.25">
      <c r="A378" s="509"/>
      <c r="B378" s="568"/>
      <c r="C378" s="568"/>
    </row>
    <row r="379" spans="1:3" s="68" customFormat="1" x14ac:dyDescent="0.25">
      <c r="A379" s="509"/>
      <c r="B379" s="568"/>
      <c r="C379" s="568"/>
    </row>
    <row r="380" spans="1:3" s="68" customFormat="1" x14ac:dyDescent="0.25">
      <c r="A380" s="509"/>
      <c r="B380" s="568"/>
      <c r="C380" s="568"/>
    </row>
    <row r="381" spans="1:3" s="68" customFormat="1" x14ac:dyDescent="0.25">
      <c r="A381" s="509"/>
      <c r="B381" s="568"/>
      <c r="C381" s="568"/>
    </row>
    <row r="382" spans="1:3" s="68" customFormat="1" x14ac:dyDescent="0.25">
      <c r="A382" s="509"/>
      <c r="B382" s="568"/>
      <c r="C382" s="568"/>
    </row>
    <row r="383" spans="1:3" s="68" customFormat="1" x14ac:dyDescent="0.25">
      <c r="A383" s="509"/>
      <c r="B383" s="568"/>
      <c r="C383" s="568"/>
    </row>
    <row r="384" spans="1:3" s="68" customFormat="1" x14ac:dyDescent="0.25">
      <c r="A384" s="509"/>
      <c r="B384" s="568"/>
      <c r="C384" s="568"/>
    </row>
    <row r="385" spans="1:3" s="68" customFormat="1" x14ac:dyDescent="0.25">
      <c r="A385" s="509"/>
      <c r="B385" s="568"/>
      <c r="C385" s="568"/>
    </row>
    <row r="386" spans="1:3" s="68" customFormat="1" x14ac:dyDescent="0.25">
      <c r="A386" s="509"/>
      <c r="B386" s="568"/>
      <c r="C386" s="568"/>
    </row>
    <row r="387" spans="1:3" s="68" customFormat="1" x14ac:dyDescent="0.25">
      <c r="A387" s="509"/>
      <c r="B387" s="568"/>
      <c r="C387" s="568"/>
    </row>
    <row r="388" spans="1:3" s="68" customFormat="1" x14ac:dyDescent="0.25">
      <c r="A388" s="509"/>
      <c r="B388" s="568"/>
      <c r="C388" s="568"/>
    </row>
    <row r="389" spans="1:3" s="68" customFormat="1" x14ac:dyDescent="0.25">
      <c r="A389" s="509"/>
      <c r="B389" s="568"/>
      <c r="C389" s="568"/>
    </row>
    <row r="390" spans="1:3" s="68" customFormat="1" x14ac:dyDescent="0.25">
      <c r="A390" s="509"/>
      <c r="B390" s="568"/>
      <c r="C390" s="568"/>
    </row>
    <row r="391" spans="1:3" s="68" customFormat="1" x14ac:dyDescent="0.25">
      <c r="A391" s="509"/>
      <c r="B391" s="568"/>
      <c r="C391" s="568"/>
    </row>
    <row r="392" spans="1:3" s="68" customFormat="1" x14ac:dyDescent="0.25">
      <c r="A392" s="509"/>
      <c r="B392" s="568"/>
      <c r="C392" s="568"/>
    </row>
    <row r="393" spans="1:3" s="68" customFormat="1" x14ac:dyDescent="0.25">
      <c r="A393" s="509"/>
      <c r="B393" s="568"/>
      <c r="C393" s="568"/>
    </row>
    <row r="394" spans="1:3" s="68" customFormat="1" x14ac:dyDescent="0.25">
      <c r="A394" s="509"/>
      <c r="B394" s="568"/>
      <c r="C394" s="568"/>
    </row>
    <row r="395" spans="1:3" s="68" customFormat="1" x14ac:dyDescent="0.25">
      <c r="A395" s="509"/>
      <c r="B395" s="568"/>
      <c r="C395" s="568"/>
    </row>
    <row r="396" spans="1:3" s="68" customFormat="1" x14ac:dyDescent="0.25">
      <c r="A396" s="509"/>
      <c r="B396" s="568"/>
      <c r="C396" s="568"/>
    </row>
    <row r="397" spans="1:3" s="68" customFormat="1" x14ac:dyDescent="0.25">
      <c r="A397" s="509"/>
      <c r="B397" s="568"/>
      <c r="C397" s="568"/>
    </row>
    <row r="398" spans="1:3" s="68" customFormat="1" x14ac:dyDescent="0.25">
      <c r="A398" s="509"/>
      <c r="B398" s="568"/>
      <c r="C398" s="568"/>
    </row>
    <row r="399" spans="1:3" s="68" customFormat="1" x14ac:dyDescent="0.25">
      <c r="A399" s="509"/>
      <c r="B399" s="568"/>
      <c r="C399" s="568"/>
    </row>
    <row r="400" spans="1:3" s="68" customFormat="1" x14ac:dyDescent="0.25">
      <c r="A400" s="509"/>
      <c r="B400" s="568"/>
      <c r="C400" s="568"/>
    </row>
    <row r="401" spans="1:3" s="68" customFormat="1" x14ac:dyDescent="0.25">
      <c r="A401" s="509"/>
      <c r="B401" s="568"/>
      <c r="C401" s="568"/>
    </row>
    <row r="402" spans="1:3" s="68" customFormat="1" x14ac:dyDescent="0.25">
      <c r="A402" s="509"/>
      <c r="B402" s="568"/>
      <c r="C402" s="568"/>
    </row>
    <row r="403" spans="1:3" s="68" customFormat="1" x14ac:dyDescent="0.25">
      <c r="A403" s="509"/>
      <c r="B403" s="568"/>
      <c r="C403" s="568"/>
    </row>
    <row r="404" spans="1:3" s="68" customFormat="1" x14ac:dyDescent="0.25">
      <c r="A404" s="509"/>
      <c r="B404" s="568"/>
      <c r="C404" s="568"/>
    </row>
    <row r="405" spans="1:3" s="68" customFormat="1" x14ac:dyDescent="0.25">
      <c r="A405" s="509"/>
      <c r="B405" s="568"/>
      <c r="C405" s="568"/>
    </row>
    <row r="406" spans="1:3" s="68" customFormat="1" x14ac:dyDescent="0.25">
      <c r="A406" s="509"/>
      <c r="B406" s="568"/>
      <c r="C406" s="568"/>
    </row>
    <row r="407" spans="1:3" s="68" customFormat="1" x14ac:dyDescent="0.25">
      <c r="A407" s="509"/>
      <c r="B407" s="568"/>
      <c r="C407" s="568"/>
    </row>
    <row r="408" spans="1:3" s="68" customFormat="1" x14ac:dyDescent="0.25">
      <c r="A408" s="509"/>
      <c r="B408" s="568"/>
      <c r="C408" s="568"/>
    </row>
    <row r="409" spans="1:3" s="68" customFormat="1" x14ac:dyDescent="0.25">
      <c r="A409" s="509"/>
      <c r="B409" s="568"/>
      <c r="C409" s="568"/>
    </row>
    <row r="410" spans="1:3" s="68" customFormat="1" x14ac:dyDescent="0.25">
      <c r="A410" s="509"/>
      <c r="B410" s="568"/>
      <c r="C410" s="568"/>
    </row>
    <row r="411" spans="1:3" s="68" customFormat="1" x14ac:dyDescent="0.25">
      <c r="A411" s="509"/>
      <c r="B411" s="568"/>
      <c r="C411" s="568"/>
    </row>
    <row r="412" spans="1:3" s="68" customFormat="1" x14ac:dyDescent="0.25">
      <c r="A412" s="509"/>
      <c r="B412" s="568"/>
      <c r="C412" s="568"/>
    </row>
    <row r="413" spans="1:3" s="68" customFormat="1" x14ac:dyDescent="0.25">
      <c r="A413" s="509"/>
      <c r="B413" s="568"/>
      <c r="C413" s="568"/>
    </row>
    <row r="414" spans="1:3" s="68" customFormat="1" x14ac:dyDescent="0.25">
      <c r="A414" s="509"/>
      <c r="B414" s="568"/>
      <c r="C414" s="568"/>
    </row>
    <row r="415" spans="1:3" s="68" customFormat="1" x14ac:dyDescent="0.25">
      <c r="A415" s="509"/>
      <c r="B415" s="568"/>
      <c r="C415" s="568"/>
    </row>
    <row r="416" spans="1:3" s="68" customFormat="1" x14ac:dyDescent="0.25">
      <c r="A416" s="509"/>
      <c r="B416" s="568"/>
      <c r="C416" s="568"/>
    </row>
    <row r="417" spans="1:3" s="68" customFormat="1" x14ac:dyDescent="0.25">
      <c r="A417" s="509"/>
      <c r="B417" s="568"/>
      <c r="C417" s="568"/>
    </row>
    <row r="418" spans="1:3" s="68" customFormat="1" x14ac:dyDescent="0.25">
      <c r="A418" s="509"/>
      <c r="B418" s="568"/>
      <c r="C418" s="568"/>
    </row>
    <row r="419" spans="1:3" s="68" customFormat="1" x14ac:dyDescent="0.25">
      <c r="A419" s="509"/>
      <c r="B419" s="568"/>
      <c r="C419" s="568"/>
    </row>
    <row r="420" spans="1:3" s="68" customFormat="1" x14ac:dyDescent="0.25">
      <c r="A420" s="509"/>
      <c r="B420" s="568"/>
      <c r="C420" s="568"/>
    </row>
    <row r="421" spans="1:3" s="68" customFormat="1" x14ac:dyDescent="0.25">
      <c r="A421" s="509"/>
      <c r="B421" s="568"/>
      <c r="C421" s="568"/>
    </row>
    <row r="422" spans="1:3" s="68" customFormat="1" x14ac:dyDescent="0.25">
      <c r="A422" s="509"/>
      <c r="B422" s="568"/>
      <c r="C422" s="568"/>
    </row>
    <row r="423" spans="1:3" s="68" customFormat="1" x14ac:dyDescent="0.25">
      <c r="A423" s="509"/>
      <c r="B423" s="568"/>
      <c r="C423" s="568"/>
    </row>
    <row r="424" spans="1:3" s="68" customFormat="1" x14ac:dyDescent="0.25">
      <c r="A424" s="509"/>
      <c r="B424" s="568"/>
      <c r="C424" s="568"/>
    </row>
    <row r="425" spans="1:3" s="68" customFormat="1" x14ac:dyDescent="0.25">
      <c r="A425" s="509"/>
      <c r="B425" s="568"/>
      <c r="C425" s="568"/>
    </row>
    <row r="426" spans="1:3" s="68" customFormat="1" x14ac:dyDescent="0.25">
      <c r="A426" s="509"/>
      <c r="B426" s="568"/>
      <c r="C426" s="568"/>
    </row>
    <row r="427" spans="1:3" s="68" customFormat="1" x14ac:dyDescent="0.25">
      <c r="A427" s="509"/>
      <c r="B427" s="568"/>
      <c r="C427" s="568"/>
    </row>
    <row r="428" spans="1:3" s="68" customFormat="1" x14ac:dyDescent="0.25">
      <c r="A428" s="509"/>
      <c r="B428" s="568"/>
      <c r="C428" s="568"/>
    </row>
    <row r="429" spans="1:3" s="68" customFormat="1" x14ac:dyDescent="0.25">
      <c r="A429" s="509"/>
      <c r="B429" s="568"/>
      <c r="C429" s="568"/>
    </row>
    <row r="430" spans="1:3" s="68" customFormat="1" x14ac:dyDescent="0.25">
      <c r="A430" s="509"/>
      <c r="B430" s="568"/>
      <c r="C430" s="568"/>
    </row>
    <row r="431" spans="1:3" s="68" customFormat="1" x14ac:dyDescent="0.25">
      <c r="A431" s="509"/>
      <c r="B431" s="568"/>
      <c r="C431" s="568"/>
    </row>
    <row r="432" spans="1:3" s="68" customFormat="1" x14ac:dyDescent="0.25">
      <c r="A432" s="509"/>
      <c r="B432" s="568"/>
      <c r="C432" s="568"/>
    </row>
    <row r="433" spans="1:3" s="68" customFormat="1" x14ac:dyDescent="0.25">
      <c r="A433" s="509"/>
      <c r="B433" s="568"/>
      <c r="C433" s="568"/>
    </row>
    <row r="434" spans="1:3" s="68" customFormat="1" x14ac:dyDescent="0.25">
      <c r="A434" s="509"/>
      <c r="B434" s="568"/>
      <c r="C434" s="568"/>
    </row>
    <row r="435" spans="1:3" s="68" customFormat="1" x14ac:dyDescent="0.25">
      <c r="A435" s="509"/>
      <c r="B435" s="568"/>
      <c r="C435" s="568"/>
    </row>
    <row r="436" spans="1:3" s="68" customFormat="1" x14ac:dyDescent="0.25">
      <c r="A436" s="509"/>
      <c r="B436" s="568"/>
      <c r="C436" s="568"/>
    </row>
    <row r="437" spans="1:3" s="68" customFormat="1" x14ac:dyDescent="0.25">
      <c r="A437" s="509"/>
      <c r="B437" s="568"/>
      <c r="C437" s="568"/>
    </row>
    <row r="438" spans="1:3" s="68" customFormat="1" x14ac:dyDescent="0.25">
      <c r="A438" s="509"/>
      <c r="B438" s="568"/>
      <c r="C438" s="568"/>
    </row>
    <row r="439" spans="1:3" s="68" customFormat="1" x14ac:dyDescent="0.25">
      <c r="A439" s="509"/>
      <c r="B439" s="568"/>
      <c r="C439" s="568"/>
    </row>
    <row r="440" spans="1:3" s="68" customFormat="1" x14ac:dyDescent="0.25">
      <c r="A440" s="509"/>
      <c r="B440" s="568"/>
      <c r="C440" s="568"/>
    </row>
    <row r="441" spans="1:3" s="68" customFormat="1" x14ac:dyDescent="0.25">
      <c r="A441" s="509"/>
      <c r="B441" s="568"/>
      <c r="C441" s="568"/>
    </row>
    <row r="442" spans="1:3" s="68" customFormat="1" x14ac:dyDescent="0.25">
      <c r="A442" s="509"/>
      <c r="B442" s="568"/>
      <c r="C442" s="568"/>
    </row>
    <row r="443" spans="1:3" s="68" customFormat="1" x14ac:dyDescent="0.25">
      <c r="A443" s="509"/>
      <c r="B443" s="568"/>
      <c r="C443" s="568"/>
    </row>
    <row r="444" spans="1:3" s="68" customFormat="1" x14ac:dyDescent="0.25">
      <c r="A444" s="509"/>
      <c r="B444" s="568"/>
      <c r="C444" s="568"/>
    </row>
    <row r="445" spans="1:3" s="68" customFormat="1" x14ac:dyDescent="0.25">
      <c r="A445" s="509"/>
      <c r="B445" s="568"/>
      <c r="C445" s="568"/>
    </row>
    <row r="446" spans="1:3" s="68" customFormat="1" x14ac:dyDescent="0.25">
      <c r="A446" s="509"/>
      <c r="B446" s="568"/>
      <c r="C446" s="568"/>
    </row>
    <row r="447" spans="1:3" s="68" customFormat="1" x14ac:dyDescent="0.25">
      <c r="A447" s="509"/>
      <c r="B447" s="568"/>
      <c r="C447" s="568"/>
    </row>
    <row r="448" spans="1:3" s="68" customFormat="1" x14ac:dyDescent="0.25">
      <c r="A448" s="509"/>
      <c r="B448" s="568"/>
      <c r="C448" s="568"/>
    </row>
    <row r="449" spans="1:3" s="68" customFormat="1" x14ac:dyDescent="0.25">
      <c r="A449" s="509"/>
      <c r="B449" s="568"/>
      <c r="C449" s="568"/>
    </row>
    <row r="450" spans="1:3" s="68" customFormat="1" x14ac:dyDescent="0.25">
      <c r="A450" s="509"/>
      <c r="B450" s="568"/>
      <c r="C450" s="568"/>
    </row>
    <row r="451" spans="1:3" s="68" customFormat="1" x14ac:dyDescent="0.25">
      <c r="A451" s="509"/>
      <c r="B451" s="568"/>
      <c r="C451" s="568"/>
    </row>
    <row r="452" spans="1:3" s="68" customFormat="1" x14ac:dyDescent="0.25">
      <c r="A452" s="509"/>
      <c r="B452" s="568"/>
      <c r="C452" s="568"/>
    </row>
    <row r="453" spans="1:3" s="68" customFormat="1" x14ac:dyDescent="0.25">
      <c r="A453" s="509"/>
      <c r="B453" s="568"/>
      <c r="C453" s="568"/>
    </row>
    <row r="454" spans="1:3" s="68" customFormat="1" x14ac:dyDescent="0.25">
      <c r="A454" s="509"/>
      <c r="B454" s="568"/>
      <c r="C454" s="568"/>
    </row>
    <row r="455" spans="1:3" s="68" customFormat="1" x14ac:dyDescent="0.25">
      <c r="A455" s="509"/>
      <c r="B455" s="568"/>
      <c r="C455" s="568"/>
    </row>
    <row r="456" spans="1:3" s="68" customFormat="1" x14ac:dyDescent="0.25">
      <c r="A456" s="509"/>
      <c r="B456" s="568"/>
      <c r="C456" s="568"/>
    </row>
    <row r="457" spans="1:3" s="68" customFormat="1" x14ac:dyDescent="0.25">
      <c r="A457" s="509"/>
      <c r="B457" s="568"/>
      <c r="C457" s="568"/>
    </row>
    <row r="458" spans="1:3" s="68" customFormat="1" x14ac:dyDescent="0.25">
      <c r="A458" s="509"/>
      <c r="B458" s="568"/>
      <c r="C458" s="568"/>
    </row>
    <row r="459" spans="1:3" s="68" customFormat="1" x14ac:dyDescent="0.25">
      <c r="A459" s="509"/>
      <c r="B459" s="568"/>
      <c r="C459" s="568"/>
    </row>
    <row r="460" spans="1:3" s="68" customFormat="1" x14ac:dyDescent="0.25">
      <c r="A460" s="509"/>
      <c r="B460" s="568"/>
      <c r="C460" s="568"/>
    </row>
    <row r="461" spans="1:3" s="68" customFormat="1" x14ac:dyDescent="0.25">
      <c r="A461" s="509"/>
      <c r="B461" s="568"/>
      <c r="C461" s="568"/>
    </row>
    <row r="462" spans="1:3" s="68" customFormat="1" x14ac:dyDescent="0.25">
      <c r="A462" s="509"/>
      <c r="B462" s="568"/>
      <c r="C462" s="568"/>
    </row>
    <row r="463" spans="1:3" s="68" customFormat="1" x14ac:dyDescent="0.25">
      <c r="A463" s="509"/>
      <c r="B463" s="568"/>
      <c r="C463" s="568"/>
    </row>
    <row r="464" spans="1:3" s="68" customFormat="1" x14ac:dyDescent="0.25">
      <c r="A464" s="509"/>
      <c r="B464" s="568"/>
      <c r="C464" s="568"/>
    </row>
    <row r="465" spans="1:3" s="68" customFormat="1" x14ac:dyDescent="0.25">
      <c r="A465" s="509"/>
      <c r="B465" s="568"/>
      <c r="C465" s="568"/>
    </row>
    <row r="466" spans="1:3" s="68" customFormat="1" x14ac:dyDescent="0.25">
      <c r="A466" s="509"/>
      <c r="B466" s="568"/>
      <c r="C466" s="568"/>
    </row>
    <row r="467" spans="1:3" s="68" customFormat="1" x14ac:dyDescent="0.25">
      <c r="A467" s="509"/>
      <c r="B467" s="568"/>
      <c r="C467" s="568"/>
    </row>
    <row r="468" spans="1:3" s="68" customFormat="1" x14ac:dyDescent="0.25">
      <c r="A468" s="509"/>
      <c r="B468" s="568"/>
      <c r="C468" s="568"/>
    </row>
    <row r="469" spans="1:3" s="68" customFormat="1" x14ac:dyDescent="0.25">
      <c r="A469" s="509"/>
      <c r="B469" s="568"/>
      <c r="C469" s="568"/>
    </row>
    <row r="470" spans="1:3" s="68" customFormat="1" x14ac:dyDescent="0.25">
      <c r="A470" s="509"/>
      <c r="B470" s="568"/>
      <c r="C470" s="568"/>
    </row>
    <row r="471" spans="1:3" s="68" customFormat="1" x14ac:dyDescent="0.25">
      <c r="A471" s="509"/>
      <c r="B471" s="568"/>
      <c r="C471" s="568"/>
    </row>
    <row r="472" spans="1:3" s="68" customFormat="1" x14ac:dyDescent="0.25">
      <c r="A472" s="509"/>
      <c r="B472" s="568"/>
      <c r="C472" s="568"/>
    </row>
    <row r="473" spans="1:3" s="68" customFormat="1" x14ac:dyDescent="0.25">
      <c r="A473" s="509"/>
      <c r="B473" s="568"/>
      <c r="C473" s="568"/>
    </row>
    <row r="474" spans="1:3" s="68" customFormat="1" x14ac:dyDescent="0.25">
      <c r="A474" s="509"/>
      <c r="B474" s="568"/>
      <c r="C474" s="568"/>
    </row>
    <row r="475" spans="1:3" s="68" customFormat="1" x14ac:dyDescent="0.25">
      <c r="A475" s="509"/>
      <c r="B475" s="568"/>
      <c r="C475" s="568"/>
    </row>
    <row r="476" spans="1:3" s="68" customFormat="1" x14ac:dyDescent="0.25">
      <c r="A476" s="509"/>
      <c r="B476" s="568"/>
      <c r="C476" s="568"/>
    </row>
    <row r="477" spans="1:3" s="68" customFormat="1" x14ac:dyDescent="0.25">
      <c r="A477" s="509"/>
      <c r="B477" s="568"/>
      <c r="C477" s="568"/>
    </row>
    <row r="478" spans="1:3" s="68" customFormat="1" x14ac:dyDescent="0.25">
      <c r="A478" s="509"/>
      <c r="B478" s="568"/>
      <c r="C478" s="568"/>
    </row>
    <row r="479" spans="1:3" s="68" customFormat="1" x14ac:dyDescent="0.25">
      <c r="A479" s="509"/>
      <c r="B479" s="568"/>
      <c r="C479" s="568"/>
    </row>
    <row r="480" spans="1:3" s="68" customFormat="1" x14ac:dyDescent="0.25">
      <c r="A480" s="509"/>
      <c r="B480" s="568"/>
      <c r="C480" s="568"/>
    </row>
    <row r="481" spans="1:3" s="68" customFormat="1" x14ac:dyDescent="0.25">
      <c r="A481" s="509"/>
      <c r="B481" s="568"/>
      <c r="C481" s="568"/>
    </row>
    <row r="482" spans="1:3" s="68" customFormat="1" x14ac:dyDescent="0.25">
      <c r="A482" s="509"/>
      <c r="B482" s="568"/>
      <c r="C482" s="568"/>
    </row>
    <row r="483" spans="1:3" s="68" customFormat="1" x14ac:dyDescent="0.25">
      <c r="A483" s="509"/>
      <c r="B483" s="568"/>
      <c r="C483" s="568"/>
    </row>
    <row r="484" spans="1:3" s="68" customFormat="1" x14ac:dyDescent="0.25">
      <c r="A484" s="509"/>
      <c r="B484" s="568"/>
      <c r="C484" s="568"/>
    </row>
    <row r="485" spans="1:3" s="68" customFormat="1" x14ac:dyDescent="0.25">
      <c r="A485" s="509"/>
      <c r="B485" s="568"/>
      <c r="C485" s="568"/>
    </row>
    <row r="486" spans="1:3" s="68" customFormat="1" x14ac:dyDescent="0.25">
      <c r="A486" s="509"/>
      <c r="B486" s="568"/>
      <c r="C486" s="568"/>
    </row>
    <row r="487" spans="1:3" s="68" customFormat="1" x14ac:dyDescent="0.25">
      <c r="A487" s="509"/>
      <c r="B487" s="568"/>
      <c r="C487" s="568"/>
    </row>
    <row r="488" spans="1:3" s="68" customFormat="1" x14ac:dyDescent="0.25">
      <c r="A488" s="509"/>
      <c r="B488" s="568"/>
      <c r="C488" s="568"/>
    </row>
    <row r="489" spans="1:3" s="68" customFormat="1" x14ac:dyDescent="0.25">
      <c r="A489" s="509"/>
      <c r="B489" s="568"/>
      <c r="C489" s="568"/>
    </row>
    <row r="490" spans="1:3" s="68" customFormat="1" x14ac:dyDescent="0.25">
      <c r="A490" s="509"/>
      <c r="B490" s="568"/>
      <c r="C490" s="568"/>
    </row>
    <row r="491" spans="1:3" s="68" customFormat="1" x14ac:dyDescent="0.25">
      <c r="A491" s="509"/>
      <c r="B491" s="568"/>
      <c r="C491" s="568"/>
    </row>
    <row r="492" spans="1:3" s="68" customFormat="1" x14ac:dyDescent="0.25">
      <c r="A492" s="509"/>
      <c r="B492" s="568"/>
      <c r="C492" s="568"/>
    </row>
    <row r="493" spans="1:3" s="68" customFormat="1" x14ac:dyDescent="0.25">
      <c r="A493" s="509"/>
      <c r="B493" s="568"/>
      <c r="C493" s="568"/>
    </row>
    <row r="494" spans="1:3" s="68" customFormat="1" x14ac:dyDescent="0.25">
      <c r="A494" s="509"/>
      <c r="B494" s="568"/>
      <c r="C494" s="568"/>
    </row>
    <row r="495" spans="1:3" s="68" customFormat="1" x14ac:dyDescent="0.25">
      <c r="A495" s="509"/>
      <c r="B495" s="568"/>
      <c r="C495" s="568"/>
    </row>
    <row r="496" spans="1:3" s="68" customFormat="1" x14ac:dyDescent="0.25">
      <c r="A496" s="509"/>
      <c r="B496" s="568"/>
      <c r="C496" s="568"/>
    </row>
    <row r="497" spans="1:3" s="68" customFormat="1" x14ac:dyDescent="0.25">
      <c r="A497" s="509"/>
      <c r="B497" s="568"/>
      <c r="C497" s="568"/>
    </row>
    <row r="498" spans="1:3" s="68" customFormat="1" x14ac:dyDescent="0.25">
      <c r="A498" s="509"/>
      <c r="B498" s="568"/>
      <c r="C498" s="568"/>
    </row>
    <row r="499" spans="1:3" s="68" customFormat="1" x14ac:dyDescent="0.25">
      <c r="A499" s="509"/>
      <c r="B499" s="568"/>
      <c r="C499" s="568"/>
    </row>
    <row r="500" spans="1:3" s="68" customFormat="1" x14ac:dyDescent="0.25">
      <c r="A500" s="509"/>
      <c r="B500" s="568"/>
      <c r="C500" s="568"/>
    </row>
    <row r="501" spans="1:3" s="68" customFormat="1" x14ac:dyDescent="0.25">
      <c r="A501" s="509"/>
      <c r="B501" s="568"/>
      <c r="C501" s="568"/>
    </row>
    <row r="502" spans="1:3" s="68" customFormat="1" x14ac:dyDescent="0.25">
      <c r="A502" s="509"/>
      <c r="B502" s="568"/>
      <c r="C502" s="568"/>
    </row>
    <row r="503" spans="1:3" s="68" customFormat="1" x14ac:dyDescent="0.25">
      <c r="A503" s="509"/>
      <c r="B503" s="568"/>
      <c r="C503" s="568"/>
    </row>
    <row r="504" spans="1:3" s="68" customFormat="1" x14ac:dyDescent="0.25">
      <c r="A504" s="509"/>
      <c r="B504" s="568"/>
      <c r="C504" s="568"/>
    </row>
    <row r="505" spans="1:3" s="68" customFormat="1" x14ac:dyDescent="0.25">
      <c r="A505" s="509"/>
      <c r="B505" s="568"/>
      <c r="C505" s="568"/>
    </row>
    <row r="506" spans="1:3" s="68" customFormat="1" x14ac:dyDescent="0.25">
      <c r="A506" s="509"/>
      <c r="B506" s="568"/>
      <c r="C506" s="568"/>
    </row>
    <row r="507" spans="1:3" s="68" customFormat="1" x14ac:dyDescent="0.25">
      <c r="A507" s="509"/>
      <c r="B507" s="568"/>
      <c r="C507" s="568"/>
    </row>
    <row r="508" spans="1:3" s="68" customFormat="1" x14ac:dyDescent="0.25">
      <c r="A508" s="509"/>
      <c r="B508" s="568"/>
      <c r="C508" s="568"/>
    </row>
    <row r="509" spans="1:3" s="68" customFormat="1" x14ac:dyDescent="0.25">
      <c r="A509" s="509"/>
      <c r="B509" s="568"/>
      <c r="C509" s="568"/>
    </row>
    <row r="510" spans="1:3" s="68" customFormat="1" x14ac:dyDescent="0.25">
      <c r="A510" s="509"/>
      <c r="B510" s="568"/>
      <c r="C510" s="568"/>
    </row>
    <row r="511" spans="1:3" s="68" customFormat="1" x14ac:dyDescent="0.25">
      <c r="A511" s="509"/>
      <c r="B511" s="568"/>
      <c r="C511" s="568"/>
    </row>
    <row r="512" spans="1:3" s="68" customFormat="1" x14ac:dyDescent="0.25">
      <c r="A512" s="509"/>
      <c r="B512" s="568"/>
      <c r="C512" s="568"/>
    </row>
    <row r="513" spans="1:3" s="68" customFormat="1" x14ac:dyDescent="0.25">
      <c r="A513" s="509"/>
      <c r="B513" s="568"/>
      <c r="C513" s="568"/>
    </row>
    <row r="514" spans="1:3" s="68" customFormat="1" x14ac:dyDescent="0.25">
      <c r="A514" s="509"/>
      <c r="B514" s="568"/>
      <c r="C514" s="568"/>
    </row>
    <row r="515" spans="1:3" s="68" customFormat="1" x14ac:dyDescent="0.25">
      <c r="A515" s="509"/>
      <c r="B515" s="568"/>
      <c r="C515" s="568"/>
    </row>
    <row r="516" spans="1:3" s="68" customFormat="1" x14ac:dyDescent="0.25">
      <c r="A516" s="509"/>
      <c r="B516" s="568"/>
      <c r="C516" s="568"/>
    </row>
    <row r="517" spans="1:3" s="68" customFormat="1" x14ac:dyDescent="0.25">
      <c r="A517" s="509"/>
      <c r="B517" s="568"/>
      <c r="C517" s="568"/>
    </row>
    <row r="518" spans="1:3" s="68" customFormat="1" x14ac:dyDescent="0.25">
      <c r="A518" s="509"/>
      <c r="B518" s="568"/>
      <c r="C518" s="568"/>
    </row>
    <row r="519" spans="1:3" s="68" customFormat="1" x14ac:dyDescent="0.25">
      <c r="A519" s="509"/>
      <c r="B519" s="568"/>
      <c r="C519" s="568"/>
    </row>
    <row r="520" spans="1:3" s="68" customFormat="1" x14ac:dyDescent="0.25">
      <c r="A520" s="509"/>
      <c r="B520" s="568"/>
      <c r="C520" s="568"/>
    </row>
    <row r="521" spans="1:3" s="68" customFormat="1" x14ac:dyDescent="0.25">
      <c r="A521" s="509"/>
      <c r="B521" s="568"/>
      <c r="C521" s="568"/>
    </row>
    <row r="522" spans="1:3" s="68" customFormat="1" x14ac:dyDescent="0.25">
      <c r="A522" s="509"/>
      <c r="B522" s="568"/>
      <c r="C522" s="568"/>
    </row>
    <row r="523" spans="1:3" s="68" customFormat="1" x14ac:dyDescent="0.25">
      <c r="A523" s="509"/>
      <c r="B523" s="568"/>
      <c r="C523" s="568"/>
    </row>
    <row r="524" spans="1:3" s="68" customFormat="1" x14ac:dyDescent="0.25">
      <c r="A524" s="509"/>
      <c r="B524" s="568"/>
      <c r="C524" s="568"/>
    </row>
    <row r="525" spans="1:3" s="68" customFormat="1" x14ac:dyDescent="0.25">
      <c r="A525" s="509"/>
      <c r="B525" s="568"/>
      <c r="C525" s="568"/>
    </row>
    <row r="526" spans="1:3" s="68" customFormat="1" x14ac:dyDescent="0.25">
      <c r="A526" s="509"/>
      <c r="B526" s="568"/>
      <c r="C526" s="568"/>
    </row>
    <row r="527" spans="1:3" s="68" customFormat="1" x14ac:dyDescent="0.25">
      <c r="A527" s="509"/>
      <c r="B527" s="568"/>
      <c r="C527" s="568"/>
    </row>
    <row r="528" spans="1:3" s="68" customFormat="1" x14ac:dyDescent="0.25">
      <c r="A528" s="509"/>
      <c r="B528" s="568"/>
      <c r="C528" s="568"/>
    </row>
    <row r="529" spans="1:3" s="68" customFormat="1" x14ac:dyDescent="0.25">
      <c r="A529" s="509"/>
      <c r="B529" s="568"/>
      <c r="C529" s="568"/>
    </row>
    <row r="530" spans="1:3" s="68" customFormat="1" x14ac:dyDescent="0.25">
      <c r="A530" s="509"/>
      <c r="B530" s="568"/>
      <c r="C530" s="568"/>
    </row>
    <row r="531" spans="1:3" s="68" customFormat="1" x14ac:dyDescent="0.25">
      <c r="A531" s="509"/>
      <c r="B531" s="568"/>
      <c r="C531" s="568"/>
    </row>
    <row r="532" spans="1:3" s="68" customFormat="1" x14ac:dyDescent="0.25">
      <c r="A532" s="509"/>
      <c r="B532" s="568"/>
      <c r="C532" s="568"/>
    </row>
    <row r="533" spans="1:3" s="68" customFormat="1" x14ac:dyDescent="0.25">
      <c r="A533" s="509"/>
      <c r="B533" s="568"/>
      <c r="C533" s="568"/>
    </row>
    <row r="534" spans="1:3" s="68" customFormat="1" x14ac:dyDescent="0.25">
      <c r="A534" s="509"/>
      <c r="B534" s="568"/>
      <c r="C534" s="568"/>
    </row>
    <row r="535" spans="1:3" s="68" customFormat="1" x14ac:dyDescent="0.25">
      <c r="A535" s="509"/>
      <c r="B535" s="568"/>
      <c r="C535" s="568"/>
    </row>
    <row r="536" spans="1:3" s="68" customFormat="1" x14ac:dyDescent="0.25">
      <c r="A536" s="509"/>
      <c r="B536" s="568"/>
      <c r="C536" s="568"/>
    </row>
    <row r="537" spans="1:3" s="68" customFormat="1" x14ac:dyDescent="0.25">
      <c r="A537" s="509"/>
      <c r="B537" s="568"/>
      <c r="C537" s="568"/>
    </row>
    <row r="538" spans="1:3" s="68" customFormat="1" x14ac:dyDescent="0.25">
      <c r="A538" s="509"/>
      <c r="B538" s="568"/>
      <c r="C538" s="568"/>
    </row>
    <row r="539" spans="1:3" s="68" customFormat="1" x14ac:dyDescent="0.25">
      <c r="A539" s="509"/>
      <c r="B539" s="568"/>
      <c r="C539" s="568"/>
    </row>
    <row r="540" spans="1:3" s="68" customFormat="1" x14ac:dyDescent="0.25">
      <c r="A540" s="509"/>
      <c r="B540" s="568"/>
      <c r="C540" s="568"/>
    </row>
    <row r="541" spans="1:3" s="68" customFormat="1" x14ac:dyDescent="0.25">
      <c r="A541" s="509"/>
      <c r="B541" s="568"/>
      <c r="C541" s="568"/>
    </row>
    <row r="542" spans="1:3" s="68" customFormat="1" x14ac:dyDescent="0.25">
      <c r="A542" s="509"/>
      <c r="B542" s="568"/>
      <c r="C542" s="568"/>
    </row>
    <row r="543" spans="1:3" s="68" customFormat="1" x14ac:dyDescent="0.25">
      <c r="A543" s="509"/>
      <c r="B543" s="568"/>
      <c r="C543" s="568"/>
    </row>
    <row r="544" spans="1:3" s="68" customFormat="1" x14ac:dyDescent="0.25">
      <c r="A544" s="509"/>
      <c r="B544" s="568"/>
      <c r="C544" s="568"/>
    </row>
    <row r="545" spans="1:3" s="68" customFormat="1" x14ac:dyDescent="0.25">
      <c r="A545" s="509"/>
      <c r="B545" s="568"/>
      <c r="C545" s="568"/>
    </row>
    <row r="546" spans="1:3" s="68" customFormat="1" x14ac:dyDescent="0.25">
      <c r="A546" s="509"/>
      <c r="B546" s="568"/>
      <c r="C546" s="568"/>
    </row>
    <row r="547" spans="1:3" s="68" customFormat="1" x14ac:dyDescent="0.25">
      <c r="A547" s="509"/>
      <c r="B547" s="568"/>
      <c r="C547" s="568"/>
    </row>
    <row r="548" spans="1:3" s="68" customFormat="1" x14ac:dyDescent="0.25">
      <c r="A548" s="509"/>
      <c r="B548" s="568"/>
      <c r="C548" s="568"/>
    </row>
    <row r="549" spans="1:3" s="68" customFormat="1" x14ac:dyDescent="0.25">
      <c r="A549" s="509"/>
      <c r="B549" s="568"/>
      <c r="C549" s="568"/>
    </row>
    <row r="550" spans="1:3" s="68" customFormat="1" x14ac:dyDescent="0.25">
      <c r="A550" s="509"/>
      <c r="B550" s="568"/>
      <c r="C550" s="568"/>
    </row>
    <row r="551" spans="1:3" s="68" customFormat="1" x14ac:dyDescent="0.25">
      <c r="A551" s="509"/>
      <c r="B551" s="568"/>
      <c r="C551" s="568"/>
    </row>
    <row r="552" spans="1:3" s="68" customFormat="1" x14ac:dyDescent="0.25">
      <c r="A552" s="509"/>
      <c r="B552" s="568"/>
      <c r="C552" s="568"/>
    </row>
    <row r="553" spans="1:3" s="68" customFormat="1" x14ac:dyDescent="0.25">
      <c r="A553" s="509"/>
      <c r="B553" s="568"/>
      <c r="C553" s="568"/>
    </row>
    <row r="554" spans="1:3" s="68" customFormat="1" x14ac:dyDescent="0.25">
      <c r="A554" s="509"/>
      <c r="B554" s="568"/>
      <c r="C554" s="568"/>
    </row>
    <row r="555" spans="1:3" s="68" customFormat="1" x14ac:dyDescent="0.25">
      <c r="A555" s="509"/>
      <c r="B555" s="568"/>
      <c r="C555" s="568"/>
    </row>
    <row r="556" spans="1:3" s="68" customFormat="1" x14ac:dyDescent="0.25">
      <c r="A556" s="509"/>
      <c r="B556" s="568"/>
      <c r="C556" s="568"/>
    </row>
    <row r="557" spans="1:3" s="68" customFormat="1" x14ac:dyDescent="0.25">
      <c r="A557" s="509"/>
      <c r="B557" s="568"/>
      <c r="C557" s="568"/>
    </row>
    <row r="558" spans="1:3" s="68" customFormat="1" x14ac:dyDescent="0.25">
      <c r="A558" s="509"/>
      <c r="B558" s="568"/>
      <c r="C558" s="568"/>
    </row>
    <row r="559" spans="1:3" s="68" customFormat="1" x14ac:dyDescent="0.25">
      <c r="A559" s="509"/>
      <c r="B559" s="568"/>
      <c r="C559" s="568"/>
    </row>
    <row r="560" spans="1:3" s="68" customFormat="1" x14ac:dyDescent="0.25">
      <c r="A560" s="509"/>
      <c r="B560" s="568"/>
      <c r="C560" s="568"/>
    </row>
    <row r="561" spans="1:3" s="68" customFormat="1" x14ac:dyDescent="0.25">
      <c r="A561" s="509"/>
      <c r="B561" s="568"/>
      <c r="C561" s="568"/>
    </row>
    <row r="562" spans="1:3" s="68" customFormat="1" x14ac:dyDescent="0.25">
      <c r="A562" s="509"/>
      <c r="B562" s="568"/>
      <c r="C562" s="568"/>
    </row>
    <row r="563" spans="1:3" s="68" customFormat="1" x14ac:dyDescent="0.25">
      <c r="A563" s="509"/>
      <c r="B563" s="568"/>
      <c r="C563" s="568"/>
    </row>
    <row r="564" spans="1:3" s="68" customFormat="1" x14ac:dyDescent="0.25">
      <c r="A564" s="509"/>
      <c r="B564" s="568"/>
      <c r="C564" s="568"/>
    </row>
    <row r="565" spans="1:3" s="68" customFormat="1" x14ac:dyDescent="0.25">
      <c r="A565" s="509"/>
      <c r="B565" s="568"/>
      <c r="C565" s="568"/>
    </row>
    <row r="566" spans="1:3" s="68" customFormat="1" x14ac:dyDescent="0.25">
      <c r="A566" s="509"/>
      <c r="B566" s="568"/>
      <c r="C566" s="568"/>
    </row>
    <row r="567" spans="1:3" s="68" customFormat="1" x14ac:dyDescent="0.25">
      <c r="A567" s="509"/>
      <c r="B567" s="568"/>
      <c r="C567" s="568"/>
    </row>
    <row r="568" spans="1:3" s="68" customFormat="1" x14ac:dyDescent="0.25">
      <c r="A568" s="509"/>
      <c r="B568" s="568"/>
      <c r="C568" s="568"/>
    </row>
    <row r="569" spans="1:3" s="68" customFormat="1" x14ac:dyDescent="0.25">
      <c r="A569" s="509"/>
      <c r="B569" s="568"/>
      <c r="C569" s="568"/>
    </row>
    <row r="570" spans="1:3" s="68" customFormat="1" x14ac:dyDescent="0.25">
      <c r="A570" s="509"/>
      <c r="B570" s="568"/>
      <c r="C570" s="568"/>
    </row>
    <row r="571" spans="1:3" s="68" customFormat="1" x14ac:dyDescent="0.25">
      <c r="A571" s="509"/>
      <c r="B571" s="568"/>
      <c r="C571" s="568"/>
    </row>
    <row r="572" spans="1:3" s="68" customFormat="1" x14ac:dyDescent="0.25">
      <c r="A572" s="509"/>
      <c r="B572" s="568"/>
      <c r="C572" s="568"/>
    </row>
    <row r="573" spans="1:3" s="68" customFormat="1" x14ac:dyDescent="0.25">
      <c r="A573" s="509"/>
      <c r="B573" s="568"/>
      <c r="C573" s="568"/>
    </row>
    <row r="574" spans="1:3" s="68" customFormat="1" x14ac:dyDescent="0.25">
      <c r="A574" s="509"/>
      <c r="B574" s="568"/>
      <c r="C574" s="568"/>
    </row>
    <row r="575" spans="1:3" s="68" customFormat="1" x14ac:dyDescent="0.25">
      <c r="A575" s="509"/>
      <c r="B575" s="568"/>
      <c r="C575" s="568"/>
    </row>
    <row r="576" spans="1:3" s="68" customFormat="1" x14ac:dyDescent="0.25">
      <c r="A576" s="509"/>
      <c r="B576" s="568"/>
      <c r="C576" s="568"/>
    </row>
    <row r="577" spans="1:3" s="68" customFormat="1" x14ac:dyDescent="0.25">
      <c r="A577" s="509"/>
      <c r="B577" s="568"/>
      <c r="C577" s="568"/>
    </row>
    <row r="578" spans="1:3" s="68" customFormat="1" x14ac:dyDescent="0.25">
      <c r="A578" s="509"/>
      <c r="B578" s="568"/>
      <c r="C578" s="568"/>
    </row>
    <row r="579" spans="1:3" s="68" customFormat="1" x14ac:dyDescent="0.25">
      <c r="A579" s="509"/>
      <c r="B579" s="568"/>
      <c r="C579" s="568"/>
    </row>
    <row r="580" spans="1:3" s="68" customFormat="1" x14ac:dyDescent="0.25">
      <c r="A580" s="509"/>
      <c r="B580" s="568"/>
      <c r="C580" s="568"/>
    </row>
    <row r="581" spans="1:3" s="68" customFormat="1" x14ac:dyDescent="0.25">
      <c r="A581" s="509"/>
      <c r="B581" s="568"/>
      <c r="C581" s="568"/>
    </row>
    <row r="582" spans="1:3" s="68" customFormat="1" x14ac:dyDescent="0.25">
      <c r="A582" s="509"/>
      <c r="B582" s="568"/>
      <c r="C582" s="568"/>
    </row>
    <row r="583" spans="1:3" s="68" customFormat="1" x14ac:dyDescent="0.25">
      <c r="A583" s="509"/>
      <c r="B583" s="568"/>
      <c r="C583" s="568"/>
    </row>
    <row r="584" spans="1:3" s="68" customFormat="1" x14ac:dyDescent="0.25">
      <c r="A584" s="509"/>
      <c r="B584" s="568"/>
      <c r="C584" s="568"/>
    </row>
    <row r="585" spans="1:3" s="68" customFormat="1" x14ac:dyDescent="0.25">
      <c r="A585" s="509"/>
      <c r="B585" s="568"/>
      <c r="C585" s="568"/>
    </row>
    <row r="586" spans="1:3" s="68" customFormat="1" x14ac:dyDescent="0.25">
      <c r="A586" s="509"/>
      <c r="B586" s="568"/>
      <c r="C586" s="568"/>
    </row>
    <row r="587" spans="1:3" s="68" customFormat="1" x14ac:dyDescent="0.25">
      <c r="A587" s="509"/>
      <c r="B587" s="568"/>
      <c r="C587" s="568"/>
    </row>
    <row r="588" spans="1:3" s="68" customFormat="1" x14ac:dyDescent="0.25">
      <c r="A588" s="509"/>
      <c r="B588" s="568"/>
      <c r="C588" s="568"/>
    </row>
    <row r="589" spans="1:3" s="68" customFormat="1" x14ac:dyDescent="0.25">
      <c r="A589" s="509"/>
      <c r="B589" s="568"/>
      <c r="C589" s="568"/>
    </row>
    <row r="590" spans="1:3" s="68" customFormat="1" x14ac:dyDescent="0.25">
      <c r="A590" s="509"/>
      <c r="B590" s="568"/>
      <c r="C590" s="568"/>
    </row>
    <row r="591" spans="1:3" s="68" customFormat="1" x14ac:dyDescent="0.25">
      <c r="A591" s="509"/>
      <c r="B591" s="568"/>
      <c r="C591" s="568"/>
    </row>
    <row r="592" spans="1:3" s="68" customFormat="1" x14ac:dyDescent="0.25">
      <c r="A592" s="509"/>
      <c r="B592" s="568"/>
      <c r="C592" s="568"/>
    </row>
    <row r="593" spans="1:3" s="68" customFormat="1" x14ac:dyDescent="0.25">
      <c r="A593" s="509"/>
      <c r="B593" s="568"/>
      <c r="C593" s="568"/>
    </row>
    <row r="594" spans="1:3" s="68" customFormat="1" x14ac:dyDescent="0.25">
      <c r="A594" s="509"/>
      <c r="B594" s="568"/>
      <c r="C594" s="568"/>
    </row>
    <row r="595" spans="1:3" s="68" customFormat="1" x14ac:dyDescent="0.25">
      <c r="A595" s="509"/>
      <c r="B595" s="568"/>
      <c r="C595" s="568"/>
    </row>
    <row r="596" spans="1:3" s="68" customFormat="1" x14ac:dyDescent="0.25">
      <c r="A596" s="509"/>
      <c r="B596" s="568"/>
      <c r="C596" s="568"/>
    </row>
    <row r="597" spans="1:3" s="68" customFormat="1" x14ac:dyDescent="0.25">
      <c r="A597" s="509"/>
      <c r="B597" s="568"/>
      <c r="C597" s="568"/>
    </row>
    <row r="598" spans="1:3" s="68" customFormat="1" x14ac:dyDescent="0.25">
      <c r="A598" s="509"/>
      <c r="B598" s="568"/>
      <c r="C598" s="568"/>
    </row>
    <row r="599" spans="1:3" s="68" customFormat="1" x14ac:dyDescent="0.25">
      <c r="A599" s="509"/>
      <c r="B599" s="568"/>
      <c r="C599" s="568"/>
    </row>
    <row r="600" spans="1:3" s="68" customFormat="1" x14ac:dyDescent="0.25">
      <c r="A600" s="509"/>
      <c r="B600" s="568"/>
      <c r="C600" s="568"/>
    </row>
    <row r="601" spans="1:3" s="68" customFormat="1" x14ac:dyDescent="0.25">
      <c r="A601" s="509"/>
      <c r="B601" s="568"/>
      <c r="C601" s="568"/>
    </row>
    <row r="602" spans="1:3" s="68" customFormat="1" x14ac:dyDescent="0.25">
      <c r="A602" s="509"/>
      <c r="B602" s="568"/>
      <c r="C602" s="568"/>
    </row>
    <row r="603" spans="1:3" s="68" customFormat="1" x14ac:dyDescent="0.25">
      <c r="A603" s="509"/>
      <c r="B603" s="568"/>
      <c r="C603" s="568"/>
    </row>
    <row r="604" spans="1:3" s="68" customFormat="1" x14ac:dyDescent="0.25">
      <c r="A604" s="509"/>
      <c r="B604" s="568"/>
      <c r="C604" s="568"/>
    </row>
    <row r="605" spans="1:3" s="68" customFormat="1" x14ac:dyDescent="0.25">
      <c r="A605" s="509"/>
      <c r="B605" s="568"/>
      <c r="C605" s="568"/>
    </row>
    <row r="606" spans="1:3" s="68" customFormat="1" x14ac:dyDescent="0.25">
      <c r="A606" s="509"/>
      <c r="B606" s="568"/>
      <c r="C606" s="568"/>
    </row>
    <row r="607" spans="1:3" s="68" customFormat="1" x14ac:dyDescent="0.25">
      <c r="A607" s="509"/>
      <c r="B607" s="568"/>
      <c r="C607" s="568"/>
    </row>
    <row r="608" spans="1:3" s="68" customFormat="1" x14ac:dyDescent="0.25">
      <c r="A608" s="509"/>
      <c r="B608" s="568"/>
      <c r="C608" s="568"/>
    </row>
    <row r="609" spans="1:3" s="68" customFormat="1" x14ac:dyDescent="0.25">
      <c r="A609" s="509"/>
      <c r="B609" s="568"/>
      <c r="C609" s="568"/>
    </row>
    <row r="610" spans="1:3" s="68" customFormat="1" x14ac:dyDescent="0.25">
      <c r="A610" s="509"/>
      <c r="B610" s="568"/>
      <c r="C610" s="568"/>
    </row>
    <row r="611" spans="1:3" s="68" customFormat="1" x14ac:dyDescent="0.25">
      <c r="A611" s="509"/>
      <c r="B611" s="568"/>
      <c r="C611" s="568"/>
    </row>
    <row r="612" spans="1:3" s="68" customFormat="1" x14ac:dyDescent="0.25">
      <c r="A612" s="509"/>
      <c r="B612" s="568"/>
      <c r="C612" s="568"/>
    </row>
    <row r="613" spans="1:3" s="68" customFormat="1" x14ac:dyDescent="0.25">
      <c r="A613" s="509"/>
      <c r="B613" s="568"/>
      <c r="C613" s="568"/>
    </row>
    <row r="614" spans="1:3" s="68" customFormat="1" x14ac:dyDescent="0.25">
      <c r="A614" s="509"/>
      <c r="B614" s="568"/>
      <c r="C614" s="568"/>
    </row>
    <row r="615" spans="1:3" s="68" customFormat="1" x14ac:dyDescent="0.25">
      <c r="A615" s="509"/>
      <c r="B615" s="568"/>
      <c r="C615" s="568"/>
    </row>
    <row r="616" spans="1:3" s="68" customFormat="1" x14ac:dyDescent="0.25">
      <c r="A616" s="509"/>
      <c r="B616" s="568"/>
      <c r="C616" s="568"/>
    </row>
    <row r="617" spans="1:3" s="68" customFormat="1" x14ac:dyDescent="0.25">
      <c r="A617" s="509"/>
      <c r="B617" s="568"/>
      <c r="C617" s="568"/>
    </row>
    <row r="618" spans="1:3" s="68" customFormat="1" x14ac:dyDescent="0.25">
      <c r="A618" s="509"/>
      <c r="B618" s="568"/>
      <c r="C618" s="568"/>
    </row>
    <row r="619" spans="1:3" s="68" customFormat="1" x14ac:dyDescent="0.25">
      <c r="A619" s="509"/>
      <c r="B619" s="568"/>
      <c r="C619" s="568"/>
    </row>
    <row r="620" spans="1:3" s="68" customFormat="1" x14ac:dyDescent="0.25">
      <c r="A620" s="509"/>
      <c r="B620" s="568"/>
      <c r="C620" s="568"/>
    </row>
    <row r="621" spans="1:3" s="68" customFormat="1" x14ac:dyDescent="0.25">
      <c r="A621" s="509"/>
      <c r="B621" s="568"/>
      <c r="C621" s="568"/>
    </row>
    <row r="622" spans="1:3" s="68" customFormat="1" x14ac:dyDescent="0.25">
      <c r="A622" s="509"/>
      <c r="B622" s="568"/>
      <c r="C622" s="568"/>
    </row>
    <row r="623" spans="1:3" s="68" customFormat="1" x14ac:dyDescent="0.25">
      <c r="A623" s="509"/>
      <c r="B623" s="568"/>
      <c r="C623" s="568"/>
    </row>
    <row r="624" spans="1:3" s="68" customFormat="1" x14ac:dyDescent="0.25">
      <c r="A624" s="509"/>
      <c r="B624" s="568"/>
      <c r="C624" s="568"/>
    </row>
    <row r="625" spans="1:3" s="68" customFormat="1" x14ac:dyDescent="0.25">
      <c r="A625" s="509"/>
      <c r="B625" s="568"/>
      <c r="C625" s="568"/>
    </row>
    <row r="626" spans="1:3" s="68" customFormat="1" x14ac:dyDescent="0.25">
      <c r="A626" s="509"/>
      <c r="B626" s="568"/>
      <c r="C626" s="568"/>
    </row>
    <row r="627" spans="1:3" s="68" customFormat="1" x14ac:dyDescent="0.25">
      <c r="A627" s="509"/>
      <c r="B627" s="568"/>
      <c r="C627" s="568"/>
    </row>
    <row r="628" spans="1:3" s="68" customFormat="1" x14ac:dyDescent="0.25">
      <c r="A628" s="509"/>
      <c r="B628" s="568"/>
      <c r="C628" s="568"/>
    </row>
    <row r="629" spans="1:3" s="68" customFormat="1" x14ac:dyDescent="0.25">
      <c r="A629" s="509"/>
      <c r="B629" s="568"/>
      <c r="C629" s="568"/>
    </row>
    <row r="630" spans="1:3" s="68" customFormat="1" x14ac:dyDescent="0.25">
      <c r="A630" s="509"/>
      <c r="B630" s="568"/>
      <c r="C630" s="568"/>
    </row>
    <row r="631" spans="1:3" s="68" customFormat="1" x14ac:dyDescent="0.25">
      <c r="A631" s="509"/>
      <c r="B631" s="568"/>
      <c r="C631" s="568"/>
    </row>
    <row r="632" spans="1:3" s="68" customFormat="1" x14ac:dyDescent="0.25">
      <c r="A632" s="509"/>
      <c r="B632" s="568"/>
      <c r="C632" s="568"/>
    </row>
    <row r="633" spans="1:3" s="68" customFormat="1" x14ac:dyDescent="0.25">
      <c r="A633" s="509"/>
      <c r="B633" s="568"/>
      <c r="C633" s="568"/>
    </row>
    <row r="634" spans="1:3" s="68" customFormat="1" x14ac:dyDescent="0.25">
      <c r="A634" s="509"/>
      <c r="B634" s="568"/>
      <c r="C634" s="568"/>
    </row>
    <row r="635" spans="1:3" s="68" customFormat="1" x14ac:dyDescent="0.25">
      <c r="A635" s="509"/>
      <c r="B635" s="568"/>
      <c r="C635" s="568"/>
    </row>
    <row r="636" spans="1:3" s="68" customFormat="1" x14ac:dyDescent="0.25">
      <c r="A636" s="509"/>
      <c r="B636" s="568"/>
      <c r="C636" s="568"/>
    </row>
    <row r="637" spans="1:3" s="68" customFormat="1" x14ac:dyDescent="0.25">
      <c r="A637" s="509"/>
      <c r="B637" s="568"/>
      <c r="C637" s="568"/>
    </row>
    <row r="638" spans="1:3" s="68" customFormat="1" x14ac:dyDescent="0.25">
      <c r="A638" s="509"/>
      <c r="B638" s="568"/>
      <c r="C638" s="568"/>
    </row>
    <row r="639" spans="1:3" s="68" customFormat="1" x14ac:dyDescent="0.25">
      <c r="A639" s="509"/>
      <c r="B639" s="568"/>
      <c r="C639" s="568"/>
    </row>
    <row r="640" spans="1:3" s="68" customFormat="1" x14ac:dyDescent="0.25">
      <c r="A640" s="509"/>
      <c r="B640" s="568"/>
      <c r="C640" s="568"/>
    </row>
    <row r="641" spans="1:3" s="68" customFormat="1" x14ac:dyDescent="0.25">
      <c r="A641" s="509"/>
      <c r="B641" s="568"/>
      <c r="C641" s="568"/>
    </row>
    <row r="642" spans="1:3" s="68" customFormat="1" x14ac:dyDescent="0.25">
      <c r="A642" s="509"/>
      <c r="B642" s="568"/>
      <c r="C642" s="568"/>
    </row>
    <row r="643" spans="1:3" s="68" customFormat="1" x14ac:dyDescent="0.25">
      <c r="A643" s="509"/>
      <c r="B643" s="568"/>
      <c r="C643" s="568"/>
    </row>
    <row r="644" spans="1:3" s="68" customFormat="1" x14ac:dyDescent="0.25">
      <c r="A644" s="509"/>
      <c r="B644" s="568"/>
      <c r="C644" s="568"/>
    </row>
    <row r="645" spans="1:3" s="68" customFormat="1" x14ac:dyDescent="0.25">
      <c r="A645" s="509"/>
      <c r="B645" s="568"/>
      <c r="C645" s="568"/>
    </row>
    <row r="646" spans="1:3" s="68" customFormat="1" x14ac:dyDescent="0.25">
      <c r="A646" s="509"/>
      <c r="B646" s="568"/>
      <c r="C646" s="568"/>
    </row>
    <row r="647" spans="1:3" s="68" customFormat="1" x14ac:dyDescent="0.25">
      <c r="A647" s="509"/>
      <c r="B647" s="568"/>
      <c r="C647" s="568"/>
    </row>
    <row r="648" spans="1:3" s="68" customFormat="1" x14ac:dyDescent="0.25">
      <c r="A648" s="509"/>
      <c r="B648" s="568"/>
      <c r="C648" s="568"/>
    </row>
    <row r="649" spans="1:3" s="68" customFormat="1" x14ac:dyDescent="0.25">
      <c r="A649" s="509"/>
      <c r="B649" s="568"/>
      <c r="C649" s="568"/>
    </row>
    <row r="650" spans="1:3" s="68" customFormat="1" x14ac:dyDescent="0.25">
      <c r="A650" s="509"/>
      <c r="B650" s="568"/>
      <c r="C650" s="568"/>
    </row>
    <row r="651" spans="1:3" s="68" customFormat="1" x14ac:dyDescent="0.25">
      <c r="A651" s="509"/>
      <c r="B651" s="568"/>
      <c r="C651" s="568"/>
    </row>
    <row r="652" spans="1:3" s="68" customFormat="1" x14ac:dyDescent="0.25">
      <c r="A652" s="509"/>
      <c r="B652" s="568"/>
      <c r="C652" s="568"/>
    </row>
    <row r="653" spans="1:3" s="68" customFormat="1" x14ac:dyDescent="0.25">
      <c r="A653" s="509"/>
      <c r="B653" s="568"/>
      <c r="C653" s="568"/>
    </row>
    <row r="654" spans="1:3" s="68" customFormat="1" x14ac:dyDescent="0.25">
      <c r="A654" s="509"/>
      <c r="B654" s="568"/>
      <c r="C654" s="568"/>
    </row>
    <row r="655" spans="1:3" s="68" customFormat="1" x14ac:dyDescent="0.25">
      <c r="A655" s="509"/>
      <c r="B655" s="568"/>
      <c r="C655" s="568"/>
    </row>
    <row r="656" spans="1:3" s="68" customFormat="1" x14ac:dyDescent="0.25">
      <c r="A656" s="509"/>
      <c r="B656" s="568"/>
      <c r="C656" s="568"/>
    </row>
    <row r="657" spans="1:3" s="68" customFormat="1" x14ac:dyDescent="0.25">
      <c r="A657" s="509"/>
      <c r="B657" s="568"/>
      <c r="C657" s="568"/>
    </row>
    <row r="658" spans="1:3" s="68" customFormat="1" x14ac:dyDescent="0.25">
      <c r="A658" s="509"/>
      <c r="B658" s="568"/>
      <c r="C658" s="568"/>
    </row>
    <row r="659" spans="1:3" s="68" customFormat="1" x14ac:dyDescent="0.25">
      <c r="A659" s="509"/>
      <c r="B659" s="568"/>
      <c r="C659" s="568"/>
    </row>
    <row r="660" spans="1:3" s="68" customFormat="1" x14ac:dyDescent="0.25">
      <c r="A660" s="509"/>
      <c r="B660" s="568"/>
      <c r="C660" s="568"/>
    </row>
    <row r="661" spans="1:3" s="68" customFormat="1" x14ac:dyDescent="0.25">
      <c r="A661" s="509"/>
      <c r="B661" s="568"/>
      <c r="C661" s="568"/>
    </row>
    <row r="662" spans="1:3" s="68" customFormat="1" x14ac:dyDescent="0.25">
      <c r="A662" s="509"/>
      <c r="B662" s="568"/>
      <c r="C662" s="568"/>
    </row>
    <row r="663" spans="1:3" s="68" customFormat="1" x14ac:dyDescent="0.25">
      <c r="A663" s="509"/>
      <c r="B663" s="568"/>
      <c r="C663" s="568"/>
    </row>
    <row r="664" spans="1:3" s="68" customFormat="1" x14ac:dyDescent="0.25">
      <c r="A664" s="509"/>
      <c r="B664" s="568"/>
      <c r="C664" s="568"/>
    </row>
    <row r="665" spans="1:3" s="68" customFormat="1" x14ac:dyDescent="0.25">
      <c r="A665" s="509"/>
      <c r="B665" s="568"/>
      <c r="C665" s="568"/>
    </row>
    <row r="666" spans="1:3" s="68" customFormat="1" x14ac:dyDescent="0.25">
      <c r="A666" s="509"/>
      <c r="B666" s="568"/>
      <c r="C666" s="568"/>
    </row>
    <row r="667" spans="1:3" s="68" customFormat="1" x14ac:dyDescent="0.25">
      <c r="A667" s="509"/>
      <c r="B667" s="568"/>
      <c r="C667" s="568"/>
    </row>
    <row r="668" spans="1:3" s="68" customFormat="1" x14ac:dyDescent="0.25">
      <c r="A668" s="509"/>
      <c r="B668" s="568"/>
      <c r="C668" s="568"/>
    </row>
    <row r="669" spans="1:3" s="68" customFormat="1" x14ac:dyDescent="0.25">
      <c r="A669" s="509"/>
      <c r="B669" s="568"/>
      <c r="C669" s="568"/>
    </row>
    <row r="670" spans="1:3" s="68" customFormat="1" x14ac:dyDescent="0.25">
      <c r="A670" s="509"/>
      <c r="B670" s="568"/>
      <c r="C670" s="568"/>
    </row>
    <row r="671" spans="1:3" s="68" customFormat="1" x14ac:dyDescent="0.25">
      <c r="A671" s="509"/>
      <c r="B671" s="568"/>
      <c r="C671" s="568"/>
    </row>
    <row r="672" spans="1:3" s="68" customFormat="1" x14ac:dyDescent="0.25">
      <c r="A672" s="509"/>
      <c r="B672" s="568"/>
      <c r="C672" s="568"/>
    </row>
    <row r="673" spans="1:3" s="68" customFormat="1" x14ac:dyDescent="0.25">
      <c r="A673" s="509"/>
      <c r="B673" s="568"/>
      <c r="C673" s="568"/>
    </row>
    <row r="674" spans="1:3" s="68" customFormat="1" x14ac:dyDescent="0.25">
      <c r="A674" s="509"/>
      <c r="B674" s="568"/>
      <c r="C674" s="568"/>
    </row>
    <row r="675" spans="1:3" s="68" customFormat="1" x14ac:dyDescent="0.25">
      <c r="A675" s="509"/>
      <c r="B675" s="568"/>
      <c r="C675" s="568"/>
    </row>
    <row r="676" spans="1:3" s="68" customFormat="1" x14ac:dyDescent="0.25">
      <c r="A676" s="509"/>
      <c r="B676" s="568"/>
      <c r="C676" s="568"/>
    </row>
    <row r="677" spans="1:3" s="68" customFormat="1" x14ac:dyDescent="0.25">
      <c r="A677" s="509"/>
      <c r="B677" s="568"/>
      <c r="C677" s="568"/>
    </row>
    <row r="678" spans="1:3" s="68" customFormat="1" x14ac:dyDescent="0.25">
      <c r="A678" s="509"/>
      <c r="B678" s="568"/>
      <c r="C678" s="568"/>
    </row>
    <row r="679" spans="1:3" s="68" customFormat="1" x14ac:dyDescent="0.25">
      <c r="A679" s="509"/>
      <c r="B679" s="568"/>
      <c r="C679" s="568"/>
    </row>
    <row r="680" spans="1:3" s="68" customFormat="1" x14ac:dyDescent="0.25">
      <c r="A680" s="509"/>
      <c r="B680" s="568"/>
      <c r="C680" s="568"/>
    </row>
    <row r="681" spans="1:3" s="68" customFormat="1" x14ac:dyDescent="0.25">
      <c r="A681" s="509"/>
      <c r="B681" s="568"/>
      <c r="C681" s="568"/>
    </row>
    <row r="682" spans="1:3" s="68" customFormat="1" x14ac:dyDescent="0.25">
      <c r="A682" s="509"/>
      <c r="B682" s="568"/>
      <c r="C682" s="568"/>
    </row>
    <row r="683" spans="1:3" s="68" customFormat="1" x14ac:dyDescent="0.25">
      <c r="A683" s="509"/>
      <c r="B683" s="568"/>
      <c r="C683" s="568"/>
    </row>
    <row r="684" spans="1:3" s="68" customFormat="1" x14ac:dyDescent="0.25">
      <c r="A684" s="509"/>
      <c r="B684" s="568"/>
      <c r="C684" s="568"/>
    </row>
    <row r="685" spans="1:3" s="68" customFormat="1" x14ac:dyDescent="0.25">
      <c r="A685" s="509"/>
      <c r="B685" s="568"/>
      <c r="C685" s="568"/>
    </row>
    <row r="686" spans="1:3" s="68" customFormat="1" x14ac:dyDescent="0.25">
      <c r="A686" s="509"/>
      <c r="B686" s="568"/>
      <c r="C686" s="568"/>
    </row>
    <row r="687" spans="1:3" s="68" customFormat="1" x14ac:dyDescent="0.25">
      <c r="A687" s="509"/>
      <c r="B687" s="568"/>
      <c r="C687" s="568"/>
    </row>
    <row r="688" spans="1:3" s="68" customFormat="1" x14ac:dyDescent="0.25">
      <c r="A688" s="509"/>
      <c r="B688" s="568"/>
      <c r="C688" s="568"/>
    </row>
    <row r="689" spans="1:3" s="68" customFormat="1" x14ac:dyDescent="0.25">
      <c r="A689" s="509"/>
      <c r="B689" s="568"/>
      <c r="C689" s="568"/>
    </row>
    <row r="690" spans="1:3" s="68" customFormat="1" x14ac:dyDescent="0.25">
      <c r="A690" s="509"/>
      <c r="B690" s="568"/>
      <c r="C690" s="568"/>
    </row>
    <row r="691" spans="1:3" s="68" customFormat="1" x14ac:dyDescent="0.25">
      <c r="A691" s="509"/>
      <c r="B691" s="568"/>
      <c r="C691" s="568"/>
    </row>
    <row r="692" spans="1:3" s="68" customFormat="1" x14ac:dyDescent="0.25">
      <c r="A692" s="509"/>
      <c r="B692" s="568"/>
      <c r="C692" s="568"/>
    </row>
    <row r="693" spans="1:3" s="68" customFormat="1" x14ac:dyDescent="0.25">
      <c r="A693" s="509"/>
      <c r="B693" s="568"/>
      <c r="C693" s="568"/>
    </row>
    <row r="694" spans="1:3" s="68" customFormat="1" x14ac:dyDescent="0.25">
      <c r="A694" s="509"/>
      <c r="B694" s="568"/>
      <c r="C694" s="568"/>
    </row>
    <row r="695" spans="1:3" s="68" customFormat="1" x14ac:dyDescent="0.25">
      <c r="A695" s="509"/>
      <c r="B695" s="568"/>
      <c r="C695" s="568"/>
    </row>
    <row r="696" spans="1:3" s="68" customFormat="1" x14ac:dyDescent="0.25">
      <c r="A696" s="509"/>
      <c r="B696" s="568"/>
      <c r="C696" s="568"/>
    </row>
    <row r="697" spans="1:3" s="68" customFormat="1" x14ac:dyDescent="0.25">
      <c r="A697" s="509"/>
      <c r="B697" s="568"/>
      <c r="C697" s="568"/>
    </row>
    <row r="698" spans="1:3" s="68" customFormat="1" x14ac:dyDescent="0.25">
      <c r="A698" s="509"/>
      <c r="B698" s="568"/>
      <c r="C698" s="568"/>
    </row>
    <row r="699" spans="1:3" s="68" customFormat="1" x14ac:dyDescent="0.25">
      <c r="A699" s="509"/>
      <c r="B699" s="568"/>
      <c r="C699" s="568"/>
    </row>
    <row r="700" spans="1:3" s="68" customFormat="1" x14ac:dyDescent="0.25">
      <c r="A700" s="509"/>
      <c r="B700" s="568"/>
      <c r="C700" s="568"/>
    </row>
    <row r="701" spans="1:3" s="68" customFormat="1" x14ac:dyDescent="0.25">
      <c r="A701" s="509"/>
      <c r="B701" s="568"/>
      <c r="C701" s="568"/>
    </row>
    <row r="702" spans="1:3" s="68" customFormat="1" x14ac:dyDescent="0.25">
      <c r="A702" s="509"/>
      <c r="B702" s="568"/>
      <c r="C702" s="568"/>
    </row>
    <row r="703" spans="1:3" s="68" customFormat="1" x14ac:dyDescent="0.25">
      <c r="A703" s="509"/>
      <c r="B703" s="568"/>
      <c r="C703" s="568"/>
    </row>
    <row r="704" spans="1:3" s="68" customFormat="1" x14ac:dyDescent="0.25">
      <c r="A704" s="509"/>
      <c r="B704" s="568"/>
      <c r="C704" s="568"/>
    </row>
    <row r="705" spans="1:3" s="68" customFormat="1" x14ac:dyDescent="0.25">
      <c r="A705" s="509"/>
      <c r="B705" s="568"/>
      <c r="C705" s="568"/>
    </row>
    <row r="706" spans="1:3" s="68" customFormat="1" x14ac:dyDescent="0.25">
      <c r="A706" s="509"/>
      <c r="B706" s="568"/>
      <c r="C706" s="568"/>
    </row>
    <row r="707" spans="1:3" s="68" customFormat="1" x14ac:dyDescent="0.25">
      <c r="A707" s="509"/>
      <c r="B707" s="568"/>
      <c r="C707" s="568"/>
    </row>
    <row r="708" spans="1:3" s="68" customFormat="1" x14ac:dyDescent="0.25">
      <c r="A708" s="509"/>
      <c r="B708" s="568"/>
      <c r="C708" s="568"/>
    </row>
    <row r="709" spans="1:3" s="68" customFormat="1" x14ac:dyDescent="0.25">
      <c r="A709" s="509"/>
      <c r="B709" s="568"/>
      <c r="C709" s="568"/>
    </row>
    <row r="710" spans="1:3" s="68" customFormat="1" x14ac:dyDescent="0.25">
      <c r="A710" s="509"/>
      <c r="B710" s="568"/>
      <c r="C710" s="568"/>
    </row>
    <row r="711" spans="1:3" s="68" customFormat="1" x14ac:dyDescent="0.25">
      <c r="A711" s="509"/>
      <c r="B711" s="568"/>
      <c r="C711" s="568"/>
    </row>
    <row r="712" spans="1:3" s="68" customFormat="1" x14ac:dyDescent="0.25">
      <c r="A712" s="509"/>
      <c r="B712" s="568"/>
      <c r="C712" s="568"/>
    </row>
    <row r="713" spans="1:3" s="68" customFormat="1" x14ac:dyDescent="0.25">
      <c r="A713" s="509"/>
      <c r="B713" s="568"/>
      <c r="C713" s="568"/>
    </row>
    <row r="714" spans="1:3" s="68" customFormat="1" x14ac:dyDescent="0.25">
      <c r="A714" s="509"/>
      <c r="B714" s="568"/>
      <c r="C714" s="568"/>
    </row>
    <row r="715" spans="1:3" s="68" customFormat="1" x14ac:dyDescent="0.25">
      <c r="A715" s="509"/>
      <c r="B715" s="568"/>
      <c r="C715" s="568"/>
    </row>
    <row r="716" spans="1:3" s="68" customFormat="1" x14ac:dyDescent="0.25">
      <c r="A716" s="509"/>
      <c r="B716" s="568"/>
      <c r="C716" s="568"/>
    </row>
    <row r="717" spans="1:3" s="68" customFormat="1" x14ac:dyDescent="0.25">
      <c r="A717" s="509"/>
      <c r="B717" s="568"/>
      <c r="C717" s="568"/>
    </row>
    <row r="718" spans="1:3" s="68" customFormat="1" x14ac:dyDescent="0.25">
      <c r="A718" s="509"/>
      <c r="B718" s="568"/>
      <c r="C718" s="568"/>
    </row>
    <row r="719" spans="1:3" s="68" customFormat="1" x14ac:dyDescent="0.25">
      <c r="A719" s="509"/>
      <c r="B719" s="568"/>
      <c r="C719" s="568"/>
    </row>
    <row r="720" spans="1:3" s="68" customFormat="1" x14ac:dyDescent="0.25">
      <c r="A720" s="509"/>
      <c r="B720" s="568"/>
      <c r="C720" s="568"/>
    </row>
    <row r="721" spans="1:3" s="68" customFormat="1" x14ac:dyDescent="0.25">
      <c r="A721" s="509"/>
      <c r="B721" s="568"/>
      <c r="C721" s="568"/>
    </row>
    <row r="722" spans="1:3" s="68" customFormat="1" x14ac:dyDescent="0.25">
      <c r="A722" s="509"/>
      <c r="B722" s="568"/>
      <c r="C722" s="568"/>
    </row>
    <row r="723" spans="1:3" s="68" customFormat="1" x14ac:dyDescent="0.25">
      <c r="A723" s="509"/>
      <c r="B723" s="568"/>
      <c r="C723" s="568"/>
    </row>
    <row r="724" spans="1:3" s="68" customFormat="1" x14ac:dyDescent="0.25">
      <c r="A724" s="509"/>
      <c r="B724" s="568"/>
      <c r="C724" s="568"/>
    </row>
    <row r="725" spans="1:3" s="68" customFormat="1" x14ac:dyDescent="0.25">
      <c r="A725" s="509"/>
      <c r="B725" s="568"/>
      <c r="C725" s="568"/>
    </row>
    <row r="726" spans="1:3" s="68" customFormat="1" x14ac:dyDescent="0.25">
      <c r="A726" s="509"/>
      <c r="B726" s="568"/>
      <c r="C726" s="568"/>
    </row>
    <row r="727" spans="1:3" s="68" customFormat="1" x14ac:dyDescent="0.25">
      <c r="A727" s="509"/>
      <c r="B727" s="568"/>
      <c r="C727" s="568"/>
    </row>
    <row r="728" spans="1:3" s="68" customFormat="1" x14ac:dyDescent="0.25">
      <c r="A728" s="509"/>
      <c r="B728" s="568"/>
      <c r="C728" s="568"/>
    </row>
    <row r="729" spans="1:3" s="68" customFormat="1" x14ac:dyDescent="0.25">
      <c r="A729" s="509"/>
      <c r="B729" s="568"/>
      <c r="C729" s="568"/>
    </row>
    <row r="730" spans="1:3" s="68" customFormat="1" x14ac:dyDescent="0.25">
      <c r="A730" s="509"/>
      <c r="B730" s="568"/>
      <c r="C730" s="568"/>
    </row>
    <row r="731" spans="1:3" s="68" customFormat="1" x14ac:dyDescent="0.25">
      <c r="A731" s="509"/>
      <c r="B731" s="568"/>
      <c r="C731" s="568"/>
    </row>
    <row r="732" spans="1:3" s="68" customFormat="1" x14ac:dyDescent="0.25">
      <c r="A732" s="509"/>
      <c r="B732" s="568"/>
      <c r="C732" s="568"/>
    </row>
    <row r="733" spans="1:3" s="68" customFormat="1" x14ac:dyDescent="0.25">
      <c r="A733" s="509"/>
      <c r="B733" s="568"/>
      <c r="C733" s="568"/>
    </row>
    <row r="734" spans="1:3" s="68" customFormat="1" x14ac:dyDescent="0.25">
      <c r="A734" s="509"/>
      <c r="B734" s="568"/>
      <c r="C734" s="568"/>
    </row>
    <row r="735" spans="1:3" s="68" customFormat="1" x14ac:dyDescent="0.25">
      <c r="A735" s="509"/>
      <c r="B735" s="568"/>
      <c r="C735" s="568"/>
    </row>
    <row r="736" spans="1:3" s="68" customFormat="1" x14ac:dyDescent="0.25">
      <c r="A736" s="509"/>
      <c r="B736" s="568"/>
      <c r="C736" s="568"/>
    </row>
    <row r="737" spans="1:3" s="68" customFormat="1" x14ac:dyDescent="0.25">
      <c r="A737" s="509"/>
      <c r="B737" s="568"/>
      <c r="C737" s="568"/>
    </row>
    <row r="738" spans="1:3" s="68" customFormat="1" x14ac:dyDescent="0.25">
      <c r="A738" s="509"/>
      <c r="B738" s="568"/>
      <c r="C738" s="568"/>
    </row>
    <row r="739" spans="1:3" s="68" customFormat="1" x14ac:dyDescent="0.25">
      <c r="A739" s="509"/>
      <c r="B739" s="568"/>
      <c r="C739" s="568"/>
    </row>
    <row r="740" spans="1:3" s="68" customFormat="1" x14ac:dyDescent="0.25">
      <c r="A740" s="509"/>
      <c r="B740" s="568"/>
      <c r="C740" s="568"/>
    </row>
  </sheetData>
  <mergeCells count="20">
    <mergeCell ref="R63:V63"/>
    <mergeCell ref="W63:X63"/>
    <mergeCell ref="Y63:Z63"/>
    <mergeCell ref="AA63:AB63"/>
    <mergeCell ref="D55:BB55"/>
    <mergeCell ref="D56:BB56"/>
    <mergeCell ref="D57:BB57"/>
    <mergeCell ref="D58:BB58"/>
    <mergeCell ref="E63:F63"/>
    <mergeCell ref="G63:H63"/>
    <mergeCell ref="I63:J63"/>
    <mergeCell ref="K63:L63"/>
    <mergeCell ref="M63:N63"/>
    <mergeCell ref="O63:P63"/>
    <mergeCell ref="D54:BB54"/>
    <mergeCell ref="D2:BB2"/>
    <mergeCell ref="D3:BB3"/>
    <mergeCell ref="D4:BB4"/>
    <mergeCell ref="D52:BB52"/>
    <mergeCell ref="D53:BB53"/>
  </mergeCells>
  <pageMargins left="0.70866141732283472" right="0.70866141732283472" top="0.74803149606299213" bottom="0.74803149606299213" header="0.31496062992125984" footer="0.31496062992125984"/>
  <pageSetup paperSize="8" scale="55" fitToWidth="0"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4B935-3B0D-4DC6-AC4C-86F72C1B9A5B}">
  <sheetPr>
    <tabColor rgb="FF7030A0"/>
  </sheetPr>
  <dimension ref="A1:AZ50"/>
  <sheetViews>
    <sheetView showGridLines="0" view="pageBreakPreview" topLeftCell="L1" zoomScaleNormal="100" zoomScaleSheetLayoutView="100" workbookViewId="0">
      <selection activeCell="D43" sqref="D43:AK43"/>
    </sheetView>
  </sheetViews>
  <sheetFormatPr defaultColWidth="9.140625" defaultRowHeight="12" x14ac:dyDescent="0.2"/>
  <cols>
    <col min="1" max="1" width="2.140625" style="1007" customWidth="1"/>
    <col min="2" max="2" width="12.42578125" style="1008" customWidth="1"/>
    <col min="3" max="3" width="3.85546875" style="1008" customWidth="1"/>
    <col min="4" max="4" width="31.85546875" style="1008" customWidth="1"/>
    <col min="5" max="6" width="10.85546875" style="1008" bestFit="1" customWidth="1"/>
    <col min="7" max="7" width="10.42578125" style="1008" customWidth="1"/>
    <col min="8" max="8" width="10.140625" style="1008" customWidth="1"/>
    <col min="9" max="9" width="9.140625" style="1008" customWidth="1"/>
    <col min="10" max="10" width="10.85546875" style="1008" customWidth="1"/>
    <col min="11" max="11" width="10.140625" style="1008" customWidth="1"/>
    <col min="12" max="12" width="10" style="1008" customWidth="1"/>
    <col min="13" max="13" width="10.42578125" style="1008" customWidth="1"/>
    <col min="14" max="14" width="9.85546875" style="1008" customWidth="1"/>
    <col min="15" max="15" width="9.42578125" style="1008" customWidth="1"/>
    <col min="16" max="16" width="9.85546875" style="1008" customWidth="1"/>
    <col min="17" max="17" width="10.42578125" style="1008" customWidth="1"/>
    <col min="18" max="18" width="9.140625" style="1008" customWidth="1"/>
    <col min="19" max="19" width="9.85546875" style="1008" customWidth="1"/>
    <col min="20" max="20" width="8.42578125" style="1008" customWidth="1"/>
    <col min="21" max="21" width="9.140625" style="1008" customWidth="1"/>
    <col min="22" max="22" width="9.85546875" style="1008" customWidth="1"/>
    <col min="23" max="23" width="9.42578125" style="1008" customWidth="1"/>
    <col min="24" max="24" width="9.85546875" style="1008" customWidth="1"/>
    <col min="25" max="25" width="9.140625" style="1008"/>
    <col min="26" max="26" width="9.85546875" style="1008" customWidth="1"/>
    <col min="27" max="16384" width="9.140625" style="1008"/>
  </cols>
  <sheetData>
    <row r="1" spans="1:40" s="996" customFormat="1" ht="15" x14ac:dyDescent="0.25">
      <c r="A1" s="995"/>
    </row>
    <row r="2" spans="1:40" s="996" customFormat="1" ht="15" customHeight="1" x14ac:dyDescent="0.2">
      <c r="A2" s="997">
        <v>1</v>
      </c>
      <c r="B2" s="997" t="s">
        <v>0</v>
      </c>
      <c r="C2" s="997">
        <v>35</v>
      </c>
      <c r="D2" s="4818" t="s">
        <v>1006</v>
      </c>
      <c r="E2" s="4819"/>
      <c r="F2" s="4819"/>
      <c r="G2" s="4819"/>
      <c r="H2" s="4819"/>
      <c r="I2" s="4819"/>
      <c r="J2" s="4819"/>
      <c r="K2" s="4819"/>
      <c r="L2" s="4819"/>
      <c r="M2" s="4819"/>
      <c r="N2" s="4819"/>
      <c r="O2" s="4819"/>
      <c r="P2" s="4819"/>
      <c r="Q2" s="4819"/>
      <c r="R2" s="4819"/>
      <c r="S2" s="4819"/>
      <c r="T2" s="4819"/>
      <c r="U2" s="4819"/>
      <c r="V2" s="4819"/>
      <c r="W2" s="4819"/>
      <c r="X2" s="4819"/>
      <c r="Y2" s="4819"/>
      <c r="Z2" s="4819"/>
      <c r="AA2" s="4819"/>
      <c r="AB2" s="4819"/>
      <c r="AC2" s="4819"/>
      <c r="AD2" s="4819"/>
      <c r="AE2" s="4819"/>
      <c r="AF2" s="4819"/>
      <c r="AG2" s="4819"/>
      <c r="AH2" s="4819"/>
      <c r="AI2" s="4819"/>
      <c r="AJ2" s="4819"/>
      <c r="AK2" s="4819"/>
      <c r="AL2" s="4819"/>
      <c r="AM2" s="4819"/>
      <c r="AN2" s="4820"/>
    </row>
    <row r="3" spans="1:40" s="996" customFormat="1" ht="15" customHeight="1" x14ac:dyDescent="0.2">
      <c r="A3" s="997">
        <v>2</v>
      </c>
      <c r="B3" s="997" t="s">
        <v>2</v>
      </c>
      <c r="C3" s="997"/>
      <c r="D3" s="4818" t="s">
        <v>1007</v>
      </c>
      <c r="E3" s="4819"/>
      <c r="F3" s="4819"/>
      <c r="G3" s="4819"/>
      <c r="H3" s="4819"/>
      <c r="I3" s="4819"/>
      <c r="J3" s="4819"/>
      <c r="K3" s="4819"/>
      <c r="L3" s="4819"/>
      <c r="M3" s="4819"/>
      <c r="N3" s="4819"/>
      <c r="O3" s="4819"/>
      <c r="P3" s="4819"/>
      <c r="Q3" s="4819"/>
      <c r="R3" s="4819"/>
      <c r="S3" s="4819"/>
      <c r="T3" s="4819"/>
      <c r="U3" s="4819"/>
      <c r="V3" s="4819"/>
      <c r="W3" s="4819"/>
      <c r="X3" s="4819"/>
      <c r="Y3" s="4819"/>
      <c r="Z3" s="4819"/>
      <c r="AA3" s="4819"/>
      <c r="AB3" s="4819"/>
      <c r="AC3" s="4819"/>
      <c r="AD3" s="4819"/>
      <c r="AE3" s="4819"/>
      <c r="AF3" s="4819"/>
      <c r="AG3" s="4819"/>
      <c r="AH3" s="4819"/>
      <c r="AI3" s="4819"/>
      <c r="AJ3" s="4819"/>
      <c r="AK3" s="4819"/>
      <c r="AL3" s="4819"/>
      <c r="AM3" s="4819"/>
      <c r="AN3" s="4820"/>
    </row>
    <row r="4" spans="1:40" s="996" customFormat="1" ht="14.25" customHeight="1" x14ac:dyDescent="0.2">
      <c r="A4" s="997">
        <v>3</v>
      </c>
      <c r="B4" s="997" t="s">
        <v>4</v>
      </c>
      <c r="C4" s="997"/>
      <c r="D4" s="4818" t="s">
        <v>1008</v>
      </c>
      <c r="E4" s="4819"/>
      <c r="F4" s="4819"/>
      <c r="G4" s="4819"/>
      <c r="H4" s="4819"/>
      <c r="I4" s="4819"/>
      <c r="J4" s="4819"/>
      <c r="K4" s="4819"/>
      <c r="L4" s="4819"/>
      <c r="M4" s="4819"/>
      <c r="N4" s="4819"/>
      <c r="O4" s="4819"/>
      <c r="P4" s="4819"/>
      <c r="Q4" s="4819"/>
      <c r="R4" s="4819"/>
      <c r="S4" s="4819"/>
      <c r="T4" s="4819"/>
      <c r="U4" s="4819"/>
      <c r="V4" s="4819"/>
      <c r="W4" s="4819"/>
      <c r="X4" s="4819"/>
      <c r="Y4" s="4819"/>
      <c r="Z4" s="4819"/>
      <c r="AA4" s="4819"/>
      <c r="AB4" s="4819"/>
      <c r="AC4" s="4819"/>
      <c r="AD4" s="4819"/>
      <c r="AE4" s="4819"/>
      <c r="AF4" s="4819"/>
      <c r="AG4" s="4819"/>
      <c r="AH4" s="4819"/>
      <c r="AI4" s="4819"/>
      <c r="AJ4" s="4819"/>
      <c r="AK4" s="4819"/>
      <c r="AL4" s="4819"/>
      <c r="AM4" s="4819"/>
      <c r="AN4" s="4820"/>
    </row>
    <row r="5" spans="1:40" s="996" customFormat="1" ht="15" customHeight="1" x14ac:dyDescent="0.2">
      <c r="A5" s="997"/>
      <c r="B5" s="997"/>
      <c r="C5" s="997"/>
      <c r="D5" s="4821"/>
      <c r="E5" s="4821"/>
      <c r="F5" s="4821"/>
      <c r="G5" s="4821"/>
      <c r="H5" s="4821"/>
      <c r="I5" s="4821"/>
      <c r="J5" s="4821"/>
      <c r="K5" s="4821"/>
      <c r="L5" s="4821"/>
      <c r="M5" s="4821"/>
      <c r="N5" s="4821"/>
      <c r="O5" s="4821"/>
      <c r="P5" s="4821"/>
      <c r="Q5" s="4821"/>
      <c r="R5" s="4821"/>
      <c r="S5" s="4821"/>
      <c r="T5" s="4821"/>
      <c r="U5" s="4821"/>
      <c r="V5" s="4821"/>
      <c r="W5" s="4821"/>
      <c r="X5" s="4821"/>
      <c r="Y5" s="4821"/>
      <c r="Z5" s="4821"/>
      <c r="AA5" s="4821"/>
      <c r="AB5" s="4821"/>
      <c r="AC5" s="4821"/>
      <c r="AD5" s="4821"/>
      <c r="AE5" s="4821"/>
      <c r="AF5" s="4821"/>
      <c r="AG5" s="4821"/>
      <c r="AH5" s="4821"/>
      <c r="AI5" s="4821"/>
      <c r="AJ5" s="4821"/>
      <c r="AK5" s="4821"/>
      <c r="AL5" s="4821"/>
      <c r="AM5" s="4821"/>
      <c r="AN5" s="4821"/>
    </row>
    <row r="6" spans="1:40" s="671" customFormat="1" ht="12.75" x14ac:dyDescent="0.2">
      <c r="A6" s="997">
        <v>4</v>
      </c>
      <c r="B6" s="997" t="s">
        <v>6</v>
      </c>
      <c r="D6" s="998" t="s">
        <v>80</v>
      </c>
      <c r="E6" s="656" t="s">
        <v>1009</v>
      </c>
      <c r="F6" s="656"/>
      <c r="G6" s="656"/>
      <c r="H6" s="656"/>
      <c r="I6" s="999"/>
      <c r="J6" s="999"/>
      <c r="K6" s="999"/>
      <c r="L6" s="656"/>
      <c r="M6" s="656"/>
      <c r="N6" s="656"/>
      <c r="O6" s="656"/>
    </row>
    <row r="7" spans="1:40" s="671" customFormat="1" ht="11.25" x14ac:dyDescent="0.2">
      <c r="A7" s="1000"/>
      <c r="D7" s="1001"/>
      <c r="E7" s="3135" t="s">
        <v>1010</v>
      </c>
      <c r="F7" s="3135"/>
      <c r="G7" s="3135"/>
      <c r="H7" s="3135"/>
      <c r="I7" s="3135"/>
      <c r="J7" s="3135" t="s">
        <v>1011</v>
      </c>
      <c r="K7" s="3135"/>
      <c r="L7" s="3135"/>
      <c r="M7" s="3135"/>
      <c r="N7" s="3135"/>
      <c r="O7" s="3135"/>
      <c r="P7" s="3135"/>
      <c r="Q7" s="3135" t="s">
        <v>1012</v>
      </c>
      <c r="R7" s="3135"/>
      <c r="S7" s="3135" t="s">
        <v>1013</v>
      </c>
      <c r="T7" s="3135"/>
      <c r="U7" s="3135"/>
      <c r="V7" s="3135"/>
      <c r="W7" s="1002"/>
      <c r="Y7" s="1003"/>
    </row>
    <row r="8" spans="1:40" s="671" customFormat="1" ht="11.25" x14ac:dyDescent="0.2">
      <c r="A8" s="1000"/>
      <c r="D8" s="1004" t="s">
        <v>647</v>
      </c>
      <c r="E8" s="1005">
        <v>1194349</v>
      </c>
      <c r="F8" s="1005"/>
      <c r="G8" s="1005"/>
      <c r="H8" s="1005"/>
      <c r="I8" s="1005"/>
      <c r="J8" s="1005">
        <v>1082044</v>
      </c>
      <c r="K8" s="1005"/>
      <c r="L8" s="1005"/>
      <c r="M8" s="1005"/>
      <c r="N8" s="1005"/>
      <c r="O8" s="1005"/>
      <c r="P8" s="1005">
        <v>1000558</v>
      </c>
      <c r="Q8" s="1005"/>
      <c r="R8" s="1005"/>
      <c r="S8" s="1005"/>
      <c r="T8" s="1005"/>
      <c r="U8" s="1005"/>
      <c r="V8" s="1005"/>
      <c r="W8" s="1006"/>
      <c r="X8" s="1005"/>
    </row>
    <row r="9" spans="1:40" s="671" customFormat="1" ht="11.25" x14ac:dyDescent="0.2">
      <c r="A9" s="1000"/>
      <c r="D9" s="1004" t="s">
        <v>648</v>
      </c>
      <c r="E9" s="1005">
        <v>1463364</v>
      </c>
      <c r="F9" s="1005"/>
      <c r="G9" s="1005"/>
      <c r="H9" s="1005"/>
      <c r="I9" s="1005"/>
      <c r="J9" s="1005">
        <v>1173938</v>
      </c>
      <c r="K9" s="1005"/>
      <c r="L9" s="1005"/>
      <c r="M9" s="1005"/>
      <c r="N9" s="1005"/>
      <c r="O9" s="1005"/>
      <c r="P9" s="1005">
        <v>915661</v>
      </c>
      <c r="Q9" s="1005"/>
      <c r="R9" s="1005"/>
      <c r="S9" s="1005"/>
      <c r="T9" s="1005"/>
      <c r="U9" s="1005"/>
      <c r="V9" s="1005"/>
      <c r="W9" s="1006"/>
      <c r="X9" s="1005"/>
    </row>
    <row r="10" spans="1:40" x14ac:dyDescent="0.2">
      <c r="D10" s="1009" t="s">
        <v>965</v>
      </c>
      <c r="E10" s="1010">
        <v>2657714</v>
      </c>
      <c r="F10" s="1010"/>
      <c r="G10" s="1010"/>
      <c r="H10" s="1010"/>
      <c r="I10" s="1010"/>
      <c r="J10" s="1010">
        <v>2255982</v>
      </c>
      <c r="K10" s="1010"/>
      <c r="L10" s="1010"/>
      <c r="M10" s="1010"/>
      <c r="N10" s="1010"/>
      <c r="O10" s="1010"/>
      <c r="P10" s="1010">
        <v>1916219</v>
      </c>
      <c r="Q10" s="1010"/>
      <c r="R10" s="1010"/>
      <c r="S10" s="1010">
        <f>+'[12]Demographic trends'!N41*3.4%</f>
        <v>1760199.074</v>
      </c>
      <c r="T10" s="1010"/>
      <c r="U10" s="1010"/>
      <c r="V10" s="1010"/>
      <c r="W10" s="1011"/>
      <c r="X10" s="1010"/>
    </row>
    <row r="11" spans="1:40" x14ac:dyDescent="0.2">
      <c r="D11" s="1012" t="s">
        <v>1014</v>
      </c>
      <c r="E11" s="1013">
        <v>6.5</v>
      </c>
      <c r="F11" s="745"/>
      <c r="G11" s="745"/>
      <c r="H11" s="745"/>
      <c r="I11" s="745"/>
      <c r="J11" s="1014">
        <v>5</v>
      </c>
      <c r="K11" s="745"/>
      <c r="L11" s="745"/>
      <c r="M11" s="745"/>
      <c r="N11" s="745"/>
      <c r="O11" s="745"/>
      <c r="P11" s="1014">
        <v>4</v>
      </c>
      <c r="Q11" s="745"/>
      <c r="R11" s="745"/>
      <c r="S11" s="1013">
        <f>100-96.6</f>
        <v>3.4000000000000057</v>
      </c>
      <c r="T11" s="1013"/>
      <c r="U11" s="1013"/>
      <c r="V11" s="1013"/>
      <c r="W11" s="1015"/>
      <c r="X11" s="1016"/>
    </row>
    <row r="12" spans="1:40" x14ac:dyDescent="0.2">
      <c r="D12" s="1017"/>
      <c r="E12" s="1005"/>
      <c r="F12" s="1005"/>
      <c r="G12" s="1005"/>
      <c r="H12" s="1005"/>
      <c r="I12" s="1005"/>
      <c r="J12" s="1005"/>
      <c r="K12" s="1005"/>
      <c r="L12" s="1005"/>
      <c r="M12" s="1005"/>
      <c r="N12" s="1005"/>
      <c r="O12" s="1005"/>
      <c r="P12" s="1005"/>
      <c r="Q12" s="1005"/>
      <c r="R12" s="1005"/>
    </row>
    <row r="13" spans="1:40" x14ac:dyDescent="0.2">
      <c r="D13" s="1018"/>
      <c r="E13" s="1005"/>
      <c r="F13" s="1005"/>
      <c r="G13" s="1005"/>
      <c r="H13" s="1005"/>
      <c r="I13" s="1005"/>
      <c r="J13" s="1005"/>
      <c r="K13" s="1005"/>
      <c r="L13" s="1005"/>
      <c r="M13" s="1005"/>
      <c r="N13" s="1005"/>
      <c r="O13" s="1005"/>
      <c r="P13" s="1005"/>
      <c r="Q13" s="1005"/>
      <c r="R13" s="1005"/>
    </row>
    <row r="14" spans="1:40" ht="12.75" x14ac:dyDescent="0.2">
      <c r="A14" s="997"/>
      <c r="B14" s="997"/>
      <c r="C14" s="997"/>
      <c r="D14" s="998" t="s">
        <v>267</v>
      </c>
      <c r="E14" s="656" t="s">
        <v>1015</v>
      </c>
      <c r="F14" s="656"/>
      <c r="G14" s="656"/>
      <c r="H14" s="656"/>
    </row>
    <row r="15" spans="1:40" x14ac:dyDescent="0.2">
      <c r="D15" s="1019"/>
      <c r="E15" s="1020" t="s">
        <v>1016</v>
      </c>
      <c r="F15" s="1020" t="s">
        <v>1017</v>
      </c>
      <c r="G15" s="1020" t="s">
        <v>1018</v>
      </c>
      <c r="H15" s="1020" t="s">
        <v>12</v>
      </c>
      <c r="I15" s="1020" t="s">
        <v>13</v>
      </c>
      <c r="J15" s="1020" t="s">
        <v>14</v>
      </c>
      <c r="K15" s="1020" t="s">
        <v>15</v>
      </c>
      <c r="L15" s="1020" t="s">
        <v>16</v>
      </c>
      <c r="M15" s="1020" t="s">
        <v>17</v>
      </c>
      <c r="N15" s="1020" t="s">
        <v>18</v>
      </c>
      <c r="O15" s="1020" t="s">
        <v>19</v>
      </c>
      <c r="P15" s="1020" t="s">
        <v>1019</v>
      </c>
      <c r="Q15" s="1020" t="s">
        <v>21</v>
      </c>
      <c r="R15" s="1020" t="s">
        <v>22</v>
      </c>
      <c r="S15" s="1020" t="s">
        <v>23</v>
      </c>
      <c r="T15" s="1021" t="s">
        <v>24</v>
      </c>
      <c r="U15" s="1021" t="s">
        <v>25</v>
      </c>
      <c r="V15" s="1021" t="s">
        <v>26</v>
      </c>
      <c r="W15" s="1021" t="s">
        <v>27</v>
      </c>
      <c r="X15" s="1022" t="s">
        <v>28</v>
      </c>
      <c r="Y15" s="1022" t="s">
        <v>29</v>
      </c>
      <c r="Z15" s="1022" t="s">
        <v>30</v>
      </c>
      <c r="AA15" s="1022" t="s">
        <v>31</v>
      </c>
      <c r="AB15" s="1022" t="s">
        <v>32</v>
      </c>
      <c r="AC15" s="1022" t="s">
        <v>33</v>
      </c>
    </row>
    <row r="16" spans="1:40" x14ac:dyDescent="0.2">
      <c r="D16" s="1023" t="s">
        <v>1020</v>
      </c>
      <c r="E16" s="1024">
        <v>3487</v>
      </c>
      <c r="F16" s="1024">
        <v>8172</v>
      </c>
      <c r="G16" s="1024">
        <v>16835</v>
      </c>
      <c r="H16" s="1024">
        <v>22789</v>
      </c>
      <c r="I16" s="1024">
        <v>33574</v>
      </c>
      <c r="J16" s="1024">
        <v>34978</v>
      </c>
      <c r="K16" s="1024">
        <v>42355</v>
      </c>
      <c r="L16" s="1024">
        <v>76494</v>
      </c>
      <c r="M16" s="1024">
        <v>86917</v>
      </c>
      <c r="N16" s="1024">
        <v>90112</v>
      </c>
      <c r="O16" s="1024">
        <v>98631</v>
      </c>
      <c r="P16" s="1024">
        <v>102292</v>
      </c>
      <c r="Q16" s="1024">
        <v>107065</v>
      </c>
      <c r="R16" s="1024">
        <v>110731</v>
      </c>
      <c r="S16" s="1024">
        <v>112185</v>
      </c>
      <c r="T16" s="1024">
        <v>114993</v>
      </c>
      <c r="U16" s="1024">
        <v>120268</v>
      </c>
      <c r="V16" s="1024">
        <v>120632</v>
      </c>
      <c r="W16" s="1025">
        <v>126777</v>
      </c>
      <c r="X16" s="1026">
        <v>131040</v>
      </c>
      <c r="Y16" s="1026">
        <v>144952</v>
      </c>
      <c r="Z16" s="1026">
        <v>147467</v>
      </c>
      <c r="AA16" s="1027">
        <v>146709</v>
      </c>
      <c r="AB16" s="1027">
        <v>154735</v>
      </c>
      <c r="AC16" s="1027">
        <f>'Social Grants'!AC14</f>
        <v>150151</v>
      </c>
    </row>
    <row r="17" spans="4:29" x14ac:dyDescent="0.2">
      <c r="D17" s="1028" t="s">
        <v>1021</v>
      </c>
      <c r="E17" s="1029">
        <v>711629</v>
      </c>
      <c r="F17" s="1029">
        <v>660528</v>
      </c>
      <c r="G17" s="1029">
        <v>633778</v>
      </c>
      <c r="H17" s="1029">
        <v>607537</v>
      </c>
      <c r="I17" s="1029">
        <v>655822</v>
      </c>
      <c r="J17" s="1029">
        <v>694232</v>
      </c>
      <c r="K17" s="1029">
        <v>840424</v>
      </c>
      <c r="L17" s="1029">
        <v>1228231</v>
      </c>
      <c r="M17" s="1029">
        <v>1293280</v>
      </c>
      <c r="N17" s="1029">
        <v>1315143</v>
      </c>
      <c r="O17" s="1029">
        <v>1422808</v>
      </c>
      <c r="P17" s="1029">
        <v>1408456</v>
      </c>
      <c r="Q17" s="1029">
        <v>1286883</v>
      </c>
      <c r="R17" s="1029">
        <v>1264477</v>
      </c>
      <c r="S17" s="1029">
        <v>1200898</v>
      </c>
      <c r="T17" s="1030">
        <v>1198131</v>
      </c>
      <c r="U17" s="1029">
        <v>1164192</v>
      </c>
      <c r="V17" s="1030">
        <v>1120419</v>
      </c>
      <c r="W17" s="1031">
        <v>1112663</v>
      </c>
      <c r="X17" s="1032">
        <v>1085541</v>
      </c>
      <c r="Y17" s="1033">
        <v>1067176</v>
      </c>
      <c r="Z17" s="1033">
        <v>1061866</v>
      </c>
      <c r="AA17" s="1034">
        <v>1048255</v>
      </c>
      <c r="AB17" s="1034">
        <v>1042025</v>
      </c>
      <c r="AC17" s="1027">
        <f>'Social Grants'!AC11</f>
        <v>997752</v>
      </c>
    </row>
    <row r="18" spans="4:29" x14ac:dyDescent="0.2">
      <c r="D18" s="1035" t="s">
        <v>1022</v>
      </c>
      <c r="E18" s="1029">
        <v>715116</v>
      </c>
      <c r="F18" s="1029">
        <v>668700</v>
      </c>
      <c r="G18" s="1029">
        <v>650613</v>
      </c>
      <c r="H18" s="1029">
        <v>630326</v>
      </c>
      <c r="I18" s="1029">
        <v>689396</v>
      </c>
      <c r="J18" s="1029">
        <v>729210</v>
      </c>
      <c r="K18" s="1029">
        <v>882779</v>
      </c>
      <c r="L18" s="1029">
        <v>1304725</v>
      </c>
      <c r="M18" s="1029">
        <v>1380197</v>
      </c>
      <c r="N18" s="1029">
        <v>1405255</v>
      </c>
      <c r="O18" s="1029">
        <v>1521439</v>
      </c>
      <c r="P18" s="1029">
        <v>1510748</v>
      </c>
      <c r="Q18" s="1029">
        <v>1393948</v>
      </c>
      <c r="R18" s="1029">
        <v>1375208</v>
      </c>
      <c r="S18" s="1029">
        <v>1313083</v>
      </c>
      <c r="T18" s="1030">
        <v>1313124</v>
      </c>
      <c r="U18" s="1029">
        <v>1284460</v>
      </c>
      <c r="V18" s="1030">
        <v>1241051</v>
      </c>
      <c r="W18" s="3428">
        <v>1239440</v>
      </c>
      <c r="X18" s="1036">
        <v>1216581</v>
      </c>
      <c r="Y18" s="1037">
        <f>SUM(Y16:Y17)</f>
        <v>1212128</v>
      </c>
      <c r="Z18" s="1037">
        <f>SUM(Z16:Z17)</f>
        <v>1209333</v>
      </c>
      <c r="AA18" s="3715">
        <f>SUM(AA16:AA17)</f>
        <v>1194964</v>
      </c>
      <c r="AB18" s="3715">
        <f>SUM(AB16:AB17)</f>
        <v>1196760</v>
      </c>
      <c r="AC18" s="1027">
        <f>SUM(AC16:AC17)</f>
        <v>1147903</v>
      </c>
    </row>
    <row r="19" spans="4:29" ht="22.5" x14ac:dyDescent="0.2">
      <c r="D19" s="3716" t="s">
        <v>1023</v>
      </c>
      <c r="E19" s="1038">
        <f t="shared" ref="E19:W19" si="0">E18/E20</f>
        <v>0.29688360148160325</v>
      </c>
      <c r="F19" s="1038">
        <f t="shared" si="0"/>
        <v>0.2762686585663115</v>
      </c>
      <c r="G19" s="1038">
        <f t="shared" si="0"/>
        <v>0.25604624639610107</v>
      </c>
      <c r="H19" s="1038">
        <f t="shared" si="0"/>
        <v>0.23456879712440862</v>
      </c>
      <c r="I19" s="1038">
        <f t="shared" si="0"/>
        <v>0.18266994312132651</v>
      </c>
      <c r="J19" s="1038">
        <f t="shared" si="0"/>
        <v>0.18308974011003815</v>
      </c>
      <c r="K19" s="1038">
        <f t="shared" si="0"/>
        <v>0.17967221456157043</v>
      </c>
      <c r="L19" s="1038">
        <f t="shared" si="0"/>
        <v>0.20145255518068389</v>
      </c>
      <c r="M19" s="1038">
        <f t="shared" si="0"/>
        <v>0.17539355937488998</v>
      </c>
      <c r="N19" s="1038">
        <f t="shared" si="0"/>
        <v>0.12836759928368349</v>
      </c>
      <c r="O19" s="1038">
        <f t="shared" si="0"/>
        <v>0.12696495851964021</v>
      </c>
      <c r="P19" s="1038">
        <f t="shared" si="0"/>
        <v>0.12196832718734328</v>
      </c>
      <c r="Q19" s="1038">
        <f t="shared" si="0"/>
        <v>0.10701188935694049</v>
      </c>
      <c r="R19" s="1038">
        <f t="shared" si="0"/>
        <v>9.8200187830331173E-2</v>
      </c>
      <c r="S19" s="1038">
        <f t="shared" si="0"/>
        <v>8.8260134368736948E-2</v>
      </c>
      <c r="T19" s="1038">
        <f t="shared" si="0"/>
        <v>8.455831500014295E-2</v>
      </c>
      <c r="U19" s="1038">
        <f t="shared" si="0"/>
        <v>8.0116559033521578E-2</v>
      </c>
      <c r="V19" s="1038">
        <f t="shared" si="0"/>
        <v>7.8302642608742506E-2</v>
      </c>
      <c r="W19" s="1038">
        <f t="shared" si="0"/>
        <v>7.4983260288419118E-2</v>
      </c>
      <c r="X19" s="1038">
        <f>X18/X20</f>
        <v>7.2184253927357042E-2</v>
      </c>
      <c r="Y19" s="1038">
        <f>Y18/Y20</f>
        <v>7.0470407153270034E-2</v>
      </c>
      <c r="Z19" s="1038">
        <f>Z18/Z20</f>
        <v>6.9065296706252624E-2</v>
      </c>
      <c r="AA19" s="1038">
        <f>AA18/AA20</f>
        <v>6.7088541858195253E-2</v>
      </c>
      <c r="AB19" s="1039">
        <f>AB18/AB20*100</f>
        <v>6.5430358951749614</v>
      </c>
      <c r="AC19" s="2716">
        <f>AC18/AC20*100</f>
        <v>6.2248774061889192</v>
      </c>
    </row>
    <row r="20" spans="4:29" x14ac:dyDescent="0.2">
      <c r="D20" s="1040" t="s">
        <v>1024</v>
      </c>
      <c r="E20" s="1041">
        <v>2408742</v>
      </c>
      <c r="F20" s="1041">
        <v>2420470</v>
      </c>
      <c r="G20" s="1041">
        <v>2540998</v>
      </c>
      <c r="H20" s="1041">
        <v>2687169</v>
      </c>
      <c r="I20" s="1041">
        <v>3773998</v>
      </c>
      <c r="J20" s="1041">
        <v>3982801</v>
      </c>
      <c r="K20" s="1041">
        <v>4913275</v>
      </c>
      <c r="L20" s="1041">
        <v>6476587</v>
      </c>
      <c r="M20" s="1041">
        <v>7869143</v>
      </c>
      <c r="N20" s="1041">
        <v>10947116</v>
      </c>
      <c r="O20" s="1041">
        <v>11983141</v>
      </c>
      <c r="P20" s="1041">
        <v>12386396</v>
      </c>
      <c r="Q20" s="1041">
        <v>13026104</v>
      </c>
      <c r="R20" s="1041">
        <v>14004128</v>
      </c>
      <c r="S20" s="1041">
        <v>14877419</v>
      </c>
      <c r="T20" s="1041">
        <v>15529212</v>
      </c>
      <c r="U20" s="1041">
        <v>16032391</v>
      </c>
      <c r="V20" s="1041">
        <v>15849414</v>
      </c>
      <c r="W20" s="1041">
        <v>16529556</v>
      </c>
      <c r="X20" s="1042">
        <v>16853828</v>
      </c>
      <c r="Y20" s="1042">
        <v>17200525</v>
      </c>
      <c r="Z20" s="1042">
        <v>17509995</v>
      </c>
      <c r="AA20" s="1042">
        <v>17811745</v>
      </c>
      <c r="AB20" s="1042">
        <v>18290592</v>
      </c>
      <c r="AC20" s="1042">
        <f>'Social Grants'!AC16</f>
        <v>18440572</v>
      </c>
    </row>
    <row r="21" spans="4:29" x14ac:dyDescent="0.2">
      <c r="D21" s="656"/>
      <c r="E21" s="1043"/>
      <c r="F21" s="1043"/>
      <c r="G21" s="1043"/>
      <c r="H21" s="1043"/>
      <c r="I21" s="1043"/>
      <c r="J21" s="1043"/>
      <c r="K21" s="1043"/>
      <c r="L21" s="1043"/>
      <c r="M21" s="1043"/>
      <c r="N21" s="1043"/>
      <c r="O21" s="1043"/>
      <c r="P21" s="1043"/>
      <c r="Q21" s="1043"/>
      <c r="R21" s="1043"/>
      <c r="S21" s="1043"/>
      <c r="T21" s="1043"/>
      <c r="U21" s="1043"/>
      <c r="V21" s="1043"/>
      <c r="W21" s="1043"/>
    </row>
    <row r="22" spans="4:29" x14ac:dyDescent="0.2">
      <c r="D22" s="1044"/>
      <c r="E22" s="1005"/>
      <c r="F22" s="1005"/>
      <c r="G22" s="1005"/>
      <c r="H22" s="1005"/>
      <c r="I22" s="1005"/>
      <c r="J22" s="1005"/>
      <c r="K22" s="1005"/>
      <c r="L22" s="1005"/>
      <c r="M22" s="1005"/>
      <c r="N22" s="1005"/>
      <c r="O22" s="1005"/>
      <c r="P22" s="1005"/>
      <c r="Q22" s="1005"/>
      <c r="R22" s="1005"/>
      <c r="S22" s="1005"/>
      <c r="T22" s="1005"/>
      <c r="U22" s="1005"/>
      <c r="V22" s="1005"/>
    </row>
    <row r="23" spans="4:29" ht="12.75" customHeight="1" x14ac:dyDescent="0.25">
      <c r="D23" s="1045" t="s">
        <v>656</v>
      </c>
      <c r="E23" s="744" t="s">
        <v>1025</v>
      </c>
      <c r="F23" s="744"/>
      <c r="G23" s="744"/>
      <c r="H23" s="744"/>
      <c r="I23" s="1046"/>
      <c r="J23" s="1046"/>
      <c r="K23" s="1046"/>
      <c r="L23"/>
      <c r="M23"/>
      <c r="N23"/>
      <c r="O23"/>
      <c r="P23" s="1018"/>
      <c r="Q23"/>
      <c r="R23"/>
      <c r="S23"/>
      <c r="T23"/>
      <c r="U23"/>
      <c r="V23"/>
      <c r="W23" s="110">
        <v>155</v>
      </c>
      <c r="X23" s="1047">
        <v>290</v>
      </c>
    </row>
    <row r="24" spans="4:29" x14ac:dyDescent="0.2">
      <c r="D24" s="1001" t="s">
        <v>1026</v>
      </c>
      <c r="E24" s="3135"/>
      <c r="F24" s="3135"/>
      <c r="G24" s="3135"/>
      <c r="H24" s="3135"/>
      <c r="I24" s="3135"/>
      <c r="J24" s="3135"/>
      <c r="K24" s="1020">
        <v>2002</v>
      </c>
      <c r="L24" s="1020">
        <v>2003</v>
      </c>
      <c r="M24" s="1020">
        <v>2004</v>
      </c>
      <c r="N24" s="1020">
        <v>2005</v>
      </c>
      <c r="O24" s="1020">
        <v>2006</v>
      </c>
      <c r="P24" s="1020">
        <v>2007</v>
      </c>
      <c r="Q24" s="1020">
        <v>2008</v>
      </c>
      <c r="R24" s="1020">
        <v>2009</v>
      </c>
      <c r="S24" s="1020">
        <v>2010</v>
      </c>
      <c r="T24" s="1020">
        <v>2011</v>
      </c>
      <c r="U24" s="1020">
        <v>2012</v>
      </c>
      <c r="V24" s="1020">
        <v>2013</v>
      </c>
      <c r="W24" s="1020">
        <v>2014</v>
      </c>
      <c r="X24" s="1048">
        <v>2015</v>
      </c>
      <c r="Y24" s="1048">
        <v>2016</v>
      </c>
      <c r="Z24" s="1048">
        <v>2017</v>
      </c>
      <c r="AA24" s="1048">
        <v>2018</v>
      </c>
      <c r="AB24" s="1048">
        <v>2019</v>
      </c>
      <c r="AC24" s="1048">
        <v>2020</v>
      </c>
    </row>
    <row r="25" spans="4:29" x14ac:dyDescent="0.2">
      <c r="D25" s="1023" t="s">
        <v>1027</v>
      </c>
      <c r="E25" s="671"/>
      <c r="F25" s="671"/>
      <c r="G25" s="671"/>
      <c r="H25" s="671"/>
      <c r="I25" s="773"/>
      <c r="J25" s="773"/>
      <c r="K25" s="1049">
        <v>562</v>
      </c>
      <c r="L25" s="1049">
        <v>519</v>
      </c>
      <c r="M25" s="1049">
        <v>777</v>
      </c>
      <c r="N25" s="1049">
        <v>754</v>
      </c>
      <c r="O25" s="1049">
        <v>692</v>
      </c>
      <c r="P25" s="1049">
        <v>727</v>
      </c>
      <c r="Q25" s="1049">
        <v>804</v>
      </c>
      <c r="R25" s="1049">
        <v>872</v>
      </c>
      <c r="S25" s="1049">
        <v>792</v>
      </c>
      <c r="T25" s="1049">
        <v>890</v>
      </c>
      <c r="U25" s="1050">
        <v>1053</v>
      </c>
      <c r="V25" s="1050">
        <v>1086</v>
      </c>
      <c r="W25" s="1050">
        <v>1320</v>
      </c>
      <c r="X25" s="1051">
        <v>1691</v>
      </c>
      <c r="Y25" s="1051">
        <v>1944</v>
      </c>
      <c r="Z25" s="1051">
        <v>1188</v>
      </c>
      <c r="AA25" s="1051">
        <v>3591</v>
      </c>
      <c r="AB25" s="1051"/>
      <c r="AC25" s="1051"/>
    </row>
    <row r="26" spans="4:29" ht="12" hidden="1" customHeight="1" x14ac:dyDescent="0.2">
      <c r="D26" s="4822" t="s">
        <v>1028</v>
      </c>
      <c r="E26" s="4823"/>
      <c r="F26" s="4823"/>
      <c r="G26" s="4823"/>
      <c r="H26" s="4823"/>
      <c r="I26" s="3545"/>
      <c r="J26" s="3545"/>
      <c r="K26" s="3546">
        <v>310</v>
      </c>
      <c r="L26" s="3546">
        <v>347</v>
      </c>
      <c r="M26" s="3546">
        <v>463</v>
      </c>
      <c r="N26" s="3546">
        <v>445</v>
      </c>
      <c r="O26" s="3546">
        <v>462</v>
      </c>
      <c r="P26" s="3546">
        <v>430</v>
      </c>
      <c r="Q26" s="3546"/>
      <c r="R26" s="3546"/>
      <c r="S26" s="3546"/>
      <c r="T26" s="3546"/>
      <c r="U26" s="3546"/>
      <c r="V26" s="3546"/>
      <c r="W26" s="3546"/>
      <c r="X26" s="3547"/>
      <c r="Y26" s="3547"/>
      <c r="Z26" s="3547"/>
      <c r="AA26" s="3547"/>
      <c r="AB26" s="3547"/>
      <c r="AC26" s="3547"/>
    </row>
    <row r="27" spans="4:29" ht="12" hidden="1" customHeight="1" x14ac:dyDescent="0.2">
      <c r="D27" s="4816" t="s">
        <v>1029</v>
      </c>
      <c r="E27" s="4817"/>
      <c r="F27" s="4817"/>
      <c r="G27" s="4817"/>
      <c r="H27" s="4817"/>
      <c r="I27" s="1052"/>
      <c r="J27" s="1052"/>
      <c r="K27" s="1053">
        <v>35</v>
      </c>
      <c r="L27" s="1053">
        <v>30</v>
      </c>
      <c r="M27" s="1053">
        <v>42</v>
      </c>
      <c r="N27" s="1053">
        <v>36</v>
      </c>
      <c r="O27" s="1053">
        <v>21</v>
      </c>
      <c r="P27" s="1053">
        <v>28</v>
      </c>
      <c r="Q27" s="1053"/>
      <c r="R27" s="1053"/>
      <c r="S27" s="1053"/>
      <c r="T27" s="1053"/>
      <c r="U27" s="1053"/>
      <c r="V27" s="1053"/>
      <c r="W27" s="1053"/>
      <c r="X27" s="1054"/>
      <c r="Y27" s="1054"/>
      <c r="Z27" s="1054"/>
      <c r="AA27" s="1054"/>
      <c r="AB27" s="1054"/>
      <c r="AC27" s="1054"/>
    </row>
    <row r="28" spans="4:29" ht="12" hidden="1" customHeight="1" x14ac:dyDescent="0.2">
      <c r="D28" s="4824" t="s">
        <v>1030</v>
      </c>
      <c r="E28" s="4825"/>
      <c r="F28" s="4825"/>
      <c r="G28" s="4825"/>
      <c r="H28" s="4825"/>
      <c r="I28" s="3429"/>
      <c r="J28" s="3429"/>
      <c r="K28" s="1055">
        <v>38</v>
      </c>
      <c r="L28" s="1055">
        <v>39</v>
      </c>
      <c r="M28" s="1055">
        <v>58</v>
      </c>
      <c r="N28" s="1055">
        <v>47</v>
      </c>
      <c r="O28" s="1055">
        <v>45</v>
      </c>
      <c r="P28" s="1055">
        <v>34</v>
      </c>
      <c r="Q28" s="1055"/>
      <c r="R28" s="1055"/>
      <c r="S28" s="1055"/>
      <c r="T28" s="1055"/>
      <c r="U28" s="1055"/>
      <c r="V28" s="1055"/>
      <c r="W28" s="1055"/>
      <c r="X28" s="1056"/>
      <c r="Y28" s="1056"/>
      <c r="Z28" s="1056"/>
      <c r="AA28" s="1056"/>
      <c r="AB28" s="1056"/>
      <c r="AC28" s="1056"/>
    </row>
    <row r="29" spans="4:29" x14ac:dyDescent="0.2">
      <c r="D29" s="3674" t="s">
        <v>1031</v>
      </c>
      <c r="E29" s="3548"/>
      <c r="F29" s="3548"/>
      <c r="G29" s="3548"/>
      <c r="H29" s="3548"/>
      <c r="I29" s="3548"/>
      <c r="J29" s="3548"/>
      <c r="K29" s="3717">
        <v>383</v>
      </c>
      <c r="L29" s="3717">
        <v>416</v>
      </c>
      <c r="M29" s="3717">
        <v>563</v>
      </c>
      <c r="N29" s="3717">
        <v>528</v>
      </c>
      <c r="O29" s="3717">
        <v>528</v>
      </c>
      <c r="P29" s="3717">
        <v>492</v>
      </c>
      <c r="Q29" s="3717">
        <v>636</v>
      </c>
      <c r="R29" s="3717">
        <v>697</v>
      </c>
      <c r="S29" s="3717">
        <v>633</v>
      </c>
      <c r="T29" s="3717">
        <v>745</v>
      </c>
      <c r="U29" s="3717">
        <v>929</v>
      </c>
      <c r="V29" s="3717">
        <v>960</v>
      </c>
      <c r="W29" s="3717">
        <f>W25-W23</f>
        <v>1165</v>
      </c>
      <c r="X29" s="3718">
        <f>X25-X23</f>
        <v>1401</v>
      </c>
      <c r="Y29" s="3719">
        <v>1516</v>
      </c>
      <c r="Z29" s="3719">
        <v>1060</v>
      </c>
      <c r="AA29" s="3719">
        <v>3051</v>
      </c>
      <c r="AB29" s="3719"/>
      <c r="AC29" s="3719"/>
    </row>
    <row r="30" spans="4:29" x14ac:dyDescent="0.2">
      <c r="D30" s="1017" t="s">
        <v>1032</v>
      </c>
      <c r="E30" s="1057"/>
      <c r="F30" s="1057"/>
      <c r="G30" s="1057"/>
      <c r="H30" s="1057"/>
      <c r="I30" s="1057"/>
      <c r="J30" s="1057"/>
      <c r="K30" s="1058">
        <f t="shared" ref="K30:X30" si="1">+K29/K25</f>
        <v>0.68149466192170816</v>
      </c>
      <c r="L30" s="1058">
        <f t="shared" si="1"/>
        <v>0.80154142581888244</v>
      </c>
      <c r="M30" s="1058">
        <f t="shared" si="1"/>
        <v>0.72458172458172454</v>
      </c>
      <c r="N30" s="1058">
        <f t="shared" si="1"/>
        <v>0.70026525198938994</v>
      </c>
      <c r="O30" s="1058">
        <f t="shared" si="1"/>
        <v>0.76300578034682076</v>
      </c>
      <c r="P30" s="1058">
        <f t="shared" si="1"/>
        <v>0.67675378266850073</v>
      </c>
      <c r="Q30" s="1058">
        <f t="shared" si="1"/>
        <v>0.79104477611940294</v>
      </c>
      <c r="R30" s="1058">
        <f t="shared" si="1"/>
        <v>0.79931192660550454</v>
      </c>
      <c r="S30" s="1058">
        <f t="shared" si="1"/>
        <v>0.7992424242424242</v>
      </c>
      <c r="T30" s="1058">
        <f t="shared" si="1"/>
        <v>0.8370786516853933</v>
      </c>
      <c r="U30" s="1058">
        <f t="shared" si="1"/>
        <v>0.88224121557454893</v>
      </c>
      <c r="V30" s="1058">
        <f t="shared" si="1"/>
        <v>0.88397790055248615</v>
      </c>
      <c r="W30" s="1058">
        <f t="shared" si="1"/>
        <v>0.88257575757575757</v>
      </c>
      <c r="X30" s="1059">
        <f t="shared" si="1"/>
        <v>0.82850384387936138</v>
      </c>
      <c r="Y30" s="1059">
        <f>Y29/Y25</f>
        <v>0.77983539094650201</v>
      </c>
      <c r="Z30" s="1059">
        <f t="shared" ref="Z30:AA30" si="2">Z29/Z25</f>
        <v>0.8922558922558923</v>
      </c>
      <c r="AA30" s="1059">
        <f t="shared" si="2"/>
        <v>0.84962406015037595</v>
      </c>
      <c r="AB30" s="1059"/>
      <c r="AC30" s="1059"/>
    </row>
    <row r="31" spans="4:29" x14ac:dyDescent="0.2">
      <c r="D31" s="1017"/>
      <c r="E31" s="1057"/>
      <c r="F31" s="1057"/>
      <c r="G31" s="1057"/>
      <c r="H31" s="1057"/>
      <c r="I31" s="1057"/>
      <c r="J31" s="1057"/>
      <c r="K31" s="1057"/>
      <c r="L31" s="1057"/>
      <c r="M31" s="1057"/>
      <c r="N31" s="1057"/>
      <c r="O31" s="1057"/>
      <c r="P31" s="1057"/>
      <c r="Q31" s="1057"/>
      <c r="R31" s="1057"/>
      <c r="S31" s="1057"/>
      <c r="T31" s="1057"/>
      <c r="U31" s="1057"/>
      <c r="V31" s="1057"/>
      <c r="W31" s="1057"/>
    </row>
    <row r="32" spans="4:29" x14ac:dyDescent="0.2">
      <c r="D32" s="1017"/>
      <c r="E32" s="1057"/>
      <c r="F32" s="1057"/>
      <c r="G32" s="1057"/>
      <c r="H32" s="1057"/>
      <c r="I32" s="1057"/>
      <c r="J32" s="1057"/>
      <c r="K32" s="1057"/>
      <c r="L32" s="1057"/>
      <c r="M32" s="1057"/>
      <c r="N32" s="1057"/>
      <c r="O32" s="1057"/>
      <c r="P32" s="1057"/>
      <c r="Q32" s="1057"/>
      <c r="R32" s="1057"/>
      <c r="S32" s="1057"/>
      <c r="T32" s="1057"/>
      <c r="U32" s="1057"/>
      <c r="V32" s="1057"/>
      <c r="W32" s="1057"/>
    </row>
    <row r="33" spans="1:52" x14ac:dyDescent="0.2">
      <c r="D33" s="1017"/>
      <c r="E33" s="1057"/>
      <c r="F33" s="1057"/>
      <c r="G33" s="1057"/>
      <c r="H33" s="1057"/>
      <c r="I33" s="1057"/>
      <c r="J33" s="1057"/>
      <c r="K33" s="1057"/>
      <c r="L33" s="1057"/>
      <c r="M33" s="1057"/>
      <c r="N33" s="1057"/>
      <c r="O33" s="1057"/>
      <c r="P33" s="1057"/>
      <c r="Q33" s="1057"/>
      <c r="R33" s="1057"/>
      <c r="S33" s="1057"/>
      <c r="T33" s="1057"/>
      <c r="U33" s="1057"/>
      <c r="V33" s="1057"/>
      <c r="W33" s="1057"/>
    </row>
    <row r="34" spans="1:52" x14ac:dyDescent="0.2">
      <c r="D34" s="998" t="s">
        <v>663</v>
      </c>
      <c r="E34" s="1060" t="s">
        <v>1033</v>
      </c>
      <c r="F34" s="1061"/>
      <c r="G34" s="1061"/>
      <c r="H34" s="1057"/>
      <c r="I34" s="1057"/>
      <c r="J34" s="1057"/>
      <c r="K34" s="1057"/>
      <c r="L34" s="1057"/>
      <c r="M34" s="1057"/>
      <c r="N34" s="1057"/>
      <c r="O34" s="1057"/>
      <c r="P34" s="1062"/>
      <c r="Q34" s="1057"/>
    </row>
    <row r="35" spans="1:52" x14ac:dyDescent="0.2">
      <c r="D35" s="1063"/>
      <c r="E35" s="4826">
        <v>2005</v>
      </c>
      <c r="F35" s="4826"/>
      <c r="G35" s="4827"/>
      <c r="H35" s="4826">
        <v>2006</v>
      </c>
      <c r="I35" s="4826"/>
      <c r="J35" s="4827"/>
      <c r="K35" s="4826">
        <v>2007</v>
      </c>
      <c r="L35" s="4826"/>
      <c r="M35" s="4827"/>
      <c r="N35" s="4826">
        <v>2008</v>
      </c>
      <c r="O35" s="4826"/>
      <c r="P35" s="4827"/>
      <c r="Q35" s="4826">
        <v>2009</v>
      </c>
      <c r="R35" s="4826"/>
      <c r="S35" s="4827"/>
      <c r="T35" s="4826">
        <v>2010</v>
      </c>
      <c r="U35" s="4826"/>
      <c r="V35" s="4827"/>
      <c r="W35" s="4826">
        <v>2011</v>
      </c>
      <c r="X35" s="4826"/>
      <c r="Y35" s="4827"/>
      <c r="Z35" s="4826">
        <v>2012</v>
      </c>
      <c r="AA35" s="4826"/>
      <c r="AB35" s="4827"/>
      <c r="AC35" s="4828">
        <v>2013</v>
      </c>
      <c r="AD35" s="4826"/>
      <c r="AE35" s="4827"/>
      <c r="AF35" s="4828">
        <v>2014</v>
      </c>
      <c r="AG35" s="4826"/>
      <c r="AH35" s="4827"/>
      <c r="AI35" s="4828">
        <v>2015</v>
      </c>
      <c r="AJ35" s="4826"/>
      <c r="AK35" s="4827"/>
      <c r="AL35" s="4828">
        <v>2016</v>
      </c>
      <c r="AM35" s="4826"/>
      <c r="AN35" s="4827"/>
      <c r="AO35" s="4828">
        <v>2017</v>
      </c>
      <c r="AP35" s="4826"/>
      <c r="AQ35" s="4827"/>
      <c r="AR35" s="4828">
        <v>2018</v>
      </c>
      <c r="AS35" s="4826"/>
      <c r="AT35" s="4827"/>
      <c r="AU35" s="4828">
        <v>2019</v>
      </c>
      <c r="AV35" s="4826"/>
      <c r="AW35" s="4827"/>
      <c r="AX35" s="4828">
        <v>2020</v>
      </c>
      <c r="AY35" s="4826"/>
      <c r="AZ35" s="4827"/>
    </row>
    <row r="36" spans="1:52" x14ac:dyDescent="0.2">
      <c r="D36" s="1064"/>
      <c r="E36" s="3430" t="s">
        <v>647</v>
      </c>
      <c r="F36" s="3430" t="s">
        <v>648</v>
      </c>
      <c r="G36" s="3431" t="s">
        <v>50</v>
      </c>
      <c r="H36" s="3430" t="s">
        <v>647</v>
      </c>
      <c r="I36" s="3430" t="s">
        <v>648</v>
      </c>
      <c r="J36" s="3431" t="s">
        <v>50</v>
      </c>
      <c r="K36" s="3430" t="s">
        <v>647</v>
      </c>
      <c r="L36" s="3430" t="s">
        <v>648</v>
      </c>
      <c r="M36" s="3431" t="s">
        <v>50</v>
      </c>
      <c r="N36" s="3430" t="s">
        <v>647</v>
      </c>
      <c r="O36" s="3430" t="s">
        <v>648</v>
      </c>
      <c r="P36" s="3431" t="s">
        <v>50</v>
      </c>
      <c r="Q36" s="3430" t="s">
        <v>647</v>
      </c>
      <c r="R36" s="3430" t="s">
        <v>648</v>
      </c>
      <c r="S36" s="3431" t="s">
        <v>50</v>
      </c>
      <c r="T36" s="3430" t="s">
        <v>647</v>
      </c>
      <c r="U36" s="3430" t="s">
        <v>648</v>
      </c>
      <c r="V36" s="3431" t="s">
        <v>50</v>
      </c>
      <c r="W36" s="3430" t="s">
        <v>647</v>
      </c>
      <c r="X36" s="3430" t="s">
        <v>648</v>
      </c>
      <c r="Y36" s="3431" t="s">
        <v>50</v>
      </c>
      <c r="Z36" s="3430" t="s">
        <v>647</v>
      </c>
      <c r="AA36" s="3430" t="s">
        <v>648</v>
      </c>
      <c r="AB36" s="3431" t="s">
        <v>50</v>
      </c>
      <c r="AC36" s="3549" t="s">
        <v>647</v>
      </c>
      <c r="AD36" s="3430" t="s">
        <v>648</v>
      </c>
      <c r="AE36" s="3431" t="s">
        <v>50</v>
      </c>
      <c r="AF36" s="3549" t="s">
        <v>647</v>
      </c>
      <c r="AG36" s="3430" t="s">
        <v>648</v>
      </c>
      <c r="AH36" s="3431" t="s">
        <v>50</v>
      </c>
      <c r="AI36" s="3549" t="s">
        <v>647</v>
      </c>
      <c r="AJ36" s="3430" t="s">
        <v>648</v>
      </c>
      <c r="AK36" s="3431" t="s">
        <v>50</v>
      </c>
      <c r="AL36" s="3549" t="s">
        <v>647</v>
      </c>
      <c r="AM36" s="3430" t="s">
        <v>648</v>
      </c>
      <c r="AN36" s="3431" t="s">
        <v>50</v>
      </c>
      <c r="AO36" s="3549" t="s">
        <v>647</v>
      </c>
      <c r="AP36" s="3430" t="s">
        <v>648</v>
      </c>
      <c r="AQ36" s="3431" t="s">
        <v>50</v>
      </c>
      <c r="AR36" s="3549" t="s">
        <v>647</v>
      </c>
      <c r="AS36" s="3430" t="s">
        <v>648</v>
      </c>
      <c r="AT36" s="3431" t="s">
        <v>50</v>
      </c>
      <c r="AU36" s="3549" t="s">
        <v>647</v>
      </c>
      <c r="AV36" s="3430" t="s">
        <v>648</v>
      </c>
      <c r="AW36" s="3431" t="s">
        <v>50</v>
      </c>
      <c r="AX36" s="3549" t="s">
        <v>647</v>
      </c>
      <c r="AY36" s="3430" t="s">
        <v>648</v>
      </c>
      <c r="AZ36" s="3431" t="s">
        <v>50</v>
      </c>
    </row>
    <row r="37" spans="1:52" x14ac:dyDescent="0.2">
      <c r="D37" s="1065" t="s">
        <v>1034</v>
      </c>
      <c r="E37" s="1066">
        <v>225</v>
      </c>
      <c r="F37" s="1066">
        <v>98</v>
      </c>
      <c r="G37" s="1067">
        <v>323</v>
      </c>
      <c r="H37" s="1066">
        <v>143</v>
      </c>
      <c r="I37" s="1066">
        <v>34</v>
      </c>
      <c r="J37" s="1067">
        <v>177</v>
      </c>
      <c r="K37" s="1066">
        <v>62</v>
      </c>
      <c r="L37" s="1066">
        <v>12</v>
      </c>
      <c r="M37" s="1067">
        <v>74</v>
      </c>
      <c r="N37" s="1066">
        <v>192</v>
      </c>
      <c r="O37" s="1066">
        <v>43</v>
      </c>
      <c r="P37" s="1067">
        <v>235</v>
      </c>
      <c r="Q37" s="1066">
        <v>210</v>
      </c>
      <c r="R37" s="1066">
        <v>50</v>
      </c>
      <c r="S37" s="1067">
        <f>Q37+R37</f>
        <v>260</v>
      </c>
      <c r="T37" s="1066">
        <v>500</v>
      </c>
      <c r="U37" s="1066">
        <v>104</v>
      </c>
      <c r="V37" s="1067">
        <f>T37+U37</f>
        <v>604</v>
      </c>
      <c r="W37" s="1066">
        <v>306</v>
      </c>
      <c r="X37" s="1066">
        <f>25+6+5+32</f>
        <v>68</v>
      </c>
      <c r="Y37" s="1067">
        <f>SUM(W37:X37)</f>
        <v>374</v>
      </c>
      <c r="Z37" s="1066">
        <v>745</v>
      </c>
      <c r="AA37" s="1066">
        <v>202</v>
      </c>
      <c r="AB37" s="1067">
        <f>SUM(Z37:AA37)</f>
        <v>947</v>
      </c>
      <c r="AC37" s="1068">
        <v>258</v>
      </c>
      <c r="AD37" s="1066">
        <v>80</v>
      </c>
      <c r="AE37" s="1067">
        <f>SUM(AC37:AD37)</f>
        <v>338</v>
      </c>
      <c r="AF37" s="1068">
        <v>870</v>
      </c>
      <c r="AG37" s="1066">
        <v>277</v>
      </c>
      <c r="AH37" s="1067">
        <f>SUM(AF37:AG37)</f>
        <v>1147</v>
      </c>
      <c r="AI37" s="1068">
        <v>757</v>
      </c>
      <c r="AJ37" s="1066">
        <v>225</v>
      </c>
      <c r="AK37" s="1067">
        <f>SUM(AI37:AJ37)</f>
        <v>982</v>
      </c>
      <c r="AL37" s="1068">
        <v>757</v>
      </c>
      <c r="AM37" s="1066">
        <v>225</v>
      </c>
      <c r="AN37" s="1067">
        <f>SUM(AL37:AM37)</f>
        <v>982</v>
      </c>
      <c r="AO37" s="1068">
        <v>17</v>
      </c>
      <c r="AP37" s="1066">
        <v>7</v>
      </c>
      <c r="AQ37" s="1067">
        <v>24</v>
      </c>
      <c r="AR37" s="1068">
        <v>567</v>
      </c>
      <c r="AS37" s="1066">
        <v>186</v>
      </c>
      <c r="AT37" s="1067">
        <f>SUM(AR37:AS37)</f>
        <v>753</v>
      </c>
      <c r="AU37" s="1068"/>
      <c r="AV37" s="1066"/>
      <c r="AW37" s="1067"/>
      <c r="AX37" s="1068"/>
      <c r="AY37" s="1066"/>
      <c r="AZ37" s="1067"/>
    </row>
    <row r="38" spans="1:52" x14ac:dyDescent="0.2">
      <c r="D38" s="1069" t="s">
        <v>1035</v>
      </c>
      <c r="E38" s="1070">
        <v>236</v>
      </c>
      <c r="F38" s="1070">
        <v>70</v>
      </c>
      <c r="G38" s="1071">
        <v>306</v>
      </c>
      <c r="H38" s="1070">
        <v>193</v>
      </c>
      <c r="I38" s="1070">
        <v>72</v>
      </c>
      <c r="J38" s="1071">
        <v>265</v>
      </c>
      <c r="K38" s="1070">
        <v>161</v>
      </c>
      <c r="L38" s="1070">
        <v>45</v>
      </c>
      <c r="M38" s="1071">
        <v>206</v>
      </c>
      <c r="N38" s="1070">
        <v>303</v>
      </c>
      <c r="O38" s="1070">
        <v>109</v>
      </c>
      <c r="P38" s="1071">
        <v>412</v>
      </c>
      <c r="Q38" s="1070">
        <v>530</v>
      </c>
      <c r="R38" s="1070">
        <v>174</v>
      </c>
      <c r="S38" s="1071">
        <f>Q38+R38</f>
        <v>704</v>
      </c>
      <c r="T38" s="1070">
        <v>837</v>
      </c>
      <c r="U38" s="1070">
        <v>334</v>
      </c>
      <c r="V38" s="1071">
        <f>T38+U38</f>
        <v>1171</v>
      </c>
      <c r="W38" s="1070">
        <v>601</v>
      </c>
      <c r="X38" s="1070">
        <v>336</v>
      </c>
      <c r="Y38" s="1071">
        <f>SUM(W38:X38)</f>
        <v>937</v>
      </c>
      <c r="Z38" s="1070">
        <v>1349</v>
      </c>
      <c r="AA38" s="1070">
        <v>561</v>
      </c>
      <c r="AB38" s="1071">
        <f>SUM(Z38:AA38)</f>
        <v>1910</v>
      </c>
      <c r="AC38" s="1072">
        <v>754</v>
      </c>
      <c r="AD38" s="1070">
        <v>301</v>
      </c>
      <c r="AE38" s="1071">
        <f>SUM(AC38:AD38)</f>
        <v>1055</v>
      </c>
      <c r="AF38" s="1073">
        <v>1614</v>
      </c>
      <c r="AG38" s="1070">
        <v>675</v>
      </c>
      <c r="AH38" s="1071">
        <f>SUM(AF38:AG38)</f>
        <v>2289</v>
      </c>
      <c r="AI38" s="1073">
        <v>1365</v>
      </c>
      <c r="AJ38" s="1070">
        <v>649</v>
      </c>
      <c r="AK38" s="1071">
        <f>SUM(AI38:AJ38)</f>
        <v>2014</v>
      </c>
      <c r="AL38" s="1073">
        <v>1365</v>
      </c>
      <c r="AM38" s="1070">
        <v>649</v>
      </c>
      <c r="AN38" s="1071">
        <f>SUM(AL38:AM38)</f>
        <v>2014</v>
      </c>
      <c r="AO38" s="1073">
        <v>130</v>
      </c>
      <c r="AP38" s="1070">
        <v>50</v>
      </c>
      <c r="AQ38" s="1071">
        <v>180</v>
      </c>
      <c r="AR38" s="1073">
        <v>1297</v>
      </c>
      <c r="AS38" s="1070">
        <v>575</v>
      </c>
      <c r="AT38" s="1071">
        <f>SUM(AR38:AS38)</f>
        <v>1872</v>
      </c>
      <c r="AU38" s="1073"/>
      <c r="AV38" s="1070"/>
      <c r="AW38" s="1071"/>
      <c r="AX38" s="1073"/>
      <c r="AY38" s="1070"/>
      <c r="AZ38" s="1071"/>
    </row>
    <row r="39" spans="1:52" x14ac:dyDescent="0.2">
      <c r="P39" s="1018"/>
    </row>
    <row r="40" spans="1:52" s="996" customFormat="1" ht="14.25" customHeight="1" x14ac:dyDescent="0.2">
      <c r="A40" s="997">
        <v>5</v>
      </c>
      <c r="B40" s="997" t="s">
        <v>52</v>
      </c>
      <c r="C40" s="997"/>
      <c r="D40" s="4818" t="s">
        <v>1036</v>
      </c>
      <c r="E40" s="4819"/>
      <c r="F40" s="4819"/>
      <c r="G40" s="4819"/>
      <c r="H40" s="4819"/>
      <c r="I40" s="4819"/>
      <c r="J40" s="4819"/>
      <c r="K40" s="4819"/>
      <c r="L40" s="4819"/>
      <c r="M40" s="4819"/>
      <c r="N40" s="4819"/>
      <c r="O40" s="4819"/>
      <c r="P40" s="4819"/>
      <c r="Q40" s="4819"/>
      <c r="R40" s="4819"/>
      <c r="S40" s="4819"/>
      <c r="T40" s="4819"/>
      <c r="U40" s="4819"/>
      <c r="V40" s="4819"/>
      <c r="W40" s="4819"/>
      <c r="X40" s="4819"/>
      <c r="Y40" s="4819"/>
      <c r="Z40" s="4819"/>
      <c r="AA40" s="4819"/>
      <c r="AB40" s="4819"/>
      <c r="AC40" s="4819"/>
      <c r="AD40" s="4819"/>
      <c r="AE40" s="4819"/>
      <c r="AF40" s="4819"/>
      <c r="AG40" s="4819"/>
      <c r="AH40" s="4819"/>
      <c r="AI40" s="4819"/>
      <c r="AJ40" s="4819"/>
      <c r="AK40" s="4820"/>
    </row>
    <row r="41" spans="1:52" s="996" customFormat="1" ht="25.5" customHeight="1" x14ac:dyDescent="0.2">
      <c r="A41" s="1074">
        <v>6</v>
      </c>
      <c r="B41" s="1074" t="s">
        <v>54</v>
      </c>
      <c r="C41" s="1074"/>
      <c r="D41" s="4829" t="s">
        <v>1037</v>
      </c>
      <c r="E41" s="4830"/>
      <c r="F41" s="4830"/>
      <c r="G41" s="4830"/>
      <c r="H41" s="4830"/>
      <c r="I41" s="4830"/>
      <c r="J41" s="4830"/>
      <c r="K41" s="4830"/>
      <c r="L41" s="4830"/>
      <c r="M41" s="4830"/>
      <c r="N41" s="4830"/>
      <c r="O41" s="4830"/>
      <c r="P41" s="4830"/>
      <c r="Q41" s="4830"/>
      <c r="R41" s="4830"/>
      <c r="S41" s="4830"/>
      <c r="T41" s="4830"/>
      <c r="U41" s="4830"/>
      <c r="V41" s="4830"/>
      <c r="W41" s="4830"/>
      <c r="X41" s="4830"/>
      <c r="Y41" s="4830"/>
      <c r="Z41" s="4830"/>
      <c r="AA41" s="4830"/>
      <c r="AB41" s="4830"/>
      <c r="AC41" s="4830"/>
      <c r="AD41" s="4830"/>
      <c r="AE41" s="4830"/>
      <c r="AF41" s="4830"/>
      <c r="AG41" s="4830"/>
      <c r="AH41" s="4830"/>
      <c r="AI41" s="4830"/>
      <c r="AJ41" s="4830"/>
      <c r="AK41" s="4831"/>
    </row>
    <row r="42" spans="1:52" s="996" customFormat="1" ht="56.25" customHeight="1" x14ac:dyDescent="0.2">
      <c r="A42" s="668">
        <v>7</v>
      </c>
      <c r="B42" s="668" t="s">
        <v>56</v>
      </c>
      <c r="C42" s="997"/>
      <c r="D42" s="4829" t="s">
        <v>1038</v>
      </c>
      <c r="E42" s="4830"/>
      <c r="F42" s="4830"/>
      <c r="G42" s="4830"/>
      <c r="H42" s="4830"/>
      <c r="I42" s="4830"/>
      <c r="J42" s="4830"/>
      <c r="K42" s="4830"/>
      <c r="L42" s="4830"/>
      <c r="M42" s="4830"/>
      <c r="N42" s="4830"/>
      <c r="O42" s="4830"/>
      <c r="P42" s="4830"/>
      <c r="Q42" s="4830"/>
      <c r="R42" s="4830"/>
      <c r="S42" s="4830"/>
      <c r="T42" s="4830"/>
      <c r="U42" s="4830"/>
      <c r="V42" s="4830"/>
      <c r="W42" s="4830"/>
      <c r="X42" s="4830"/>
      <c r="Y42" s="4830"/>
      <c r="Z42" s="4830"/>
      <c r="AA42" s="4830"/>
      <c r="AB42" s="4830"/>
      <c r="AC42" s="4830"/>
      <c r="AD42" s="4830"/>
      <c r="AE42" s="4830"/>
      <c r="AF42" s="4830"/>
      <c r="AG42" s="4830"/>
      <c r="AH42" s="4830"/>
      <c r="AI42" s="4830"/>
      <c r="AJ42" s="4830"/>
      <c r="AK42" s="4831"/>
    </row>
    <row r="43" spans="1:52" ht="54" customHeight="1" x14ac:dyDescent="0.2">
      <c r="A43" s="668">
        <v>8</v>
      </c>
      <c r="B43" s="668" t="s">
        <v>58</v>
      </c>
      <c r="D43" s="4829" t="s">
        <v>1039</v>
      </c>
      <c r="E43" s="4830"/>
      <c r="F43" s="4830"/>
      <c r="G43" s="4830"/>
      <c r="H43" s="4830"/>
      <c r="I43" s="4830"/>
      <c r="J43" s="4830"/>
      <c r="K43" s="4830"/>
      <c r="L43" s="4830"/>
      <c r="M43" s="4830"/>
      <c r="N43" s="4830"/>
      <c r="O43" s="4830"/>
      <c r="P43" s="4830"/>
      <c r="Q43" s="4830"/>
      <c r="R43" s="4830"/>
      <c r="S43" s="4830"/>
      <c r="T43" s="4830"/>
      <c r="U43" s="4830"/>
      <c r="V43" s="4830"/>
      <c r="W43" s="4830"/>
      <c r="X43" s="4830"/>
      <c r="Y43" s="4830"/>
      <c r="Z43" s="4830"/>
      <c r="AA43" s="4830"/>
      <c r="AB43" s="4830"/>
      <c r="AC43" s="4830"/>
      <c r="AD43" s="4830"/>
      <c r="AE43" s="4830"/>
      <c r="AF43" s="4830"/>
      <c r="AG43" s="4830"/>
      <c r="AH43" s="4830"/>
      <c r="AI43" s="4830"/>
      <c r="AJ43" s="4830"/>
      <c r="AK43" s="4831"/>
    </row>
    <row r="45" spans="1:52" x14ac:dyDescent="0.2">
      <c r="D45" s="1075"/>
      <c r="E45" s="1075"/>
      <c r="F45" s="1075"/>
      <c r="G45" s="1075"/>
      <c r="H45" s="1075"/>
      <c r="I45" s="1076"/>
      <c r="J45" s="1076"/>
      <c r="K45" s="1075"/>
      <c r="L45" s="1075"/>
      <c r="M45" s="1075"/>
      <c r="N45" s="1075"/>
      <c r="O45" s="1075"/>
      <c r="P45" s="1075"/>
      <c r="Q45" s="1075"/>
    </row>
    <row r="46" spans="1:52" x14ac:dyDescent="0.2">
      <c r="D46" s="1075"/>
      <c r="E46" s="1075"/>
      <c r="F46" s="1075"/>
      <c r="G46" s="1075"/>
      <c r="H46" s="1075"/>
      <c r="I46" s="1076"/>
      <c r="J46" s="1076"/>
      <c r="K46" s="1075"/>
      <c r="L46" s="1075"/>
      <c r="M46" s="1075"/>
      <c r="N46" s="1075"/>
      <c r="O46" s="1075"/>
      <c r="P46" s="1075"/>
      <c r="Q46" s="1075"/>
    </row>
    <row r="47" spans="1:52" x14ac:dyDescent="0.2">
      <c r="D47" s="1075"/>
      <c r="E47" s="1075"/>
      <c r="F47" s="1075"/>
      <c r="G47" s="1075"/>
      <c r="H47" s="1075"/>
      <c r="I47" s="1076"/>
      <c r="J47" s="1076"/>
      <c r="K47" s="1075"/>
      <c r="L47" s="1075"/>
      <c r="M47" s="1075"/>
      <c r="N47" s="1075"/>
      <c r="O47" s="1075"/>
      <c r="P47" s="1075"/>
      <c r="Q47" s="1075"/>
    </row>
    <row r="48" spans="1:52" x14ac:dyDescent="0.2">
      <c r="D48" s="1077"/>
      <c r="E48" s="1077"/>
      <c r="F48" s="1077"/>
      <c r="G48" s="1077"/>
      <c r="H48" s="1077"/>
      <c r="I48" s="1077"/>
      <c r="J48" s="1077"/>
      <c r="K48" s="1077"/>
      <c r="L48" s="1077"/>
      <c r="M48" s="1077"/>
      <c r="N48" s="1077"/>
      <c r="O48" s="1077"/>
      <c r="P48" s="1077"/>
      <c r="Q48" s="1077"/>
    </row>
    <row r="49" spans="2:17" x14ac:dyDescent="0.2">
      <c r="B49" s="1078"/>
      <c r="C49" s="1078"/>
      <c r="D49" s="1079"/>
      <c r="E49" s="1079"/>
      <c r="F49" s="1079"/>
      <c r="G49" s="1079"/>
      <c r="H49" s="1079"/>
      <c r="I49" s="1079"/>
      <c r="J49" s="1079"/>
      <c r="K49" s="1079"/>
      <c r="L49" s="1079"/>
      <c r="M49" s="1079"/>
      <c r="N49" s="1079"/>
      <c r="O49" s="1079"/>
      <c r="P49" s="1079"/>
      <c r="Q49" s="1079"/>
    </row>
    <row r="50" spans="2:17" x14ac:dyDescent="0.2">
      <c r="D50" s="1080"/>
      <c r="E50" s="1080"/>
      <c r="H50" s="1080"/>
      <c r="I50" s="1080"/>
      <c r="J50" s="1080"/>
      <c r="K50" s="1080"/>
      <c r="L50" s="1080"/>
      <c r="M50" s="1080"/>
      <c r="N50" s="1080"/>
      <c r="O50" s="1080"/>
      <c r="P50" s="1080"/>
      <c r="Q50" s="1080"/>
    </row>
  </sheetData>
  <mergeCells count="27">
    <mergeCell ref="D41:AK41"/>
    <mergeCell ref="D42:AK42"/>
    <mergeCell ref="D43:AK43"/>
    <mergeCell ref="AL35:AN35"/>
    <mergeCell ref="AO35:AQ35"/>
    <mergeCell ref="AR35:AT35"/>
    <mergeCell ref="AU35:AW35"/>
    <mergeCell ref="AX35:AZ35"/>
    <mergeCell ref="D40:AK40"/>
    <mergeCell ref="T35:V35"/>
    <mergeCell ref="W35:Y35"/>
    <mergeCell ref="Z35:AB35"/>
    <mergeCell ref="AC35:AE35"/>
    <mergeCell ref="AF35:AH35"/>
    <mergeCell ref="AI35:AK35"/>
    <mergeCell ref="Q35:S35"/>
    <mergeCell ref="D28:H28"/>
    <mergeCell ref="E35:G35"/>
    <mergeCell ref="H35:J35"/>
    <mergeCell ref="K35:M35"/>
    <mergeCell ref="N35:P35"/>
    <mergeCell ref="D27:H27"/>
    <mergeCell ref="D2:AN2"/>
    <mergeCell ref="D3:AN3"/>
    <mergeCell ref="D4:AN4"/>
    <mergeCell ref="D5:AN5"/>
    <mergeCell ref="D26:H26"/>
  </mergeCells>
  <pageMargins left="0.23622047244094491" right="0.23622047244094491" top="0.74803149606299213" bottom="0.74803149606299213" header="0.31496062992125984" footer="0.31496062992125984"/>
  <pageSetup paperSize="8" scale="60" fitToWidth="0" orientation="landscape" r:id="rId1"/>
  <headerFooter alignWithMargins="0">
    <oddHeader>&amp;C&amp;"-,Bold"DEVELOPMENT INDICATORS 2017</oddHeader>
    <oddFooter>&amp;LDepartment of Planning, Monitoring and Evaluation (DPME). &amp;CPage &amp;P of &amp;N&amp;R&amp;D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0176B-7163-4152-AB7C-A28AAA912963}">
  <sheetPr>
    <tabColor theme="9"/>
    <pageSetUpPr fitToPage="1"/>
  </sheetPr>
  <dimension ref="A1:AB58"/>
  <sheetViews>
    <sheetView showGridLines="0" view="pageBreakPreview" topLeftCell="A13" zoomScaleNormal="100" zoomScaleSheetLayoutView="100" workbookViewId="0">
      <selection activeCell="Y25" sqref="Y25"/>
    </sheetView>
  </sheetViews>
  <sheetFormatPr defaultColWidth="9.140625" defaultRowHeight="15" x14ac:dyDescent="0.25"/>
  <cols>
    <col min="1" max="1" width="3.85546875" style="509" customWidth="1"/>
    <col min="2" max="2" width="14.42578125" style="1119" customWidth="1"/>
    <col min="3" max="3" width="3.85546875" style="1119" customWidth="1"/>
    <col min="4" max="4" width="20.5703125" style="113" customWidth="1"/>
    <col min="5" max="19" width="9.140625" style="113" customWidth="1"/>
    <col min="20" max="21" width="6.85546875" style="113" customWidth="1"/>
    <col min="22" max="24" width="5.5703125" style="113" customWidth="1"/>
    <col min="25" max="261" width="9.140625" style="113"/>
    <col min="262" max="262" width="3.85546875" style="113" customWidth="1"/>
    <col min="263" max="263" width="14.42578125" style="113" customWidth="1"/>
    <col min="264" max="264" width="3.85546875" style="113" customWidth="1"/>
    <col min="265" max="265" width="20.5703125" style="113" customWidth="1"/>
    <col min="266" max="276" width="9.140625" style="113" customWidth="1"/>
    <col min="277" max="279" width="5.5703125" style="113" customWidth="1"/>
    <col min="280" max="517" width="9.140625" style="113"/>
    <col min="518" max="518" width="3.85546875" style="113" customWidth="1"/>
    <col min="519" max="519" width="14.42578125" style="113" customWidth="1"/>
    <col min="520" max="520" width="3.85546875" style="113" customWidth="1"/>
    <col min="521" max="521" width="20.5703125" style="113" customWidth="1"/>
    <col min="522" max="532" width="9.140625" style="113" customWidth="1"/>
    <col min="533" max="535" width="5.5703125" style="113" customWidth="1"/>
    <col min="536" max="773" width="9.140625" style="113"/>
    <col min="774" max="774" width="3.85546875" style="113" customWidth="1"/>
    <col min="775" max="775" width="14.42578125" style="113" customWidth="1"/>
    <col min="776" max="776" width="3.85546875" style="113" customWidth="1"/>
    <col min="777" max="777" width="20.5703125" style="113" customWidth="1"/>
    <col min="778" max="788" width="9.140625" style="113" customWidth="1"/>
    <col min="789" max="791" width="5.5703125" style="113" customWidth="1"/>
    <col min="792" max="1029" width="9.140625" style="113"/>
    <col min="1030" max="1030" width="3.85546875" style="113" customWidth="1"/>
    <col min="1031" max="1031" width="14.42578125" style="113" customWidth="1"/>
    <col min="1032" max="1032" width="3.85546875" style="113" customWidth="1"/>
    <col min="1033" max="1033" width="20.5703125" style="113" customWidth="1"/>
    <col min="1034" max="1044" width="9.140625" style="113" customWidth="1"/>
    <col min="1045" max="1047" width="5.5703125" style="113" customWidth="1"/>
    <col min="1048" max="1285" width="9.140625" style="113"/>
    <col min="1286" max="1286" width="3.85546875" style="113" customWidth="1"/>
    <col min="1287" max="1287" width="14.42578125" style="113" customWidth="1"/>
    <col min="1288" max="1288" width="3.85546875" style="113" customWidth="1"/>
    <col min="1289" max="1289" width="20.5703125" style="113" customWidth="1"/>
    <col min="1290" max="1300" width="9.140625" style="113" customWidth="1"/>
    <col min="1301" max="1303" width="5.5703125" style="113" customWidth="1"/>
    <col min="1304" max="1541" width="9.140625" style="113"/>
    <col min="1542" max="1542" width="3.85546875" style="113" customWidth="1"/>
    <col min="1543" max="1543" width="14.42578125" style="113" customWidth="1"/>
    <col min="1544" max="1544" width="3.85546875" style="113" customWidth="1"/>
    <col min="1545" max="1545" width="20.5703125" style="113" customWidth="1"/>
    <col min="1546" max="1556" width="9.140625" style="113" customWidth="1"/>
    <col min="1557" max="1559" width="5.5703125" style="113" customWidth="1"/>
    <col min="1560" max="1797" width="9.140625" style="113"/>
    <col min="1798" max="1798" width="3.85546875" style="113" customWidth="1"/>
    <col min="1799" max="1799" width="14.42578125" style="113" customWidth="1"/>
    <col min="1800" max="1800" width="3.85546875" style="113" customWidth="1"/>
    <col min="1801" max="1801" width="20.5703125" style="113" customWidth="1"/>
    <col min="1802" max="1812" width="9.140625" style="113" customWidth="1"/>
    <col min="1813" max="1815" width="5.5703125" style="113" customWidth="1"/>
    <col min="1816" max="2053" width="9.140625" style="113"/>
    <col min="2054" max="2054" width="3.85546875" style="113" customWidth="1"/>
    <col min="2055" max="2055" width="14.42578125" style="113" customWidth="1"/>
    <col min="2056" max="2056" width="3.85546875" style="113" customWidth="1"/>
    <col min="2057" max="2057" width="20.5703125" style="113" customWidth="1"/>
    <col min="2058" max="2068" width="9.140625" style="113" customWidth="1"/>
    <col min="2069" max="2071" width="5.5703125" style="113" customWidth="1"/>
    <col min="2072" max="2309" width="9.140625" style="113"/>
    <col min="2310" max="2310" width="3.85546875" style="113" customWidth="1"/>
    <col min="2311" max="2311" width="14.42578125" style="113" customWidth="1"/>
    <col min="2312" max="2312" width="3.85546875" style="113" customWidth="1"/>
    <col min="2313" max="2313" width="20.5703125" style="113" customWidth="1"/>
    <col min="2314" max="2324" width="9.140625" style="113" customWidth="1"/>
    <col min="2325" max="2327" width="5.5703125" style="113" customWidth="1"/>
    <col min="2328" max="2565" width="9.140625" style="113"/>
    <col min="2566" max="2566" width="3.85546875" style="113" customWidth="1"/>
    <col min="2567" max="2567" width="14.42578125" style="113" customWidth="1"/>
    <col min="2568" max="2568" width="3.85546875" style="113" customWidth="1"/>
    <col min="2569" max="2569" width="20.5703125" style="113" customWidth="1"/>
    <col min="2570" max="2580" width="9.140625" style="113" customWidth="1"/>
    <col min="2581" max="2583" width="5.5703125" style="113" customWidth="1"/>
    <col min="2584" max="2821" width="9.140625" style="113"/>
    <col min="2822" max="2822" width="3.85546875" style="113" customWidth="1"/>
    <col min="2823" max="2823" width="14.42578125" style="113" customWidth="1"/>
    <col min="2824" max="2824" width="3.85546875" style="113" customWidth="1"/>
    <col min="2825" max="2825" width="20.5703125" style="113" customWidth="1"/>
    <col min="2826" max="2836" width="9.140625" style="113" customWidth="1"/>
    <col min="2837" max="2839" width="5.5703125" style="113" customWidth="1"/>
    <col min="2840" max="3077" width="9.140625" style="113"/>
    <col min="3078" max="3078" width="3.85546875" style="113" customWidth="1"/>
    <col min="3079" max="3079" width="14.42578125" style="113" customWidth="1"/>
    <col min="3080" max="3080" width="3.85546875" style="113" customWidth="1"/>
    <col min="3081" max="3081" width="20.5703125" style="113" customWidth="1"/>
    <col min="3082" max="3092" width="9.140625" style="113" customWidth="1"/>
    <col min="3093" max="3095" width="5.5703125" style="113" customWidth="1"/>
    <col min="3096" max="3333" width="9.140625" style="113"/>
    <col min="3334" max="3334" width="3.85546875" style="113" customWidth="1"/>
    <col min="3335" max="3335" width="14.42578125" style="113" customWidth="1"/>
    <col min="3336" max="3336" width="3.85546875" style="113" customWidth="1"/>
    <col min="3337" max="3337" width="20.5703125" style="113" customWidth="1"/>
    <col min="3338" max="3348" width="9.140625" style="113" customWidth="1"/>
    <col min="3349" max="3351" width="5.5703125" style="113" customWidth="1"/>
    <col min="3352" max="3589" width="9.140625" style="113"/>
    <col min="3590" max="3590" width="3.85546875" style="113" customWidth="1"/>
    <col min="3591" max="3591" width="14.42578125" style="113" customWidth="1"/>
    <col min="3592" max="3592" width="3.85546875" style="113" customWidth="1"/>
    <col min="3593" max="3593" width="20.5703125" style="113" customWidth="1"/>
    <col min="3594" max="3604" width="9.140625" style="113" customWidth="1"/>
    <col min="3605" max="3607" width="5.5703125" style="113" customWidth="1"/>
    <col min="3608" max="3845" width="9.140625" style="113"/>
    <col min="3846" max="3846" width="3.85546875" style="113" customWidth="1"/>
    <col min="3847" max="3847" width="14.42578125" style="113" customWidth="1"/>
    <col min="3848" max="3848" width="3.85546875" style="113" customWidth="1"/>
    <col min="3849" max="3849" width="20.5703125" style="113" customWidth="1"/>
    <col min="3850" max="3860" width="9.140625" style="113" customWidth="1"/>
    <col min="3861" max="3863" width="5.5703125" style="113" customWidth="1"/>
    <col min="3864" max="4101" width="9.140625" style="113"/>
    <col min="4102" max="4102" width="3.85546875" style="113" customWidth="1"/>
    <col min="4103" max="4103" width="14.42578125" style="113" customWidth="1"/>
    <col min="4104" max="4104" width="3.85546875" style="113" customWidth="1"/>
    <col min="4105" max="4105" width="20.5703125" style="113" customWidth="1"/>
    <col min="4106" max="4116" width="9.140625" style="113" customWidth="1"/>
    <col min="4117" max="4119" width="5.5703125" style="113" customWidth="1"/>
    <col min="4120" max="4357" width="9.140625" style="113"/>
    <col min="4358" max="4358" width="3.85546875" style="113" customWidth="1"/>
    <col min="4359" max="4359" width="14.42578125" style="113" customWidth="1"/>
    <col min="4360" max="4360" width="3.85546875" style="113" customWidth="1"/>
    <col min="4361" max="4361" width="20.5703125" style="113" customWidth="1"/>
    <col min="4362" max="4372" width="9.140625" style="113" customWidth="1"/>
    <col min="4373" max="4375" width="5.5703125" style="113" customWidth="1"/>
    <col min="4376" max="4613" width="9.140625" style="113"/>
    <col min="4614" max="4614" width="3.85546875" style="113" customWidth="1"/>
    <col min="4615" max="4615" width="14.42578125" style="113" customWidth="1"/>
    <col min="4616" max="4616" width="3.85546875" style="113" customWidth="1"/>
    <col min="4617" max="4617" width="20.5703125" style="113" customWidth="1"/>
    <col min="4618" max="4628" width="9.140625" style="113" customWidth="1"/>
    <col min="4629" max="4631" width="5.5703125" style="113" customWidth="1"/>
    <col min="4632" max="4869" width="9.140625" style="113"/>
    <col min="4870" max="4870" width="3.85546875" style="113" customWidth="1"/>
    <col min="4871" max="4871" width="14.42578125" style="113" customWidth="1"/>
    <col min="4872" max="4872" width="3.85546875" style="113" customWidth="1"/>
    <col min="4873" max="4873" width="20.5703125" style="113" customWidth="1"/>
    <col min="4874" max="4884" width="9.140625" style="113" customWidth="1"/>
    <col min="4885" max="4887" width="5.5703125" style="113" customWidth="1"/>
    <col min="4888" max="5125" width="9.140625" style="113"/>
    <col min="5126" max="5126" width="3.85546875" style="113" customWidth="1"/>
    <col min="5127" max="5127" width="14.42578125" style="113" customWidth="1"/>
    <col min="5128" max="5128" width="3.85546875" style="113" customWidth="1"/>
    <col min="5129" max="5129" width="20.5703125" style="113" customWidth="1"/>
    <col min="5130" max="5140" width="9.140625" style="113" customWidth="1"/>
    <col min="5141" max="5143" width="5.5703125" style="113" customWidth="1"/>
    <col min="5144" max="5381" width="9.140625" style="113"/>
    <col min="5382" max="5382" width="3.85546875" style="113" customWidth="1"/>
    <col min="5383" max="5383" width="14.42578125" style="113" customWidth="1"/>
    <col min="5384" max="5384" width="3.85546875" style="113" customWidth="1"/>
    <col min="5385" max="5385" width="20.5703125" style="113" customWidth="1"/>
    <col min="5386" max="5396" width="9.140625" style="113" customWidth="1"/>
    <col min="5397" max="5399" width="5.5703125" style="113" customWidth="1"/>
    <col min="5400" max="5637" width="9.140625" style="113"/>
    <col min="5638" max="5638" width="3.85546875" style="113" customWidth="1"/>
    <col min="5639" max="5639" width="14.42578125" style="113" customWidth="1"/>
    <col min="5640" max="5640" width="3.85546875" style="113" customWidth="1"/>
    <col min="5641" max="5641" width="20.5703125" style="113" customWidth="1"/>
    <col min="5642" max="5652" width="9.140625" style="113" customWidth="1"/>
    <col min="5653" max="5655" width="5.5703125" style="113" customWidth="1"/>
    <col min="5656" max="5893" width="9.140625" style="113"/>
    <col min="5894" max="5894" width="3.85546875" style="113" customWidth="1"/>
    <col min="5895" max="5895" width="14.42578125" style="113" customWidth="1"/>
    <col min="5896" max="5896" width="3.85546875" style="113" customWidth="1"/>
    <col min="5897" max="5897" width="20.5703125" style="113" customWidth="1"/>
    <col min="5898" max="5908" width="9.140625" style="113" customWidth="1"/>
    <col min="5909" max="5911" width="5.5703125" style="113" customWidth="1"/>
    <col min="5912" max="6149" width="9.140625" style="113"/>
    <col min="6150" max="6150" width="3.85546875" style="113" customWidth="1"/>
    <col min="6151" max="6151" width="14.42578125" style="113" customWidth="1"/>
    <col min="6152" max="6152" width="3.85546875" style="113" customWidth="1"/>
    <col min="6153" max="6153" width="20.5703125" style="113" customWidth="1"/>
    <col min="6154" max="6164" width="9.140625" style="113" customWidth="1"/>
    <col min="6165" max="6167" width="5.5703125" style="113" customWidth="1"/>
    <col min="6168" max="6405" width="9.140625" style="113"/>
    <col min="6406" max="6406" width="3.85546875" style="113" customWidth="1"/>
    <col min="6407" max="6407" width="14.42578125" style="113" customWidth="1"/>
    <col min="6408" max="6408" width="3.85546875" style="113" customWidth="1"/>
    <col min="6409" max="6409" width="20.5703125" style="113" customWidth="1"/>
    <col min="6410" max="6420" width="9.140625" style="113" customWidth="1"/>
    <col min="6421" max="6423" width="5.5703125" style="113" customWidth="1"/>
    <col min="6424" max="6661" width="9.140625" style="113"/>
    <col min="6662" max="6662" width="3.85546875" style="113" customWidth="1"/>
    <col min="6663" max="6663" width="14.42578125" style="113" customWidth="1"/>
    <col min="6664" max="6664" width="3.85546875" style="113" customWidth="1"/>
    <col min="6665" max="6665" width="20.5703125" style="113" customWidth="1"/>
    <col min="6666" max="6676" width="9.140625" style="113" customWidth="1"/>
    <col min="6677" max="6679" width="5.5703125" style="113" customWidth="1"/>
    <col min="6680" max="6917" width="9.140625" style="113"/>
    <col min="6918" max="6918" width="3.85546875" style="113" customWidth="1"/>
    <col min="6919" max="6919" width="14.42578125" style="113" customWidth="1"/>
    <col min="6920" max="6920" width="3.85546875" style="113" customWidth="1"/>
    <col min="6921" max="6921" width="20.5703125" style="113" customWidth="1"/>
    <col min="6922" max="6932" width="9.140625" style="113" customWidth="1"/>
    <col min="6933" max="6935" width="5.5703125" style="113" customWidth="1"/>
    <col min="6936" max="7173" width="9.140625" style="113"/>
    <col min="7174" max="7174" width="3.85546875" style="113" customWidth="1"/>
    <col min="7175" max="7175" width="14.42578125" style="113" customWidth="1"/>
    <col min="7176" max="7176" width="3.85546875" style="113" customWidth="1"/>
    <col min="7177" max="7177" width="20.5703125" style="113" customWidth="1"/>
    <col min="7178" max="7188" width="9.140625" style="113" customWidth="1"/>
    <col min="7189" max="7191" width="5.5703125" style="113" customWidth="1"/>
    <col min="7192" max="7429" width="9.140625" style="113"/>
    <col min="7430" max="7430" width="3.85546875" style="113" customWidth="1"/>
    <col min="7431" max="7431" width="14.42578125" style="113" customWidth="1"/>
    <col min="7432" max="7432" width="3.85546875" style="113" customWidth="1"/>
    <col min="7433" max="7433" width="20.5703125" style="113" customWidth="1"/>
    <col min="7434" max="7444" width="9.140625" style="113" customWidth="1"/>
    <col min="7445" max="7447" width="5.5703125" style="113" customWidth="1"/>
    <col min="7448" max="7685" width="9.140625" style="113"/>
    <col min="7686" max="7686" width="3.85546875" style="113" customWidth="1"/>
    <col min="7687" max="7687" width="14.42578125" style="113" customWidth="1"/>
    <col min="7688" max="7688" width="3.85546875" style="113" customWidth="1"/>
    <col min="7689" max="7689" width="20.5703125" style="113" customWidth="1"/>
    <col min="7690" max="7700" width="9.140625" style="113" customWidth="1"/>
    <col min="7701" max="7703" width="5.5703125" style="113" customWidth="1"/>
    <col min="7704" max="7941" width="9.140625" style="113"/>
    <col min="7942" max="7942" width="3.85546875" style="113" customWidth="1"/>
    <col min="7943" max="7943" width="14.42578125" style="113" customWidth="1"/>
    <col min="7944" max="7944" width="3.85546875" style="113" customWidth="1"/>
    <col min="7945" max="7945" width="20.5703125" style="113" customWidth="1"/>
    <col min="7946" max="7956" width="9.140625" style="113" customWidth="1"/>
    <col min="7957" max="7959" width="5.5703125" style="113" customWidth="1"/>
    <col min="7960" max="8197" width="9.140625" style="113"/>
    <col min="8198" max="8198" width="3.85546875" style="113" customWidth="1"/>
    <col min="8199" max="8199" width="14.42578125" style="113" customWidth="1"/>
    <col min="8200" max="8200" width="3.85546875" style="113" customWidth="1"/>
    <col min="8201" max="8201" width="20.5703125" style="113" customWidth="1"/>
    <col min="8202" max="8212" width="9.140625" style="113" customWidth="1"/>
    <col min="8213" max="8215" width="5.5703125" style="113" customWidth="1"/>
    <col min="8216" max="8453" width="9.140625" style="113"/>
    <col min="8454" max="8454" width="3.85546875" style="113" customWidth="1"/>
    <col min="8455" max="8455" width="14.42578125" style="113" customWidth="1"/>
    <col min="8456" max="8456" width="3.85546875" style="113" customWidth="1"/>
    <col min="8457" max="8457" width="20.5703125" style="113" customWidth="1"/>
    <col min="8458" max="8468" width="9.140625" style="113" customWidth="1"/>
    <col min="8469" max="8471" width="5.5703125" style="113" customWidth="1"/>
    <col min="8472" max="8709" width="9.140625" style="113"/>
    <col min="8710" max="8710" width="3.85546875" style="113" customWidth="1"/>
    <col min="8711" max="8711" width="14.42578125" style="113" customWidth="1"/>
    <col min="8712" max="8712" width="3.85546875" style="113" customWidth="1"/>
    <col min="8713" max="8713" width="20.5703125" style="113" customWidth="1"/>
    <col min="8714" max="8724" width="9.140625" style="113" customWidth="1"/>
    <col min="8725" max="8727" width="5.5703125" style="113" customWidth="1"/>
    <col min="8728" max="8965" width="9.140625" style="113"/>
    <col min="8966" max="8966" width="3.85546875" style="113" customWidth="1"/>
    <col min="8967" max="8967" width="14.42578125" style="113" customWidth="1"/>
    <col min="8968" max="8968" width="3.85546875" style="113" customWidth="1"/>
    <col min="8969" max="8969" width="20.5703125" style="113" customWidth="1"/>
    <col min="8970" max="8980" width="9.140625" style="113" customWidth="1"/>
    <col min="8981" max="8983" width="5.5703125" style="113" customWidth="1"/>
    <col min="8984" max="9221" width="9.140625" style="113"/>
    <col min="9222" max="9222" width="3.85546875" style="113" customWidth="1"/>
    <col min="9223" max="9223" width="14.42578125" style="113" customWidth="1"/>
    <col min="9224" max="9224" width="3.85546875" style="113" customWidth="1"/>
    <col min="9225" max="9225" width="20.5703125" style="113" customWidth="1"/>
    <col min="9226" max="9236" width="9.140625" style="113" customWidth="1"/>
    <col min="9237" max="9239" width="5.5703125" style="113" customWidth="1"/>
    <col min="9240" max="9477" width="9.140625" style="113"/>
    <col min="9478" max="9478" width="3.85546875" style="113" customWidth="1"/>
    <col min="9479" max="9479" width="14.42578125" style="113" customWidth="1"/>
    <col min="9480" max="9480" width="3.85546875" style="113" customWidth="1"/>
    <col min="9481" max="9481" width="20.5703125" style="113" customWidth="1"/>
    <col min="9482" max="9492" width="9.140625" style="113" customWidth="1"/>
    <col min="9493" max="9495" width="5.5703125" style="113" customWidth="1"/>
    <col min="9496" max="9733" width="9.140625" style="113"/>
    <col min="9734" max="9734" width="3.85546875" style="113" customWidth="1"/>
    <col min="9735" max="9735" width="14.42578125" style="113" customWidth="1"/>
    <col min="9736" max="9736" width="3.85546875" style="113" customWidth="1"/>
    <col min="9737" max="9737" width="20.5703125" style="113" customWidth="1"/>
    <col min="9738" max="9748" width="9.140625" style="113" customWidth="1"/>
    <col min="9749" max="9751" width="5.5703125" style="113" customWidth="1"/>
    <col min="9752" max="9989" width="9.140625" style="113"/>
    <col min="9990" max="9990" width="3.85546875" style="113" customWidth="1"/>
    <col min="9991" max="9991" width="14.42578125" style="113" customWidth="1"/>
    <col min="9992" max="9992" width="3.85546875" style="113" customWidth="1"/>
    <col min="9993" max="9993" width="20.5703125" style="113" customWidth="1"/>
    <col min="9994" max="10004" width="9.140625" style="113" customWidth="1"/>
    <col min="10005" max="10007" width="5.5703125" style="113" customWidth="1"/>
    <col min="10008" max="10245" width="9.140625" style="113"/>
    <col min="10246" max="10246" width="3.85546875" style="113" customWidth="1"/>
    <col min="10247" max="10247" width="14.42578125" style="113" customWidth="1"/>
    <col min="10248" max="10248" width="3.85546875" style="113" customWidth="1"/>
    <col min="10249" max="10249" width="20.5703125" style="113" customWidth="1"/>
    <col min="10250" max="10260" width="9.140625" style="113" customWidth="1"/>
    <col min="10261" max="10263" width="5.5703125" style="113" customWidth="1"/>
    <col min="10264" max="10501" width="9.140625" style="113"/>
    <col min="10502" max="10502" width="3.85546875" style="113" customWidth="1"/>
    <col min="10503" max="10503" width="14.42578125" style="113" customWidth="1"/>
    <col min="10504" max="10504" width="3.85546875" style="113" customWidth="1"/>
    <col min="10505" max="10505" width="20.5703125" style="113" customWidth="1"/>
    <col min="10506" max="10516" width="9.140625" style="113" customWidth="1"/>
    <col min="10517" max="10519" width="5.5703125" style="113" customWidth="1"/>
    <col min="10520" max="10757" width="9.140625" style="113"/>
    <col min="10758" max="10758" width="3.85546875" style="113" customWidth="1"/>
    <col min="10759" max="10759" width="14.42578125" style="113" customWidth="1"/>
    <col min="10760" max="10760" width="3.85546875" style="113" customWidth="1"/>
    <col min="10761" max="10761" width="20.5703125" style="113" customWidth="1"/>
    <col min="10762" max="10772" width="9.140625" style="113" customWidth="1"/>
    <col min="10773" max="10775" width="5.5703125" style="113" customWidth="1"/>
    <col min="10776" max="11013" width="9.140625" style="113"/>
    <col min="11014" max="11014" width="3.85546875" style="113" customWidth="1"/>
    <col min="11015" max="11015" width="14.42578125" style="113" customWidth="1"/>
    <col min="11016" max="11016" width="3.85546875" style="113" customWidth="1"/>
    <col min="11017" max="11017" width="20.5703125" style="113" customWidth="1"/>
    <col min="11018" max="11028" width="9.140625" style="113" customWidth="1"/>
    <col min="11029" max="11031" width="5.5703125" style="113" customWidth="1"/>
    <col min="11032" max="11269" width="9.140625" style="113"/>
    <col min="11270" max="11270" width="3.85546875" style="113" customWidth="1"/>
    <col min="11271" max="11271" width="14.42578125" style="113" customWidth="1"/>
    <col min="11272" max="11272" width="3.85546875" style="113" customWidth="1"/>
    <col min="11273" max="11273" width="20.5703125" style="113" customWidth="1"/>
    <col min="11274" max="11284" width="9.140625" style="113" customWidth="1"/>
    <col min="11285" max="11287" width="5.5703125" style="113" customWidth="1"/>
    <col min="11288" max="11525" width="9.140625" style="113"/>
    <col min="11526" max="11526" width="3.85546875" style="113" customWidth="1"/>
    <col min="11527" max="11527" width="14.42578125" style="113" customWidth="1"/>
    <col min="11528" max="11528" width="3.85546875" style="113" customWidth="1"/>
    <col min="11529" max="11529" width="20.5703125" style="113" customWidth="1"/>
    <col min="11530" max="11540" width="9.140625" style="113" customWidth="1"/>
    <col min="11541" max="11543" width="5.5703125" style="113" customWidth="1"/>
    <col min="11544" max="11781" width="9.140625" style="113"/>
    <col min="11782" max="11782" width="3.85546875" style="113" customWidth="1"/>
    <col min="11783" max="11783" width="14.42578125" style="113" customWidth="1"/>
    <col min="11784" max="11784" width="3.85546875" style="113" customWidth="1"/>
    <col min="11785" max="11785" width="20.5703125" style="113" customWidth="1"/>
    <col min="11786" max="11796" width="9.140625" style="113" customWidth="1"/>
    <col min="11797" max="11799" width="5.5703125" style="113" customWidth="1"/>
    <col min="11800" max="12037" width="9.140625" style="113"/>
    <col min="12038" max="12038" width="3.85546875" style="113" customWidth="1"/>
    <col min="12039" max="12039" width="14.42578125" style="113" customWidth="1"/>
    <col min="12040" max="12040" width="3.85546875" style="113" customWidth="1"/>
    <col min="12041" max="12041" width="20.5703125" style="113" customWidth="1"/>
    <col min="12042" max="12052" width="9.140625" style="113" customWidth="1"/>
    <col min="12053" max="12055" width="5.5703125" style="113" customWidth="1"/>
    <col min="12056" max="12293" width="9.140625" style="113"/>
    <col min="12294" max="12294" width="3.85546875" style="113" customWidth="1"/>
    <col min="12295" max="12295" width="14.42578125" style="113" customWidth="1"/>
    <col min="12296" max="12296" width="3.85546875" style="113" customWidth="1"/>
    <col min="12297" max="12297" width="20.5703125" style="113" customWidth="1"/>
    <col min="12298" max="12308" width="9.140625" style="113" customWidth="1"/>
    <col min="12309" max="12311" width="5.5703125" style="113" customWidth="1"/>
    <col min="12312" max="12549" width="9.140625" style="113"/>
    <col min="12550" max="12550" width="3.85546875" style="113" customWidth="1"/>
    <col min="12551" max="12551" width="14.42578125" style="113" customWidth="1"/>
    <col min="12552" max="12552" width="3.85546875" style="113" customWidth="1"/>
    <col min="12553" max="12553" width="20.5703125" style="113" customWidth="1"/>
    <col min="12554" max="12564" width="9.140625" style="113" customWidth="1"/>
    <col min="12565" max="12567" width="5.5703125" style="113" customWidth="1"/>
    <col min="12568" max="12805" width="9.140625" style="113"/>
    <col min="12806" max="12806" width="3.85546875" style="113" customWidth="1"/>
    <col min="12807" max="12807" width="14.42578125" style="113" customWidth="1"/>
    <col min="12808" max="12808" width="3.85546875" style="113" customWidth="1"/>
    <col min="12809" max="12809" width="20.5703125" style="113" customWidth="1"/>
    <col min="12810" max="12820" width="9.140625" style="113" customWidth="1"/>
    <col min="12821" max="12823" width="5.5703125" style="113" customWidth="1"/>
    <col min="12824" max="13061" width="9.140625" style="113"/>
    <col min="13062" max="13062" width="3.85546875" style="113" customWidth="1"/>
    <col min="13063" max="13063" width="14.42578125" style="113" customWidth="1"/>
    <col min="13064" max="13064" width="3.85546875" style="113" customWidth="1"/>
    <col min="13065" max="13065" width="20.5703125" style="113" customWidth="1"/>
    <col min="13066" max="13076" width="9.140625" style="113" customWidth="1"/>
    <col min="13077" max="13079" width="5.5703125" style="113" customWidth="1"/>
    <col min="13080" max="13317" width="9.140625" style="113"/>
    <col min="13318" max="13318" width="3.85546875" style="113" customWidth="1"/>
    <col min="13319" max="13319" width="14.42578125" style="113" customWidth="1"/>
    <col min="13320" max="13320" width="3.85546875" style="113" customWidth="1"/>
    <col min="13321" max="13321" width="20.5703125" style="113" customWidth="1"/>
    <col min="13322" max="13332" width="9.140625" style="113" customWidth="1"/>
    <col min="13333" max="13335" width="5.5703125" style="113" customWidth="1"/>
    <col min="13336" max="13573" width="9.140625" style="113"/>
    <col min="13574" max="13574" width="3.85546875" style="113" customWidth="1"/>
    <col min="13575" max="13575" width="14.42578125" style="113" customWidth="1"/>
    <col min="13576" max="13576" width="3.85546875" style="113" customWidth="1"/>
    <col min="13577" max="13577" width="20.5703125" style="113" customWidth="1"/>
    <col min="13578" max="13588" width="9.140625" style="113" customWidth="1"/>
    <col min="13589" max="13591" width="5.5703125" style="113" customWidth="1"/>
    <col min="13592" max="13829" width="9.140625" style="113"/>
    <col min="13830" max="13830" width="3.85546875" style="113" customWidth="1"/>
    <col min="13831" max="13831" width="14.42578125" style="113" customWidth="1"/>
    <col min="13832" max="13832" width="3.85546875" style="113" customWidth="1"/>
    <col min="13833" max="13833" width="20.5703125" style="113" customWidth="1"/>
    <col min="13834" max="13844" width="9.140625" style="113" customWidth="1"/>
    <col min="13845" max="13847" width="5.5703125" style="113" customWidth="1"/>
    <col min="13848" max="14085" width="9.140625" style="113"/>
    <col min="14086" max="14086" width="3.85546875" style="113" customWidth="1"/>
    <col min="14087" max="14087" width="14.42578125" style="113" customWidth="1"/>
    <col min="14088" max="14088" width="3.85546875" style="113" customWidth="1"/>
    <col min="14089" max="14089" width="20.5703125" style="113" customWidth="1"/>
    <col min="14090" max="14100" width="9.140625" style="113" customWidth="1"/>
    <col min="14101" max="14103" width="5.5703125" style="113" customWidth="1"/>
    <col min="14104" max="14341" width="9.140625" style="113"/>
    <col min="14342" max="14342" width="3.85546875" style="113" customWidth="1"/>
    <col min="14343" max="14343" width="14.42578125" style="113" customWidth="1"/>
    <col min="14344" max="14344" width="3.85546875" style="113" customWidth="1"/>
    <col min="14345" max="14345" width="20.5703125" style="113" customWidth="1"/>
    <col min="14346" max="14356" width="9.140625" style="113" customWidth="1"/>
    <col min="14357" max="14359" width="5.5703125" style="113" customWidth="1"/>
    <col min="14360" max="14597" width="9.140625" style="113"/>
    <col min="14598" max="14598" width="3.85546875" style="113" customWidth="1"/>
    <col min="14599" max="14599" width="14.42578125" style="113" customWidth="1"/>
    <col min="14600" max="14600" width="3.85546875" style="113" customWidth="1"/>
    <col min="14601" max="14601" width="20.5703125" style="113" customWidth="1"/>
    <col min="14602" max="14612" width="9.140625" style="113" customWidth="1"/>
    <col min="14613" max="14615" width="5.5703125" style="113" customWidth="1"/>
    <col min="14616" max="14853" width="9.140625" style="113"/>
    <col min="14854" max="14854" width="3.85546875" style="113" customWidth="1"/>
    <col min="14855" max="14855" width="14.42578125" style="113" customWidth="1"/>
    <col min="14856" max="14856" width="3.85546875" style="113" customWidth="1"/>
    <col min="14857" max="14857" width="20.5703125" style="113" customWidth="1"/>
    <col min="14858" max="14868" width="9.140625" style="113" customWidth="1"/>
    <col min="14869" max="14871" width="5.5703125" style="113" customWidth="1"/>
    <col min="14872" max="15109" width="9.140625" style="113"/>
    <col min="15110" max="15110" width="3.85546875" style="113" customWidth="1"/>
    <col min="15111" max="15111" width="14.42578125" style="113" customWidth="1"/>
    <col min="15112" max="15112" width="3.85546875" style="113" customWidth="1"/>
    <col min="15113" max="15113" width="20.5703125" style="113" customWidth="1"/>
    <col min="15114" max="15124" width="9.140625" style="113" customWidth="1"/>
    <col min="15125" max="15127" width="5.5703125" style="113" customWidth="1"/>
    <col min="15128" max="15365" width="9.140625" style="113"/>
    <col min="15366" max="15366" width="3.85546875" style="113" customWidth="1"/>
    <col min="15367" max="15367" width="14.42578125" style="113" customWidth="1"/>
    <col min="15368" max="15368" width="3.85546875" style="113" customWidth="1"/>
    <col min="15369" max="15369" width="20.5703125" style="113" customWidth="1"/>
    <col min="15370" max="15380" width="9.140625" style="113" customWidth="1"/>
    <col min="15381" max="15383" width="5.5703125" style="113" customWidth="1"/>
    <col min="15384" max="15621" width="9.140625" style="113"/>
    <col min="15622" max="15622" width="3.85546875" style="113" customWidth="1"/>
    <col min="15623" max="15623" width="14.42578125" style="113" customWidth="1"/>
    <col min="15624" max="15624" width="3.85546875" style="113" customWidth="1"/>
    <col min="15625" max="15625" width="20.5703125" style="113" customWidth="1"/>
    <col min="15626" max="15636" width="9.140625" style="113" customWidth="1"/>
    <col min="15637" max="15639" width="5.5703125" style="113" customWidth="1"/>
    <col min="15640" max="15877" width="9.140625" style="113"/>
    <col min="15878" max="15878" width="3.85546875" style="113" customWidth="1"/>
    <col min="15879" max="15879" width="14.42578125" style="113" customWidth="1"/>
    <col min="15880" max="15880" width="3.85546875" style="113" customWidth="1"/>
    <col min="15881" max="15881" width="20.5703125" style="113" customWidth="1"/>
    <col min="15882" max="15892" width="9.140625" style="113" customWidth="1"/>
    <col min="15893" max="15895" width="5.5703125" style="113" customWidth="1"/>
    <col min="15896" max="16133" width="9.140625" style="113"/>
    <col min="16134" max="16134" width="3.85546875" style="113" customWidth="1"/>
    <col min="16135" max="16135" width="14.42578125" style="113" customWidth="1"/>
    <col min="16136" max="16136" width="3.85546875" style="113" customWidth="1"/>
    <col min="16137" max="16137" width="20.5703125" style="113" customWidth="1"/>
    <col min="16138" max="16148" width="9.140625" style="113" customWidth="1"/>
    <col min="16149" max="16151" width="5.5703125" style="113" customWidth="1"/>
    <col min="16152" max="16384" width="9.140625" style="113"/>
  </cols>
  <sheetData>
    <row r="1" spans="1:28" x14ac:dyDescent="0.25">
      <c r="D1" s="1137"/>
      <c r="E1" s="1137"/>
      <c r="F1" s="1137"/>
      <c r="G1" s="1137"/>
      <c r="H1" s="1137"/>
      <c r="I1" s="1137"/>
      <c r="J1" s="1137"/>
      <c r="K1" s="1137"/>
      <c r="L1" s="1137"/>
      <c r="M1" s="1137"/>
      <c r="N1" s="1137"/>
      <c r="O1" s="1137"/>
      <c r="P1" s="1137"/>
      <c r="Q1" s="1137"/>
      <c r="R1" s="1137"/>
      <c r="S1" s="1137"/>
      <c r="T1" s="1137"/>
      <c r="U1" s="1137"/>
    </row>
    <row r="2" spans="1:28" x14ac:dyDescent="0.25">
      <c r="A2" s="509">
        <v>1</v>
      </c>
      <c r="B2" s="509" t="s">
        <v>0</v>
      </c>
      <c r="C2" s="509">
        <v>36</v>
      </c>
      <c r="D2" s="4734" t="s">
        <v>1040</v>
      </c>
      <c r="E2" s="4735"/>
      <c r="F2" s="4735"/>
      <c r="G2" s="4735"/>
      <c r="H2" s="4735"/>
      <c r="I2" s="4735"/>
      <c r="J2" s="4735"/>
      <c r="K2" s="4735"/>
      <c r="L2" s="4735"/>
      <c r="M2" s="4735"/>
      <c r="N2" s="4735"/>
      <c r="O2" s="4735"/>
      <c r="P2" s="4735"/>
      <c r="Q2" s="4735"/>
      <c r="R2" s="4735"/>
      <c r="S2" s="4735"/>
      <c r="T2" s="4735"/>
      <c r="U2" s="4735"/>
      <c r="V2" s="4736"/>
    </row>
    <row r="3" spans="1:28" x14ac:dyDescent="0.25">
      <c r="A3" s="509">
        <v>2</v>
      </c>
      <c r="B3" s="509" t="s">
        <v>2</v>
      </c>
      <c r="C3" s="509"/>
      <c r="D3" s="4734" t="s">
        <v>1041</v>
      </c>
      <c r="E3" s="4735"/>
      <c r="F3" s="4735"/>
      <c r="G3" s="4735"/>
      <c r="H3" s="4735"/>
      <c r="I3" s="4735"/>
      <c r="J3" s="4735"/>
      <c r="K3" s="4735"/>
      <c r="L3" s="4735"/>
      <c r="M3" s="4735"/>
      <c r="N3" s="4735"/>
      <c r="O3" s="4735"/>
      <c r="P3" s="4735"/>
      <c r="Q3" s="4735"/>
      <c r="R3" s="4735"/>
      <c r="S3" s="4735"/>
      <c r="T3" s="4735"/>
      <c r="U3" s="4735"/>
      <c r="V3" s="4736"/>
    </row>
    <row r="4" spans="1:28" ht="14.45" customHeight="1" x14ac:dyDescent="0.25">
      <c r="A4" s="509">
        <v>3</v>
      </c>
      <c r="B4" s="509" t="s">
        <v>4</v>
      </c>
      <c r="C4" s="509"/>
      <c r="D4" s="4734" t="s">
        <v>1042</v>
      </c>
      <c r="E4" s="4735"/>
      <c r="F4" s="4735"/>
      <c r="G4" s="4735"/>
      <c r="H4" s="4735"/>
      <c r="I4" s="4735"/>
      <c r="J4" s="4735"/>
      <c r="K4" s="4735"/>
      <c r="L4" s="4735"/>
      <c r="M4" s="4735"/>
      <c r="N4" s="4735"/>
      <c r="O4" s="4735"/>
      <c r="P4" s="4735"/>
      <c r="Q4" s="4735"/>
      <c r="R4" s="4735"/>
      <c r="S4" s="4735"/>
      <c r="T4" s="4735"/>
      <c r="U4" s="4735"/>
      <c r="V4" s="4736"/>
    </row>
    <row r="5" spans="1:28" x14ac:dyDescent="0.25">
      <c r="A5" s="509">
        <v>4</v>
      </c>
      <c r="B5" s="509" t="s">
        <v>1043</v>
      </c>
      <c r="C5" s="509"/>
      <c r="D5" s="4734" t="s">
        <v>1044</v>
      </c>
      <c r="E5" s="4735"/>
      <c r="F5" s="4735"/>
      <c r="G5" s="4735"/>
      <c r="H5" s="4735"/>
      <c r="I5" s="4735"/>
      <c r="J5" s="4735"/>
      <c r="K5" s="4735"/>
      <c r="L5" s="4735"/>
      <c r="M5" s="4735"/>
      <c r="N5" s="4735"/>
      <c r="O5" s="4735"/>
      <c r="P5" s="4735"/>
      <c r="Q5" s="4735"/>
      <c r="R5" s="4735"/>
      <c r="S5" s="4735"/>
      <c r="T5" s="4735"/>
      <c r="U5" s="4735"/>
      <c r="V5" s="4736"/>
    </row>
    <row r="6" spans="1:28" x14ac:dyDescent="0.25">
      <c r="A6" s="113"/>
      <c r="B6" s="113"/>
      <c r="C6" s="509"/>
      <c r="V6" s="10"/>
    </row>
    <row r="7" spans="1:28" x14ac:dyDescent="0.25">
      <c r="A7" s="509">
        <v>5</v>
      </c>
      <c r="B7" s="509" t="s">
        <v>6</v>
      </c>
      <c r="D7" s="72" t="s">
        <v>80</v>
      </c>
      <c r="E7" s="72" t="s">
        <v>1045</v>
      </c>
      <c r="F7" s="72"/>
      <c r="G7" s="72"/>
      <c r="H7" s="72"/>
      <c r="I7" s="72"/>
      <c r="J7" s="72"/>
      <c r="K7" s="72"/>
      <c r="L7" s="72"/>
      <c r="M7" s="72"/>
      <c r="N7" s="72"/>
      <c r="O7" s="72"/>
      <c r="P7" s="72"/>
      <c r="Q7" s="71"/>
      <c r="R7" s="1137"/>
      <c r="S7" s="1137"/>
      <c r="T7" s="1137"/>
      <c r="U7" s="1137"/>
      <c r="V7" s="1137"/>
    </row>
    <row r="8" spans="1:28" x14ac:dyDescent="0.25">
      <c r="D8" s="99"/>
      <c r="E8" s="1138">
        <v>2002</v>
      </c>
      <c r="F8" s="1138">
        <v>2003</v>
      </c>
      <c r="G8" s="1138">
        <v>2004</v>
      </c>
      <c r="H8" s="1138">
        <v>2005</v>
      </c>
      <c r="I8" s="1138">
        <v>2006</v>
      </c>
      <c r="J8" s="1138">
        <v>2007</v>
      </c>
      <c r="K8" s="1138">
        <v>2008</v>
      </c>
      <c r="L8" s="1138">
        <v>2009</v>
      </c>
      <c r="M8" s="1138">
        <v>2010</v>
      </c>
      <c r="N8" s="1138">
        <v>2011</v>
      </c>
      <c r="O8" s="1138">
        <v>2012</v>
      </c>
      <c r="P8" s="1138">
        <v>2013</v>
      </c>
      <c r="Q8" s="1138">
        <v>2014</v>
      </c>
      <c r="R8" s="1138">
        <v>2015</v>
      </c>
      <c r="S8" s="1138">
        <v>2016</v>
      </c>
      <c r="T8" s="1138">
        <v>2017</v>
      </c>
      <c r="U8" s="1138">
        <v>2018</v>
      </c>
      <c r="V8" s="1139">
        <v>2019</v>
      </c>
      <c r="W8" s="1139">
        <v>2020</v>
      </c>
      <c r="X8" s="1139">
        <v>2021</v>
      </c>
      <c r="Y8" s="1139">
        <v>2022</v>
      </c>
    </row>
    <row r="9" spans="1:28" x14ac:dyDescent="0.25">
      <c r="B9" s="4832"/>
      <c r="C9" s="1140">
        <v>1</v>
      </c>
      <c r="D9" s="1141" t="s">
        <v>1046</v>
      </c>
      <c r="E9" s="1145">
        <v>53.5</v>
      </c>
      <c r="F9" s="1145">
        <v>53</v>
      </c>
      <c r="G9" s="1145">
        <v>52.7</v>
      </c>
      <c r="H9" s="1145">
        <v>52.4</v>
      </c>
      <c r="I9" s="1145">
        <v>52.3</v>
      </c>
      <c r="J9" s="1145">
        <v>52.7</v>
      </c>
      <c r="K9" s="1145">
        <v>53.3</v>
      </c>
      <c r="L9" s="1145">
        <v>54.4</v>
      </c>
      <c r="M9" s="1145">
        <v>55.7</v>
      </c>
      <c r="N9" s="1145">
        <v>57.4</v>
      </c>
      <c r="O9" s="1145">
        <v>58.4</v>
      </c>
      <c r="P9" s="1145">
        <v>59</v>
      </c>
      <c r="Q9" s="1145">
        <v>59.8</v>
      </c>
      <c r="R9" s="1145">
        <v>60.2</v>
      </c>
      <c r="S9" s="1145">
        <v>60.9</v>
      </c>
      <c r="T9" s="1145">
        <v>61.6</v>
      </c>
      <c r="U9" s="1145">
        <v>61.8</v>
      </c>
      <c r="V9" s="1145">
        <v>62.1</v>
      </c>
      <c r="W9" s="1145">
        <v>62.4</v>
      </c>
      <c r="X9" s="1433">
        <v>59.3</v>
      </c>
      <c r="Y9" s="2910">
        <v>60</v>
      </c>
      <c r="Z9" s="1143"/>
      <c r="AA9" s="1143"/>
      <c r="AB9" s="1143"/>
    </row>
    <row r="10" spans="1:28" ht="13.5" customHeight="1" x14ac:dyDescent="0.25">
      <c r="B10" s="4832"/>
      <c r="C10" s="1140">
        <v>2</v>
      </c>
      <c r="D10" s="1141" t="s">
        <v>1047</v>
      </c>
      <c r="E10" s="1145">
        <v>57.9</v>
      </c>
      <c r="F10" s="1145">
        <v>57.7</v>
      </c>
      <c r="G10" s="1145">
        <v>56.8</v>
      </c>
      <c r="H10" s="1145">
        <v>56.1</v>
      </c>
      <c r="I10" s="1145">
        <v>55.7</v>
      </c>
      <c r="J10" s="1145">
        <v>56.2</v>
      </c>
      <c r="K10" s="1145">
        <v>56.9</v>
      </c>
      <c r="L10" s="1145">
        <v>59.5</v>
      </c>
      <c r="M10" s="1145">
        <v>61</v>
      </c>
      <c r="N10" s="1145">
        <v>62.8</v>
      </c>
      <c r="O10" s="1145">
        <v>63.8</v>
      </c>
      <c r="P10" s="1145">
        <v>64.599999999999994</v>
      </c>
      <c r="Q10" s="1145">
        <v>65.7</v>
      </c>
      <c r="R10" s="1145">
        <v>65.8</v>
      </c>
      <c r="S10" s="1145">
        <v>66.5</v>
      </c>
      <c r="T10" s="1145">
        <v>66.8</v>
      </c>
      <c r="U10" s="1145">
        <v>67.400000000000006</v>
      </c>
      <c r="V10" s="1145">
        <v>67.8</v>
      </c>
      <c r="W10" s="1145">
        <v>68.400000000000006</v>
      </c>
      <c r="X10" s="1433">
        <v>64.599999999999994</v>
      </c>
      <c r="Y10" s="2911">
        <v>65.599999999999994</v>
      </c>
      <c r="Z10" s="1143"/>
      <c r="AA10" s="1143"/>
      <c r="AB10" s="1143"/>
    </row>
    <row r="11" spans="1:28" x14ac:dyDescent="0.25">
      <c r="B11" s="4832"/>
      <c r="C11" s="1140">
        <v>3</v>
      </c>
      <c r="D11" s="1141" t="s">
        <v>1048</v>
      </c>
      <c r="E11" s="1148">
        <v>55.8</v>
      </c>
      <c r="F11" s="1148">
        <v>55.4</v>
      </c>
      <c r="G11" s="1148">
        <v>54.8</v>
      </c>
      <c r="H11" s="1148">
        <v>54.3</v>
      </c>
      <c r="I11" s="1148">
        <v>54</v>
      </c>
      <c r="J11" s="1148">
        <v>54.5</v>
      </c>
      <c r="K11" s="1148">
        <v>55.2</v>
      </c>
      <c r="L11" s="1148">
        <v>57</v>
      </c>
      <c r="M11" s="1148">
        <v>58.4</v>
      </c>
      <c r="N11" s="1148">
        <v>60.2</v>
      </c>
      <c r="O11" s="1148">
        <v>61.1</v>
      </c>
      <c r="P11" s="1148">
        <v>61.9</v>
      </c>
      <c r="Q11" s="1148">
        <v>62.8</v>
      </c>
      <c r="R11" s="1148">
        <v>63.1</v>
      </c>
      <c r="S11" s="1148">
        <v>63.8</v>
      </c>
      <c r="T11" s="1148">
        <v>64.2</v>
      </c>
      <c r="U11" s="1148">
        <v>64.7</v>
      </c>
      <c r="V11" s="1148">
        <v>65</v>
      </c>
      <c r="W11" s="1148">
        <v>65.5</v>
      </c>
      <c r="X11" s="2907">
        <v>62</v>
      </c>
      <c r="Y11" s="2912">
        <v>62.8</v>
      </c>
      <c r="Z11" s="1143"/>
      <c r="AA11" s="1143"/>
      <c r="AB11" s="1143"/>
    </row>
    <row r="12" spans="1:28" x14ac:dyDescent="0.25">
      <c r="B12" s="1144"/>
      <c r="C12" s="1140">
        <v>4</v>
      </c>
      <c r="D12" s="3550" t="s">
        <v>1049</v>
      </c>
      <c r="E12" s="3551"/>
      <c r="F12" s="3551"/>
      <c r="G12" s="3551"/>
      <c r="H12" s="3551"/>
      <c r="I12" s="3551"/>
      <c r="J12" s="3551"/>
      <c r="K12" s="3551"/>
      <c r="L12" s="3551"/>
      <c r="M12" s="3552">
        <v>54.6</v>
      </c>
      <c r="N12" s="3552">
        <v>56</v>
      </c>
      <c r="O12" s="3552">
        <v>58.5</v>
      </c>
      <c r="P12" s="3552">
        <v>59.1</v>
      </c>
      <c r="Q12" s="3552">
        <v>59.5</v>
      </c>
      <c r="R12" s="3552">
        <v>60.1</v>
      </c>
      <c r="S12" s="3553">
        <v>60.9</v>
      </c>
      <c r="T12" s="3553">
        <v>61.6</v>
      </c>
      <c r="U12" s="3553">
        <v>61.9</v>
      </c>
      <c r="V12" s="3554"/>
      <c r="W12" s="3554"/>
      <c r="X12" s="3555"/>
      <c r="Y12" s="2911"/>
      <c r="Z12" s="1143"/>
      <c r="AA12" s="1143"/>
      <c r="AB12" s="1143"/>
    </row>
    <row r="13" spans="1:28" x14ac:dyDescent="0.25">
      <c r="B13" s="1144"/>
      <c r="C13" s="1140">
        <v>5</v>
      </c>
      <c r="D13" s="1141" t="s">
        <v>1050</v>
      </c>
      <c r="E13" s="136"/>
      <c r="F13" s="136"/>
      <c r="G13" s="136"/>
      <c r="H13" s="136"/>
      <c r="I13" s="136"/>
      <c r="J13" s="136"/>
      <c r="K13" s="136"/>
      <c r="L13" s="136"/>
      <c r="M13" s="1145">
        <v>59.7</v>
      </c>
      <c r="N13" s="1145">
        <v>61.2</v>
      </c>
      <c r="O13" s="1145">
        <v>64</v>
      </c>
      <c r="P13" s="1145">
        <v>65.2</v>
      </c>
      <c r="Q13" s="1145">
        <v>65.900000000000006</v>
      </c>
      <c r="R13" s="1145">
        <v>66.599999999999994</v>
      </c>
      <c r="S13" s="1146">
        <v>66.900000000000006</v>
      </c>
      <c r="T13" s="1146">
        <v>67.599999999999994</v>
      </c>
      <c r="U13" s="1146">
        <v>67.900000000000006</v>
      </c>
      <c r="V13" s="2212"/>
      <c r="W13" s="2212"/>
      <c r="X13" s="2908"/>
      <c r="Y13" s="2911"/>
      <c r="Z13" s="1143"/>
      <c r="AA13" s="1143"/>
      <c r="AB13" s="1143"/>
    </row>
    <row r="14" spans="1:28" x14ac:dyDescent="0.25">
      <c r="B14" s="1144"/>
      <c r="C14" s="1140">
        <v>6</v>
      </c>
      <c r="D14" s="1147" t="s">
        <v>1051</v>
      </c>
      <c r="E14" s="188"/>
      <c r="F14" s="188"/>
      <c r="G14" s="188"/>
      <c r="H14" s="188"/>
      <c r="I14" s="188"/>
      <c r="J14" s="188"/>
      <c r="K14" s="188"/>
      <c r="L14" s="188"/>
      <c r="M14" s="1148">
        <v>57.1</v>
      </c>
      <c r="N14" s="1148">
        <v>58.5</v>
      </c>
      <c r="O14" s="1148">
        <v>61.2</v>
      </c>
      <c r="P14" s="1148">
        <v>62.1</v>
      </c>
      <c r="Q14" s="1148">
        <v>62.7</v>
      </c>
      <c r="R14" s="1148">
        <v>63.3</v>
      </c>
      <c r="S14" s="1149">
        <v>63.9</v>
      </c>
      <c r="T14" s="1149">
        <v>64.599999999999994</v>
      </c>
      <c r="U14" s="1149">
        <v>64.8</v>
      </c>
      <c r="V14" s="2213"/>
      <c r="W14" s="2213"/>
      <c r="X14" s="2909"/>
      <c r="Y14" s="2912"/>
      <c r="Z14" s="1143"/>
      <c r="AA14" s="1143"/>
      <c r="AB14" s="1143"/>
    </row>
    <row r="15" spans="1:28" x14ac:dyDescent="0.25">
      <c r="B15" s="1144"/>
      <c r="C15" s="1140"/>
      <c r="D15" s="1150"/>
      <c r="E15" s="136"/>
      <c r="F15" s="136"/>
      <c r="G15" s="136"/>
      <c r="H15" s="136"/>
      <c r="I15" s="136"/>
      <c r="J15" s="136"/>
      <c r="K15" s="136"/>
      <c r="L15" s="136"/>
      <c r="M15" s="136"/>
      <c r="N15" s="136"/>
      <c r="O15" s="136"/>
      <c r="P15" s="136"/>
      <c r="Q15" s="136"/>
      <c r="R15" s="136"/>
      <c r="S15" s="1143"/>
      <c r="T15" s="1137"/>
      <c r="U15" s="1137"/>
      <c r="V15" s="1137"/>
      <c r="X15" s="1152"/>
      <c r="Y15" s="1142"/>
      <c r="Z15" s="1143"/>
      <c r="AA15" s="1143"/>
      <c r="AB15" s="1143"/>
    </row>
    <row r="16" spans="1:28" ht="15" customHeight="1" x14ac:dyDescent="0.25">
      <c r="B16" s="1144"/>
      <c r="C16" s="1140"/>
      <c r="D16" s="72" t="s">
        <v>267</v>
      </c>
      <c r="E16" s="72" t="s">
        <v>1052</v>
      </c>
      <c r="F16" s="1153"/>
      <c r="G16" s="1153"/>
      <c r="H16" s="72"/>
      <c r="I16" s="71"/>
      <c r="J16" s="71"/>
      <c r="K16" s="71"/>
      <c r="L16" s="71"/>
      <c r="M16" s="71"/>
      <c r="N16" s="71"/>
      <c r="O16" s="71"/>
      <c r="P16" s="71"/>
      <c r="Q16" s="71"/>
      <c r="R16" s="1137"/>
      <c r="S16" s="1137"/>
      <c r="T16" s="1137"/>
      <c r="U16" s="1137"/>
      <c r="V16" s="1137"/>
      <c r="X16" s="1143"/>
      <c r="Y16" s="1143"/>
      <c r="Z16" s="1143"/>
    </row>
    <row r="17" spans="1:27" ht="15" customHeight="1" x14ac:dyDescent="0.25">
      <c r="B17" s="1144"/>
      <c r="C17" s="1140"/>
      <c r="D17" s="99"/>
      <c r="E17" s="4833" t="s">
        <v>647</v>
      </c>
      <c r="F17" s="4833" t="s">
        <v>1053</v>
      </c>
      <c r="G17" s="4833"/>
      <c r="H17" s="4833"/>
      <c r="I17" s="4834" t="s">
        <v>648</v>
      </c>
      <c r="J17" s="4834" t="s">
        <v>1054</v>
      </c>
      <c r="K17" s="4834"/>
      <c r="L17" s="4834"/>
      <c r="M17" s="4835"/>
      <c r="N17" s="4835"/>
      <c r="O17" s="4835"/>
      <c r="P17" s="4835"/>
      <c r="Q17" s="4836"/>
      <c r="R17" s="4836"/>
      <c r="S17" s="4836"/>
      <c r="T17" s="4836"/>
      <c r="U17" s="1137"/>
      <c r="V17" s="1137"/>
      <c r="W17" s="1137"/>
      <c r="Y17" s="1143"/>
      <c r="Z17" s="1143"/>
      <c r="AA17" s="1143"/>
    </row>
    <row r="18" spans="1:27" ht="14.45" customHeight="1" x14ac:dyDescent="0.25">
      <c r="B18" s="1144"/>
      <c r="C18" s="1140"/>
      <c r="D18" s="246"/>
      <c r="E18" s="1154" t="s">
        <v>1055</v>
      </c>
      <c r="F18" s="1154" t="s">
        <v>1056</v>
      </c>
      <c r="G18" s="1154" t="s">
        <v>1057</v>
      </c>
      <c r="H18" s="1154" t="s">
        <v>1058</v>
      </c>
      <c r="I18" s="1154" t="s">
        <v>1055</v>
      </c>
      <c r="J18" s="1154" t="s">
        <v>1056</v>
      </c>
      <c r="K18" s="1154" t="s">
        <v>1057</v>
      </c>
      <c r="L18" s="1154" t="s">
        <v>1058</v>
      </c>
      <c r="M18" s="71"/>
      <c r="N18" s="71"/>
      <c r="O18" s="71"/>
      <c r="P18" s="71"/>
      <c r="Q18" s="71"/>
      <c r="R18" s="71"/>
      <c r="S18" s="71"/>
      <c r="T18" s="71"/>
      <c r="U18" s="1137"/>
      <c r="V18" s="1137"/>
      <c r="W18" s="1137"/>
      <c r="Y18" s="1143"/>
      <c r="Z18" s="1143"/>
      <c r="AA18" s="1143"/>
    </row>
    <row r="19" spans="1:27" x14ac:dyDescent="0.25">
      <c r="B19" s="1144"/>
      <c r="C19" s="1140"/>
      <c r="D19" s="1155" t="s">
        <v>276</v>
      </c>
      <c r="E19" s="1446">
        <v>51.4</v>
      </c>
      <c r="F19" s="136">
        <v>52.8</v>
      </c>
      <c r="G19" s="136">
        <v>57.8</v>
      </c>
      <c r="H19" s="183">
        <v>58.7</v>
      </c>
      <c r="I19" s="2214">
        <v>55.3</v>
      </c>
      <c r="J19" s="2215">
        <v>57.8</v>
      </c>
      <c r="K19" s="2215">
        <v>63.9</v>
      </c>
      <c r="L19" s="2216">
        <v>65</v>
      </c>
      <c r="M19" s="1444"/>
      <c r="N19" s="136"/>
      <c r="O19" s="136"/>
      <c r="P19" s="136"/>
      <c r="Q19" s="2217"/>
      <c r="R19" s="2217"/>
      <c r="S19" s="2217"/>
      <c r="T19" s="2217"/>
      <c r="U19" s="1137"/>
      <c r="V19" s="1137"/>
      <c r="W19" s="1137"/>
      <c r="Y19" s="1143"/>
      <c r="Z19" s="1143"/>
      <c r="AA19" s="1143"/>
    </row>
    <row r="20" spans="1:27" x14ac:dyDescent="0.25">
      <c r="B20" s="1144"/>
      <c r="C20" s="1140"/>
      <c r="D20" s="1155" t="s">
        <v>277</v>
      </c>
      <c r="E20" s="1446">
        <v>45</v>
      </c>
      <c r="F20" s="136">
        <v>47</v>
      </c>
      <c r="G20" s="136">
        <v>53.6</v>
      </c>
      <c r="H20" s="183">
        <v>55.5</v>
      </c>
      <c r="I20" s="2214">
        <v>47.6</v>
      </c>
      <c r="J20" s="2215">
        <v>50.5</v>
      </c>
      <c r="K20" s="2215">
        <v>58.5</v>
      </c>
      <c r="L20" s="2216">
        <v>61.4</v>
      </c>
      <c r="M20" s="1444"/>
      <c r="N20" s="136"/>
      <c r="O20" s="136"/>
      <c r="P20" s="136"/>
      <c r="Q20" s="2217"/>
      <c r="R20" s="2217"/>
      <c r="S20" s="2217"/>
      <c r="T20" s="2217"/>
      <c r="U20" s="1137"/>
      <c r="V20" s="1137"/>
      <c r="W20" s="1137"/>
      <c r="Y20" s="1143"/>
      <c r="Z20" s="1143"/>
      <c r="AA20" s="1143"/>
    </row>
    <row r="21" spans="1:27" x14ac:dyDescent="0.25">
      <c r="B21" s="1144"/>
      <c r="C21" s="1140"/>
      <c r="D21" s="1155" t="s">
        <v>278</v>
      </c>
      <c r="E21" s="1446">
        <v>54.5</v>
      </c>
      <c r="F21" s="136">
        <v>56.8</v>
      </c>
      <c r="G21" s="136">
        <v>61.9</v>
      </c>
      <c r="H21" s="183">
        <v>63.1</v>
      </c>
      <c r="I21" s="2214">
        <v>59</v>
      </c>
      <c r="J21" s="2215">
        <v>61</v>
      </c>
      <c r="K21" s="2215">
        <v>66.599999999999994</v>
      </c>
      <c r="L21" s="2216">
        <v>67.7</v>
      </c>
      <c r="M21" s="1444"/>
      <c r="N21" s="136"/>
      <c r="O21" s="136"/>
      <c r="P21" s="136"/>
      <c r="Q21" s="2217"/>
      <c r="R21" s="2217"/>
      <c r="S21" s="2217"/>
      <c r="T21" s="2217"/>
      <c r="U21" s="1137"/>
      <c r="V21" s="1137"/>
      <c r="W21" s="1137"/>
      <c r="Y21" s="1143"/>
      <c r="Z21" s="1143"/>
      <c r="AA21" s="1143"/>
    </row>
    <row r="22" spans="1:27" x14ac:dyDescent="0.25">
      <c r="D22" s="1155" t="s">
        <v>641</v>
      </c>
      <c r="E22" s="1446">
        <v>46.7</v>
      </c>
      <c r="F22" s="136">
        <v>48.6</v>
      </c>
      <c r="G22" s="136">
        <v>55.7</v>
      </c>
      <c r="H22" s="183">
        <v>57.4</v>
      </c>
      <c r="I22" s="136">
        <v>51</v>
      </c>
      <c r="J22" s="136">
        <v>53.6</v>
      </c>
      <c r="K22" s="136">
        <v>61.8</v>
      </c>
      <c r="L22" s="183">
        <v>63.6</v>
      </c>
      <c r="M22" s="1444"/>
      <c r="N22" s="136"/>
      <c r="O22" s="136"/>
      <c r="P22" s="136"/>
      <c r="Q22" s="2218"/>
      <c r="R22" s="2218"/>
      <c r="S22" s="2218"/>
      <c r="T22" s="2218"/>
      <c r="U22" s="88"/>
      <c r="V22" s="88"/>
      <c r="W22" s="88"/>
      <c r="Y22" s="1152"/>
      <c r="Z22" s="1142"/>
    </row>
    <row r="23" spans="1:27" x14ac:dyDescent="0.25">
      <c r="D23" s="1155" t="s">
        <v>280</v>
      </c>
      <c r="E23" s="1446">
        <v>52.9</v>
      </c>
      <c r="F23" s="136">
        <v>54.5</v>
      </c>
      <c r="G23" s="136">
        <v>59.1</v>
      </c>
      <c r="H23" s="183">
        <v>61.2</v>
      </c>
      <c r="I23" s="2219">
        <v>58.2</v>
      </c>
      <c r="J23" s="136">
        <v>60.8</v>
      </c>
      <c r="K23" s="136">
        <v>65.599999999999994</v>
      </c>
      <c r="L23" s="183">
        <v>66.5</v>
      </c>
      <c r="M23" s="1444"/>
      <c r="N23" s="136"/>
      <c r="O23" s="136"/>
      <c r="P23" s="136"/>
      <c r="Q23" s="2218"/>
      <c r="R23" s="2218"/>
      <c r="S23" s="2218"/>
      <c r="T23" s="2218"/>
      <c r="U23" s="88"/>
      <c r="V23" s="88"/>
      <c r="W23" s="88"/>
      <c r="Y23" s="1152"/>
      <c r="Z23" s="1142"/>
    </row>
    <row r="24" spans="1:27" x14ac:dyDescent="0.25">
      <c r="D24" s="1155" t="s">
        <v>281</v>
      </c>
      <c r="E24" s="1446">
        <v>51.5</v>
      </c>
      <c r="F24" s="136">
        <v>53.2</v>
      </c>
      <c r="G24" s="136">
        <v>58.5</v>
      </c>
      <c r="H24" s="183">
        <v>60.8</v>
      </c>
      <c r="I24" s="2219">
        <v>56</v>
      </c>
      <c r="J24" s="136">
        <v>58.4</v>
      </c>
      <c r="K24" s="136">
        <v>64.900000000000006</v>
      </c>
      <c r="L24" s="183">
        <v>66</v>
      </c>
      <c r="M24" s="1444"/>
      <c r="N24" s="136"/>
      <c r="O24" s="136"/>
      <c r="P24" s="136"/>
      <c r="Q24" s="2218"/>
      <c r="R24" s="2218"/>
      <c r="S24" s="2218"/>
      <c r="T24" s="2218"/>
      <c r="U24" s="88"/>
      <c r="V24" s="88"/>
      <c r="W24" s="88"/>
      <c r="Y24" s="1152"/>
      <c r="Z24" s="1142"/>
    </row>
    <row r="25" spans="1:27" ht="14.45" customHeight="1" x14ac:dyDescent="0.25">
      <c r="D25" s="1155" t="s">
        <v>283</v>
      </c>
      <c r="E25" s="1446">
        <v>51.3</v>
      </c>
      <c r="F25" s="136">
        <v>52.3</v>
      </c>
      <c r="G25" s="136">
        <v>56</v>
      </c>
      <c r="H25" s="183">
        <v>57.6</v>
      </c>
      <c r="I25" s="2219">
        <v>55.9</v>
      </c>
      <c r="J25" s="136">
        <v>57.8</v>
      </c>
      <c r="K25" s="136">
        <v>62.6</v>
      </c>
      <c r="L25" s="183">
        <v>64.3</v>
      </c>
      <c r="M25" s="1444"/>
      <c r="N25" s="136"/>
      <c r="O25" s="136"/>
      <c r="P25" s="136"/>
      <c r="Q25" s="2218"/>
      <c r="R25" s="2218"/>
      <c r="S25" s="2218"/>
      <c r="T25" s="2218"/>
      <c r="U25" s="88"/>
      <c r="V25" s="88"/>
      <c r="W25" s="88"/>
      <c r="Y25" s="1152"/>
      <c r="Z25" s="1142"/>
    </row>
    <row r="26" spans="1:27" x14ac:dyDescent="0.25">
      <c r="D26" s="1155" t="s">
        <v>282</v>
      </c>
      <c r="E26" s="1446">
        <v>48.7</v>
      </c>
      <c r="F26" s="136">
        <v>50.7</v>
      </c>
      <c r="G26" s="136">
        <v>56.3</v>
      </c>
      <c r="H26" s="183">
        <v>57.7</v>
      </c>
      <c r="I26" s="2219">
        <v>51.8</v>
      </c>
      <c r="J26" s="136">
        <v>54.4</v>
      </c>
      <c r="K26" s="136">
        <v>62.7</v>
      </c>
      <c r="L26" s="183">
        <v>64.2</v>
      </c>
      <c r="M26" s="1444"/>
      <c r="N26" s="136"/>
      <c r="O26" s="136"/>
      <c r="P26" s="136"/>
      <c r="Q26" s="2218"/>
      <c r="R26" s="2218"/>
      <c r="S26" s="2218"/>
      <c r="T26" s="2218"/>
      <c r="U26" s="88"/>
      <c r="V26" s="88"/>
      <c r="W26" s="88"/>
      <c r="Y26" s="1152"/>
      <c r="Z26" s="1142"/>
    </row>
    <row r="27" spans="1:27" x14ac:dyDescent="0.25">
      <c r="D27" s="1155" t="s">
        <v>284</v>
      </c>
      <c r="E27" s="1446">
        <v>59.2</v>
      </c>
      <c r="F27" s="136">
        <v>60.9</v>
      </c>
      <c r="G27" s="136">
        <v>64.3</v>
      </c>
      <c r="H27" s="183">
        <v>64.900000000000006</v>
      </c>
      <c r="I27" s="2219">
        <v>63.7</v>
      </c>
      <c r="J27" s="136">
        <v>65.900000000000006</v>
      </c>
      <c r="K27" s="136">
        <v>69.900000000000006</v>
      </c>
      <c r="L27" s="183">
        <v>70.3</v>
      </c>
      <c r="M27" s="1444"/>
      <c r="N27" s="136"/>
      <c r="O27" s="136"/>
      <c r="P27" s="136"/>
      <c r="Q27" s="2218"/>
      <c r="R27" s="2218"/>
      <c r="S27" s="2218"/>
      <c r="T27" s="2218"/>
      <c r="U27" s="88"/>
      <c r="V27" s="88"/>
      <c r="W27" s="88"/>
      <c r="Y27" s="1152"/>
      <c r="Z27" s="1142"/>
    </row>
    <row r="28" spans="1:27" x14ac:dyDescent="0.25">
      <c r="C28" s="1140">
        <v>10</v>
      </c>
      <c r="D28" s="1157"/>
      <c r="E28" s="1158"/>
      <c r="F28" s="1159"/>
      <c r="G28" s="1160"/>
      <c r="H28" s="1160"/>
      <c r="I28" s="1161"/>
      <c r="J28" s="1160"/>
      <c r="K28" s="1160"/>
      <c r="L28" s="1160"/>
      <c r="M28" s="1156"/>
      <c r="N28" s="462"/>
      <c r="O28" s="462"/>
      <c r="P28" s="462"/>
      <c r="Q28" s="462"/>
      <c r="R28" s="462"/>
      <c r="S28" s="462"/>
      <c r="T28" s="462"/>
      <c r="U28" s="88"/>
      <c r="V28" s="88"/>
      <c r="W28" s="88"/>
      <c r="Y28" s="1152"/>
      <c r="Z28" s="1142"/>
    </row>
    <row r="29" spans="1:27" x14ac:dyDescent="0.25">
      <c r="H29" s="71"/>
      <c r="I29" s="71"/>
      <c r="J29" s="71"/>
    </row>
    <row r="30" spans="1:27" x14ac:dyDescent="0.25">
      <c r="A30" s="509">
        <v>6</v>
      </c>
      <c r="B30" s="509" t="s">
        <v>51</v>
      </c>
      <c r="C30" s="509"/>
      <c r="D30" s="1137"/>
      <c r="E30" s="88"/>
      <c r="F30" s="88"/>
      <c r="G30" s="88"/>
      <c r="H30" s="88"/>
      <c r="I30" s="88"/>
      <c r="J30" s="88"/>
      <c r="K30" s="88"/>
      <c r="L30" s="88"/>
      <c r="M30" s="88"/>
      <c r="N30" s="88"/>
      <c r="O30" s="88"/>
      <c r="P30" s="88"/>
      <c r="Q30" s="88"/>
      <c r="R30" s="88"/>
      <c r="S30" s="88"/>
      <c r="T30" s="88"/>
      <c r="U30" s="88"/>
      <c r="V30" s="88"/>
    </row>
    <row r="31" spans="1:27" x14ac:dyDescent="0.25">
      <c r="B31" s="4832"/>
      <c r="D31" s="1137"/>
      <c r="E31" s="88"/>
      <c r="F31" s="88"/>
      <c r="G31" s="88"/>
      <c r="H31" s="88"/>
      <c r="I31" s="88"/>
      <c r="J31" s="88"/>
      <c r="K31" s="88"/>
      <c r="L31" s="88"/>
      <c r="M31" s="88"/>
      <c r="N31" s="88"/>
      <c r="O31" s="88"/>
      <c r="P31" s="88"/>
      <c r="Q31" s="88"/>
      <c r="R31" s="88"/>
      <c r="S31" s="88"/>
      <c r="T31" s="88"/>
      <c r="U31" s="88"/>
      <c r="V31" s="88"/>
    </row>
    <row r="32" spans="1:27" x14ac:dyDescent="0.25">
      <c r="B32" s="4832"/>
      <c r="D32" s="1137"/>
      <c r="E32" s="88"/>
      <c r="F32" s="88"/>
      <c r="G32" s="88"/>
      <c r="H32" s="88"/>
      <c r="I32" s="88"/>
      <c r="J32" s="88"/>
      <c r="K32" s="88"/>
      <c r="L32" s="88"/>
      <c r="M32" s="88"/>
      <c r="N32" s="88"/>
      <c r="O32" s="88"/>
      <c r="P32" s="88"/>
      <c r="Q32" s="88"/>
      <c r="R32" s="88"/>
      <c r="S32" s="88"/>
      <c r="T32" s="88"/>
      <c r="U32" s="88"/>
      <c r="V32" s="88"/>
    </row>
    <row r="33" spans="2:22" x14ac:dyDescent="0.25">
      <c r="B33" s="4832"/>
      <c r="D33" s="1137"/>
      <c r="E33" s="88"/>
      <c r="F33" s="88"/>
      <c r="G33" s="88"/>
      <c r="H33" s="88"/>
      <c r="I33" s="88"/>
      <c r="J33" s="88"/>
      <c r="K33" s="88"/>
      <c r="L33" s="88"/>
      <c r="M33" s="88"/>
      <c r="N33" s="88"/>
      <c r="O33" s="88"/>
      <c r="P33" s="88"/>
      <c r="Q33" s="88"/>
      <c r="R33" s="88"/>
      <c r="S33" s="88"/>
      <c r="T33" s="88"/>
      <c r="U33" s="88"/>
      <c r="V33" s="88"/>
    </row>
    <row r="34" spans="2:22" x14ac:dyDescent="0.25">
      <c r="B34" s="4832"/>
      <c r="D34" s="1137"/>
      <c r="E34" s="88"/>
      <c r="F34" s="88"/>
      <c r="G34" s="88"/>
      <c r="H34" s="88"/>
      <c r="I34" s="88"/>
      <c r="J34" s="88"/>
      <c r="K34" s="88"/>
      <c r="L34" s="88"/>
      <c r="M34" s="88"/>
      <c r="N34" s="88"/>
      <c r="O34" s="88"/>
      <c r="P34" s="88"/>
      <c r="Q34" s="88"/>
      <c r="R34" s="88"/>
      <c r="S34" s="88"/>
      <c r="T34" s="88"/>
      <c r="U34" s="88"/>
      <c r="V34" s="88"/>
    </row>
    <row r="35" spans="2:22" x14ac:dyDescent="0.25">
      <c r="B35" s="4832"/>
      <c r="D35" s="1137"/>
      <c r="E35" s="88"/>
      <c r="F35" s="88"/>
      <c r="G35" s="88"/>
      <c r="H35" s="88"/>
      <c r="I35" s="88"/>
      <c r="J35" s="88"/>
      <c r="K35" s="88"/>
      <c r="L35" s="88"/>
      <c r="M35" s="88"/>
      <c r="N35" s="88"/>
      <c r="O35" s="88"/>
      <c r="P35" s="88"/>
      <c r="Q35" s="88"/>
      <c r="R35" s="88"/>
      <c r="S35" s="88"/>
      <c r="T35" s="88"/>
      <c r="U35" s="88"/>
      <c r="V35" s="88"/>
    </row>
    <row r="36" spans="2:22" x14ac:dyDescent="0.25">
      <c r="B36" s="4832"/>
      <c r="D36" s="1137"/>
      <c r="E36" s="88"/>
      <c r="F36" s="88"/>
      <c r="G36" s="88"/>
      <c r="H36" s="88"/>
      <c r="I36" s="88"/>
      <c r="J36" s="88"/>
      <c r="K36" s="88"/>
      <c r="L36" s="88"/>
      <c r="M36" s="88"/>
      <c r="N36" s="88"/>
      <c r="O36" s="88"/>
      <c r="P36" s="88"/>
      <c r="Q36" s="88"/>
      <c r="R36" s="88"/>
      <c r="S36" s="88"/>
      <c r="T36" s="88"/>
      <c r="U36" s="88"/>
      <c r="V36" s="88"/>
    </row>
    <row r="37" spans="2:22" x14ac:dyDescent="0.25">
      <c r="B37" s="4832"/>
      <c r="D37" s="1137"/>
      <c r="E37" s="88"/>
      <c r="F37" s="88"/>
      <c r="G37" s="88"/>
      <c r="H37" s="88"/>
      <c r="I37" s="88"/>
      <c r="J37" s="88"/>
      <c r="K37" s="88"/>
      <c r="L37" s="88"/>
      <c r="M37" s="88"/>
      <c r="N37" s="88"/>
      <c r="O37" s="88"/>
      <c r="P37" s="88"/>
      <c r="Q37" s="88"/>
      <c r="R37" s="88"/>
      <c r="S37" s="88"/>
      <c r="T37" s="88"/>
      <c r="U37" s="88"/>
      <c r="V37" s="88"/>
    </row>
    <row r="38" spans="2:22" x14ac:dyDescent="0.25">
      <c r="B38" s="4832"/>
      <c r="D38" s="1137"/>
      <c r="E38" s="88"/>
      <c r="F38" s="88"/>
      <c r="G38" s="88"/>
      <c r="H38" s="88"/>
      <c r="I38" s="88"/>
      <c r="J38" s="88"/>
      <c r="K38" s="88"/>
      <c r="L38" s="88"/>
      <c r="M38" s="88"/>
      <c r="N38" s="88"/>
      <c r="O38" s="88"/>
      <c r="P38" s="88"/>
      <c r="Q38" s="88"/>
      <c r="R38" s="88"/>
      <c r="S38" s="88"/>
      <c r="T38" s="88"/>
      <c r="U38" s="88"/>
      <c r="V38" s="88"/>
    </row>
    <row r="39" spans="2:22" x14ac:dyDescent="0.25">
      <c r="B39" s="4832"/>
      <c r="D39" s="1137"/>
      <c r="E39" s="88"/>
      <c r="F39" s="88"/>
      <c r="G39" s="88"/>
      <c r="H39" s="88"/>
      <c r="I39" s="88"/>
      <c r="J39" s="88"/>
      <c r="K39" s="88"/>
      <c r="L39" s="88"/>
      <c r="M39" s="88"/>
      <c r="N39" s="88"/>
      <c r="O39" s="88"/>
      <c r="P39" s="88"/>
      <c r="Q39" s="88"/>
      <c r="R39" s="88"/>
      <c r="S39" s="88"/>
      <c r="T39" s="88"/>
      <c r="U39" s="88"/>
      <c r="V39" s="88"/>
    </row>
    <row r="40" spans="2:22" x14ac:dyDescent="0.25">
      <c r="B40" s="4832"/>
      <c r="D40" s="1137"/>
      <c r="E40" s="88"/>
      <c r="F40" s="88"/>
      <c r="G40" s="88"/>
      <c r="H40" s="88"/>
      <c r="I40" s="88"/>
      <c r="J40" s="88"/>
      <c r="K40" s="88"/>
      <c r="L40" s="88"/>
      <c r="M40" s="88"/>
      <c r="N40" s="88"/>
      <c r="O40" s="88"/>
      <c r="P40" s="88"/>
      <c r="Q40" s="88"/>
      <c r="R40" s="88"/>
      <c r="S40" s="88"/>
      <c r="T40" s="88"/>
      <c r="U40" s="88"/>
      <c r="V40" s="88"/>
    </row>
    <row r="41" spans="2:22" x14ac:dyDescent="0.25">
      <c r="D41" s="1137"/>
      <c r="E41" s="88"/>
      <c r="F41" s="88"/>
      <c r="G41" s="88"/>
      <c r="H41" s="88"/>
      <c r="I41" s="88"/>
      <c r="J41" s="88"/>
      <c r="K41" s="88"/>
      <c r="L41" s="88"/>
      <c r="M41" s="88"/>
      <c r="N41" s="88"/>
      <c r="O41" s="88"/>
      <c r="P41" s="88"/>
      <c r="Q41" s="88"/>
      <c r="R41" s="88"/>
      <c r="S41" s="88"/>
      <c r="T41" s="88"/>
      <c r="U41" s="88"/>
      <c r="V41" s="88"/>
    </row>
    <row r="42" spans="2:22" x14ac:dyDescent="0.25">
      <c r="D42" s="1137"/>
      <c r="E42" s="88"/>
      <c r="F42" s="88"/>
      <c r="G42" s="88"/>
      <c r="H42" s="88"/>
      <c r="I42" s="88"/>
      <c r="J42" s="88"/>
      <c r="K42" s="88"/>
      <c r="L42" s="88"/>
      <c r="M42" s="88"/>
      <c r="N42" s="88"/>
      <c r="O42" s="88"/>
      <c r="P42" s="88"/>
      <c r="Q42" s="88"/>
      <c r="R42" s="88"/>
      <c r="S42" s="88"/>
      <c r="T42" s="88"/>
      <c r="U42" s="88"/>
      <c r="V42" s="88"/>
    </row>
    <row r="43" spans="2:22" x14ac:dyDescent="0.25">
      <c r="D43" s="1137"/>
      <c r="E43" s="88"/>
      <c r="F43" s="88"/>
      <c r="G43" s="88"/>
      <c r="H43" s="88"/>
      <c r="I43" s="88"/>
      <c r="J43" s="88"/>
      <c r="K43" s="88"/>
      <c r="L43" s="88"/>
      <c r="M43" s="88"/>
      <c r="N43" s="88"/>
      <c r="O43" s="88"/>
      <c r="P43" s="88"/>
      <c r="Q43" s="88"/>
      <c r="R43" s="88"/>
      <c r="S43" s="88"/>
      <c r="T43" s="88"/>
      <c r="U43" s="88"/>
      <c r="V43" s="88"/>
    </row>
    <row r="44" spans="2:22" x14ac:dyDescent="0.25">
      <c r="D44" s="1137"/>
      <c r="E44" s="88"/>
      <c r="F44" s="88"/>
      <c r="G44" s="88"/>
      <c r="H44" s="88"/>
      <c r="I44" s="88"/>
      <c r="J44" s="88"/>
      <c r="K44" s="88"/>
      <c r="L44" s="88"/>
      <c r="M44" s="88"/>
      <c r="N44" s="88"/>
      <c r="O44" s="88"/>
      <c r="P44" s="88"/>
      <c r="Q44" s="88"/>
      <c r="R44" s="88"/>
      <c r="S44" s="88"/>
      <c r="T44" s="88"/>
      <c r="U44" s="88"/>
      <c r="V44" s="88"/>
    </row>
    <row r="45" spans="2:22" x14ac:dyDescent="0.25">
      <c r="D45" s="1137"/>
      <c r="E45" s="88"/>
      <c r="F45" s="88"/>
      <c r="G45" s="88"/>
      <c r="H45" s="88"/>
      <c r="I45" s="88"/>
      <c r="J45" s="88"/>
      <c r="K45" s="88"/>
      <c r="L45" s="88"/>
      <c r="M45" s="88"/>
      <c r="N45" s="88"/>
      <c r="O45" s="1137"/>
      <c r="P45" s="88"/>
      <c r="Q45" s="88"/>
      <c r="R45" s="88"/>
      <c r="S45" s="88"/>
      <c r="T45" s="88"/>
      <c r="U45" s="88"/>
      <c r="V45" s="89"/>
    </row>
    <row r="46" spans="2:22" x14ac:dyDescent="0.25">
      <c r="D46" s="1137"/>
      <c r="E46" s="1137"/>
      <c r="F46" s="1137"/>
      <c r="G46" s="1137"/>
      <c r="H46" s="1137"/>
      <c r="I46" s="1137"/>
      <c r="J46" s="1137"/>
      <c r="K46" s="1137"/>
      <c r="L46" s="1137"/>
      <c r="M46" s="1137"/>
      <c r="N46" s="1137"/>
      <c r="O46" s="1137"/>
      <c r="P46" s="1137"/>
      <c r="Q46" s="1137"/>
      <c r="R46" s="1137"/>
      <c r="S46" s="1137"/>
      <c r="T46" s="1137"/>
      <c r="U46" s="1137"/>
      <c r="V46" s="1137"/>
    </row>
    <row r="47" spans="2:22" x14ac:dyDescent="0.25">
      <c r="D47" s="1137"/>
      <c r="E47" s="1137"/>
      <c r="F47" s="1137"/>
      <c r="G47" s="1137"/>
      <c r="H47" s="1137"/>
      <c r="I47" s="1137"/>
      <c r="J47" s="1137"/>
      <c r="K47" s="1137"/>
      <c r="L47" s="1137"/>
      <c r="M47" s="1137"/>
      <c r="N47" s="1137"/>
      <c r="O47" s="1137"/>
      <c r="P47" s="1137"/>
      <c r="Q47" s="1137"/>
      <c r="R47" s="1137"/>
      <c r="S47" s="1137"/>
      <c r="T47" s="1137"/>
      <c r="U47" s="1137"/>
      <c r="V47" s="1137"/>
    </row>
    <row r="48" spans="2:22" x14ac:dyDescent="0.25">
      <c r="D48" s="1137"/>
      <c r="E48" s="1137"/>
      <c r="F48" s="1137"/>
      <c r="G48" s="1137"/>
      <c r="H48" s="1137"/>
      <c r="I48" s="1137"/>
      <c r="J48" s="1137"/>
      <c r="K48" s="1137"/>
      <c r="L48" s="1137"/>
      <c r="M48" s="1137"/>
      <c r="N48" s="1137"/>
      <c r="O48" s="1137"/>
      <c r="P48" s="1137"/>
      <c r="Q48" s="1137"/>
      <c r="R48" s="1137"/>
      <c r="S48" s="1137"/>
      <c r="T48" s="1137"/>
      <c r="U48" s="1137"/>
      <c r="V48" s="1137"/>
    </row>
    <row r="49" spans="1:22" x14ac:dyDescent="0.25">
      <c r="A49" s="509">
        <v>7</v>
      </c>
      <c r="B49" s="509" t="s">
        <v>52</v>
      </c>
      <c r="C49" s="509"/>
      <c r="D49" s="4603" t="s">
        <v>1059</v>
      </c>
      <c r="E49" s="4604"/>
      <c r="F49" s="4604"/>
      <c r="G49" s="4604"/>
      <c r="H49" s="4604"/>
      <c r="I49" s="4604"/>
      <c r="J49" s="4604"/>
      <c r="K49" s="4604"/>
      <c r="L49" s="4604"/>
      <c r="M49" s="4604"/>
      <c r="N49" s="4604"/>
      <c r="O49" s="4604"/>
      <c r="P49" s="4604"/>
      <c r="Q49" s="4604"/>
      <c r="R49" s="4604"/>
      <c r="S49" s="4604"/>
      <c r="T49" s="4604"/>
      <c r="U49" s="4604"/>
      <c r="V49" s="4605"/>
    </row>
    <row r="50" spans="1:22" ht="16.5" customHeight="1" x14ac:dyDescent="0.25">
      <c r="A50" s="546">
        <v>8</v>
      </c>
      <c r="B50" s="546" t="s">
        <v>54</v>
      </c>
      <c r="C50" s="546"/>
      <c r="D50" s="4737" t="s">
        <v>1060</v>
      </c>
      <c r="E50" s="4738"/>
      <c r="F50" s="4738"/>
      <c r="G50" s="4738"/>
      <c r="H50" s="4738"/>
      <c r="I50" s="4738"/>
      <c r="J50" s="4738"/>
      <c r="K50" s="4738"/>
      <c r="L50" s="4738"/>
      <c r="M50" s="4738"/>
      <c r="N50" s="4738"/>
      <c r="O50" s="4738"/>
      <c r="P50" s="4738"/>
      <c r="Q50" s="4738"/>
      <c r="R50" s="4738"/>
      <c r="S50" s="4738"/>
      <c r="T50" s="4738"/>
      <c r="U50" s="4738"/>
      <c r="V50" s="4739"/>
    </row>
    <row r="51" spans="1:22" ht="13.5" customHeight="1" x14ac:dyDescent="0.25">
      <c r="A51" s="509">
        <v>9</v>
      </c>
      <c r="B51" s="509" t="s">
        <v>56</v>
      </c>
      <c r="C51" s="509"/>
      <c r="D51" s="4840" t="s">
        <v>1061</v>
      </c>
      <c r="E51" s="4841"/>
      <c r="F51" s="4841"/>
      <c r="G51" s="4841"/>
      <c r="H51" s="4841"/>
      <c r="I51" s="4841"/>
      <c r="J51" s="4841"/>
      <c r="K51" s="4841"/>
      <c r="L51" s="4841"/>
      <c r="M51" s="4841"/>
      <c r="N51" s="4841"/>
      <c r="O51" s="4841"/>
      <c r="P51" s="4841"/>
      <c r="Q51" s="4841"/>
      <c r="R51" s="4841"/>
      <c r="S51" s="4841"/>
      <c r="T51" s="4841"/>
      <c r="U51" s="4841"/>
      <c r="V51" s="4842"/>
    </row>
    <row r="52" spans="1:22" x14ac:dyDescent="0.25">
      <c r="B52" s="509"/>
      <c r="C52" s="509"/>
      <c r="D52" s="4786" t="s">
        <v>1062</v>
      </c>
      <c r="E52" s="4843"/>
      <c r="F52" s="4843"/>
      <c r="G52" s="4843"/>
      <c r="H52" s="4843"/>
      <c r="I52" s="4843"/>
      <c r="J52" s="4843"/>
      <c r="K52" s="4843"/>
      <c r="L52" s="4843"/>
      <c r="M52" s="4843"/>
      <c r="N52" s="4843"/>
      <c r="O52" s="4843"/>
      <c r="P52" s="4843"/>
      <c r="Q52" s="4843"/>
      <c r="R52" s="4843"/>
      <c r="S52" s="4843"/>
      <c r="T52" s="4843"/>
      <c r="U52" s="4843"/>
      <c r="V52" s="4788"/>
    </row>
    <row r="53" spans="1:22" s="508" customFormat="1" ht="14.25" x14ac:dyDescent="0.2">
      <c r="A53" s="509">
        <v>10</v>
      </c>
      <c r="B53" s="509" t="s">
        <v>355</v>
      </c>
      <c r="C53" s="309"/>
      <c r="D53" s="4837"/>
      <c r="E53" s="4838"/>
      <c r="F53" s="4838"/>
      <c r="G53" s="4838"/>
      <c r="H53" s="4838"/>
      <c r="I53" s="4838"/>
      <c r="J53" s="4838"/>
      <c r="K53" s="4838"/>
      <c r="L53" s="4838"/>
      <c r="M53" s="4838"/>
      <c r="N53" s="4838"/>
      <c r="O53" s="4838"/>
      <c r="P53" s="4838"/>
      <c r="Q53" s="4838"/>
      <c r="R53" s="4838"/>
      <c r="S53" s="4838"/>
      <c r="T53" s="4838"/>
      <c r="U53" s="4838"/>
      <c r="V53" s="4839"/>
    </row>
    <row r="54" spans="1:22" x14ac:dyDescent="0.25">
      <c r="B54" s="509"/>
      <c r="D54" s="9"/>
      <c r="E54" s="9"/>
      <c r="F54" s="9"/>
      <c r="G54" s="9"/>
      <c r="H54" s="9"/>
      <c r="I54" s="9"/>
      <c r="J54" s="9"/>
      <c r="K54" s="9"/>
      <c r="L54" s="9"/>
      <c r="M54" s="9"/>
      <c r="N54" s="9"/>
    </row>
    <row r="55" spans="1:22" x14ac:dyDescent="0.25">
      <c r="B55" s="509"/>
      <c r="D55" s="9"/>
      <c r="E55" s="9"/>
      <c r="F55" s="9"/>
      <c r="G55" s="9"/>
      <c r="H55" s="9"/>
      <c r="I55" s="9"/>
      <c r="J55" s="9"/>
      <c r="K55" s="9"/>
      <c r="L55" s="9"/>
      <c r="M55" s="9"/>
      <c r="N55" s="9"/>
    </row>
    <row r="56" spans="1:22" x14ac:dyDescent="0.25">
      <c r="B56" s="509"/>
      <c r="D56" s="9"/>
      <c r="E56" s="9"/>
      <c r="F56" s="9"/>
      <c r="G56" s="9"/>
      <c r="H56" s="9"/>
      <c r="I56" s="9"/>
      <c r="J56" s="9"/>
      <c r="K56" s="9"/>
      <c r="L56" s="9"/>
      <c r="M56" s="9"/>
      <c r="N56" s="9"/>
    </row>
    <row r="57" spans="1:22" x14ac:dyDescent="0.25">
      <c r="B57" s="509"/>
      <c r="D57" s="9"/>
      <c r="E57" s="9"/>
      <c r="F57" s="9"/>
      <c r="G57" s="9"/>
      <c r="H57" s="9"/>
      <c r="I57" s="9"/>
      <c r="J57" s="9"/>
      <c r="K57" s="9"/>
      <c r="L57" s="9"/>
      <c r="M57" s="9"/>
      <c r="N57" s="9"/>
    </row>
    <row r="58" spans="1:22" x14ac:dyDescent="0.25">
      <c r="B58" s="509"/>
      <c r="D58" s="9"/>
      <c r="E58" s="9"/>
      <c r="F58" s="9"/>
      <c r="G58" s="9"/>
      <c r="H58" s="9"/>
      <c r="I58" s="9"/>
      <c r="J58" s="9"/>
      <c r="K58" s="9"/>
      <c r="L58" s="9"/>
      <c r="M58" s="9"/>
      <c r="N58" s="9"/>
    </row>
  </sheetData>
  <mergeCells count="15">
    <mergeCell ref="B31:B40"/>
    <mergeCell ref="D49:V49"/>
    <mergeCell ref="D50:V50"/>
    <mergeCell ref="D51:V51"/>
    <mergeCell ref="D52:V52"/>
    <mergeCell ref="D53:V53"/>
    <mergeCell ref="D2:V2"/>
    <mergeCell ref="D3:V3"/>
    <mergeCell ref="D4:V4"/>
    <mergeCell ref="D5:V5"/>
    <mergeCell ref="B9:B11"/>
    <mergeCell ref="E17:H17"/>
    <mergeCell ref="I17:L17"/>
    <mergeCell ref="M17:P17"/>
    <mergeCell ref="Q17:T17"/>
  </mergeCells>
  <pageMargins left="0.74803149606299202" right="0.74803149606299202" top="0.98425196850393704" bottom="0.98425196850393704" header="0.511811023622047" footer="0.511811023622047"/>
  <pageSetup paperSize="9" scale="56"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173C2-FF96-4D35-9ACA-462708B12389}">
  <sheetPr>
    <tabColor theme="9"/>
    <pageSetUpPr fitToPage="1"/>
  </sheetPr>
  <dimension ref="A1:AC53"/>
  <sheetViews>
    <sheetView showGridLines="0" view="pageBreakPreview" zoomScale="110" zoomScaleNormal="100" zoomScaleSheetLayoutView="110" workbookViewId="0">
      <selection activeCell="AC9" sqref="AC9"/>
    </sheetView>
  </sheetViews>
  <sheetFormatPr defaultColWidth="9.140625" defaultRowHeight="15" x14ac:dyDescent="0.2"/>
  <cols>
    <col min="1" max="1" width="3.85546875" style="506" customWidth="1"/>
    <col min="2" max="2" width="14.42578125" style="507" customWidth="1"/>
    <col min="3" max="3" width="3.85546875" style="507" customWidth="1"/>
    <col min="4" max="4" width="25.5703125" style="508" customWidth="1"/>
    <col min="5" max="15" width="7.42578125" style="508" customWidth="1"/>
    <col min="16" max="19" width="6.5703125" style="508" customWidth="1"/>
    <col min="20" max="20" width="6.42578125" style="508" customWidth="1"/>
    <col min="21" max="21" width="5.5703125" style="508" customWidth="1"/>
    <col min="22" max="22" width="7.85546875" style="508" customWidth="1"/>
    <col min="23" max="23" width="6.140625" style="508" customWidth="1"/>
    <col min="24" max="24" width="7" style="508" customWidth="1"/>
    <col min="25" max="27" width="6.5703125" style="508" customWidth="1"/>
    <col min="28" max="28" width="7.5703125" style="508" customWidth="1"/>
    <col min="29" max="258" width="9.140625" style="508"/>
    <col min="259" max="259" width="3.85546875" style="508" customWidth="1"/>
    <col min="260" max="260" width="14.42578125" style="508" customWidth="1"/>
    <col min="261" max="261" width="3.85546875" style="508" customWidth="1"/>
    <col min="262" max="262" width="25.5703125" style="508" customWidth="1"/>
    <col min="263" max="273" width="7.42578125" style="508" customWidth="1"/>
    <col min="274" max="276" width="6.5703125" style="508" customWidth="1"/>
    <col min="277" max="278" width="9.140625" style="508"/>
    <col min="279" max="279" width="7.85546875" style="508" customWidth="1"/>
    <col min="280" max="514" width="9.140625" style="508"/>
    <col min="515" max="515" width="3.85546875" style="508" customWidth="1"/>
    <col min="516" max="516" width="14.42578125" style="508" customWidth="1"/>
    <col min="517" max="517" width="3.85546875" style="508" customWidth="1"/>
    <col min="518" max="518" width="25.5703125" style="508" customWidth="1"/>
    <col min="519" max="529" width="7.42578125" style="508" customWidth="1"/>
    <col min="530" max="532" width="6.5703125" style="508" customWidth="1"/>
    <col min="533" max="534" width="9.140625" style="508"/>
    <col min="535" max="535" width="7.85546875" style="508" customWidth="1"/>
    <col min="536" max="770" width="9.140625" style="508"/>
    <col min="771" max="771" width="3.85546875" style="508" customWidth="1"/>
    <col min="772" max="772" width="14.42578125" style="508" customWidth="1"/>
    <col min="773" max="773" width="3.85546875" style="508" customWidth="1"/>
    <col min="774" max="774" width="25.5703125" style="508" customWidth="1"/>
    <col min="775" max="785" width="7.42578125" style="508" customWidth="1"/>
    <col min="786" max="788" width="6.5703125" style="508" customWidth="1"/>
    <col min="789" max="790" width="9.140625" style="508"/>
    <col min="791" max="791" width="7.85546875" style="508" customWidth="1"/>
    <col min="792" max="1026" width="9.140625" style="508"/>
    <col min="1027" max="1027" width="3.85546875" style="508" customWidth="1"/>
    <col min="1028" max="1028" width="14.42578125" style="508" customWidth="1"/>
    <col min="1029" max="1029" width="3.85546875" style="508" customWidth="1"/>
    <col min="1030" max="1030" width="25.5703125" style="508" customWidth="1"/>
    <col min="1031" max="1041" width="7.42578125" style="508" customWidth="1"/>
    <col min="1042" max="1044" width="6.5703125" style="508" customWidth="1"/>
    <col min="1045" max="1046" width="9.140625" style="508"/>
    <col min="1047" max="1047" width="7.85546875" style="508" customWidth="1"/>
    <col min="1048" max="1282" width="9.140625" style="508"/>
    <col min="1283" max="1283" width="3.85546875" style="508" customWidth="1"/>
    <col min="1284" max="1284" width="14.42578125" style="508" customWidth="1"/>
    <col min="1285" max="1285" width="3.85546875" style="508" customWidth="1"/>
    <col min="1286" max="1286" width="25.5703125" style="508" customWidth="1"/>
    <col min="1287" max="1297" width="7.42578125" style="508" customWidth="1"/>
    <col min="1298" max="1300" width="6.5703125" style="508" customWidth="1"/>
    <col min="1301" max="1302" width="9.140625" style="508"/>
    <col min="1303" max="1303" width="7.85546875" style="508" customWidth="1"/>
    <col min="1304" max="1538" width="9.140625" style="508"/>
    <col min="1539" max="1539" width="3.85546875" style="508" customWidth="1"/>
    <col min="1540" max="1540" width="14.42578125" style="508" customWidth="1"/>
    <col min="1541" max="1541" width="3.85546875" style="508" customWidth="1"/>
    <col min="1542" max="1542" width="25.5703125" style="508" customWidth="1"/>
    <col min="1543" max="1553" width="7.42578125" style="508" customWidth="1"/>
    <col min="1554" max="1556" width="6.5703125" style="508" customWidth="1"/>
    <col min="1557" max="1558" width="9.140625" style="508"/>
    <col min="1559" max="1559" width="7.85546875" style="508" customWidth="1"/>
    <col min="1560" max="1794" width="9.140625" style="508"/>
    <col min="1795" max="1795" width="3.85546875" style="508" customWidth="1"/>
    <col min="1796" max="1796" width="14.42578125" style="508" customWidth="1"/>
    <col min="1797" max="1797" width="3.85546875" style="508" customWidth="1"/>
    <col min="1798" max="1798" width="25.5703125" style="508" customWidth="1"/>
    <col min="1799" max="1809" width="7.42578125" style="508" customWidth="1"/>
    <col min="1810" max="1812" width="6.5703125" style="508" customWidth="1"/>
    <col min="1813" max="1814" width="9.140625" style="508"/>
    <col min="1815" max="1815" width="7.85546875" style="508" customWidth="1"/>
    <col min="1816" max="2050" width="9.140625" style="508"/>
    <col min="2051" max="2051" width="3.85546875" style="508" customWidth="1"/>
    <col min="2052" max="2052" width="14.42578125" style="508" customWidth="1"/>
    <col min="2053" max="2053" width="3.85546875" style="508" customWidth="1"/>
    <col min="2054" max="2054" width="25.5703125" style="508" customWidth="1"/>
    <col min="2055" max="2065" width="7.42578125" style="508" customWidth="1"/>
    <col min="2066" max="2068" width="6.5703125" style="508" customWidth="1"/>
    <col min="2069" max="2070" width="9.140625" style="508"/>
    <col min="2071" max="2071" width="7.85546875" style="508" customWidth="1"/>
    <col min="2072" max="2306" width="9.140625" style="508"/>
    <col min="2307" max="2307" width="3.85546875" style="508" customWidth="1"/>
    <col min="2308" max="2308" width="14.42578125" style="508" customWidth="1"/>
    <col min="2309" max="2309" width="3.85546875" style="508" customWidth="1"/>
    <col min="2310" max="2310" width="25.5703125" style="508" customWidth="1"/>
    <col min="2311" max="2321" width="7.42578125" style="508" customWidth="1"/>
    <col min="2322" max="2324" width="6.5703125" style="508" customWidth="1"/>
    <col min="2325" max="2326" width="9.140625" style="508"/>
    <col min="2327" max="2327" width="7.85546875" style="508" customWidth="1"/>
    <col min="2328" max="2562" width="9.140625" style="508"/>
    <col min="2563" max="2563" width="3.85546875" style="508" customWidth="1"/>
    <col min="2564" max="2564" width="14.42578125" style="508" customWidth="1"/>
    <col min="2565" max="2565" width="3.85546875" style="508" customWidth="1"/>
    <col min="2566" max="2566" width="25.5703125" style="508" customWidth="1"/>
    <col min="2567" max="2577" width="7.42578125" style="508" customWidth="1"/>
    <col min="2578" max="2580" width="6.5703125" style="508" customWidth="1"/>
    <col min="2581" max="2582" width="9.140625" style="508"/>
    <col min="2583" max="2583" width="7.85546875" style="508" customWidth="1"/>
    <col min="2584" max="2818" width="9.140625" style="508"/>
    <col min="2819" max="2819" width="3.85546875" style="508" customWidth="1"/>
    <col min="2820" max="2820" width="14.42578125" style="508" customWidth="1"/>
    <col min="2821" max="2821" width="3.85546875" style="508" customWidth="1"/>
    <col min="2822" max="2822" width="25.5703125" style="508" customWidth="1"/>
    <col min="2823" max="2833" width="7.42578125" style="508" customWidth="1"/>
    <col min="2834" max="2836" width="6.5703125" style="508" customWidth="1"/>
    <col min="2837" max="2838" width="9.140625" style="508"/>
    <col min="2839" max="2839" width="7.85546875" style="508" customWidth="1"/>
    <col min="2840" max="3074" width="9.140625" style="508"/>
    <col min="3075" max="3075" width="3.85546875" style="508" customWidth="1"/>
    <col min="3076" max="3076" width="14.42578125" style="508" customWidth="1"/>
    <col min="3077" max="3077" width="3.85546875" style="508" customWidth="1"/>
    <col min="3078" max="3078" width="25.5703125" style="508" customWidth="1"/>
    <col min="3079" max="3089" width="7.42578125" style="508" customWidth="1"/>
    <col min="3090" max="3092" width="6.5703125" style="508" customWidth="1"/>
    <col min="3093" max="3094" width="9.140625" style="508"/>
    <col min="3095" max="3095" width="7.85546875" style="508" customWidth="1"/>
    <col min="3096" max="3330" width="9.140625" style="508"/>
    <col min="3331" max="3331" width="3.85546875" style="508" customWidth="1"/>
    <col min="3332" max="3332" width="14.42578125" style="508" customWidth="1"/>
    <col min="3333" max="3333" width="3.85546875" style="508" customWidth="1"/>
    <col min="3334" max="3334" width="25.5703125" style="508" customWidth="1"/>
    <col min="3335" max="3345" width="7.42578125" style="508" customWidth="1"/>
    <col min="3346" max="3348" width="6.5703125" style="508" customWidth="1"/>
    <col min="3349" max="3350" width="9.140625" style="508"/>
    <col min="3351" max="3351" width="7.85546875" style="508" customWidth="1"/>
    <col min="3352" max="3586" width="9.140625" style="508"/>
    <col min="3587" max="3587" width="3.85546875" style="508" customWidth="1"/>
    <col min="3588" max="3588" width="14.42578125" style="508" customWidth="1"/>
    <col min="3589" max="3589" width="3.85546875" style="508" customWidth="1"/>
    <col min="3590" max="3590" width="25.5703125" style="508" customWidth="1"/>
    <col min="3591" max="3601" width="7.42578125" style="508" customWidth="1"/>
    <col min="3602" max="3604" width="6.5703125" style="508" customWidth="1"/>
    <col min="3605" max="3606" width="9.140625" style="508"/>
    <col min="3607" max="3607" width="7.85546875" style="508" customWidth="1"/>
    <col min="3608" max="3842" width="9.140625" style="508"/>
    <col min="3843" max="3843" width="3.85546875" style="508" customWidth="1"/>
    <col min="3844" max="3844" width="14.42578125" style="508" customWidth="1"/>
    <col min="3845" max="3845" width="3.85546875" style="508" customWidth="1"/>
    <col min="3846" max="3846" width="25.5703125" style="508" customWidth="1"/>
    <col min="3847" max="3857" width="7.42578125" style="508" customWidth="1"/>
    <col min="3858" max="3860" width="6.5703125" style="508" customWidth="1"/>
    <col min="3861" max="3862" width="9.140625" style="508"/>
    <col min="3863" max="3863" width="7.85546875" style="508" customWidth="1"/>
    <col min="3864" max="4098" width="9.140625" style="508"/>
    <col min="4099" max="4099" width="3.85546875" style="508" customWidth="1"/>
    <col min="4100" max="4100" width="14.42578125" style="508" customWidth="1"/>
    <col min="4101" max="4101" width="3.85546875" style="508" customWidth="1"/>
    <col min="4102" max="4102" width="25.5703125" style="508" customWidth="1"/>
    <col min="4103" max="4113" width="7.42578125" style="508" customWidth="1"/>
    <col min="4114" max="4116" width="6.5703125" style="508" customWidth="1"/>
    <col min="4117" max="4118" width="9.140625" style="508"/>
    <col min="4119" max="4119" width="7.85546875" style="508" customWidth="1"/>
    <col min="4120" max="4354" width="9.140625" style="508"/>
    <col min="4355" max="4355" width="3.85546875" style="508" customWidth="1"/>
    <col min="4356" max="4356" width="14.42578125" style="508" customWidth="1"/>
    <col min="4357" max="4357" width="3.85546875" style="508" customWidth="1"/>
    <col min="4358" max="4358" width="25.5703125" style="508" customWidth="1"/>
    <col min="4359" max="4369" width="7.42578125" style="508" customWidth="1"/>
    <col min="4370" max="4372" width="6.5703125" style="508" customWidth="1"/>
    <col min="4373" max="4374" width="9.140625" style="508"/>
    <col min="4375" max="4375" width="7.85546875" style="508" customWidth="1"/>
    <col min="4376" max="4610" width="9.140625" style="508"/>
    <col min="4611" max="4611" width="3.85546875" style="508" customWidth="1"/>
    <col min="4612" max="4612" width="14.42578125" style="508" customWidth="1"/>
    <col min="4613" max="4613" width="3.85546875" style="508" customWidth="1"/>
    <col min="4614" max="4614" width="25.5703125" style="508" customWidth="1"/>
    <col min="4615" max="4625" width="7.42578125" style="508" customWidth="1"/>
    <col min="4626" max="4628" width="6.5703125" style="508" customWidth="1"/>
    <col min="4629" max="4630" width="9.140625" style="508"/>
    <col min="4631" max="4631" width="7.85546875" style="508" customWidth="1"/>
    <col min="4632" max="4866" width="9.140625" style="508"/>
    <col min="4867" max="4867" width="3.85546875" style="508" customWidth="1"/>
    <col min="4868" max="4868" width="14.42578125" style="508" customWidth="1"/>
    <col min="4869" max="4869" width="3.85546875" style="508" customWidth="1"/>
    <col min="4870" max="4870" width="25.5703125" style="508" customWidth="1"/>
    <col min="4871" max="4881" width="7.42578125" style="508" customWidth="1"/>
    <col min="4882" max="4884" width="6.5703125" style="508" customWidth="1"/>
    <col min="4885" max="4886" width="9.140625" style="508"/>
    <col min="4887" max="4887" width="7.85546875" style="508" customWidth="1"/>
    <col min="4888" max="5122" width="9.140625" style="508"/>
    <col min="5123" max="5123" width="3.85546875" style="508" customWidth="1"/>
    <col min="5124" max="5124" width="14.42578125" style="508" customWidth="1"/>
    <col min="5125" max="5125" width="3.85546875" style="508" customWidth="1"/>
    <col min="5126" max="5126" width="25.5703125" style="508" customWidth="1"/>
    <col min="5127" max="5137" width="7.42578125" style="508" customWidth="1"/>
    <col min="5138" max="5140" width="6.5703125" style="508" customWidth="1"/>
    <col min="5141" max="5142" width="9.140625" style="508"/>
    <col min="5143" max="5143" width="7.85546875" style="508" customWidth="1"/>
    <col min="5144" max="5378" width="9.140625" style="508"/>
    <col min="5379" max="5379" width="3.85546875" style="508" customWidth="1"/>
    <col min="5380" max="5380" width="14.42578125" style="508" customWidth="1"/>
    <col min="5381" max="5381" width="3.85546875" style="508" customWidth="1"/>
    <col min="5382" max="5382" width="25.5703125" style="508" customWidth="1"/>
    <col min="5383" max="5393" width="7.42578125" style="508" customWidth="1"/>
    <col min="5394" max="5396" width="6.5703125" style="508" customWidth="1"/>
    <col min="5397" max="5398" width="9.140625" style="508"/>
    <col min="5399" max="5399" width="7.85546875" style="508" customWidth="1"/>
    <col min="5400" max="5634" width="9.140625" style="508"/>
    <col min="5635" max="5635" width="3.85546875" style="508" customWidth="1"/>
    <col min="5636" max="5636" width="14.42578125" style="508" customWidth="1"/>
    <col min="5637" max="5637" width="3.85546875" style="508" customWidth="1"/>
    <col min="5638" max="5638" width="25.5703125" style="508" customWidth="1"/>
    <col min="5639" max="5649" width="7.42578125" style="508" customWidth="1"/>
    <col min="5650" max="5652" width="6.5703125" style="508" customWidth="1"/>
    <col min="5653" max="5654" width="9.140625" style="508"/>
    <col min="5655" max="5655" width="7.85546875" style="508" customWidth="1"/>
    <col min="5656" max="5890" width="9.140625" style="508"/>
    <col min="5891" max="5891" width="3.85546875" style="508" customWidth="1"/>
    <col min="5892" max="5892" width="14.42578125" style="508" customWidth="1"/>
    <col min="5893" max="5893" width="3.85546875" style="508" customWidth="1"/>
    <col min="5894" max="5894" width="25.5703125" style="508" customWidth="1"/>
    <col min="5895" max="5905" width="7.42578125" style="508" customWidth="1"/>
    <col min="5906" max="5908" width="6.5703125" style="508" customWidth="1"/>
    <col min="5909" max="5910" width="9.140625" style="508"/>
    <col min="5911" max="5911" width="7.85546875" style="508" customWidth="1"/>
    <col min="5912" max="6146" width="9.140625" style="508"/>
    <col min="6147" max="6147" width="3.85546875" style="508" customWidth="1"/>
    <col min="6148" max="6148" width="14.42578125" style="508" customWidth="1"/>
    <col min="6149" max="6149" width="3.85546875" style="508" customWidth="1"/>
    <col min="6150" max="6150" width="25.5703125" style="508" customWidth="1"/>
    <col min="6151" max="6161" width="7.42578125" style="508" customWidth="1"/>
    <col min="6162" max="6164" width="6.5703125" style="508" customWidth="1"/>
    <col min="6165" max="6166" width="9.140625" style="508"/>
    <col min="6167" max="6167" width="7.85546875" style="508" customWidth="1"/>
    <col min="6168" max="6402" width="9.140625" style="508"/>
    <col min="6403" max="6403" width="3.85546875" style="508" customWidth="1"/>
    <col min="6404" max="6404" width="14.42578125" style="508" customWidth="1"/>
    <col min="6405" max="6405" width="3.85546875" style="508" customWidth="1"/>
    <col min="6406" max="6406" width="25.5703125" style="508" customWidth="1"/>
    <col min="6407" max="6417" width="7.42578125" style="508" customWidth="1"/>
    <col min="6418" max="6420" width="6.5703125" style="508" customWidth="1"/>
    <col min="6421" max="6422" width="9.140625" style="508"/>
    <col min="6423" max="6423" width="7.85546875" style="508" customWidth="1"/>
    <col min="6424" max="6658" width="9.140625" style="508"/>
    <col min="6659" max="6659" width="3.85546875" style="508" customWidth="1"/>
    <col min="6660" max="6660" width="14.42578125" style="508" customWidth="1"/>
    <col min="6661" max="6661" width="3.85546875" style="508" customWidth="1"/>
    <col min="6662" max="6662" width="25.5703125" style="508" customWidth="1"/>
    <col min="6663" max="6673" width="7.42578125" style="508" customWidth="1"/>
    <col min="6674" max="6676" width="6.5703125" style="508" customWidth="1"/>
    <col min="6677" max="6678" width="9.140625" style="508"/>
    <col min="6679" max="6679" width="7.85546875" style="508" customWidth="1"/>
    <col min="6680" max="6914" width="9.140625" style="508"/>
    <col min="6915" max="6915" width="3.85546875" style="508" customWidth="1"/>
    <col min="6916" max="6916" width="14.42578125" style="508" customWidth="1"/>
    <col min="6917" max="6917" width="3.85546875" style="508" customWidth="1"/>
    <col min="6918" max="6918" width="25.5703125" style="508" customWidth="1"/>
    <col min="6919" max="6929" width="7.42578125" style="508" customWidth="1"/>
    <col min="6930" max="6932" width="6.5703125" style="508" customWidth="1"/>
    <col min="6933" max="6934" width="9.140625" style="508"/>
    <col min="6935" max="6935" width="7.85546875" style="508" customWidth="1"/>
    <col min="6936" max="7170" width="9.140625" style="508"/>
    <col min="7171" max="7171" width="3.85546875" style="508" customWidth="1"/>
    <col min="7172" max="7172" width="14.42578125" style="508" customWidth="1"/>
    <col min="7173" max="7173" width="3.85546875" style="508" customWidth="1"/>
    <col min="7174" max="7174" width="25.5703125" style="508" customWidth="1"/>
    <col min="7175" max="7185" width="7.42578125" style="508" customWidth="1"/>
    <col min="7186" max="7188" width="6.5703125" style="508" customWidth="1"/>
    <col min="7189" max="7190" width="9.140625" style="508"/>
    <col min="7191" max="7191" width="7.85546875" style="508" customWidth="1"/>
    <col min="7192" max="7426" width="9.140625" style="508"/>
    <col min="7427" max="7427" width="3.85546875" style="508" customWidth="1"/>
    <col min="7428" max="7428" width="14.42578125" style="508" customWidth="1"/>
    <col min="7429" max="7429" width="3.85546875" style="508" customWidth="1"/>
    <col min="7430" max="7430" width="25.5703125" style="508" customWidth="1"/>
    <col min="7431" max="7441" width="7.42578125" style="508" customWidth="1"/>
    <col min="7442" max="7444" width="6.5703125" style="508" customWidth="1"/>
    <col min="7445" max="7446" width="9.140625" style="508"/>
    <col min="7447" max="7447" width="7.85546875" style="508" customWidth="1"/>
    <col min="7448" max="7682" width="9.140625" style="508"/>
    <col min="7683" max="7683" width="3.85546875" style="508" customWidth="1"/>
    <col min="7684" max="7684" width="14.42578125" style="508" customWidth="1"/>
    <col min="7685" max="7685" width="3.85546875" style="508" customWidth="1"/>
    <col min="7686" max="7686" width="25.5703125" style="508" customWidth="1"/>
    <col min="7687" max="7697" width="7.42578125" style="508" customWidth="1"/>
    <col min="7698" max="7700" width="6.5703125" style="508" customWidth="1"/>
    <col min="7701" max="7702" width="9.140625" style="508"/>
    <col min="7703" max="7703" width="7.85546875" style="508" customWidth="1"/>
    <col min="7704" max="7938" width="9.140625" style="508"/>
    <col min="7939" max="7939" width="3.85546875" style="508" customWidth="1"/>
    <col min="7940" max="7940" width="14.42578125" style="508" customWidth="1"/>
    <col min="7941" max="7941" width="3.85546875" style="508" customWidth="1"/>
    <col min="7942" max="7942" width="25.5703125" style="508" customWidth="1"/>
    <col min="7943" max="7953" width="7.42578125" style="508" customWidth="1"/>
    <col min="7954" max="7956" width="6.5703125" style="508" customWidth="1"/>
    <col min="7957" max="7958" width="9.140625" style="508"/>
    <col min="7959" max="7959" width="7.85546875" style="508" customWidth="1"/>
    <col min="7960" max="8194" width="9.140625" style="508"/>
    <col min="8195" max="8195" width="3.85546875" style="508" customWidth="1"/>
    <col min="8196" max="8196" width="14.42578125" style="508" customWidth="1"/>
    <col min="8197" max="8197" width="3.85546875" style="508" customWidth="1"/>
    <col min="8198" max="8198" width="25.5703125" style="508" customWidth="1"/>
    <col min="8199" max="8209" width="7.42578125" style="508" customWidth="1"/>
    <col min="8210" max="8212" width="6.5703125" style="508" customWidth="1"/>
    <col min="8213" max="8214" width="9.140625" style="508"/>
    <col min="8215" max="8215" width="7.85546875" style="508" customWidth="1"/>
    <col min="8216" max="8450" width="9.140625" style="508"/>
    <col min="8451" max="8451" width="3.85546875" style="508" customWidth="1"/>
    <col min="8452" max="8452" width="14.42578125" style="508" customWidth="1"/>
    <col min="8453" max="8453" width="3.85546875" style="508" customWidth="1"/>
    <col min="8454" max="8454" width="25.5703125" style="508" customWidth="1"/>
    <col min="8455" max="8465" width="7.42578125" style="508" customWidth="1"/>
    <col min="8466" max="8468" width="6.5703125" style="508" customWidth="1"/>
    <col min="8469" max="8470" width="9.140625" style="508"/>
    <col min="8471" max="8471" width="7.85546875" style="508" customWidth="1"/>
    <col min="8472" max="8706" width="9.140625" style="508"/>
    <col min="8707" max="8707" width="3.85546875" style="508" customWidth="1"/>
    <col min="8708" max="8708" width="14.42578125" style="508" customWidth="1"/>
    <col min="8709" max="8709" width="3.85546875" style="508" customWidth="1"/>
    <col min="8710" max="8710" width="25.5703125" style="508" customWidth="1"/>
    <col min="8711" max="8721" width="7.42578125" style="508" customWidth="1"/>
    <col min="8722" max="8724" width="6.5703125" style="508" customWidth="1"/>
    <col min="8725" max="8726" width="9.140625" style="508"/>
    <col min="8727" max="8727" width="7.85546875" style="508" customWidth="1"/>
    <col min="8728" max="8962" width="9.140625" style="508"/>
    <col min="8963" max="8963" width="3.85546875" style="508" customWidth="1"/>
    <col min="8964" max="8964" width="14.42578125" style="508" customWidth="1"/>
    <col min="8965" max="8965" width="3.85546875" style="508" customWidth="1"/>
    <col min="8966" max="8966" width="25.5703125" style="508" customWidth="1"/>
    <col min="8967" max="8977" width="7.42578125" style="508" customWidth="1"/>
    <col min="8978" max="8980" width="6.5703125" style="508" customWidth="1"/>
    <col min="8981" max="8982" width="9.140625" style="508"/>
    <col min="8983" max="8983" width="7.85546875" style="508" customWidth="1"/>
    <col min="8984" max="9218" width="9.140625" style="508"/>
    <col min="9219" max="9219" width="3.85546875" style="508" customWidth="1"/>
    <col min="9220" max="9220" width="14.42578125" style="508" customWidth="1"/>
    <col min="9221" max="9221" width="3.85546875" style="508" customWidth="1"/>
    <col min="9222" max="9222" width="25.5703125" style="508" customWidth="1"/>
    <col min="9223" max="9233" width="7.42578125" style="508" customWidth="1"/>
    <col min="9234" max="9236" width="6.5703125" style="508" customWidth="1"/>
    <col min="9237" max="9238" width="9.140625" style="508"/>
    <col min="9239" max="9239" width="7.85546875" style="508" customWidth="1"/>
    <col min="9240" max="9474" width="9.140625" style="508"/>
    <col min="9475" max="9475" width="3.85546875" style="508" customWidth="1"/>
    <col min="9476" max="9476" width="14.42578125" style="508" customWidth="1"/>
    <col min="9477" max="9477" width="3.85546875" style="508" customWidth="1"/>
    <col min="9478" max="9478" width="25.5703125" style="508" customWidth="1"/>
    <col min="9479" max="9489" width="7.42578125" style="508" customWidth="1"/>
    <col min="9490" max="9492" width="6.5703125" style="508" customWidth="1"/>
    <col min="9493" max="9494" width="9.140625" style="508"/>
    <col min="9495" max="9495" width="7.85546875" style="508" customWidth="1"/>
    <col min="9496" max="9730" width="9.140625" style="508"/>
    <col min="9731" max="9731" width="3.85546875" style="508" customWidth="1"/>
    <col min="9732" max="9732" width="14.42578125" style="508" customWidth="1"/>
    <col min="9733" max="9733" width="3.85546875" style="508" customWidth="1"/>
    <col min="9734" max="9734" width="25.5703125" style="508" customWidth="1"/>
    <col min="9735" max="9745" width="7.42578125" style="508" customWidth="1"/>
    <col min="9746" max="9748" width="6.5703125" style="508" customWidth="1"/>
    <col min="9749" max="9750" width="9.140625" style="508"/>
    <col min="9751" max="9751" width="7.85546875" style="508" customWidth="1"/>
    <col min="9752" max="9986" width="9.140625" style="508"/>
    <col min="9987" max="9987" width="3.85546875" style="508" customWidth="1"/>
    <col min="9988" max="9988" width="14.42578125" style="508" customWidth="1"/>
    <col min="9989" max="9989" width="3.85546875" style="508" customWidth="1"/>
    <col min="9990" max="9990" width="25.5703125" style="508" customWidth="1"/>
    <col min="9991" max="10001" width="7.42578125" style="508" customWidth="1"/>
    <col min="10002" max="10004" width="6.5703125" style="508" customWidth="1"/>
    <col min="10005" max="10006" width="9.140625" style="508"/>
    <col min="10007" max="10007" width="7.85546875" style="508" customWidth="1"/>
    <col min="10008" max="10242" width="9.140625" style="508"/>
    <col min="10243" max="10243" width="3.85546875" style="508" customWidth="1"/>
    <col min="10244" max="10244" width="14.42578125" style="508" customWidth="1"/>
    <col min="10245" max="10245" width="3.85546875" style="508" customWidth="1"/>
    <col min="10246" max="10246" width="25.5703125" style="508" customWidth="1"/>
    <col min="10247" max="10257" width="7.42578125" style="508" customWidth="1"/>
    <col min="10258" max="10260" width="6.5703125" style="508" customWidth="1"/>
    <col min="10261" max="10262" width="9.140625" style="508"/>
    <col min="10263" max="10263" width="7.85546875" style="508" customWidth="1"/>
    <col min="10264" max="10498" width="9.140625" style="508"/>
    <col min="10499" max="10499" width="3.85546875" style="508" customWidth="1"/>
    <col min="10500" max="10500" width="14.42578125" style="508" customWidth="1"/>
    <col min="10501" max="10501" width="3.85546875" style="508" customWidth="1"/>
    <col min="10502" max="10502" width="25.5703125" style="508" customWidth="1"/>
    <col min="10503" max="10513" width="7.42578125" style="508" customWidth="1"/>
    <col min="10514" max="10516" width="6.5703125" style="508" customWidth="1"/>
    <col min="10517" max="10518" width="9.140625" style="508"/>
    <col min="10519" max="10519" width="7.85546875" style="508" customWidth="1"/>
    <col min="10520" max="10754" width="9.140625" style="508"/>
    <col min="10755" max="10755" width="3.85546875" style="508" customWidth="1"/>
    <col min="10756" max="10756" width="14.42578125" style="508" customWidth="1"/>
    <col min="10757" max="10757" width="3.85546875" style="508" customWidth="1"/>
    <col min="10758" max="10758" width="25.5703125" style="508" customWidth="1"/>
    <col min="10759" max="10769" width="7.42578125" style="508" customWidth="1"/>
    <col min="10770" max="10772" width="6.5703125" style="508" customWidth="1"/>
    <col min="10773" max="10774" width="9.140625" style="508"/>
    <col min="10775" max="10775" width="7.85546875" style="508" customWidth="1"/>
    <col min="10776" max="11010" width="9.140625" style="508"/>
    <col min="11011" max="11011" width="3.85546875" style="508" customWidth="1"/>
    <col min="11012" max="11012" width="14.42578125" style="508" customWidth="1"/>
    <col min="11013" max="11013" width="3.85546875" style="508" customWidth="1"/>
    <col min="11014" max="11014" width="25.5703125" style="508" customWidth="1"/>
    <col min="11015" max="11025" width="7.42578125" style="508" customWidth="1"/>
    <col min="11026" max="11028" width="6.5703125" style="508" customWidth="1"/>
    <col min="11029" max="11030" width="9.140625" style="508"/>
    <col min="11031" max="11031" width="7.85546875" style="508" customWidth="1"/>
    <col min="11032" max="11266" width="9.140625" style="508"/>
    <col min="11267" max="11267" width="3.85546875" style="508" customWidth="1"/>
    <col min="11268" max="11268" width="14.42578125" style="508" customWidth="1"/>
    <col min="11269" max="11269" width="3.85546875" style="508" customWidth="1"/>
    <col min="11270" max="11270" width="25.5703125" style="508" customWidth="1"/>
    <col min="11271" max="11281" width="7.42578125" style="508" customWidth="1"/>
    <col min="11282" max="11284" width="6.5703125" style="508" customWidth="1"/>
    <col min="11285" max="11286" width="9.140625" style="508"/>
    <col min="11287" max="11287" width="7.85546875" style="508" customWidth="1"/>
    <col min="11288" max="11522" width="9.140625" style="508"/>
    <col min="11523" max="11523" width="3.85546875" style="508" customWidth="1"/>
    <col min="11524" max="11524" width="14.42578125" style="508" customWidth="1"/>
    <col min="11525" max="11525" width="3.85546875" style="508" customWidth="1"/>
    <col min="11526" max="11526" width="25.5703125" style="508" customWidth="1"/>
    <col min="11527" max="11537" width="7.42578125" style="508" customWidth="1"/>
    <col min="11538" max="11540" width="6.5703125" style="508" customWidth="1"/>
    <col min="11541" max="11542" width="9.140625" style="508"/>
    <col min="11543" max="11543" width="7.85546875" style="508" customWidth="1"/>
    <col min="11544" max="11778" width="9.140625" style="508"/>
    <col min="11779" max="11779" width="3.85546875" style="508" customWidth="1"/>
    <col min="11780" max="11780" width="14.42578125" style="508" customWidth="1"/>
    <col min="11781" max="11781" width="3.85546875" style="508" customWidth="1"/>
    <col min="11782" max="11782" width="25.5703125" style="508" customWidth="1"/>
    <col min="11783" max="11793" width="7.42578125" style="508" customWidth="1"/>
    <col min="11794" max="11796" width="6.5703125" style="508" customWidth="1"/>
    <col min="11797" max="11798" width="9.140625" style="508"/>
    <col min="11799" max="11799" width="7.85546875" style="508" customWidth="1"/>
    <col min="11800" max="12034" width="9.140625" style="508"/>
    <col min="12035" max="12035" width="3.85546875" style="508" customWidth="1"/>
    <col min="12036" max="12036" width="14.42578125" style="508" customWidth="1"/>
    <col min="12037" max="12037" width="3.85546875" style="508" customWidth="1"/>
    <col min="12038" max="12038" width="25.5703125" style="508" customWidth="1"/>
    <col min="12039" max="12049" width="7.42578125" style="508" customWidth="1"/>
    <col min="12050" max="12052" width="6.5703125" style="508" customWidth="1"/>
    <col min="12053" max="12054" width="9.140625" style="508"/>
    <col min="12055" max="12055" width="7.85546875" style="508" customWidth="1"/>
    <col min="12056" max="12290" width="9.140625" style="508"/>
    <col min="12291" max="12291" width="3.85546875" style="508" customWidth="1"/>
    <col min="12292" max="12292" width="14.42578125" style="508" customWidth="1"/>
    <col min="12293" max="12293" width="3.85546875" style="508" customWidth="1"/>
    <col min="12294" max="12294" width="25.5703125" style="508" customWidth="1"/>
    <col min="12295" max="12305" width="7.42578125" style="508" customWidth="1"/>
    <col min="12306" max="12308" width="6.5703125" style="508" customWidth="1"/>
    <col min="12309" max="12310" width="9.140625" style="508"/>
    <col min="12311" max="12311" width="7.85546875" style="508" customWidth="1"/>
    <col min="12312" max="12546" width="9.140625" style="508"/>
    <col min="12547" max="12547" width="3.85546875" style="508" customWidth="1"/>
    <col min="12548" max="12548" width="14.42578125" style="508" customWidth="1"/>
    <col min="12549" max="12549" width="3.85546875" style="508" customWidth="1"/>
    <col min="12550" max="12550" width="25.5703125" style="508" customWidth="1"/>
    <col min="12551" max="12561" width="7.42578125" style="508" customWidth="1"/>
    <col min="12562" max="12564" width="6.5703125" style="508" customWidth="1"/>
    <col min="12565" max="12566" width="9.140625" style="508"/>
    <col min="12567" max="12567" width="7.85546875" style="508" customWidth="1"/>
    <col min="12568" max="12802" width="9.140625" style="508"/>
    <col min="12803" max="12803" width="3.85546875" style="508" customWidth="1"/>
    <col min="12804" max="12804" width="14.42578125" style="508" customWidth="1"/>
    <col min="12805" max="12805" width="3.85546875" style="508" customWidth="1"/>
    <col min="12806" max="12806" width="25.5703125" style="508" customWidth="1"/>
    <col min="12807" max="12817" width="7.42578125" style="508" customWidth="1"/>
    <col min="12818" max="12820" width="6.5703125" style="508" customWidth="1"/>
    <col min="12821" max="12822" width="9.140625" style="508"/>
    <col min="12823" max="12823" width="7.85546875" style="508" customWidth="1"/>
    <col min="12824" max="13058" width="9.140625" style="508"/>
    <col min="13059" max="13059" width="3.85546875" style="508" customWidth="1"/>
    <col min="13060" max="13060" width="14.42578125" style="508" customWidth="1"/>
    <col min="13061" max="13061" width="3.85546875" style="508" customWidth="1"/>
    <col min="13062" max="13062" width="25.5703125" style="508" customWidth="1"/>
    <col min="13063" max="13073" width="7.42578125" style="508" customWidth="1"/>
    <col min="13074" max="13076" width="6.5703125" style="508" customWidth="1"/>
    <col min="13077" max="13078" width="9.140625" style="508"/>
    <col min="13079" max="13079" width="7.85546875" style="508" customWidth="1"/>
    <col min="13080" max="13314" width="9.140625" style="508"/>
    <col min="13315" max="13315" width="3.85546875" style="508" customWidth="1"/>
    <col min="13316" max="13316" width="14.42578125" style="508" customWidth="1"/>
    <col min="13317" max="13317" width="3.85546875" style="508" customWidth="1"/>
    <col min="13318" max="13318" width="25.5703125" style="508" customWidth="1"/>
    <col min="13319" max="13329" width="7.42578125" style="508" customWidth="1"/>
    <col min="13330" max="13332" width="6.5703125" style="508" customWidth="1"/>
    <col min="13333" max="13334" width="9.140625" style="508"/>
    <col min="13335" max="13335" width="7.85546875" style="508" customWidth="1"/>
    <col min="13336" max="13570" width="9.140625" style="508"/>
    <col min="13571" max="13571" width="3.85546875" style="508" customWidth="1"/>
    <col min="13572" max="13572" width="14.42578125" style="508" customWidth="1"/>
    <col min="13573" max="13573" width="3.85546875" style="508" customWidth="1"/>
    <col min="13574" max="13574" width="25.5703125" style="508" customWidth="1"/>
    <col min="13575" max="13585" width="7.42578125" style="508" customWidth="1"/>
    <col min="13586" max="13588" width="6.5703125" style="508" customWidth="1"/>
    <col min="13589" max="13590" width="9.140625" style="508"/>
    <col min="13591" max="13591" width="7.85546875" style="508" customWidth="1"/>
    <col min="13592" max="13826" width="9.140625" style="508"/>
    <col min="13827" max="13827" width="3.85546875" style="508" customWidth="1"/>
    <col min="13828" max="13828" width="14.42578125" style="508" customWidth="1"/>
    <col min="13829" max="13829" width="3.85546875" style="508" customWidth="1"/>
    <col min="13830" max="13830" width="25.5703125" style="508" customWidth="1"/>
    <col min="13831" max="13841" width="7.42578125" style="508" customWidth="1"/>
    <col min="13842" max="13844" width="6.5703125" style="508" customWidth="1"/>
    <col min="13845" max="13846" width="9.140625" style="508"/>
    <col min="13847" max="13847" width="7.85546875" style="508" customWidth="1"/>
    <col min="13848" max="14082" width="9.140625" style="508"/>
    <col min="14083" max="14083" width="3.85546875" style="508" customWidth="1"/>
    <col min="14084" max="14084" width="14.42578125" style="508" customWidth="1"/>
    <col min="14085" max="14085" width="3.85546875" style="508" customWidth="1"/>
    <col min="14086" max="14086" width="25.5703125" style="508" customWidth="1"/>
    <col min="14087" max="14097" width="7.42578125" style="508" customWidth="1"/>
    <col min="14098" max="14100" width="6.5703125" style="508" customWidth="1"/>
    <col min="14101" max="14102" width="9.140625" style="508"/>
    <col min="14103" max="14103" width="7.85546875" style="508" customWidth="1"/>
    <col min="14104" max="14338" width="9.140625" style="508"/>
    <col min="14339" max="14339" width="3.85546875" style="508" customWidth="1"/>
    <col min="14340" max="14340" width="14.42578125" style="508" customWidth="1"/>
    <col min="14341" max="14341" width="3.85546875" style="508" customWidth="1"/>
    <col min="14342" max="14342" width="25.5703125" style="508" customWidth="1"/>
    <col min="14343" max="14353" width="7.42578125" style="508" customWidth="1"/>
    <col min="14354" max="14356" width="6.5703125" style="508" customWidth="1"/>
    <col min="14357" max="14358" width="9.140625" style="508"/>
    <col min="14359" max="14359" width="7.85546875" style="508" customWidth="1"/>
    <col min="14360" max="14594" width="9.140625" style="508"/>
    <col min="14595" max="14595" width="3.85546875" style="508" customWidth="1"/>
    <col min="14596" max="14596" width="14.42578125" style="508" customWidth="1"/>
    <col min="14597" max="14597" width="3.85546875" style="508" customWidth="1"/>
    <col min="14598" max="14598" width="25.5703125" style="508" customWidth="1"/>
    <col min="14599" max="14609" width="7.42578125" style="508" customWidth="1"/>
    <col min="14610" max="14612" width="6.5703125" style="508" customWidth="1"/>
    <col min="14613" max="14614" width="9.140625" style="508"/>
    <col min="14615" max="14615" width="7.85546875" style="508" customWidth="1"/>
    <col min="14616" max="14850" width="9.140625" style="508"/>
    <col min="14851" max="14851" width="3.85546875" style="508" customWidth="1"/>
    <col min="14852" max="14852" width="14.42578125" style="508" customWidth="1"/>
    <col min="14853" max="14853" width="3.85546875" style="508" customWidth="1"/>
    <col min="14854" max="14854" width="25.5703125" style="508" customWidth="1"/>
    <col min="14855" max="14865" width="7.42578125" style="508" customWidth="1"/>
    <col min="14866" max="14868" width="6.5703125" style="508" customWidth="1"/>
    <col min="14869" max="14870" width="9.140625" style="508"/>
    <col min="14871" max="14871" width="7.85546875" style="508" customWidth="1"/>
    <col min="14872" max="15106" width="9.140625" style="508"/>
    <col min="15107" max="15107" width="3.85546875" style="508" customWidth="1"/>
    <col min="15108" max="15108" width="14.42578125" style="508" customWidth="1"/>
    <col min="15109" max="15109" width="3.85546875" style="508" customWidth="1"/>
    <col min="15110" max="15110" width="25.5703125" style="508" customWidth="1"/>
    <col min="15111" max="15121" width="7.42578125" style="508" customWidth="1"/>
    <col min="15122" max="15124" width="6.5703125" style="508" customWidth="1"/>
    <col min="15125" max="15126" width="9.140625" style="508"/>
    <col min="15127" max="15127" width="7.85546875" style="508" customWidth="1"/>
    <col min="15128" max="15362" width="9.140625" style="508"/>
    <col min="15363" max="15363" width="3.85546875" style="508" customWidth="1"/>
    <col min="15364" max="15364" width="14.42578125" style="508" customWidth="1"/>
    <col min="15365" max="15365" width="3.85546875" style="508" customWidth="1"/>
    <col min="15366" max="15366" width="25.5703125" style="508" customWidth="1"/>
    <col min="15367" max="15377" width="7.42578125" style="508" customWidth="1"/>
    <col min="15378" max="15380" width="6.5703125" style="508" customWidth="1"/>
    <col min="15381" max="15382" width="9.140625" style="508"/>
    <col min="15383" max="15383" width="7.85546875" style="508" customWidth="1"/>
    <col min="15384" max="15618" width="9.140625" style="508"/>
    <col min="15619" max="15619" width="3.85546875" style="508" customWidth="1"/>
    <col min="15620" max="15620" width="14.42578125" style="508" customWidth="1"/>
    <col min="15621" max="15621" width="3.85546875" style="508" customWidth="1"/>
    <col min="15622" max="15622" width="25.5703125" style="508" customWidth="1"/>
    <col min="15623" max="15633" width="7.42578125" style="508" customWidth="1"/>
    <col min="15634" max="15636" width="6.5703125" style="508" customWidth="1"/>
    <col min="15637" max="15638" width="9.140625" style="508"/>
    <col min="15639" max="15639" width="7.85546875" style="508" customWidth="1"/>
    <col min="15640" max="15874" width="9.140625" style="508"/>
    <col min="15875" max="15875" width="3.85546875" style="508" customWidth="1"/>
    <col min="15876" max="15876" width="14.42578125" style="508" customWidth="1"/>
    <col min="15877" max="15877" width="3.85546875" style="508" customWidth="1"/>
    <col min="15878" max="15878" width="25.5703125" style="508" customWidth="1"/>
    <col min="15879" max="15889" width="7.42578125" style="508" customWidth="1"/>
    <col min="15890" max="15892" width="6.5703125" style="508" customWidth="1"/>
    <col min="15893" max="15894" width="9.140625" style="508"/>
    <col min="15895" max="15895" width="7.85546875" style="508" customWidth="1"/>
    <col min="15896" max="16130" width="9.140625" style="508"/>
    <col min="16131" max="16131" width="3.85546875" style="508" customWidth="1"/>
    <col min="16132" max="16132" width="14.42578125" style="508" customWidth="1"/>
    <col min="16133" max="16133" width="3.85546875" style="508" customWidth="1"/>
    <col min="16134" max="16134" width="25.5703125" style="508" customWidth="1"/>
    <col min="16135" max="16145" width="7.42578125" style="508" customWidth="1"/>
    <col min="16146" max="16148" width="6.5703125" style="508" customWidth="1"/>
    <col min="16149" max="16150" width="9.140625" style="508"/>
    <col min="16151" max="16151" width="7.85546875" style="508" customWidth="1"/>
    <col min="16152" max="16384" width="9.140625" style="508"/>
  </cols>
  <sheetData>
    <row r="1" spans="1:29" x14ac:dyDescent="0.2">
      <c r="R1" s="508" t="s">
        <v>74</v>
      </c>
    </row>
    <row r="2" spans="1:29" ht="14.1" customHeight="1" x14ac:dyDescent="0.2">
      <c r="A2" s="509">
        <v>1</v>
      </c>
      <c r="B2" s="509" t="s">
        <v>0</v>
      </c>
      <c r="C2" s="509">
        <v>37</v>
      </c>
      <c r="D2" s="4734" t="s">
        <v>1063</v>
      </c>
      <c r="E2" s="4735"/>
      <c r="F2" s="4735"/>
      <c r="G2" s="4735"/>
      <c r="H2" s="4735"/>
      <c r="I2" s="4735"/>
      <c r="J2" s="4735"/>
      <c r="K2" s="4735"/>
      <c r="L2" s="4735"/>
      <c r="M2" s="4735"/>
      <c r="N2" s="4735"/>
      <c r="O2" s="4735"/>
      <c r="P2" s="4735"/>
      <c r="Q2" s="4735"/>
      <c r="R2" s="4735"/>
      <c r="S2" s="4735"/>
      <c r="T2" s="4735"/>
      <c r="U2" s="4735"/>
      <c r="V2" s="4735"/>
      <c r="W2" s="4735"/>
      <c r="X2" s="4735"/>
      <c r="Y2" s="4736"/>
    </row>
    <row r="3" spans="1:29" ht="14.1" customHeight="1" x14ac:dyDescent="0.2">
      <c r="A3" s="509">
        <v>2</v>
      </c>
      <c r="B3" s="509" t="s">
        <v>2</v>
      </c>
      <c r="C3" s="509"/>
      <c r="D3" s="4734" t="s">
        <v>1041</v>
      </c>
      <c r="E3" s="4735"/>
      <c r="F3" s="4735"/>
      <c r="G3" s="4735"/>
      <c r="H3" s="4735"/>
      <c r="I3" s="4735"/>
      <c r="J3" s="4735"/>
      <c r="K3" s="4735"/>
      <c r="L3" s="4735"/>
      <c r="M3" s="4735"/>
      <c r="N3" s="4735"/>
      <c r="O3" s="4735"/>
      <c r="P3" s="4735"/>
      <c r="Q3" s="4735"/>
      <c r="R3" s="4735"/>
      <c r="S3" s="4735"/>
      <c r="T3" s="4735"/>
      <c r="U3" s="4735"/>
      <c r="V3" s="4735"/>
      <c r="W3" s="4735"/>
      <c r="X3" s="4735"/>
      <c r="Y3" s="4736"/>
    </row>
    <row r="4" spans="1:29" ht="14.1" customHeight="1" x14ac:dyDescent="0.2">
      <c r="A4" s="509">
        <v>3</v>
      </c>
      <c r="B4" s="509" t="s">
        <v>4</v>
      </c>
      <c r="C4" s="509"/>
      <c r="D4" s="4734" t="s">
        <v>1042</v>
      </c>
      <c r="E4" s="4735"/>
      <c r="F4" s="4735"/>
      <c r="G4" s="4735"/>
      <c r="H4" s="4735"/>
      <c r="I4" s="4735"/>
      <c r="J4" s="4735"/>
      <c r="K4" s="4735"/>
      <c r="L4" s="4735"/>
      <c r="M4" s="4735"/>
      <c r="N4" s="4735"/>
      <c r="O4" s="4735"/>
      <c r="P4" s="4735"/>
      <c r="Q4" s="4735"/>
      <c r="R4" s="4735"/>
      <c r="S4" s="4735"/>
      <c r="T4" s="4735"/>
      <c r="U4" s="4735"/>
      <c r="V4" s="4735"/>
      <c r="W4" s="4735"/>
      <c r="X4" s="4735"/>
      <c r="Y4" s="4736"/>
    </row>
    <row r="5" spans="1:29" ht="29.25" customHeight="1" x14ac:dyDescent="0.2">
      <c r="A5" s="509">
        <v>4</v>
      </c>
      <c r="B5" s="509" t="s">
        <v>1043</v>
      </c>
      <c r="C5" s="509"/>
      <c r="D5" s="4734" t="s">
        <v>1064</v>
      </c>
      <c r="E5" s="4735"/>
      <c r="F5" s="4735"/>
      <c r="G5" s="4735"/>
      <c r="H5" s="4735"/>
      <c r="I5" s="4735"/>
      <c r="J5" s="4735"/>
      <c r="K5" s="4735"/>
      <c r="L5" s="4735"/>
      <c r="M5" s="4735"/>
      <c r="N5" s="4735"/>
      <c r="O5" s="4735"/>
      <c r="P5" s="4735"/>
      <c r="Q5" s="4735"/>
      <c r="R5" s="4735"/>
      <c r="S5" s="4735"/>
      <c r="T5" s="4735"/>
      <c r="U5" s="4735"/>
      <c r="V5" s="4735"/>
      <c r="W5" s="4735"/>
      <c r="X5" s="4735"/>
      <c r="Y5" s="4736"/>
    </row>
    <row r="6" spans="1:29" ht="29.45" customHeight="1" x14ac:dyDescent="0.2">
      <c r="A6" s="508"/>
      <c r="B6" s="508"/>
      <c r="C6" s="509"/>
      <c r="D6" s="1162"/>
      <c r="E6" s="510"/>
      <c r="F6" s="510"/>
      <c r="G6" s="510"/>
      <c r="H6" s="510"/>
      <c r="I6" s="510"/>
      <c r="J6" s="510"/>
      <c r="K6" s="510"/>
    </row>
    <row r="7" spans="1:29" ht="14.25" x14ac:dyDescent="0.2">
      <c r="A7" s="509">
        <v>5</v>
      </c>
      <c r="B7" s="509" t="s">
        <v>6</v>
      </c>
      <c r="C7" s="509"/>
      <c r="D7" s="1163" t="s">
        <v>80</v>
      </c>
      <c r="E7" s="548" t="s">
        <v>1065</v>
      </c>
      <c r="G7" s="71"/>
      <c r="H7" s="71"/>
      <c r="I7" s="510"/>
      <c r="J7" s="510"/>
      <c r="K7" s="510"/>
    </row>
    <row r="8" spans="1:29" ht="14.25" x14ac:dyDescent="0.2">
      <c r="A8" s="509"/>
      <c r="B8" s="509"/>
      <c r="C8" s="509"/>
      <c r="D8" s="1164"/>
      <c r="E8" s="3432" t="s">
        <v>1066</v>
      </c>
      <c r="F8" s="2186"/>
      <c r="G8" s="2186"/>
      <c r="H8" s="2186">
        <v>1998</v>
      </c>
      <c r="I8" s="1138">
        <v>2002</v>
      </c>
      <c r="J8" s="1138">
        <v>2003</v>
      </c>
      <c r="K8" s="1138">
        <v>2004</v>
      </c>
      <c r="L8" s="1138">
        <v>2005</v>
      </c>
      <c r="M8" s="1138">
        <v>2006</v>
      </c>
      <c r="N8" s="1138">
        <v>2007</v>
      </c>
      <c r="O8" s="1138">
        <v>2008</v>
      </c>
      <c r="P8" s="1138">
        <v>2009</v>
      </c>
      <c r="Q8" s="1138">
        <v>2010</v>
      </c>
      <c r="R8" s="1138">
        <v>2011</v>
      </c>
      <c r="S8" s="1138">
        <v>2012</v>
      </c>
      <c r="T8" s="1138">
        <v>2013</v>
      </c>
      <c r="U8" s="1138">
        <v>2014</v>
      </c>
      <c r="V8" s="1138">
        <v>2015</v>
      </c>
      <c r="W8" s="1139">
        <v>2016</v>
      </c>
      <c r="X8" s="1165">
        <v>2017</v>
      </c>
      <c r="Y8" s="1154">
        <v>2018</v>
      </c>
      <c r="Z8" s="1154">
        <v>2019</v>
      </c>
      <c r="AA8" s="1154">
        <v>2020</v>
      </c>
      <c r="AB8" s="1154">
        <v>2021</v>
      </c>
      <c r="AC8" s="1154">
        <v>2022</v>
      </c>
    </row>
    <row r="9" spans="1:29" ht="14.25" x14ac:dyDescent="0.2">
      <c r="A9" s="509"/>
      <c r="B9" s="509"/>
      <c r="C9" s="1167"/>
      <c r="D9" s="1023" t="s">
        <v>1067</v>
      </c>
      <c r="E9" s="88"/>
      <c r="F9" s="88"/>
      <c r="G9" s="88"/>
      <c r="H9" s="88"/>
      <c r="I9" s="2913">
        <v>55.2</v>
      </c>
      <c r="J9" s="2913">
        <v>56.8</v>
      </c>
      <c r="K9" s="2913">
        <v>55.4</v>
      </c>
      <c r="L9" s="2913">
        <v>55.4</v>
      </c>
      <c r="M9" s="2913">
        <v>53.8</v>
      </c>
      <c r="N9" s="2913">
        <v>49.5</v>
      </c>
      <c r="O9" s="2913">
        <v>48</v>
      </c>
      <c r="P9" s="2913">
        <v>44</v>
      </c>
      <c r="Q9" s="2913">
        <v>38.200000000000003</v>
      </c>
      <c r="R9" s="2913">
        <v>36.9</v>
      </c>
      <c r="S9" s="2913">
        <v>34</v>
      </c>
      <c r="T9" s="2913">
        <v>31.7</v>
      </c>
      <c r="U9" s="2913">
        <v>30.3</v>
      </c>
      <c r="V9" s="2914">
        <v>29</v>
      </c>
      <c r="W9" s="2914">
        <v>29.9</v>
      </c>
      <c r="X9" s="2914">
        <v>26.9</v>
      </c>
      <c r="Y9" s="2914">
        <v>26</v>
      </c>
      <c r="Z9" s="2914">
        <v>24.7</v>
      </c>
      <c r="AA9" s="2914">
        <v>23.6</v>
      </c>
      <c r="AB9" s="2914">
        <v>24.1</v>
      </c>
      <c r="AC9" s="2914">
        <v>24.3</v>
      </c>
    </row>
    <row r="10" spans="1:29" ht="14.25" x14ac:dyDescent="0.2">
      <c r="A10" s="509"/>
      <c r="B10" s="509"/>
      <c r="C10" s="1167"/>
      <c r="D10" s="1168" t="s">
        <v>1068</v>
      </c>
      <c r="E10" s="95"/>
      <c r="F10" s="95"/>
      <c r="G10" s="95"/>
      <c r="H10" s="1169"/>
      <c r="I10" s="2913">
        <v>74.7</v>
      </c>
      <c r="J10" s="2913">
        <v>76.2</v>
      </c>
      <c r="K10" s="2913">
        <v>75.8</v>
      </c>
      <c r="L10" s="2913">
        <v>74.7</v>
      </c>
      <c r="M10" s="2913">
        <v>72.099999999999994</v>
      </c>
      <c r="N10" s="2913">
        <v>67.3</v>
      </c>
      <c r="O10" s="2913">
        <v>63</v>
      </c>
      <c r="P10" s="2913">
        <v>57.1</v>
      </c>
      <c r="Q10" s="2913">
        <v>53.5</v>
      </c>
      <c r="R10" s="2913">
        <v>48.8</v>
      </c>
      <c r="S10" s="2913">
        <v>44.1</v>
      </c>
      <c r="T10" s="2913">
        <v>41</v>
      </c>
      <c r="U10" s="2913">
        <v>39.799999999999997</v>
      </c>
      <c r="V10" s="2914">
        <v>39.200000000000003</v>
      </c>
      <c r="W10" s="2914">
        <v>38.700000000000003</v>
      </c>
      <c r="X10" s="2914">
        <v>38.200000000000003</v>
      </c>
      <c r="Y10" s="2914">
        <v>37.9</v>
      </c>
      <c r="Z10" s="2914">
        <v>36.5</v>
      </c>
      <c r="AA10" s="2914">
        <v>34.1</v>
      </c>
      <c r="AB10" s="2914">
        <v>30.8</v>
      </c>
      <c r="AC10" s="2914">
        <v>30.7</v>
      </c>
    </row>
    <row r="11" spans="1:29" hidden="1" x14ac:dyDescent="0.2">
      <c r="B11" s="860"/>
      <c r="C11" s="860"/>
      <c r="D11" s="1170"/>
      <c r="E11" s="2424">
        <v>1998</v>
      </c>
      <c r="F11" s="2424">
        <v>1999</v>
      </c>
      <c r="G11" s="2424">
        <v>2000</v>
      </c>
      <c r="H11" s="2424">
        <v>2001</v>
      </c>
      <c r="I11" s="312">
        <v>2002</v>
      </c>
      <c r="J11" s="312">
        <v>2003</v>
      </c>
      <c r="K11" s="312">
        <v>2004</v>
      </c>
      <c r="L11" s="312">
        <v>2005</v>
      </c>
      <c r="M11" s="312">
        <v>2006</v>
      </c>
      <c r="N11" s="312">
        <v>2007</v>
      </c>
      <c r="O11" s="312">
        <v>2008</v>
      </c>
      <c r="P11" s="312">
        <v>2009</v>
      </c>
      <c r="Q11" s="312">
        <v>2010</v>
      </c>
      <c r="R11" s="312">
        <v>2011</v>
      </c>
      <c r="S11" s="312">
        <v>2012</v>
      </c>
      <c r="T11" s="312">
        <v>2013</v>
      </c>
      <c r="U11" s="312">
        <v>2014</v>
      </c>
      <c r="V11" s="1171">
        <v>2015</v>
      </c>
      <c r="Y11" s="1172"/>
      <c r="Z11" s="1173"/>
      <c r="AA11" s="1173"/>
      <c r="AB11" s="1173"/>
    </row>
    <row r="12" spans="1:29" ht="15.75" hidden="1" customHeight="1" x14ac:dyDescent="0.2">
      <c r="B12" s="860"/>
      <c r="C12" s="1167">
        <v>2</v>
      </c>
      <c r="D12" s="1174" t="s">
        <v>1069</v>
      </c>
      <c r="V12" s="1175"/>
      <c r="Y12" s="1172"/>
      <c r="Z12" s="1176"/>
      <c r="AA12" s="1176"/>
      <c r="AB12" s="1176"/>
    </row>
    <row r="13" spans="1:29" ht="15.75" hidden="1" customHeight="1" x14ac:dyDescent="0.2">
      <c r="B13" s="1144"/>
      <c r="C13" s="1140"/>
      <c r="D13" s="579" t="s">
        <v>1070</v>
      </c>
      <c r="E13" s="88"/>
      <c r="F13" s="88"/>
      <c r="G13" s="88"/>
      <c r="H13" s="88">
        <v>28.8</v>
      </c>
      <c r="I13" s="88">
        <v>33.1</v>
      </c>
      <c r="J13" s="88">
        <v>36.5</v>
      </c>
      <c r="K13" s="88">
        <v>38.1</v>
      </c>
      <c r="V13" s="1175"/>
      <c r="Y13" s="1172"/>
      <c r="Z13" s="1176"/>
      <c r="AA13" s="1176"/>
      <c r="AB13" s="1176"/>
    </row>
    <row r="14" spans="1:29" ht="15.75" hidden="1" customHeight="1" x14ac:dyDescent="0.2">
      <c r="B14" s="1144"/>
      <c r="C14" s="1140"/>
      <c r="D14" s="1177" t="s">
        <v>1071</v>
      </c>
      <c r="E14" s="88"/>
      <c r="F14" s="88"/>
      <c r="G14" s="88"/>
      <c r="H14" s="88">
        <v>39.6</v>
      </c>
      <c r="I14" s="88">
        <v>44.7</v>
      </c>
      <c r="J14" s="88">
        <v>49.3</v>
      </c>
      <c r="K14" s="88">
        <v>52.8</v>
      </c>
      <c r="U14" s="3433"/>
      <c r="V14" s="3434"/>
      <c r="Y14" s="1172"/>
      <c r="Z14" s="1176"/>
      <c r="AA14" s="1176"/>
      <c r="AB14" s="1176"/>
    </row>
    <row r="15" spans="1:29" ht="15.75" hidden="1" customHeight="1" x14ac:dyDescent="0.2">
      <c r="B15" s="1144"/>
      <c r="C15" s="1140">
        <v>3</v>
      </c>
      <c r="D15" s="1178" t="s">
        <v>1072</v>
      </c>
      <c r="E15" s="3557"/>
      <c r="F15" s="3557"/>
      <c r="G15" s="3557"/>
      <c r="H15" s="3557"/>
      <c r="I15" s="3557"/>
      <c r="J15" s="3557"/>
      <c r="K15" s="3557"/>
      <c r="L15" s="3558"/>
      <c r="M15" s="3558"/>
      <c r="N15" s="3558"/>
      <c r="O15" s="3558"/>
      <c r="P15" s="3558"/>
      <c r="Q15" s="3558"/>
      <c r="R15" s="3558"/>
      <c r="S15" s="3558"/>
      <c r="T15" s="3558"/>
      <c r="V15" s="1175"/>
      <c r="Y15" s="1172"/>
      <c r="Z15" s="1176"/>
      <c r="AA15" s="1176"/>
      <c r="AB15" s="1176"/>
    </row>
    <row r="16" spans="1:29" ht="15.75" hidden="1" customHeight="1" x14ac:dyDescent="0.2">
      <c r="B16" s="1144"/>
      <c r="C16" s="1140"/>
      <c r="D16" s="579" t="s">
        <v>1070</v>
      </c>
      <c r="E16" s="88">
        <v>55</v>
      </c>
      <c r="F16" s="88">
        <v>56</v>
      </c>
      <c r="G16" s="88">
        <v>58</v>
      </c>
      <c r="H16" s="88">
        <v>58</v>
      </c>
      <c r="I16" s="88">
        <v>59</v>
      </c>
      <c r="J16" s="88">
        <v>59</v>
      </c>
      <c r="K16" s="88">
        <v>59</v>
      </c>
      <c r="V16" s="1175"/>
      <c r="Y16" s="1172"/>
      <c r="Z16" s="1176"/>
      <c r="AA16" s="1176"/>
      <c r="AB16" s="1176"/>
    </row>
    <row r="17" spans="1:29" ht="15.75" hidden="1" customHeight="1" x14ac:dyDescent="0.2">
      <c r="B17" s="1144"/>
      <c r="C17" s="1140"/>
      <c r="D17" s="1177" t="s">
        <v>1071</v>
      </c>
      <c r="E17" s="3435">
        <v>81</v>
      </c>
      <c r="F17" s="3435">
        <v>86</v>
      </c>
      <c r="G17" s="3435">
        <v>91</v>
      </c>
      <c r="H17" s="3435">
        <v>96</v>
      </c>
      <c r="I17" s="3435">
        <v>100</v>
      </c>
      <c r="J17" s="3435">
        <v>104</v>
      </c>
      <c r="K17" s="3435">
        <v>106</v>
      </c>
      <c r="L17" s="3433"/>
      <c r="M17" s="3433"/>
      <c r="N17" s="3433"/>
      <c r="O17" s="3433"/>
      <c r="P17" s="3433"/>
      <c r="Q17" s="3433"/>
      <c r="R17" s="3433"/>
      <c r="S17" s="3433"/>
      <c r="T17" s="3433"/>
      <c r="U17" s="3433"/>
      <c r="V17" s="3434"/>
      <c r="Y17" s="1172"/>
      <c r="Z17" s="1176"/>
      <c r="AA17" s="1176"/>
      <c r="AB17" s="1176"/>
    </row>
    <row r="18" spans="1:29" ht="15.75" hidden="1" customHeight="1" x14ac:dyDescent="0.2">
      <c r="C18" s="1140">
        <v>4</v>
      </c>
      <c r="D18" s="1178" t="s">
        <v>1073</v>
      </c>
      <c r="V18" s="3559"/>
      <c r="Y18" s="1172"/>
      <c r="Z18" s="1176"/>
      <c r="AA18" s="1176"/>
      <c r="AB18" s="1176"/>
    </row>
    <row r="19" spans="1:29" ht="15.75" hidden="1" customHeight="1" x14ac:dyDescent="0.2">
      <c r="C19" s="1140"/>
      <c r="D19" s="579" t="s">
        <v>1070</v>
      </c>
      <c r="E19" s="88">
        <v>48</v>
      </c>
      <c r="J19" s="88">
        <v>43</v>
      </c>
      <c r="V19" s="1175"/>
      <c r="Y19" s="1172"/>
      <c r="Z19" s="1176"/>
      <c r="AA19" s="1176"/>
      <c r="AB19" s="1176"/>
    </row>
    <row r="20" spans="1:29" ht="15.75" hidden="1" customHeight="1" x14ac:dyDescent="0.2">
      <c r="B20" s="1144"/>
      <c r="C20" s="1140"/>
      <c r="D20" s="579" t="s">
        <v>1071</v>
      </c>
      <c r="E20" s="284"/>
      <c r="F20" s="284"/>
      <c r="G20" s="284"/>
      <c r="H20" s="284"/>
      <c r="I20" s="284"/>
      <c r="J20" s="284">
        <v>58</v>
      </c>
      <c r="K20" s="284"/>
      <c r="L20" s="284"/>
      <c r="M20" s="284"/>
      <c r="N20" s="284"/>
      <c r="O20" s="284"/>
      <c r="P20" s="284"/>
      <c r="Q20" s="284"/>
      <c r="R20" s="284"/>
      <c r="S20" s="284"/>
      <c r="T20" s="284"/>
      <c r="U20" s="284"/>
      <c r="V20" s="1175"/>
      <c r="Y20" s="1172"/>
      <c r="Z20" s="1176"/>
      <c r="AA20" s="1176"/>
      <c r="AB20" s="1176"/>
    </row>
    <row r="21" spans="1:29" ht="15.75" customHeight="1" x14ac:dyDescent="0.2">
      <c r="B21" s="1144"/>
      <c r="C21" s="1140"/>
      <c r="D21" s="1179" t="s">
        <v>267</v>
      </c>
      <c r="E21" s="3432" t="s">
        <v>1074</v>
      </c>
      <c r="F21" s="3436"/>
      <c r="G21" s="3436"/>
      <c r="H21" s="3436"/>
      <c r="I21" s="3436"/>
      <c r="J21" s="3436"/>
      <c r="K21" s="3436"/>
      <c r="L21" s="3436"/>
      <c r="M21" s="3436"/>
      <c r="N21" s="3436"/>
      <c r="O21" s="3437"/>
      <c r="P21" s="1180"/>
      <c r="Q21" s="1180"/>
      <c r="R21" s="1180"/>
      <c r="S21" s="1180"/>
      <c r="T21" s="1180"/>
      <c r="U21" s="1180"/>
      <c r="V21" s="1180"/>
      <c r="W21" s="1180"/>
      <c r="X21" s="1180"/>
      <c r="Y21" s="1181"/>
      <c r="Z21" s="1176"/>
      <c r="AA21" s="1176"/>
      <c r="AB21" s="1176"/>
      <c r="AC21" s="1176"/>
    </row>
    <row r="22" spans="1:29" x14ac:dyDescent="0.2">
      <c r="B22" s="1144"/>
      <c r="C22" s="1140"/>
      <c r="D22" s="579" t="s">
        <v>1070</v>
      </c>
      <c r="E22" s="284"/>
      <c r="F22" s="284"/>
      <c r="G22" s="284"/>
      <c r="H22" s="284"/>
      <c r="I22" s="284"/>
      <c r="J22" s="284"/>
      <c r="K22" s="284"/>
      <c r="L22" s="284"/>
      <c r="M22" s="284"/>
      <c r="N22" s="284"/>
      <c r="O22" s="284"/>
      <c r="P22" s="1182">
        <v>39</v>
      </c>
      <c r="Q22" s="1182">
        <v>35</v>
      </c>
      <c r="R22" s="1182">
        <v>28</v>
      </c>
      <c r="S22" s="1182">
        <v>28</v>
      </c>
      <c r="T22" s="1182">
        <v>29</v>
      </c>
      <c r="U22" s="1182">
        <v>29</v>
      </c>
      <c r="V22" s="1182">
        <v>28</v>
      </c>
      <c r="W22" s="1182">
        <v>26</v>
      </c>
      <c r="X22" s="1182">
        <v>23</v>
      </c>
      <c r="Y22" s="1182">
        <v>26</v>
      </c>
      <c r="Z22" s="1182">
        <v>27</v>
      </c>
      <c r="AA22" s="1182">
        <v>21</v>
      </c>
      <c r="AB22" s="1173"/>
      <c r="AC22" s="1173"/>
    </row>
    <row r="23" spans="1:29" ht="15.75" customHeight="1" x14ac:dyDescent="0.2">
      <c r="B23" s="1144"/>
      <c r="C23" s="1140"/>
      <c r="D23" s="82" t="s">
        <v>1071</v>
      </c>
      <c r="E23" s="1183"/>
      <c r="F23" s="1183"/>
      <c r="G23" s="1183"/>
      <c r="H23" s="1183"/>
      <c r="I23" s="1183"/>
      <c r="J23" s="1183"/>
      <c r="K23" s="1183"/>
      <c r="L23" s="1183"/>
      <c r="M23" s="1183"/>
      <c r="N23" s="1183"/>
      <c r="O23" s="1183"/>
      <c r="P23" s="1184">
        <v>56</v>
      </c>
      <c r="Q23" s="1184">
        <v>52</v>
      </c>
      <c r="R23" s="1184">
        <v>40</v>
      </c>
      <c r="S23" s="1184">
        <v>42</v>
      </c>
      <c r="T23" s="1184">
        <v>43</v>
      </c>
      <c r="U23" s="1184">
        <v>42</v>
      </c>
      <c r="V23" s="1184">
        <v>39</v>
      </c>
      <c r="W23" s="1184">
        <v>36</v>
      </c>
      <c r="X23" s="1184">
        <v>33</v>
      </c>
      <c r="Y23" s="1185">
        <v>34</v>
      </c>
      <c r="Z23" s="1182">
        <v>36</v>
      </c>
      <c r="AA23" s="1182">
        <v>28</v>
      </c>
      <c r="AB23" s="1186"/>
      <c r="AC23" s="1186"/>
    </row>
    <row r="24" spans="1:29" s="1188" customFormat="1" ht="15.75" customHeight="1" x14ac:dyDescent="0.2">
      <c r="A24" s="506"/>
      <c r="B24" s="1187"/>
      <c r="C24" s="1187"/>
      <c r="D24" s="1179" t="s">
        <v>656</v>
      </c>
      <c r="E24" s="3432" t="s">
        <v>1075</v>
      </c>
      <c r="F24" s="3436"/>
      <c r="G24" s="3436"/>
      <c r="H24" s="3436"/>
      <c r="I24" s="3436"/>
      <c r="J24" s="3436"/>
      <c r="K24" s="3436"/>
      <c r="L24" s="3436"/>
      <c r="M24" s="3436"/>
      <c r="N24" s="3436"/>
      <c r="O24" s="3437"/>
      <c r="P24" s="1180"/>
      <c r="Q24" s="1180"/>
      <c r="R24" s="1180"/>
      <c r="S24" s="1180"/>
      <c r="T24" s="1180"/>
      <c r="U24" s="1180"/>
      <c r="V24" s="1180"/>
      <c r="W24" s="1180"/>
      <c r="X24" s="1180"/>
      <c r="Y24" s="1181"/>
      <c r="Z24" s="1176"/>
      <c r="AA24" s="1176"/>
      <c r="AB24" s="1176"/>
      <c r="AC24" s="1176"/>
    </row>
    <row r="25" spans="1:29" ht="15" customHeight="1" x14ac:dyDescent="0.2">
      <c r="D25" s="579" t="s">
        <v>1070</v>
      </c>
      <c r="E25" s="284"/>
      <c r="F25" s="284"/>
      <c r="G25" s="284"/>
      <c r="H25" s="284">
        <v>45</v>
      </c>
      <c r="I25" s="284"/>
      <c r="J25" s="284"/>
      <c r="K25" s="284"/>
      <c r="L25" s="284"/>
      <c r="M25" s="284"/>
      <c r="N25" s="284"/>
      <c r="O25" s="284"/>
      <c r="P25" s="1182"/>
      <c r="Q25" s="1182"/>
      <c r="R25" s="1182"/>
      <c r="S25" s="1182"/>
      <c r="T25" s="1182"/>
      <c r="U25" s="1182"/>
      <c r="V25" s="1182"/>
      <c r="W25" s="1182">
        <v>35</v>
      </c>
      <c r="X25" s="1182"/>
      <c r="Y25" s="1172"/>
      <c r="Z25" s="1173"/>
      <c r="AA25" s="1173"/>
      <c r="AB25" s="1173"/>
      <c r="AC25" s="1173"/>
    </row>
    <row r="26" spans="1:29" ht="16.5" customHeight="1" x14ac:dyDescent="0.2">
      <c r="D26" s="82" t="s">
        <v>1071</v>
      </c>
      <c r="E26" s="1183"/>
      <c r="F26" s="1183"/>
      <c r="G26" s="1183"/>
      <c r="H26" s="1183">
        <v>59</v>
      </c>
      <c r="I26" s="1183"/>
      <c r="J26" s="1183"/>
      <c r="K26" s="1183"/>
      <c r="L26" s="1183"/>
      <c r="M26" s="1183"/>
      <c r="N26" s="1183"/>
      <c r="O26" s="1183" t="s">
        <v>2253</v>
      </c>
      <c r="P26" s="1184"/>
      <c r="Q26" s="1184"/>
      <c r="R26" s="1184"/>
      <c r="S26" s="1184"/>
      <c r="T26" s="1184"/>
      <c r="U26" s="1184"/>
      <c r="V26" s="1184"/>
      <c r="W26" s="1184">
        <v>42</v>
      </c>
      <c r="X26" s="1184"/>
      <c r="Y26" s="1189"/>
      <c r="Z26" s="1186"/>
      <c r="AA26" s="1186"/>
      <c r="AB26" s="1186"/>
      <c r="AC26" s="1186"/>
    </row>
    <row r="27" spans="1:29" ht="31.5" customHeight="1" x14ac:dyDescent="0.2">
      <c r="X27" s="880"/>
    </row>
    <row r="28" spans="1:29" ht="27.75" customHeight="1" x14ac:dyDescent="0.2">
      <c r="X28" s="1190"/>
    </row>
    <row r="29" spans="1:29" ht="14.25" x14ac:dyDescent="0.2">
      <c r="A29" s="509">
        <v>6</v>
      </c>
      <c r="B29" s="509" t="s">
        <v>52</v>
      </c>
      <c r="C29" s="509"/>
      <c r="D29" s="3720" t="s">
        <v>419</v>
      </c>
      <c r="E29" s="3721"/>
      <c r="F29" s="3721"/>
      <c r="G29" s="3721"/>
      <c r="H29" s="3721"/>
      <c r="I29" s="3721"/>
      <c r="J29" s="3721"/>
      <c r="K29" s="3721"/>
      <c r="L29" s="3721"/>
      <c r="M29" s="3721"/>
      <c r="N29" s="3721"/>
      <c r="O29" s="3721"/>
      <c r="P29" s="3721"/>
      <c r="Q29" s="3721"/>
      <c r="R29" s="3721"/>
      <c r="S29" s="3721"/>
      <c r="T29" s="3721"/>
      <c r="U29" s="3721"/>
      <c r="V29" s="3721"/>
      <c r="W29" s="3722"/>
    </row>
    <row r="30" spans="1:29" ht="14.25" x14ac:dyDescent="0.2">
      <c r="A30" s="546">
        <v>7</v>
      </c>
      <c r="B30" s="546" t="s">
        <v>54</v>
      </c>
      <c r="C30" s="546"/>
      <c r="D30" s="4603" t="s">
        <v>1076</v>
      </c>
      <c r="E30" s="4604"/>
      <c r="F30" s="4604"/>
      <c r="G30" s="4604"/>
      <c r="H30" s="4604"/>
      <c r="I30" s="4604"/>
      <c r="J30" s="4604"/>
      <c r="K30" s="4604"/>
      <c r="L30" s="4604"/>
      <c r="M30" s="4604"/>
      <c r="N30" s="4604"/>
      <c r="O30" s="4604"/>
      <c r="P30" s="4604"/>
      <c r="Q30" s="4604"/>
      <c r="R30" s="4604"/>
      <c r="S30" s="4604"/>
      <c r="T30" s="4604"/>
      <c r="U30" s="4604"/>
      <c r="V30" s="4604"/>
      <c r="W30" s="4605"/>
    </row>
    <row r="31" spans="1:29" ht="42.75" customHeight="1" x14ac:dyDescent="0.2">
      <c r="A31" s="509">
        <v>8</v>
      </c>
      <c r="B31" s="509" t="s">
        <v>56</v>
      </c>
      <c r="C31" s="309"/>
      <c r="D31" s="4742" t="s">
        <v>2191</v>
      </c>
      <c r="E31" s="4743"/>
      <c r="F31" s="4743"/>
      <c r="G31" s="4743"/>
      <c r="H31" s="4743"/>
      <c r="I31" s="4743"/>
      <c r="J31" s="4743"/>
      <c r="K31" s="4743"/>
      <c r="L31" s="4743"/>
      <c r="M31" s="4743"/>
      <c r="N31" s="4743"/>
      <c r="O31" s="4743"/>
      <c r="P31" s="4743"/>
      <c r="Q31" s="4743"/>
      <c r="R31" s="4743"/>
      <c r="S31" s="4743"/>
      <c r="T31" s="4743"/>
      <c r="U31" s="4743"/>
      <c r="V31" s="4743"/>
      <c r="W31" s="4847"/>
    </row>
    <row r="32" spans="1:29" ht="14.25" x14ac:dyDescent="0.2">
      <c r="A32" s="509">
        <v>9</v>
      </c>
      <c r="B32" s="509" t="s">
        <v>355</v>
      </c>
      <c r="D32" s="4844" t="s">
        <v>1077</v>
      </c>
      <c r="E32" s="4845"/>
      <c r="F32" s="4845"/>
      <c r="G32" s="4845"/>
      <c r="H32" s="4845"/>
      <c r="I32" s="4845"/>
      <c r="J32" s="4845"/>
      <c r="K32" s="4845"/>
      <c r="L32" s="4845"/>
      <c r="M32" s="4845"/>
      <c r="N32" s="4845"/>
      <c r="O32" s="4845"/>
      <c r="P32" s="4845"/>
      <c r="Q32" s="4845"/>
      <c r="R32" s="4845"/>
      <c r="S32" s="4845"/>
      <c r="T32" s="4845"/>
      <c r="U32" s="4845"/>
      <c r="V32" s="4845"/>
      <c r="W32" s="4846"/>
    </row>
    <row r="51" spans="1:28" ht="14.25" x14ac:dyDescent="0.2">
      <c r="A51" s="508"/>
      <c r="B51" s="508"/>
      <c r="C51" s="508"/>
      <c r="D51" s="3438"/>
      <c r="E51" s="2186"/>
      <c r="F51" s="2186"/>
      <c r="G51" s="2186"/>
      <c r="H51" s="1138">
        <v>2002</v>
      </c>
      <c r="I51" s="1138">
        <v>2003</v>
      </c>
      <c r="J51" s="1138">
        <v>2004</v>
      </c>
      <c r="K51" s="1138">
        <v>2005</v>
      </c>
      <c r="L51" s="1138">
        <v>2006</v>
      </c>
      <c r="M51" s="1138">
        <v>2007</v>
      </c>
      <c r="N51" s="1138">
        <v>2008</v>
      </c>
      <c r="O51" s="1138">
        <v>2009</v>
      </c>
      <c r="P51" s="1138">
        <v>2010</v>
      </c>
      <c r="Q51" s="1138">
        <v>2011</v>
      </c>
      <c r="R51" s="1138">
        <v>2012</v>
      </c>
      <c r="S51" s="1138">
        <v>2013</v>
      </c>
      <c r="T51" s="1138">
        <v>2014</v>
      </c>
      <c r="U51" s="1138">
        <v>2015</v>
      </c>
      <c r="V51" s="1139">
        <v>2016</v>
      </c>
      <c r="W51" s="1165">
        <v>2017</v>
      </c>
      <c r="X51" s="1154">
        <v>2018</v>
      </c>
      <c r="Y51" s="1154">
        <v>2019</v>
      </c>
      <c r="Z51" s="1166">
        <v>2020</v>
      </c>
      <c r="AA51" s="1166">
        <v>2021</v>
      </c>
      <c r="AB51" s="1166">
        <v>2022</v>
      </c>
    </row>
    <row r="52" spans="1:28" ht="14.25" x14ac:dyDescent="0.2">
      <c r="A52" s="508"/>
      <c r="B52" s="508"/>
      <c r="C52" s="508"/>
      <c r="E52" s="88"/>
      <c r="F52" s="88"/>
      <c r="G52" s="671" t="s">
        <v>1067</v>
      </c>
      <c r="H52" s="2913">
        <v>55.2</v>
      </c>
      <c r="I52" s="2913">
        <v>56.8</v>
      </c>
      <c r="J52" s="2913">
        <v>55.4</v>
      </c>
      <c r="K52" s="2913">
        <v>55.4</v>
      </c>
      <c r="L52" s="2913">
        <v>53.8</v>
      </c>
      <c r="M52" s="2913">
        <v>49.5</v>
      </c>
      <c r="N52" s="2913">
        <v>48</v>
      </c>
      <c r="O52" s="2913">
        <v>45.1</v>
      </c>
      <c r="P52" s="2913">
        <v>38.6</v>
      </c>
      <c r="Q52" s="2913">
        <v>37.299999999999997</v>
      </c>
      <c r="R52" s="2913">
        <v>35.200000000000003</v>
      </c>
      <c r="S52" s="2913">
        <v>32.799999999999997</v>
      </c>
      <c r="T52" s="2913">
        <v>31.3</v>
      </c>
      <c r="U52" s="2914">
        <v>30</v>
      </c>
      <c r="V52" s="2914">
        <v>28.8</v>
      </c>
      <c r="W52" s="2914">
        <v>27.5</v>
      </c>
      <c r="X52" s="2914">
        <v>27.2</v>
      </c>
      <c r="Y52" s="2914">
        <v>25.4</v>
      </c>
      <c r="Z52" s="2914">
        <v>25</v>
      </c>
      <c r="AA52" s="2914">
        <v>25.1</v>
      </c>
      <c r="AB52" s="2914">
        <v>24.3</v>
      </c>
    </row>
    <row r="53" spans="1:28" ht="14.25" x14ac:dyDescent="0.2">
      <c r="A53" s="508"/>
      <c r="B53" s="508"/>
      <c r="C53" s="508"/>
      <c r="E53" s="284"/>
      <c r="F53" s="284"/>
      <c r="G53" s="749" t="s">
        <v>1078</v>
      </c>
      <c r="H53" s="2913">
        <v>74.7</v>
      </c>
      <c r="I53" s="2913">
        <v>76.2</v>
      </c>
      <c r="J53" s="2913">
        <v>75.8</v>
      </c>
      <c r="K53" s="2913">
        <v>74.7</v>
      </c>
      <c r="L53" s="2913">
        <v>72.099999999999994</v>
      </c>
      <c r="M53" s="2913">
        <v>67.3</v>
      </c>
      <c r="N53" s="2913">
        <v>63</v>
      </c>
      <c r="O53" s="2913">
        <v>55.7</v>
      </c>
      <c r="P53" s="2913">
        <v>50.1</v>
      </c>
      <c r="Q53" s="2913">
        <v>46</v>
      </c>
      <c r="R53" s="2913">
        <v>41.7</v>
      </c>
      <c r="S53" s="2913">
        <v>38.5</v>
      </c>
      <c r="T53" s="2913">
        <v>37.700000000000003</v>
      </c>
      <c r="U53" s="2914">
        <v>37.4</v>
      </c>
      <c r="V53" s="2914">
        <v>37.200000000000003</v>
      </c>
      <c r="W53" s="2914">
        <v>36.299999999999997</v>
      </c>
      <c r="X53" s="2914">
        <v>37</v>
      </c>
      <c r="Y53" s="2914">
        <v>35.799999999999997</v>
      </c>
      <c r="Z53" s="2914">
        <v>35.200000000000003</v>
      </c>
      <c r="AA53" s="2914">
        <v>33.1</v>
      </c>
      <c r="AB53" s="2914">
        <v>30.7</v>
      </c>
    </row>
  </sheetData>
  <mergeCells count="7">
    <mergeCell ref="D32:W32"/>
    <mergeCell ref="D2:Y2"/>
    <mergeCell ref="D3:Y3"/>
    <mergeCell ref="D4:Y4"/>
    <mergeCell ref="D5:Y5"/>
    <mergeCell ref="D30:W30"/>
    <mergeCell ref="D31:W31"/>
  </mergeCells>
  <pageMargins left="0.74803149606299202" right="0.74803149606299202" top="0.98425196850393704" bottom="0.98425196850393704" header="0.511811023622047" footer="0.511811023622047"/>
  <pageSetup paperSize="9" scale="49"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E31F6-5BA0-4AF6-B2FC-5256D3D5E4F2}">
  <sheetPr>
    <tabColor theme="9"/>
    <pageSetUpPr fitToPage="1"/>
  </sheetPr>
  <dimension ref="A2:AB131"/>
  <sheetViews>
    <sheetView showGridLines="0" view="pageBreakPreview" topLeftCell="C4" zoomScaleNormal="100" zoomScaleSheetLayoutView="100" workbookViewId="0">
      <selection activeCell="V35" sqref="V35"/>
    </sheetView>
  </sheetViews>
  <sheetFormatPr defaultColWidth="9.140625" defaultRowHeight="15" x14ac:dyDescent="0.2"/>
  <cols>
    <col min="1" max="1" width="8.42578125" style="506" customWidth="1"/>
    <col min="2" max="2" width="14.42578125" style="507" customWidth="1"/>
    <col min="3" max="3" width="3.85546875" style="507" customWidth="1"/>
    <col min="4" max="4" width="26.140625" style="508" customWidth="1"/>
    <col min="5" max="13" width="8" style="1214" customWidth="1"/>
    <col min="14" max="15" width="10.42578125" style="508" bestFit="1" customWidth="1"/>
    <col min="16" max="16384" width="9.140625" style="508"/>
  </cols>
  <sheetData>
    <row r="2" spans="1:28" ht="14.1" customHeight="1" x14ac:dyDescent="0.2">
      <c r="A2" s="509">
        <v>1</v>
      </c>
      <c r="B2" s="509" t="s">
        <v>0</v>
      </c>
      <c r="C2" s="509">
        <v>38</v>
      </c>
      <c r="D2" s="4603" t="s">
        <v>1079</v>
      </c>
      <c r="E2" s="4604"/>
      <c r="F2" s="4604"/>
      <c r="G2" s="4604"/>
      <c r="H2" s="4604"/>
      <c r="I2" s="4604"/>
      <c r="J2" s="4604"/>
      <c r="K2" s="4604"/>
      <c r="L2" s="4604"/>
      <c r="M2" s="4604"/>
      <c r="N2" s="4604"/>
      <c r="O2" s="4604"/>
      <c r="P2" s="4604"/>
      <c r="Q2" s="4604"/>
      <c r="R2" s="4604"/>
      <c r="S2" s="4604"/>
      <c r="T2" s="4604"/>
      <c r="U2" s="4604"/>
      <c r="V2" s="4604"/>
      <c r="W2" s="4604"/>
      <c r="X2" s="4605"/>
    </row>
    <row r="3" spans="1:28" ht="14.1" customHeight="1" x14ac:dyDescent="0.2">
      <c r="A3" s="509">
        <v>2</v>
      </c>
      <c r="B3" s="509" t="s">
        <v>2</v>
      </c>
      <c r="C3" s="509"/>
      <c r="D3" s="4603" t="s">
        <v>1041</v>
      </c>
      <c r="E3" s="4604"/>
      <c r="F3" s="4604"/>
      <c r="G3" s="4604"/>
      <c r="H3" s="4604"/>
      <c r="I3" s="4604"/>
      <c r="J3" s="4604"/>
      <c r="K3" s="4604"/>
      <c r="L3" s="4604"/>
      <c r="M3" s="4604"/>
      <c r="N3" s="4604"/>
      <c r="O3" s="4604"/>
      <c r="P3" s="4604"/>
      <c r="Q3" s="4604"/>
      <c r="R3" s="4604"/>
      <c r="S3" s="4604"/>
      <c r="T3" s="4604"/>
      <c r="U3" s="4604"/>
      <c r="V3" s="4604"/>
      <c r="W3" s="4604"/>
      <c r="X3" s="4605"/>
    </row>
    <row r="4" spans="1:28" ht="14.1" customHeight="1" x14ac:dyDescent="0.2">
      <c r="A4" s="509">
        <v>3</v>
      </c>
      <c r="B4" s="509" t="s">
        <v>4</v>
      </c>
      <c r="C4" s="509"/>
      <c r="D4" s="4603" t="s">
        <v>1042</v>
      </c>
      <c r="E4" s="4604"/>
      <c r="F4" s="4604"/>
      <c r="G4" s="4604"/>
      <c r="H4" s="4604"/>
      <c r="I4" s="4604"/>
      <c r="J4" s="4604"/>
      <c r="K4" s="4604"/>
      <c r="L4" s="4604"/>
      <c r="M4" s="4604"/>
      <c r="N4" s="4604"/>
      <c r="O4" s="4604"/>
      <c r="P4" s="4604"/>
      <c r="Q4" s="4604"/>
      <c r="R4" s="4604"/>
      <c r="S4" s="4604"/>
      <c r="T4" s="4604"/>
      <c r="U4" s="4604"/>
      <c r="V4" s="4604"/>
      <c r="W4" s="4604"/>
      <c r="X4" s="4605"/>
    </row>
    <row r="5" spans="1:28" ht="14.1" customHeight="1" x14ac:dyDescent="0.2">
      <c r="A5" s="506">
        <v>4</v>
      </c>
      <c r="B5" s="509" t="s">
        <v>1080</v>
      </c>
      <c r="C5" s="509"/>
      <c r="D5" s="4603" t="s">
        <v>1081</v>
      </c>
      <c r="E5" s="4604"/>
      <c r="F5" s="4604"/>
      <c r="G5" s="4604"/>
      <c r="H5" s="4604"/>
      <c r="I5" s="4604"/>
      <c r="J5" s="4604"/>
      <c r="K5" s="4604"/>
      <c r="L5" s="4604"/>
      <c r="M5" s="4604"/>
      <c r="N5" s="4604"/>
      <c r="O5" s="4604"/>
      <c r="P5" s="4604"/>
      <c r="Q5" s="4604"/>
      <c r="R5" s="4604"/>
      <c r="S5" s="4604"/>
      <c r="T5" s="4604"/>
      <c r="U5" s="4604"/>
      <c r="V5" s="4604"/>
      <c r="W5" s="4604"/>
      <c r="X5" s="4605"/>
    </row>
    <row r="6" spans="1:28" x14ac:dyDescent="0.2">
      <c r="B6" s="509"/>
      <c r="C6" s="509"/>
      <c r="D6" s="880"/>
      <c r="E6" s="880"/>
      <c r="F6" s="880"/>
      <c r="G6" s="880"/>
      <c r="H6" s="880"/>
      <c r="I6" s="880"/>
      <c r="J6" s="880"/>
      <c r="K6" s="880"/>
      <c r="L6" s="880"/>
      <c r="M6" s="880"/>
      <c r="N6" s="880"/>
      <c r="O6" s="880"/>
      <c r="P6" s="880"/>
      <c r="Q6" s="880"/>
      <c r="R6" s="880"/>
      <c r="S6" s="880"/>
      <c r="T6" s="880"/>
      <c r="U6" s="880"/>
      <c r="V6" s="880"/>
    </row>
    <row r="7" spans="1:28" s="88" customFormat="1" ht="12.75" x14ac:dyDescent="0.2">
      <c r="A7" s="509">
        <v>5</v>
      </c>
      <c r="B7" s="509" t="s">
        <v>6</v>
      </c>
      <c r="C7" s="836"/>
      <c r="D7" s="548" t="s">
        <v>7</v>
      </c>
      <c r="E7" s="1191" t="s">
        <v>1082</v>
      </c>
      <c r="F7" s="1192"/>
      <c r="G7" s="1192"/>
      <c r="H7" s="859"/>
      <c r="I7" s="312"/>
      <c r="J7" s="312"/>
      <c r="K7" s="312"/>
      <c r="L7" s="312"/>
      <c r="M7" s="312"/>
      <c r="N7" s="71"/>
    </row>
    <row r="8" spans="1:28" s="88" customFormat="1" ht="11.25" x14ac:dyDescent="0.2">
      <c r="A8" s="860"/>
      <c r="B8" s="836"/>
      <c r="C8" s="836"/>
      <c r="D8" s="2186"/>
      <c r="E8" s="2567"/>
      <c r="F8" s="2567" t="s">
        <v>2259</v>
      </c>
      <c r="G8" s="1193">
        <v>2001</v>
      </c>
      <c r="H8" s="1193">
        <v>2002</v>
      </c>
      <c r="I8" s="1193">
        <v>2003</v>
      </c>
      <c r="J8" s="1193">
        <v>2004</v>
      </c>
      <c r="K8" s="1193">
        <v>2005</v>
      </c>
      <c r="L8" s="1193">
        <v>2006</v>
      </c>
      <c r="M8" s="1193">
        <v>2007</v>
      </c>
      <c r="N8" s="1193">
        <v>2008</v>
      </c>
      <c r="O8" s="1193">
        <v>2009</v>
      </c>
      <c r="P8" s="1193">
        <v>2010</v>
      </c>
      <c r="Q8" s="1193">
        <v>2011</v>
      </c>
      <c r="R8" s="1193">
        <v>2012</v>
      </c>
      <c r="S8" s="1193">
        <v>2013</v>
      </c>
      <c r="T8" s="1193">
        <v>2014</v>
      </c>
      <c r="U8" s="1194">
        <v>2015</v>
      </c>
      <c r="V8" s="1195">
        <v>2016</v>
      </c>
      <c r="W8" s="1196">
        <v>2017</v>
      </c>
      <c r="X8" s="1196">
        <v>2018</v>
      </c>
      <c r="Y8" s="1237">
        <v>2019</v>
      </c>
      <c r="Z8" s="1237">
        <v>2020</v>
      </c>
      <c r="AA8" s="1237">
        <v>2021</v>
      </c>
      <c r="AB8" s="1237">
        <v>2022</v>
      </c>
    </row>
    <row r="9" spans="1:28" s="88" customFormat="1" ht="22.5" x14ac:dyDescent="0.2">
      <c r="A9" s="1197"/>
      <c r="B9" s="836"/>
      <c r="C9" s="1198"/>
      <c r="D9" s="621" t="str">
        <f>D2</f>
        <v>Severe acute malnutrition under five years</v>
      </c>
      <c r="E9" s="1199"/>
      <c r="F9" s="1199" t="s">
        <v>1083</v>
      </c>
      <c r="G9" s="4157" t="s">
        <v>1084</v>
      </c>
      <c r="H9" s="4157" t="s">
        <v>1085</v>
      </c>
      <c r="I9" s="4157" t="s">
        <v>1086</v>
      </c>
      <c r="J9" s="4157" t="s">
        <v>1087</v>
      </c>
      <c r="K9" s="4157" t="s">
        <v>1088</v>
      </c>
      <c r="L9" s="4157" t="s">
        <v>1089</v>
      </c>
      <c r="M9" s="4157" t="s">
        <v>1090</v>
      </c>
      <c r="N9" s="4157" t="s">
        <v>1091</v>
      </c>
      <c r="O9" s="4157" t="s">
        <v>1092</v>
      </c>
      <c r="P9" s="4157" t="s">
        <v>1093</v>
      </c>
      <c r="Q9" s="4157">
        <v>23428</v>
      </c>
      <c r="R9" s="4157">
        <v>20729</v>
      </c>
      <c r="S9" s="4157">
        <v>22265</v>
      </c>
      <c r="T9" s="4157">
        <v>25235</v>
      </c>
      <c r="U9" s="4157">
        <v>23540</v>
      </c>
      <c r="V9" s="4157">
        <v>21123</v>
      </c>
      <c r="W9" s="4157">
        <v>12539</v>
      </c>
      <c r="X9" s="4157">
        <v>13005</v>
      </c>
      <c r="Y9" s="4157">
        <v>11194</v>
      </c>
      <c r="Z9" s="4157">
        <v>8801</v>
      </c>
      <c r="AA9" s="4157">
        <v>10165</v>
      </c>
      <c r="AB9" s="4157">
        <v>14267</v>
      </c>
    </row>
    <row r="10" spans="1:28" s="88" customFormat="1" ht="11.25" customHeight="1" x14ac:dyDescent="0.2">
      <c r="A10" s="1197"/>
      <c r="B10" s="836"/>
      <c r="C10" s="1198"/>
      <c r="D10" s="131"/>
      <c r="E10" s="1200"/>
      <c r="F10" s="1201"/>
      <c r="G10" s="1201"/>
      <c r="H10" s="1201"/>
      <c r="I10" s="1201"/>
      <c r="J10" s="1201"/>
      <c r="K10" s="1201"/>
      <c r="L10" s="1201"/>
      <c r="M10" s="1201"/>
      <c r="N10" s="955"/>
      <c r="O10" s="955"/>
    </row>
    <row r="11" spans="1:28" s="88" customFormat="1" ht="11.25" customHeight="1" x14ac:dyDescent="0.2">
      <c r="A11" s="1197"/>
      <c r="B11" s="836"/>
      <c r="C11" s="1198"/>
      <c r="D11" s="131"/>
      <c r="E11" s="1200"/>
      <c r="F11" s="1201"/>
      <c r="G11" s="1201"/>
      <c r="H11" s="1201"/>
      <c r="I11" s="1201"/>
      <c r="J11" s="1201"/>
      <c r="K11" s="1201"/>
      <c r="L11" s="1201"/>
      <c r="M11" s="1201"/>
      <c r="N11" s="955"/>
      <c r="O11" s="955"/>
    </row>
    <row r="12" spans="1:28" s="88" customFormat="1" ht="14.25" customHeight="1" x14ac:dyDescent="0.2">
      <c r="A12" s="1197"/>
      <c r="B12" s="836"/>
      <c r="C12" s="836"/>
      <c r="D12" s="1202"/>
      <c r="E12" s="1203">
        <v>1994</v>
      </c>
      <c r="F12" s="4849">
        <v>1999</v>
      </c>
      <c r="G12" s="4850"/>
      <c r="H12" s="1204">
        <v>2003</v>
      </c>
      <c r="I12" s="1204">
        <v>2005</v>
      </c>
      <c r="J12" s="4851">
        <v>2008</v>
      </c>
      <c r="K12" s="4849"/>
      <c r="L12" s="4849"/>
      <c r="M12" s="4849"/>
      <c r="N12" s="4849"/>
      <c r="O12" s="4852"/>
    </row>
    <row r="13" spans="1:28" s="88" customFormat="1" ht="33.75" customHeight="1" x14ac:dyDescent="0.2">
      <c r="A13" s="1197"/>
      <c r="B13" s="836"/>
      <c r="C13" s="836"/>
      <c r="D13" s="1202"/>
      <c r="E13" s="1203" t="s">
        <v>1102</v>
      </c>
      <c r="F13" s="1132" t="s">
        <v>1103</v>
      </c>
      <c r="G13" s="1203" t="s">
        <v>1104</v>
      </c>
      <c r="H13" s="1204" t="s">
        <v>1105</v>
      </c>
      <c r="I13" s="1204" t="s">
        <v>1106</v>
      </c>
      <c r="J13" s="1205" t="s">
        <v>1107</v>
      </c>
      <c r="K13" s="1132" t="s">
        <v>1108</v>
      </c>
      <c r="L13" s="1132" t="s">
        <v>1109</v>
      </c>
      <c r="M13" s="1132" t="s">
        <v>1110</v>
      </c>
      <c r="N13" s="1132" t="s">
        <v>1111</v>
      </c>
      <c r="O13" s="1206" t="s">
        <v>1112</v>
      </c>
    </row>
    <row r="14" spans="1:28" s="88" customFormat="1" ht="11.25" customHeight="1" x14ac:dyDescent="0.2">
      <c r="A14" s="1197"/>
      <c r="B14" s="836"/>
      <c r="C14" s="836"/>
      <c r="D14" s="1207" t="s">
        <v>276</v>
      </c>
      <c r="E14" s="1208">
        <v>28.8</v>
      </c>
      <c r="F14" s="1209">
        <v>20.5</v>
      </c>
      <c r="G14" s="3560" t="s">
        <v>291</v>
      </c>
      <c r="H14" s="3561">
        <v>28.5</v>
      </c>
      <c r="I14" s="3561">
        <v>18</v>
      </c>
      <c r="J14" s="3562">
        <v>17.5</v>
      </c>
      <c r="K14" s="3677" t="s">
        <v>291</v>
      </c>
      <c r="L14" s="3677" t="s">
        <v>291</v>
      </c>
      <c r="M14" s="3677" t="s">
        <v>291</v>
      </c>
      <c r="N14" s="3678" t="s">
        <v>291</v>
      </c>
      <c r="O14" s="3563" t="s">
        <v>291</v>
      </c>
    </row>
    <row r="15" spans="1:28" s="88" customFormat="1" ht="11.25" customHeight="1" x14ac:dyDescent="0.2">
      <c r="A15" s="1197"/>
      <c r="B15" s="836"/>
      <c r="C15" s="836"/>
      <c r="D15" s="1207" t="s">
        <v>277</v>
      </c>
      <c r="E15" s="1208">
        <v>28.7</v>
      </c>
      <c r="F15" s="1209">
        <v>29.6</v>
      </c>
      <c r="G15" s="1208" t="s">
        <v>291</v>
      </c>
      <c r="H15" s="1210">
        <v>32.9</v>
      </c>
      <c r="I15" s="1210">
        <v>28.2</v>
      </c>
      <c r="J15" s="1211">
        <v>14.7</v>
      </c>
      <c r="K15" s="1209" t="s">
        <v>291</v>
      </c>
      <c r="L15" s="1209" t="s">
        <v>291</v>
      </c>
      <c r="M15" s="1209" t="s">
        <v>291</v>
      </c>
      <c r="N15" s="955" t="s">
        <v>291</v>
      </c>
      <c r="O15" s="1212" t="s">
        <v>291</v>
      </c>
    </row>
    <row r="16" spans="1:28" s="88" customFormat="1" ht="11.25" customHeight="1" x14ac:dyDescent="0.2">
      <c r="A16" s="1197"/>
      <c r="B16" s="836"/>
      <c r="C16" s="836"/>
      <c r="D16" s="1207" t="s">
        <v>278</v>
      </c>
      <c r="E16" s="1208">
        <v>11.5</v>
      </c>
      <c r="F16" s="1209">
        <v>20.399999999999999</v>
      </c>
      <c r="G16" s="1208" t="s">
        <v>291</v>
      </c>
      <c r="H16" s="1210">
        <v>26.5</v>
      </c>
      <c r="I16" s="1210">
        <v>16.8</v>
      </c>
      <c r="J16" s="1211">
        <v>13.2</v>
      </c>
      <c r="K16" s="1209" t="s">
        <v>291</v>
      </c>
      <c r="L16" s="1209" t="s">
        <v>291</v>
      </c>
      <c r="M16" s="1209" t="s">
        <v>291</v>
      </c>
      <c r="N16" s="955" t="s">
        <v>291</v>
      </c>
      <c r="O16" s="1212" t="s">
        <v>291</v>
      </c>
    </row>
    <row r="17" spans="1:15" s="88" customFormat="1" ht="11.25" customHeight="1" x14ac:dyDescent="0.2">
      <c r="A17" s="1197"/>
      <c r="B17" s="836"/>
      <c r="C17" s="836"/>
      <c r="D17" s="1207" t="s">
        <v>641</v>
      </c>
      <c r="E17" s="1208">
        <v>15.6</v>
      </c>
      <c r="F17" s="1209">
        <v>18.5</v>
      </c>
      <c r="G17" s="1208" t="s">
        <v>291</v>
      </c>
      <c r="H17" s="1210">
        <v>13.3</v>
      </c>
      <c r="I17" s="1210">
        <v>15.1</v>
      </c>
      <c r="J17" s="1211">
        <v>11.7</v>
      </c>
      <c r="K17" s="1209" t="s">
        <v>291</v>
      </c>
      <c r="L17" s="1209" t="s">
        <v>291</v>
      </c>
      <c r="M17" s="1209" t="s">
        <v>291</v>
      </c>
      <c r="N17" s="955" t="s">
        <v>291</v>
      </c>
      <c r="O17" s="1212" t="s">
        <v>291</v>
      </c>
    </row>
    <row r="18" spans="1:15" s="88" customFormat="1" ht="11.25" customHeight="1" x14ac:dyDescent="0.2">
      <c r="A18" s="1197"/>
      <c r="B18" s="836"/>
      <c r="C18" s="836"/>
      <c r="D18" s="1207" t="s">
        <v>280</v>
      </c>
      <c r="E18" s="1208">
        <v>34.200000000000003</v>
      </c>
      <c r="F18" s="1209">
        <v>23.1</v>
      </c>
      <c r="G18" s="1208" t="s">
        <v>291</v>
      </c>
      <c r="H18" s="1210">
        <v>26.6</v>
      </c>
      <c r="I18" s="1210">
        <v>23.8</v>
      </c>
      <c r="J18" s="1211">
        <v>12.8</v>
      </c>
      <c r="K18" s="1209" t="s">
        <v>291</v>
      </c>
      <c r="L18" s="1209" t="s">
        <v>291</v>
      </c>
      <c r="M18" s="1209" t="s">
        <v>291</v>
      </c>
      <c r="N18" s="955" t="s">
        <v>291</v>
      </c>
      <c r="O18" s="1212" t="s">
        <v>291</v>
      </c>
    </row>
    <row r="19" spans="1:15" s="88" customFormat="1" ht="11.25" customHeight="1" x14ac:dyDescent="0.2">
      <c r="A19" s="1197"/>
      <c r="B19" s="836"/>
      <c r="C19" s="836"/>
      <c r="D19" s="1207" t="s">
        <v>281</v>
      </c>
      <c r="E19" s="1208">
        <v>20.399999999999999</v>
      </c>
      <c r="F19" s="1209">
        <v>26.4</v>
      </c>
      <c r="G19" s="1208" t="s">
        <v>291</v>
      </c>
      <c r="H19" s="1210">
        <v>22.2</v>
      </c>
      <c r="I19" s="1210">
        <v>17.8</v>
      </c>
      <c r="J19" s="1211">
        <v>11.3</v>
      </c>
      <c r="K19" s="1209" t="s">
        <v>291</v>
      </c>
      <c r="L19" s="1209" t="s">
        <v>291</v>
      </c>
      <c r="M19" s="1209" t="s">
        <v>291</v>
      </c>
      <c r="N19" s="955" t="s">
        <v>291</v>
      </c>
      <c r="O19" s="1212" t="s">
        <v>291</v>
      </c>
    </row>
    <row r="20" spans="1:15" s="88" customFormat="1" ht="11.25" customHeight="1" x14ac:dyDescent="0.2">
      <c r="A20" s="1197"/>
      <c r="B20" s="836"/>
      <c r="C20" s="836"/>
      <c r="D20" s="1207" t="s">
        <v>282</v>
      </c>
      <c r="E20" s="1208">
        <v>22.8</v>
      </c>
      <c r="F20" s="1209">
        <v>29.6</v>
      </c>
      <c r="G20" s="1208" t="s">
        <v>291</v>
      </c>
      <c r="H20" s="1210">
        <v>37.1</v>
      </c>
      <c r="I20" s="1210">
        <v>27.7</v>
      </c>
      <c r="J20" s="1211">
        <v>19.399999999999999</v>
      </c>
      <c r="K20" s="1209" t="s">
        <v>291</v>
      </c>
      <c r="L20" s="1209" t="s">
        <v>291</v>
      </c>
      <c r="M20" s="1209" t="s">
        <v>291</v>
      </c>
      <c r="N20" s="955" t="s">
        <v>291</v>
      </c>
      <c r="O20" s="1212" t="s">
        <v>291</v>
      </c>
    </row>
    <row r="21" spans="1:15" s="88" customFormat="1" ht="11.25" customHeight="1" x14ac:dyDescent="0.2">
      <c r="A21" s="1197"/>
      <c r="B21" s="836"/>
      <c r="C21" s="836"/>
      <c r="D21" s="1207" t="s">
        <v>283</v>
      </c>
      <c r="E21" s="1208">
        <v>24.7</v>
      </c>
      <c r="F21" s="1209">
        <v>24.9</v>
      </c>
      <c r="G21" s="1208" t="s">
        <v>291</v>
      </c>
      <c r="H21" s="1210">
        <v>24</v>
      </c>
      <c r="I21" s="1210">
        <v>15.1</v>
      </c>
      <c r="J21" s="1211">
        <v>12.3</v>
      </c>
      <c r="K21" s="1209" t="s">
        <v>291</v>
      </c>
      <c r="L21" s="1209" t="s">
        <v>291</v>
      </c>
      <c r="M21" s="1209" t="s">
        <v>291</v>
      </c>
      <c r="N21" s="955" t="s">
        <v>291</v>
      </c>
      <c r="O21" s="1212" t="s">
        <v>291</v>
      </c>
    </row>
    <row r="22" spans="1:15" s="88" customFormat="1" ht="11.25" customHeight="1" x14ac:dyDescent="0.2">
      <c r="A22" s="1197"/>
      <c r="B22" s="836"/>
      <c r="C22" s="836"/>
      <c r="D22" s="1207" t="s">
        <v>284</v>
      </c>
      <c r="E22" s="1208">
        <v>11.6</v>
      </c>
      <c r="F22" s="1209">
        <v>14.5</v>
      </c>
      <c r="G22" s="3439" t="s">
        <v>291</v>
      </c>
      <c r="H22" s="1213">
        <v>34.700000000000003</v>
      </c>
      <c r="I22" s="1213">
        <v>12</v>
      </c>
      <c r="J22" s="3564">
        <v>9.6999999999999993</v>
      </c>
      <c r="K22" s="3440" t="s">
        <v>291</v>
      </c>
      <c r="L22" s="3440" t="s">
        <v>291</v>
      </c>
      <c r="M22" s="3440" t="s">
        <v>291</v>
      </c>
      <c r="N22" s="3408" t="s">
        <v>291</v>
      </c>
      <c r="O22" s="3441" t="s">
        <v>291</v>
      </c>
    </row>
    <row r="23" spans="1:15" s="88" customFormat="1" ht="11.25" customHeight="1" x14ac:dyDescent="0.2">
      <c r="A23" s="1197"/>
      <c r="B23" s="836"/>
      <c r="C23" s="836"/>
      <c r="D23" s="3565" t="s">
        <v>103</v>
      </c>
      <c r="E23" s="3566">
        <v>22.9</v>
      </c>
      <c r="F23" s="3567">
        <v>21.6</v>
      </c>
      <c r="G23" s="3566">
        <v>23.8</v>
      </c>
      <c r="H23" s="3723">
        <v>27.4</v>
      </c>
      <c r="I23" s="3723">
        <v>18</v>
      </c>
      <c r="J23" s="3724">
        <v>13.1</v>
      </c>
      <c r="K23" s="3567">
        <v>12.6</v>
      </c>
      <c r="L23" s="3567">
        <v>14.4</v>
      </c>
      <c r="M23" s="3567">
        <v>11.1</v>
      </c>
      <c r="N23" s="3567">
        <v>15.2</v>
      </c>
      <c r="O23" s="3568">
        <v>17.100000000000001</v>
      </c>
    </row>
    <row r="24" spans="1:15" s="88" customFormat="1" ht="11.25" customHeight="1" x14ac:dyDescent="0.2">
      <c r="A24" s="1197"/>
      <c r="B24" s="836"/>
      <c r="C24" s="836"/>
      <c r="D24" s="87"/>
      <c r="E24" s="1200"/>
      <c r="F24" s="1200"/>
      <c r="G24" s="1200"/>
      <c r="H24" s="1200"/>
      <c r="I24" s="1200"/>
      <c r="J24" s="1200"/>
      <c r="K24" s="1200"/>
      <c r="L24" s="1200"/>
      <c r="M24" s="1200"/>
      <c r="N24" s="1200"/>
      <c r="O24" s="1200"/>
    </row>
    <row r="25" spans="1:15" s="88" customFormat="1" ht="14.25" customHeight="1" x14ac:dyDescent="0.2">
      <c r="A25" s="1197"/>
      <c r="B25" s="836"/>
      <c r="C25" s="1198"/>
      <c r="D25" s="548" t="s">
        <v>7</v>
      </c>
      <c r="E25" s="1191" t="s">
        <v>1113</v>
      </c>
      <c r="F25" s="1192"/>
      <c r="G25" s="1192"/>
      <c r="H25" s="1214"/>
      <c r="I25" s="1214"/>
      <c r="J25" s="1214"/>
      <c r="K25" s="1214"/>
      <c r="L25" s="1214"/>
      <c r="M25" s="1214"/>
      <c r="O25" s="955"/>
    </row>
    <row r="26" spans="1:15" s="88" customFormat="1" ht="14.25" customHeight="1" x14ac:dyDescent="0.2">
      <c r="A26" s="1197"/>
      <c r="B26" s="836"/>
      <c r="C26" s="1198">
        <v>3</v>
      </c>
      <c r="D26" s="1215">
        <v>2005</v>
      </c>
      <c r="E26" s="312"/>
      <c r="F26" s="1214"/>
      <c r="G26" s="1214"/>
      <c r="H26" s="1214"/>
      <c r="I26" s="413"/>
      <c r="J26" s="1214"/>
      <c r="K26" s="1214"/>
      <c r="L26" s="1214"/>
      <c r="M26" s="1214"/>
      <c r="N26" s="955"/>
      <c r="O26" s="955"/>
    </row>
    <row r="27" spans="1:15" s="88" customFormat="1" ht="14.25" customHeight="1" x14ac:dyDescent="0.2">
      <c r="A27" s="1197"/>
      <c r="B27" s="836"/>
      <c r="C27" s="836"/>
      <c r="D27" s="1202"/>
      <c r="E27" s="1216" t="s">
        <v>1114</v>
      </c>
      <c r="F27" s="1216" t="s">
        <v>1115</v>
      </c>
      <c r="G27" s="1217" t="s">
        <v>1116</v>
      </c>
      <c r="H27" s="1216" t="s">
        <v>1117</v>
      </c>
      <c r="I27" s="1216" t="s">
        <v>1118</v>
      </c>
      <c r="J27" s="1217" t="s">
        <v>1119</v>
      </c>
      <c r="K27" s="1216" t="s">
        <v>1120</v>
      </c>
      <c r="L27" s="1216" t="s">
        <v>1121</v>
      </c>
      <c r="M27" s="1217" t="s">
        <v>1122</v>
      </c>
      <c r="N27" s="955"/>
      <c r="O27" s="955"/>
    </row>
    <row r="28" spans="1:15" s="88" customFormat="1" ht="11.25" customHeight="1" x14ac:dyDescent="0.2">
      <c r="A28" s="1197"/>
      <c r="B28" s="836"/>
      <c r="C28" s="836"/>
      <c r="D28" s="1207" t="s">
        <v>276</v>
      </c>
      <c r="E28" s="1209">
        <v>8.82</v>
      </c>
      <c r="F28" s="1209">
        <v>22.35</v>
      </c>
      <c r="G28" s="1218">
        <v>52.35</v>
      </c>
      <c r="H28" s="1209">
        <v>0</v>
      </c>
      <c r="I28" s="1209">
        <v>10</v>
      </c>
      <c r="J28" s="1218">
        <v>29.41</v>
      </c>
      <c r="K28" s="1209">
        <v>1.76</v>
      </c>
      <c r="L28" s="1209">
        <v>6.47</v>
      </c>
      <c r="M28" s="1218">
        <v>15.88</v>
      </c>
      <c r="N28" s="955"/>
      <c r="O28" s="955"/>
    </row>
    <row r="29" spans="1:15" s="88" customFormat="1" ht="11.25" customHeight="1" x14ac:dyDescent="0.2">
      <c r="A29" s="1197"/>
      <c r="B29" s="836"/>
      <c r="C29" s="836"/>
      <c r="D29" s="1207" t="s">
        <v>277</v>
      </c>
      <c r="E29" s="1209">
        <v>8.42</v>
      </c>
      <c r="F29" s="1209">
        <v>34.74</v>
      </c>
      <c r="G29" s="1218">
        <v>66.319999999999993</v>
      </c>
      <c r="H29" s="1209">
        <v>1.05</v>
      </c>
      <c r="I29" s="1209">
        <v>16.84</v>
      </c>
      <c r="J29" s="1218">
        <v>49.47</v>
      </c>
      <c r="K29" s="1209">
        <v>0</v>
      </c>
      <c r="L29" s="1209">
        <v>3.16</v>
      </c>
      <c r="M29" s="1218">
        <v>18.95</v>
      </c>
      <c r="N29" s="955"/>
      <c r="O29" s="955"/>
    </row>
    <row r="30" spans="1:15" s="88" customFormat="1" ht="11.25" customHeight="1" x14ac:dyDescent="0.2">
      <c r="A30" s="1197"/>
      <c r="B30" s="836"/>
      <c r="C30" s="836"/>
      <c r="D30" s="1207" t="s">
        <v>278</v>
      </c>
      <c r="E30" s="1209">
        <v>7.17</v>
      </c>
      <c r="F30" s="1209">
        <v>21.5</v>
      </c>
      <c r="G30" s="1218">
        <v>47.1</v>
      </c>
      <c r="H30" s="1209">
        <v>0.68</v>
      </c>
      <c r="I30" s="1209">
        <v>8.19</v>
      </c>
      <c r="J30" s="1218">
        <v>36.520000000000003</v>
      </c>
      <c r="K30" s="1209">
        <v>1.02</v>
      </c>
      <c r="L30" s="1209">
        <v>4.4400000000000004</v>
      </c>
      <c r="M30" s="1218">
        <v>19.8</v>
      </c>
      <c r="N30" s="955"/>
      <c r="O30" s="955"/>
    </row>
    <row r="31" spans="1:15" s="88" customFormat="1" ht="11.25" customHeight="1" x14ac:dyDescent="0.2">
      <c r="A31" s="1197"/>
      <c r="B31" s="836"/>
      <c r="C31" s="836"/>
      <c r="D31" s="1207" t="s">
        <v>641</v>
      </c>
      <c r="E31" s="1209">
        <v>3.29</v>
      </c>
      <c r="F31" s="1209">
        <v>17.28</v>
      </c>
      <c r="G31" s="1218">
        <v>53.91</v>
      </c>
      <c r="H31" s="1209">
        <v>0.82</v>
      </c>
      <c r="I31" s="1209">
        <v>4.12</v>
      </c>
      <c r="J31" s="1218">
        <v>29.22</v>
      </c>
      <c r="K31" s="1209">
        <v>0</v>
      </c>
      <c r="L31" s="1209">
        <v>1.65</v>
      </c>
      <c r="M31" s="1218">
        <v>4.9400000000000004</v>
      </c>
      <c r="N31" s="955"/>
      <c r="O31" s="955"/>
    </row>
    <row r="32" spans="1:15" s="88" customFormat="1" ht="11.25" customHeight="1" x14ac:dyDescent="0.2">
      <c r="A32" s="1197"/>
      <c r="B32" s="836"/>
      <c r="C32" s="836"/>
      <c r="D32" s="1207" t="s">
        <v>280</v>
      </c>
      <c r="E32" s="1209">
        <v>9.14</v>
      </c>
      <c r="F32" s="1209">
        <v>28.49</v>
      </c>
      <c r="G32" s="1218">
        <v>59.14</v>
      </c>
      <c r="H32" s="1209">
        <v>2.15</v>
      </c>
      <c r="I32" s="1209">
        <v>12.9</v>
      </c>
      <c r="J32" s="1218">
        <v>44.62</v>
      </c>
      <c r="K32" s="1209">
        <v>0.54</v>
      </c>
      <c r="L32" s="1209">
        <v>4.3</v>
      </c>
      <c r="M32" s="1218">
        <v>20.43</v>
      </c>
      <c r="N32" s="955"/>
      <c r="O32" s="955"/>
    </row>
    <row r="33" spans="1:15" s="88" customFormat="1" ht="11.25" customHeight="1" x14ac:dyDescent="0.2">
      <c r="A33" s="1197"/>
      <c r="B33" s="836"/>
      <c r="C33" s="836"/>
      <c r="D33" s="1207" t="s">
        <v>281</v>
      </c>
      <c r="E33" s="1209">
        <v>5.15</v>
      </c>
      <c r="F33" s="1209">
        <v>14.43</v>
      </c>
      <c r="G33" s="1218">
        <v>39.18</v>
      </c>
      <c r="H33" s="1209">
        <v>1.03</v>
      </c>
      <c r="I33" s="1209">
        <v>8.25</v>
      </c>
      <c r="J33" s="1218">
        <v>42.27</v>
      </c>
      <c r="K33" s="1209">
        <v>3.09</v>
      </c>
      <c r="L33" s="1209">
        <v>10.31</v>
      </c>
      <c r="M33" s="1218">
        <v>20.62</v>
      </c>
      <c r="N33" s="955"/>
      <c r="O33" s="955"/>
    </row>
    <row r="34" spans="1:15" s="88" customFormat="1" ht="11.25" customHeight="1" x14ac:dyDescent="0.2">
      <c r="A34" s="1197"/>
      <c r="B34" s="836"/>
      <c r="C34" s="836"/>
      <c r="D34" s="1207" t="s">
        <v>282</v>
      </c>
      <c r="E34" s="1209">
        <v>5.69</v>
      </c>
      <c r="F34" s="1209">
        <v>20.329999999999998</v>
      </c>
      <c r="G34" s="1218">
        <v>43.9</v>
      </c>
      <c r="H34" s="1209">
        <v>2.44</v>
      </c>
      <c r="I34" s="1209">
        <v>13.01</v>
      </c>
      <c r="J34" s="1218">
        <v>44.72</v>
      </c>
      <c r="K34" s="1209">
        <v>0</v>
      </c>
      <c r="L34" s="1209">
        <v>4.07</v>
      </c>
      <c r="M34" s="1218">
        <v>23.58</v>
      </c>
      <c r="N34" s="955"/>
      <c r="O34" s="955"/>
    </row>
    <row r="35" spans="1:15" s="88" customFormat="1" ht="11.25" customHeight="1" x14ac:dyDescent="0.2">
      <c r="A35" s="1197"/>
      <c r="B35" s="836"/>
      <c r="C35" s="836"/>
      <c r="D35" s="1207" t="s">
        <v>283</v>
      </c>
      <c r="E35" s="1209">
        <v>6.45</v>
      </c>
      <c r="F35" s="1209">
        <v>29.03</v>
      </c>
      <c r="G35" s="1218">
        <v>70.97</v>
      </c>
      <c r="H35" s="1209">
        <v>3.23</v>
      </c>
      <c r="I35" s="1209">
        <v>45.16</v>
      </c>
      <c r="J35" s="1218">
        <v>80.650000000000006</v>
      </c>
      <c r="K35" s="1209">
        <v>0</v>
      </c>
      <c r="L35" s="1209">
        <v>19.350000000000001</v>
      </c>
      <c r="M35" s="1218">
        <v>54.84</v>
      </c>
      <c r="N35" s="955"/>
      <c r="O35" s="955"/>
    </row>
    <row r="36" spans="1:15" s="88" customFormat="1" ht="11.25" customHeight="1" x14ac:dyDescent="0.2">
      <c r="A36" s="1197"/>
      <c r="B36" s="836"/>
      <c r="C36" s="836"/>
      <c r="D36" s="1207" t="s">
        <v>284</v>
      </c>
      <c r="E36" s="1209">
        <v>0</v>
      </c>
      <c r="F36" s="1209">
        <v>10.37</v>
      </c>
      <c r="G36" s="1218">
        <v>27.41</v>
      </c>
      <c r="H36" s="1209">
        <v>0</v>
      </c>
      <c r="I36" s="1209">
        <v>8.15</v>
      </c>
      <c r="J36" s="1218">
        <v>44.44</v>
      </c>
      <c r="K36" s="1209">
        <v>5.19</v>
      </c>
      <c r="L36" s="1209">
        <v>11.85</v>
      </c>
      <c r="M36" s="1218">
        <v>35.56</v>
      </c>
      <c r="N36" s="955"/>
      <c r="O36" s="955"/>
    </row>
    <row r="37" spans="1:15" s="88" customFormat="1" ht="11.25" customHeight="1" x14ac:dyDescent="0.2">
      <c r="A37" s="1197"/>
      <c r="B37" s="836"/>
      <c r="C37" s="836"/>
      <c r="D37" s="3565" t="s">
        <v>103</v>
      </c>
      <c r="E37" s="3567">
        <v>6.25</v>
      </c>
      <c r="F37" s="3569">
        <v>21.19</v>
      </c>
      <c r="G37" s="3570">
        <v>49.67</v>
      </c>
      <c r="H37" s="3569">
        <v>1.02</v>
      </c>
      <c r="I37" s="3569">
        <v>10.199999999999999</v>
      </c>
      <c r="J37" s="3570">
        <v>39.26</v>
      </c>
      <c r="K37" s="3569">
        <v>1.24</v>
      </c>
      <c r="L37" s="3569">
        <v>5.54</v>
      </c>
      <c r="M37" s="3570">
        <v>19.45</v>
      </c>
      <c r="N37" s="955"/>
      <c r="O37" s="955"/>
    </row>
    <row r="38" spans="1:15" s="88" customFormat="1" ht="11.25" customHeight="1" x14ac:dyDescent="0.2">
      <c r="A38" s="1197"/>
      <c r="B38" s="836"/>
      <c r="C38" s="836"/>
      <c r="D38" s="87"/>
      <c r="E38" s="1200"/>
      <c r="F38" s="1201"/>
      <c r="G38" s="1201"/>
      <c r="H38" s="1201"/>
      <c r="I38" s="1201"/>
      <c r="J38" s="1201"/>
      <c r="K38" s="1201"/>
      <c r="L38" s="1201"/>
      <c r="M38" s="1201"/>
      <c r="N38" s="955"/>
      <c r="O38" s="955"/>
    </row>
    <row r="39" spans="1:15" s="88" customFormat="1" ht="14.25" customHeight="1" x14ac:dyDescent="0.2">
      <c r="A39" s="1197"/>
      <c r="B39" s="836"/>
      <c r="C39" s="1198">
        <v>4</v>
      </c>
      <c r="D39" s="1215">
        <v>1999</v>
      </c>
      <c r="E39" s="312"/>
      <c r="F39" s="1214"/>
      <c r="G39" s="1214"/>
      <c r="H39" s="1214"/>
      <c r="I39" s="413"/>
      <c r="J39" s="1214"/>
      <c r="K39" s="1214"/>
      <c r="L39" s="1214"/>
      <c r="M39" s="1214"/>
      <c r="O39" s="955"/>
    </row>
    <row r="40" spans="1:15" s="88" customFormat="1" ht="14.25" customHeight="1" x14ac:dyDescent="0.2">
      <c r="A40" s="1197"/>
      <c r="B40" s="836"/>
      <c r="C40" s="1198"/>
      <c r="D40" s="1202"/>
      <c r="E40" s="1216" t="s">
        <v>1114</v>
      </c>
      <c r="F40" s="1216" t="s">
        <v>1115</v>
      </c>
      <c r="G40" s="1217" t="s">
        <v>1116</v>
      </c>
      <c r="H40" s="1216" t="s">
        <v>1117</v>
      </c>
      <c r="I40" s="1216" t="s">
        <v>1118</v>
      </c>
      <c r="J40" s="1217" t="s">
        <v>1119</v>
      </c>
      <c r="K40" s="1216" t="s">
        <v>1120</v>
      </c>
      <c r="L40" s="1216" t="s">
        <v>1121</v>
      </c>
      <c r="M40" s="1216" t="s">
        <v>1122</v>
      </c>
      <c r="O40" s="955"/>
    </row>
    <row r="41" spans="1:15" s="88" customFormat="1" ht="11.25" customHeight="1" x14ac:dyDescent="0.2">
      <c r="A41" s="1197"/>
      <c r="B41" s="836"/>
      <c r="C41" s="1198"/>
      <c r="D41" s="1207" t="s">
        <v>276</v>
      </c>
      <c r="E41" s="1209">
        <v>7.03</v>
      </c>
      <c r="F41" s="1209">
        <v>21.88</v>
      </c>
      <c r="G41" s="1218">
        <v>48.44</v>
      </c>
      <c r="H41" s="1209">
        <v>1.56</v>
      </c>
      <c r="I41" s="1209">
        <v>7.03</v>
      </c>
      <c r="J41" s="1218">
        <v>29.3</v>
      </c>
      <c r="K41" s="1209">
        <v>0.39</v>
      </c>
      <c r="L41" s="1209">
        <v>2.73</v>
      </c>
      <c r="M41" s="1218">
        <v>9.77</v>
      </c>
      <c r="O41" s="955"/>
    </row>
    <row r="42" spans="1:15" s="88" customFormat="1" ht="11.25" customHeight="1" x14ac:dyDescent="0.2">
      <c r="A42" s="1197"/>
      <c r="B42" s="836"/>
      <c r="C42" s="1198"/>
      <c r="D42" s="1207" t="s">
        <v>277</v>
      </c>
      <c r="E42" s="1209">
        <v>13.51</v>
      </c>
      <c r="F42" s="1209">
        <v>35.81</v>
      </c>
      <c r="G42" s="1218">
        <v>66.22</v>
      </c>
      <c r="H42" s="1209">
        <v>1.35</v>
      </c>
      <c r="I42" s="1209">
        <v>16.89</v>
      </c>
      <c r="J42" s="1218">
        <v>53.38</v>
      </c>
      <c r="K42" s="1209">
        <v>2.0299999999999998</v>
      </c>
      <c r="L42" s="1209">
        <v>2.7</v>
      </c>
      <c r="M42" s="1218">
        <v>17.57</v>
      </c>
      <c r="O42" s="955"/>
    </row>
    <row r="43" spans="1:15" s="88" customFormat="1" ht="11.25" customHeight="1" x14ac:dyDescent="0.2">
      <c r="A43" s="1197"/>
      <c r="B43" s="836"/>
      <c r="C43" s="1198"/>
      <c r="D43" s="1207" t="s">
        <v>278</v>
      </c>
      <c r="E43" s="1209">
        <v>6.92</v>
      </c>
      <c r="F43" s="1209">
        <v>23.58</v>
      </c>
      <c r="G43" s="1218">
        <v>50.31</v>
      </c>
      <c r="H43" s="1209">
        <v>0.63</v>
      </c>
      <c r="I43" s="1209">
        <v>10.06</v>
      </c>
      <c r="J43" s="1218">
        <v>33.65</v>
      </c>
      <c r="K43" s="1209">
        <v>0</v>
      </c>
      <c r="L43" s="1209">
        <v>1.26</v>
      </c>
      <c r="M43" s="1218">
        <v>14.78</v>
      </c>
      <c r="O43" s="955"/>
    </row>
    <row r="44" spans="1:15" s="88" customFormat="1" ht="11.25" customHeight="1" x14ac:dyDescent="0.2">
      <c r="A44" s="1197"/>
      <c r="B44" s="836"/>
      <c r="C44" s="1198"/>
      <c r="D44" s="1207" t="s">
        <v>641</v>
      </c>
      <c r="E44" s="1209">
        <v>6.21</v>
      </c>
      <c r="F44" s="1209">
        <v>23.6</v>
      </c>
      <c r="G44" s="1218">
        <v>52.8</v>
      </c>
      <c r="H44" s="1209">
        <v>0.93</v>
      </c>
      <c r="I44" s="1209">
        <v>7.45</v>
      </c>
      <c r="J44" s="1218">
        <v>31.99</v>
      </c>
      <c r="K44" s="1209">
        <v>0.62</v>
      </c>
      <c r="L44" s="1209">
        <v>2.48</v>
      </c>
      <c r="M44" s="1218">
        <v>12.42</v>
      </c>
      <c r="O44" s="955"/>
    </row>
    <row r="45" spans="1:15" s="88" customFormat="1" ht="11.25" customHeight="1" x14ac:dyDescent="0.2">
      <c r="A45" s="1197"/>
      <c r="B45" s="836"/>
      <c r="C45" s="1198"/>
      <c r="D45" s="1207" t="s">
        <v>280</v>
      </c>
      <c r="E45" s="1209">
        <v>6.47</v>
      </c>
      <c r="F45" s="1209">
        <v>24.14</v>
      </c>
      <c r="G45" s="1218">
        <v>55.17</v>
      </c>
      <c r="H45" s="1209">
        <v>1.72</v>
      </c>
      <c r="I45" s="1209">
        <v>15.09</v>
      </c>
      <c r="J45" s="1218">
        <v>50</v>
      </c>
      <c r="K45" s="1209">
        <v>1.72</v>
      </c>
      <c r="L45" s="1209">
        <v>8.6199999999999992</v>
      </c>
      <c r="M45" s="1218">
        <v>30.6</v>
      </c>
      <c r="O45" s="955"/>
    </row>
    <row r="46" spans="1:15" s="88" customFormat="1" ht="11.25" customHeight="1" x14ac:dyDescent="0.2">
      <c r="A46" s="1197"/>
      <c r="B46" s="836"/>
      <c r="C46" s="1198"/>
      <c r="D46" s="1207" t="s">
        <v>281</v>
      </c>
      <c r="E46" s="1209">
        <v>8.74</v>
      </c>
      <c r="F46" s="1209">
        <v>25.24</v>
      </c>
      <c r="G46" s="1218">
        <v>58.25</v>
      </c>
      <c r="H46" s="1209">
        <v>2.91</v>
      </c>
      <c r="I46" s="1209">
        <v>5.83</v>
      </c>
      <c r="J46" s="1218">
        <v>29.13</v>
      </c>
      <c r="K46" s="1209">
        <v>0</v>
      </c>
      <c r="L46" s="1209">
        <v>0.97</v>
      </c>
      <c r="M46" s="1218">
        <v>10.68</v>
      </c>
      <c r="O46" s="955"/>
    </row>
    <row r="47" spans="1:15" s="88" customFormat="1" ht="11.25" customHeight="1" x14ac:dyDescent="0.2">
      <c r="A47" s="1197"/>
      <c r="B47" s="836"/>
      <c r="C47" s="1198"/>
      <c r="D47" s="1207" t="s">
        <v>282</v>
      </c>
      <c r="E47" s="1209">
        <v>6.94</v>
      </c>
      <c r="F47" s="1209">
        <v>26.01</v>
      </c>
      <c r="G47" s="1218">
        <v>57.8</v>
      </c>
      <c r="H47" s="1209">
        <v>2.31</v>
      </c>
      <c r="I47" s="1209">
        <v>16.760000000000002</v>
      </c>
      <c r="J47" s="1218">
        <v>56.07</v>
      </c>
      <c r="K47" s="1209">
        <v>1.1599999999999999</v>
      </c>
      <c r="L47" s="1209">
        <v>6.36</v>
      </c>
      <c r="M47" s="1218">
        <v>27.17</v>
      </c>
      <c r="O47" s="955"/>
    </row>
    <row r="48" spans="1:15" s="88" customFormat="1" ht="11.25" customHeight="1" x14ac:dyDescent="0.2">
      <c r="A48" s="1197"/>
      <c r="B48" s="836"/>
      <c r="C48" s="1198"/>
      <c r="D48" s="1207" t="s">
        <v>283</v>
      </c>
      <c r="E48" s="1209">
        <v>13.08</v>
      </c>
      <c r="F48" s="1209">
        <v>30.84</v>
      </c>
      <c r="G48" s="1218">
        <v>55.14</v>
      </c>
      <c r="H48" s="1209">
        <v>8.41</v>
      </c>
      <c r="I48" s="1209">
        <v>25.23</v>
      </c>
      <c r="J48" s="1218">
        <v>57.01</v>
      </c>
      <c r="K48" s="1209">
        <v>2.8</v>
      </c>
      <c r="L48" s="1209">
        <v>9.35</v>
      </c>
      <c r="M48" s="1218">
        <v>37.380000000000003</v>
      </c>
      <c r="O48" s="955"/>
    </row>
    <row r="49" spans="1:15" s="88" customFormat="1" ht="11.25" customHeight="1" x14ac:dyDescent="0.2">
      <c r="A49" s="1197"/>
      <c r="B49" s="836"/>
      <c r="C49" s="1198"/>
      <c r="D49" s="1207" t="s">
        <v>284</v>
      </c>
      <c r="E49" s="1209">
        <v>2.69</v>
      </c>
      <c r="F49" s="1209">
        <v>14.35</v>
      </c>
      <c r="G49" s="1218">
        <v>34.979999999999997</v>
      </c>
      <c r="H49" s="1209">
        <v>0.9</v>
      </c>
      <c r="I49" s="1209">
        <v>8.07</v>
      </c>
      <c r="J49" s="1218">
        <v>33.630000000000003</v>
      </c>
      <c r="K49" s="1209">
        <v>0</v>
      </c>
      <c r="L49" s="1209">
        <v>0.9</v>
      </c>
      <c r="M49" s="1218">
        <v>17.940000000000001</v>
      </c>
      <c r="O49" s="955"/>
    </row>
    <row r="50" spans="1:15" s="88" customFormat="1" ht="11.25" customHeight="1" x14ac:dyDescent="0.2">
      <c r="A50" s="1197"/>
      <c r="B50" s="836"/>
      <c r="C50" s="1198"/>
      <c r="D50" s="3565" t="s">
        <v>103</v>
      </c>
      <c r="E50" s="3571">
        <v>7.23</v>
      </c>
      <c r="F50" s="3571">
        <v>24.02</v>
      </c>
      <c r="G50" s="3572">
        <v>51.91</v>
      </c>
      <c r="H50" s="3571">
        <v>1.75</v>
      </c>
      <c r="I50" s="3571">
        <v>11.37</v>
      </c>
      <c r="J50" s="3572">
        <v>39.479999999999997</v>
      </c>
      <c r="K50" s="3571">
        <v>0.8</v>
      </c>
      <c r="L50" s="3571">
        <v>3.56</v>
      </c>
      <c r="M50" s="3572">
        <v>18.440000000000001</v>
      </c>
      <c r="N50" s="955"/>
      <c r="O50" s="955"/>
    </row>
    <row r="51" spans="1:15" s="88" customFormat="1" ht="11.25" customHeight="1" x14ac:dyDescent="0.2">
      <c r="A51" s="1197"/>
      <c r="B51" s="836"/>
      <c r="C51" s="1198"/>
      <c r="D51" s="87"/>
      <c r="E51" s="1219"/>
      <c r="F51" s="1219"/>
      <c r="G51" s="1219"/>
      <c r="H51" s="955"/>
      <c r="I51" s="955"/>
      <c r="J51" s="955"/>
      <c r="K51" s="955"/>
      <c r="L51" s="955"/>
      <c r="M51" s="955"/>
      <c r="N51" s="955"/>
      <c r="O51" s="955"/>
    </row>
    <row r="52" spans="1:15" s="88" customFormat="1" ht="14.25" customHeight="1" x14ac:dyDescent="0.2">
      <c r="A52" s="1197"/>
      <c r="B52" s="836"/>
      <c r="C52" s="1198">
        <v>5</v>
      </c>
      <c r="D52" s="1215">
        <v>1994</v>
      </c>
      <c r="E52" s="312"/>
      <c r="F52" s="1214"/>
      <c r="G52" s="1214"/>
      <c r="H52" s="1214"/>
      <c r="I52" s="413"/>
      <c r="J52" s="1214"/>
      <c r="K52" s="1214"/>
      <c r="L52" s="1214"/>
      <c r="M52" s="1214"/>
      <c r="O52" s="955"/>
    </row>
    <row r="53" spans="1:15" s="88" customFormat="1" ht="14.25" customHeight="1" x14ac:dyDescent="0.2">
      <c r="A53" s="1197"/>
      <c r="B53" s="836"/>
      <c r="C53" s="1198"/>
      <c r="D53" s="1202"/>
      <c r="E53" s="1216" t="s">
        <v>1114</v>
      </c>
      <c r="F53" s="1216" t="s">
        <v>1115</v>
      </c>
      <c r="G53" s="1217" t="s">
        <v>1116</v>
      </c>
      <c r="H53" s="1216" t="s">
        <v>1117</v>
      </c>
      <c r="I53" s="1216" t="s">
        <v>1118</v>
      </c>
      <c r="J53" s="1217" t="s">
        <v>1119</v>
      </c>
      <c r="K53" s="1216" t="s">
        <v>1120</v>
      </c>
      <c r="L53" s="1216" t="s">
        <v>1121</v>
      </c>
      <c r="M53" s="1217" t="s">
        <v>1122</v>
      </c>
      <c r="O53" s="955"/>
    </row>
    <row r="54" spans="1:15" s="88" customFormat="1" ht="11.25" customHeight="1" x14ac:dyDescent="0.2">
      <c r="A54" s="1197"/>
      <c r="B54" s="836"/>
      <c r="C54" s="1198"/>
      <c r="D54" s="1207" t="s">
        <v>276</v>
      </c>
      <c r="E54" s="3679">
        <v>8.4</v>
      </c>
      <c r="F54" s="3679">
        <v>28.8</v>
      </c>
      <c r="G54" s="3573" t="s">
        <v>1123</v>
      </c>
      <c r="H54" s="3679">
        <v>2.2000000000000002</v>
      </c>
      <c r="I54" s="3679">
        <v>11.4</v>
      </c>
      <c r="J54" s="3573" t="s">
        <v>1123</v>
      </c>
      <c r="K54" s="3679">
        <v>0.6</v>
      </c>
      <c r="L54" s="3679">
        <v>3.2</v>
      </c>
      <c r="M54" s="3573" t="s">
        <v>1123</v>
      </c>
      <c r="O54" s="955"/>
    </row>
    <row r="55" spans="1:15" s="88" customFormat="1" ht="11.25" customHeight="1" x14ac:dyDescent="0.2">
      <c r="A55" s="1197"/>
      <c r="B55" s="836"/>
      <c r="C55" s="1198"/>
      <c r="D55" s="1207" t="s">
        <v>277</v>
      </c>
      <c r="E55" s="1219">
        <v>8.6</v>
      </c>
      <c r="F55" s="1219">
        <v>28.7</v>
      </c>
      <c r="G55" s="1220" t="s">
        <v>1123</v>
      </c>
      <c r="H55" s="1219">
        <v>2.4</v>
      </c>
      <c r="I55" s="1219">
        <v>13.6</v>
      </c>
      <c r="J55" s="1220" t="s">
        <v>1123</v>
      </c>
      <c r="K55" s="1219">
        <v>0.8</v>
      </c>
      <c r="L55" s="1219">
        <v>4.5</v>
      </c>
      <c r="M55" s="1220" t="s">
        <v>1123</v>
      </c>
      <c r="O55" s="955"/>
    </row>
    <row r="56" spans="1:15" s="88" customFormat="1" ht="11.25" customHeight="1" x14ac:dyDescent="0.2">
      <c r="A56" s="1197"/>
      <c r="B56" s="836"/>
      <c r="C56" s="1198"/>
      <c r="D56" s="1207" t="s">
        <v>278</v>
      </c>
      <c r="E56" s="1219">
        <v>2.2000000000000002</v>
      </c>
      <c r="F56" s="1219">
        <v>11.5</v>
      </c>
      <c r="G56" s="1220" t="s">
        <v>1123</v>
      </c>
      <c r="H56" s="1219">
        <v>0.6</v>
      </c>
      <c r="I56" s="1219">
        <v>5.6</v>
      </c>
      <c r="J56" s="1220" t="s">
        <v>1123</v>
      </c>
      <c r="K56" s="1219">
        <v>0</v>
      </c>
      <c r="L56" s="1219">
        <v>1.2</v>
      </c>
      <c r="M56" s="1220" t="s">
        <v>1123</v>
      </c>
      <c r="O56" s="955"/>
    </row>
    <row r="57" spans="1:15" s="88" customFormat="1" ht="11.25" customHeight="1" x14ac:dyDescent="0.2">
      <c r="A57" s="1197"/>
      <c r="B57" s="836"/>
      <c r="C57" s="1198"/>
      <c r="D57" s="1207" t="s">
        <v>641</v>
      </c>
      <c r="E57" s="1219">
        <v>3.5</v>
      </c>
      <c r="F57" s="1219">
        <v>14.6</v>
      </c>
      <c r="G57" s="1220" t="s">
        <v>1123</v>
      </c>
      <c r="H57" s="1219">
        <v>0.2</v>
      </c>
      <c r="I57" s="1219">
        <v>4.2</v>
      </c>
      <c r="J57" s="1220" t="s">
        <v>1123</v>
      </c>
      <c r="K57" s="1219">
        <v>0.1</v>
      </c>
      <c r="L57" s="1219">
        <v>0.7</v>
      </c>
      <c r="M57" s="1220" t="s">
        <v>1123</v>
      </c>
      <c r="O57" s="955"/>
    </row>
    <row r="58" spans="1:15" s="88" customFormat="1" ht="11.25" customHeight="1" x14ac:dyDescent="0.2">
      <c r="A58" s="1197"/>
      <c r="B58" s="836"/>
      <c r="C58" s="1198"/>
      <c r="D58" s="1207" t="s">
        <v>280</v>
      </c>
      <c r="E58" s="1219">
        <v>12.6</v>
      </c>
      <c r="F58" s="1219">
        <v>34.200000000000003</v>
      </c>
      <c r="G58" s="1220" t="s">
        <v>1123</v>
      </c>
      <c r="H58" s="1219">
        <v>2.6</v>
      </c>
      <c r="I58" s="1219">
        <v>12.6</v>
      </c>
      <c r="J58" s="1220" t="s">
        <v>1123</v>
      </c>
      <c r="K58" s="1219">
        <v>0.5</v>
      </c>
      <c r="L58" s="1219">
        <v>3.8</v>
      </c>
      <c r="M58" s="1220" t="s">
        <v>1123</v>
      </c>
      <c r="O58" s="955"/>
    </row>
    <row r="59" spans="1:15" s="88" customFormat="1" ht="11.25" customHeight="1" x14ac:dyDescent="0.2">
      <c r="A59" s="1197"/>
      <c r="B59" s="836"/>
      <c r="C59" s="1198"/>
      <c r="D59" s="1207" t="s">
        <v>281</v>
      </c>
      <c r="E59" s="1219">
        <v>6</v>
      </c>
      <c r="F59" s="1219">
        <v>20.399999999999999</v>
      </c>
      <c r="G59" s="1220" t="s">
        <v>1123</v>
      </c>
      <c r="H59" s="1219">
        <v>1</v>
      </c>
      <c r="I59" s="1219">
        <v>7.3</v>
      </c>
      <c r="J59" s="1220" t="s">
        <v>1123</v>
      </c>
      <c r="K59" s="1219">
        <v>0.4</v>
      </c>
      <c r="L59" s="1219">
        <v>1.7</v>
      </c>
      <c r="M59" s="1220" t="s">
        <v>1123</v>
      </c>
      <c r="O59" s="955"/>
    </row>
    <row r="60" spans="1:15" s="88" customFormat="1" ht="11.25" customHeight="1" x14ac:dyDescent="0.2">
      <c r="A60" s="1197"/>
      <c r="B60" s="836"/>
      <c r="C60" s="1198"/>
      <c r="D60" s="1207" t="s">
        <v>282</v>
      </c>
      <c r="E60" s="1219">
        <v>7.1</v>
      </c>
      <c r="F60" s="1219">
        <v>24.7</v>
      </c>
      <c r="G60" s="1220" t="s">
        <v>1123</v>
      </c>
      <c r="H60" s="1219">
        <v>1.6</v>
      </c>
      <c r="I60" s="1219">
        <v>13.2</v>
      </c>
      <c r="J60" s="1220" t="s">
        <v>1123</v>
      </c>
      <c r="K60" s="1219">
        <v>0.6</v>
      </c>
      <c r="L60" s="1219">
        <v>4.5</v>
      </c>
      <c r="M60" s="1220" t="s">
        <v>1123</v>
      </c>
      <c r="O60" s="955"/>
    </row>
    <row r="61" spans="1:15" s="88" customFormat="1" ht="11.25" customHeight="1" x14ac:dyDescent="0.2">
      <c r="A61" s="1197"/>
      <c r="B61" s="836"/>
      <c r="C61" s="1198"/>
      <c r="D61" s="1207" t="s">
        <v>283</v>
      </c>
      <c r="E61" s="1219">
        <v>5.9</v>
      </c>
      <c r="F61" s="1219">
        <v>22.8</v>
      </c>
      <c r="G61" s="1220" t="s">
        <v>1123</v>
      </c>
      <c r="H61" s="1219">
        <v>1.1000000000000001</v>
      </c>
      <c r="I61" s="1219">
        <v>15.6</v>
      </c>
      <c r="J61" s="1220" t="s">
        <v>1123</v>
      </c>
      <c r="K61" s="1219">
        <v>0.1</v>
      </c>
      <c r="L61" s="1219">
        <v>2.5</v>
      </c>
      <c r="M61" s="1220" t="s">
        <v>1123</v>
      </c>
      <c r="O61" s="955"/>
    </row>
    <row r="62" spans="1:15" s="88" customFormat="1" ht="11.25" customHeight="1" x14ac:dyDescent="0.2">
      <c r="A62" s="1197"/>
      <c r="B62" s="836"/>
      <c r="C62" s="1198"/>
      <c r="D62" s="1207" t="s">
        <v>284</v>
      </c>
      <c r="E62" s="1219">
        <v>2.2999999999999998</v>
      </c>
      <c r="F62" s="1219">
        <v>11.6</v>
      </c>
      <c r="G62" s="1220" t="s">
        <v>1123</v>
      </c>
      <c r="H62" s="1219">
        <v>0.7</v>
      </c>
      <c r="I62" s="1219">
        <v>7</v>
      </c>
      <c r="J62" s="1220" t="s">
        <v>1123</v>
      </c>
      <c r="K62" s="1219">
        <v>0</v>
      </c>
      <c r="L62" s="1219">
        <v>1.3</v>
      </c>
      <c r="M62" s="1220" t="s">
        <v>1123</v>
      </c>
      <c r="O62" s="955"/>
    </row>
    <row r="63" spans="1:15" s="88" customFormat="1" ht="11.25" customHeight="1" x14ac:dyDescent="0.2">
      <c r="A63" s="1197"/>
      <c r="B63" s="836"/>
      <c r="C63" s="1198"/>
      <c r="D63" s="3565" t="s">
        <v>103</v>
      </c>
      <c r="E63" s="3571">
        <v>6.6</v>
      </c>
      <c r="F63" s="3571">
        <v>22.9</v>
      </c>
      <c r="G63" s="3572" t="s">
        <v>1123</v>
      </c>
      <c r="H63" s="3571">
        <v>1.4</v>
      </c>
      <c r="I63" s="3571">
        <v>9.3000000000000007</v>
      </c>
      <c r="J63" s="3572" t="s">
        <v>1123</v>
      </c>
      <c r="K63" s="3571">
        <v>0.4</v>
      </c>
      <c r="L63" s="3571">
        <v>2.6</v>
      </c>
      <c r="M63" s="3572" t="s">
        <v>1123</v>
      </c>
      <c r="O63" s="955"/>
    </row>
    <row r="64" spans="1:15" s="88" customFormat="1" ht="14.25" customHeight="1" x14ac:dyDescent="0.2">
      <c r="A64" s="1197"/>
      <c r="B64" s="836"/>
      <c r="C64" s="1198"/>
      <c r="D64" s="508"/>
      <c r="E64" s="1221"/>
      <c r="F64" s="1214"/>
      <c r="G64" s="1214"/>
      <c r="H64" s="1214"/>
      <c r="I64" s="1214"/>
      <c r="J64" s="1214"/>
      <c r="K64" s="1214"/>
      <c r="L64" s="1214"/>
      <c r="M64" s="1214"/>
      <c r="N64" s="1222"/>
      <c r="O64" s="955"/>
    </row>
    <row r="65" spans="1:15" s="88" customFormat="1" ht="11.25" x14ac:dyDescent="0.2">
      <c r="A65" s="1197"/>
      <c r="B65" s="836"/>
      <c r="C65" s="836"/>
      <c r="D65" s="87"/>
      <c r="E65" s="1200"/>
      <c r="F65" s="1201"/>
      <c r="G65" s="1201"/>
      <c r="H65" s="1201"/>
      <c r="I65" s="1201"/>
      <c r="J65" s="1201"/>
      <c r="K65" s="1201"/>
      <c r="L65" s="1201"/>
      <c r="M65" s="1201"/>
      <c r="N65" s="955"/>
      <c r="O65" s="955"/>
    </row>
    <row r="66" spans="1:15" s="88" customFormat="1" ht="11.25" x14ac:dyDescent="0.2">
      <c r="A66" s="1197"/>
      <c r="B66" s="836"/>
      <c r="C66" s="836"/>
      <c r="D66" s="87"/>
      <c r="E66" s="1200"/>
      <c r="F66" s="1201"/>
      <c r="G66" s="1201"/>
      <c r="H66" s="1201"/>
      <c r="I66" s="1201"/>
      <c r="J66" s="1201"/>
      <c r="K66" s="1201"/>
      <c r="L66" s="1201"/>
      <c r="M66" s="1201"/>
      <c r="N66" s="955"/>
      <c r="O66" s="955"/>
    </row>
    <row r="67" spans="1:15" s="88" customFormat="1" ht="11.25" x14ac:dyDescent="0.2">
      <c r="A67" s="1197"/>
      <c r="B67" s="836"/>
      <c r="C67" s="836"/>
      <c r="D67" s="87"/>
      <c r="E67" s="1200"/>
      <c r="F67" s="1201"/>
      <c r="G67" s="1201"/>
      <c r="H67" s="1201"/>
      <c r="I67" s="1201"/>
      <c r="J67" s="1201"/>
      <c r="K67" s="1201"/>
      <c r="L67" s="1201"/>
      <c r="M67" s="1201"/>
      <c r="N67" s="955"/>
      <c r="O67" s="955"/>
    </row>
    <row r="68" spans="1:15" ht="14.25" x14ac:dyDescent="0.2">
      <c r="A68" s="509">
        <v>6</v>
      </c>
      <c r="B68" s="509" t="s">
        <v>51</v>
      </c>
      <c r="C68" s="509"/>
    </row>
    <row r="85" spans="1:24" ht="15" customHeight="1" x14ac:dyDescent="0.2">
      <c r="A85" s="509">
        <v>7</v>
      </c>
      <c r="B85" s="509" t="s">
        <v>52</v>
      </c>
      <c r="C85" s="509"/>
      <c r="D85" s="4603" t="s">
        <v>642</v>
      </c>
      <c r="E85" s="4604"/>
      <c r="F85" s="4604"/>
      <c r="G85" s="4604"/>
      <c r="H85" s="4604"/>
      <c r="I85" s="4604"/>
      <c r="J85" s="4604"/>
      <c r="K85" s="4604"/>
      <c r="L85" s="4604"/>
      <c r="M85" s="4604"/>
      <c r="N85" s="4604"/>
      <c r="O85" s="4604"/>
      <c r="P85" s="4604"/>
      <c r="Q85" s="4604"/>
      <c r="R85" s="4604"/>
      <c r="S85" s="4604"/>
      <c r="T85" s="4604"/>
      <c r="U85" s="4604"/>
      <c r="V85" s="4604"/>
      <c r="W85" s="4604"/>
      <c r="X85" s="4605"/>
    </row>
    <row r="86" spans="1:24" ht="20.100000000000001" customHeight="1" x14ac:dyDescent="0.2">
      <c r="A86" s="546">
        <v>8</v>
      </c>
      <c r="B86" s="546" t="s">
        <v>54</v>
      </c>
      <c r="C86" s="546"/>
      <c r="D86" s="4603" t="s">
        <v>1124</v>
      </c>
      <c r="E86" s="4604"/>
      <c r="F86" s="4604"/>
      <c r="G86" s="4604"/>
      <c r="H86" s="4604"/>
      <c r="I86" s="4604"/>
      <c r="J86" s="4604"/>
      <c r="K86" s="4604"/>
      <c r="L86" s="4604"/>
      <c r="M86" s="4604"/>
      <c r="N86" s="4604"/>
      <c r="O86" s="4604"/>
      <c r="P86" s="4604"/>
      <c r="Q86" s="4604"/>
      <c r="R86" s="4604"/>
      <c r="S86" s="4604"/>
      <c r="T86" s="4604"/>
      <c r="U86" s="4604"/>
      <c r="V86" s="4604"/>
      <c r="W86" s="4604"/>
      <c r="X86" s="4605"/>
    </row>
    <row r="87" spans="1:24" ht="34.5" customHeight="1" x14ac:dyDescent="0.2">
      <c r="A87" s="509">
        <v>9</v>
      </c>
      <c r="B87" s="509" t="s">
        <v>56</v>
      </c>
      <c r="C87" s="509"/>
      <c r="D87" s="4603" t="s">
        <v>1125</v>
      </c>
      <c r="E87" s="4604"/>
      <c r="F87" s="4604"/>
      <c r="G87" s="4604"/>
      <c r="H87" s="4604"/>
      <c r="I87" s="4604"/>
      <c r="J87" s="4604"/>
      <c r="K87" s="4604"/>
      <c r="L87" s="4604"/>
      <c r="M87" s="4604"/>
      <c r="N87" s="4604"/>
      <c r="O87" s="4604"/>
      <c r="P87" s="4604"/>
      <c r="Q87" s="4604"/>
      <c r="R87" s="4604"/>
      <c r="S87" s="4604"/>
      <c r="T87" s="4604"/>
      <c r="U87" s="4604"/>
      <c r="V87" s="4604"/>
      <c r="W87" s="4604"/>
      <c r="X87" s="4605"/>
    </row>
    <row r="89" spans="1:24" ht="99.75" customHeight="1" x14ac:dyDescent="0.2">
      <c r="A89" s="4848" t="s">
        <v>1126</v>
      </c>
      <c r="B89" s="4848"/>
      <c r="C89" s="4848"/>
      <c r="D89" s="4848"/>
      <c r="E89" s="4848"/>
      <c r="F89" s="4848"/>
      <c r="G89" s="4848"/>
      <c r="H89" s="4848"/>
      <c r="I89" s="4848"/>
      <c r="J89" s="4848"/>
      <c r="K89" s="4848"/>
      <c r="L89" s="4848"/>
      <c r="M89" s="4848"/>
      <c r="N89" s="4848"/>
      <c r="O89" s="4848"/>
      <c r="P89" s="4848"/>
      <c r="Q89" s="4848"/>
    </row>
    <row r="130" spans="4:24" x14ac:dyDescent="0.2">
      <c r="D130" s="2186"/>
      <c r="E130" s="2567"/>
      <c r="F130" s="2567"/>
      <c r="G130" s="1193">
        <v>2001</v>
      </c>
      <c r="H130" s="1193">
        <v>2002</v>
      </c>
      <c r="I130" s="1193">
        <v>2003</v>
      </c>
      <c r="J130" s="1193">
        <v>2004</v>
      </c>
      <c r="K130" s="1193">
        <v>2005</v>
      </c>
      <c r="L130" s="1193">
        <v>2006</v>
      </c>
      <c r="M130" s="1193">
        <v>2007</v>
      </c>
      <c r="N130" s="1193">
        <v>2008</v>
      </c>
      <c r="O130" s="1193">
        <v>2009</v>
      </c>
      <c r="P130" s="1193">
        <v>2010</v>
      </c>
      <c r="Q130" s="1193">
        <v>2011</v>
      </c>
      <c r="R130" s="1193">
        <v>2012</v>
      </c>
      <c r="S130" s="1193">
        <v>2013</v>
      </c>
      <c r="T130" s="1193">
        <v>2014</v>
      </c>
      <c r="U130" s="1194">
        <v>2015</v>
      </c>
      <c r="V130" s="1195">
        <v>2016</v>
      </c>
      <c r="W130" s="1196">
        <v>2017</v>
      </c>
      <c r="X130" s="1196">
        <v>2018</v>
      </c>
    </row>
    <row r="131" spans="4:24" x14ac:dyDescent="0.2">
      <c r="D131" s="621"/>
      <c r="E131" s="1199"/>
      <c r="F131" s="1199" t="s">
        <v>1083</v>
      </c>
      <c r="G131" s="1223" t="s">
        <v>1084</v>
      </c>
      <c r="H131" s="1223" t="s">
        <v>1085</v>
      </c>
      <c r="I131" s="1223" t="s">
        <v>1086</v>
      </c>
      <c r="J131" s="1223" t="s">
        <v>1087</v>
      </c>
      <c r="K131" s="1223" t="s">
        <v>1088</v>
      </c>
      <c r="L131" s="1223" t="s">
        <v>1089</v>
      </c>
      <c r="M131" s="1223" t="s">
        <v>1090</v>
      </c>
      <c r="N131" s="1223" t="s">
        <v>1091</v>
      </c>
      <c r="O131" s="1223" t="s">
        <v>1092</v>
      </c>
      <c r="P131" s="1223" t="s">
        <v>1093</v>
      </c>
      <c r="Q131" s="1223" t="s">
        <v>1094</v>
      </c>
      <c r="R131" s="1223" t="s">
        <v>1095</v>
      </c>
      <c r="S131" s="1223" t="s">
        <v>1096</v>
      </c>
      <c r="T131" s="1223" t="s">
        <v>1097</v>
      </c>
      <c r="U131" s="1224" t="s">
        <v>1098</v>
      </c>
      <c r="V131" s="1225" t="s">
        <v>1099</v>
      </c>
      <c r="W131" s="1224" t="s">
        <v>1100</v>
      </c>
      <c r="X131" s="1224" t="s">
        <v>1101</v>
      </c>
    </row>
  </sheetData>
  <mergeCells count="10">
    <mergeCell ref="D85:X85"/>
    <mergeCell ref="D86:X86"/>
    <mergeCell ref="D87:X87"/>
    <mergeCell ref="A89:Q89"/>
    <mergeCell ref="D2:X2"/>
    <mergeCell ref="D3:X3"/>
    <mergeCell ref="D4:X4"/>
    <mergeCell ref="D5:X5"/>
    <mergeCell ref="F12:G12"/>
    <mergeCell ref="J12:O12"/>
  </mergeCells>
  <pageMargins left="0.74803149606299202" right="0.74803149606299202" top="0.98425196850393704" bottom="0.98425196850393704" header="0.511811023622047" footer="0.511811023622047"/>
  <pageSetup paperSize="9" scale="40"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1FACB-2B46-4855-81BB-CA88215BE31F}">
  <sheetPr>
    <tabColor theme="9"/>
    <pageSetUpPr fitToPage="1"/>
  </sheetPr>
  <dimension ref="A1:AC42"/>
  <sheetViews>
    <sheetView showGridLines="0" view="pageBreakPreview" zoomScaleNormal="100" zoomScaleSheetLayoutView="100" workbookViewId="0">
      <selection activeCell="Z32" sqref="Z32"/>
    </sheetView>
  </sheetViews>
  <sheetFormatPr defaultColWidth="9.140625" defaultRowHeight="15" x14ac:dyDescent="0.2"/>
  <cols>
    <col min="1" max="1" width="3.85546875" style="506" customWidth="1"/>
    <col min="2" max="2" width="10.140625" style="507" customWidth="1"/>
    <col min="3" max="3" width="6.85546875" style="507" customWidth="1"/>
    <col min="4" max="4" width="12.140625" style="508" customWidth="1"/>
    <col min="5" max="14" width="7.140625" style="508" customWidth="1"/>
    <col min="15" max="20" width="7" style="508" customWidth="1"/>
    <col min="21" max="261" width="9.140625" style="508"/>
    <col min="262" max="262" width="3.85546875" style="508" customWidth="1"/>
    <col min="263" max="263" width="10.140625" style="508" customWidth="1"/>
    <col min="264" max="264" width="6.85546875" style="508" customWidth="1"/>
    <col min="265" max="265" width="12.140625" style="508" customWidth="1"/>
    <col min="266" max="275" width="7.140625" style="508" customWidth="1"/>
    <col min="276" max="278" width="7" style="508" customWidth="1"/>
    <col min="279" max="517" width="9.140625" style="508"/>
    <col min="518" max="518" width="3.85546875" style="508" customWidth="1"/>
    <col min="519" max="519" width="10.140625" style="508" customWidth="1"/>
    <col min="520" max="520" width="6.85546875" style="508" customWidth="1"/>
    <col min="521" max="521" width="12.140625" style="508" customWidth="1"/>
    <col min="522" max="531" width="7.140625" style="508" customWidth="1"/>
    <col min="532" max="534" width="7" style="508" customWidth="1"/>
    <col min="535" max="773" width="9.140625" style="508"/>
    <col min="774" max="774" width="3.85546875" style="508" customWidth="1"/>
    <col min="775" max="775" width="10.140625" style="508" customWidth="1"/>
    <col min="776" max="776" width="6.85546875" style="508" customWidth="1"/>
    <col min="777" max="777" width="12.140625" style="508" customWidth="1"/>
    <col min="778" max="787" width="7.140625" style="508" customWidth="1"/>
    <col min="788" max="790" width="7" style="508" customWidth="1"/>
    <col min="791" max="1029" width="9.140625" style="508"/>
    <col min="1030" max="1030" width="3.85546875" style="508" customWidth="1"/>
    <col min="1031" max="1031" width="10.140625" style="508" customWidth="1"/>
    <col min="1032" max="1032" width="6.85546875" style="508" customWidth="1"/>
    <col min="1033" max="1033" width="12.140625" style="508" customWidth="1"/>
    <col min="1034" max="1043" width="7.140625" style="508" customWidth="1"/>
    <col min="1044" max="1046" width="7" style="508" customWidth="1"/>
    <col min="1047" max="1285" width="9.140625" style="508"/>
    <col min="1286" max="1286" width="3.85546875" style="508" customWidth="1"/>
    <col min="1287" max="1287" width="10.140625" style="508" customWidth="1"/>
    <col min="1288" max="1288" width="6.85546875" style="508" customWidth="1"/>
    <col min="1289" max="1289" width="12.140625" style="508" customWidth="1"/>
    <col min="1290" max="1299" width="7.140625" style="508" customWidth="1"/>
    <col min="1300" max="1302" width="7" style="508" customWidth="1"/>
    <col min="1303" max="1541" width="9.140625" style="508"/>
    <col min="1542" max="1542" width="3.85546875" style="508" customWidth="1"/>
    <col min="1543" max="1543" width="10.140625" style="508" customWidth="1"/>
    <col min="1544" max="1544" width="6.85546875" style="508" customWidth="1"/>
    <col min="1545" max="1545" width="12.140625" style="508" customWidth="1"/>
    <col min="1546" max="1555" width="7.140625" style="508" customWidth="1"/>
    <col min="1556" max="1558" width="7" style="508" customWidth="1"/>
    <col min="1559" max="1797" width="9.140625" style="508"/>
    <col min="1798" max="1798" width="3.85546875" style="508" customWidth="1"/>
    <col min="1799" max="1799" width="10.140625" style="508" customWidth="1"/>
    <col min="1800" max="1800" width="6.85546875" style="508" customWidth="1"/>
    <col min="1801" max="1801" width="12.140625" style="508" customWidth="1"/>
    <col min="1802" max="1811" width="7.140625" style="508" customWidth="1"/>
    <col min="1812" max="1814" width="7" style="508" customWidth="1"/>
    <col min="1815" max="2053" width="9.140625" style="508"/>
    <col min="2054" max="2054" width="3.85546875" style="508" customWidth="1"/>
    <col min="2055" max="2055" width="10.140625" style="508" customWidth="1"/>
    <col min="2056" max="2056" width="6.85546875" style="508" customWidth="1"/>
    <col min="2057" max="2057" width="12.140625" style="508" customWidth="1"/>
    <col min="2058" max="2067" width="7.140625" style="508" customWidth="1"/>
    <col min="2068" max="2070" width="7" style="508" customWidth="1"/>
    <col min="2071" max="2309" width="9.140625" style="508"/>
    <col min="2310" max="2310" width="3.85546875" style="508" customWidth="1"/>
    <col min="2311" max="2311" width="10.140625" style="508" customWidth="1"/>
    <col min="2312" max="2312" width="6.85546875" style="508" customWidth="1"/>
    <col min="2313" max="2313" width="12.140625" style="508" customWidth="1"/>
    <col min="2314" max="2323" width="7.140625" style="508" customWidth="1"/>
    <col min="2324" max="2326" width="7" style="508" customWidth="1"/>
    <col min="2327" max="2565" width="9.140625" style="508"/>
    <col min="2566" max="2566" width="3.85546875" style="508" customWidth="1"/>
    <col min="2567" max="2567" width="10.140625" style="508" customWidth="1"/>
    <col min="2568" max="2568" width="6.85546875" style="508" customWidth="1"/>
    <col min="2569" max="2569" width="12.140625" style="508" customWidth="1"/>
    <col min="2570" max="2579" width="7.140625" style="508" customWidth="1"/>
    <col min="2580" max="2582" width="7" style="508" customWidth="1"/>
    <col min="2583" max="2821" width="9.140625" style="508"/>
    <col min="2822" max="2822" width="3.85546875" style="508" customWidth="1"/>
    <col min="2823" max="2823" width="10.140625" style="508" customWidth="1"/>
    <col min="2824" max="2824" width="6.85546875" style="508" customWidth="1"/>
    <col min="2825" max="2825" width="12.140625" style="508" customWidth="1"/>
    <col min="2826" max="2835" width="7.140625" style="508" customWidth="1"/>
    <col min="2836" max="2838" width="7" style="508" customWidth="1"/>
    <col min="2839" max="3077" width="9.140625" style="508"/>
    <col min="3078" max="3078" width="3.85546875" style="508" customWidth="1"/>
    <col min="3079" max="3079" width="10.140625" style="508" customWidth="1"/>
    <col min="3080" max="3080" width="6.85546875" style="508" customWidth="1"/>
    <col min="3081" max="3081" width="12.140625" style="508" customWidth="1"/>
    <col min="3082" max="3091" width="7.140625" style="508" customWidth="1"/>
    <col min="3092" max="3094" width="7" style="508" customWidth="1"/>
    <col min="3095" max="3333" width="9.140625" style="508"/>
    <col min="3334" max="3334" width="3.85546875" style="508" customWidth="1"/>
    <col min="3335" max="3335" width="10.140625" style="508" customWidth="1"/>
    <col min="3336" max="3336" width="6.85546875" style="508" customWidth="1"/>
    <col min="3337" max="3337" width="12.140625" style="508" customWidth="1"/>
    <col min="3338" max="3347" width="7.140625" style="508" customWidth="1"/>
    <col min="3348" max="3350" width="7" style="508" customWidth="1"/>
    <col min="3351" max="3589" width="9.140625" style="508"/>
    <col min="3590" max="3590" width="3.85546875" style="508" customWidth="1"/>
    <col min="3591" max="3591" width="10.140625" style="508" customWidth="1"/>
    <col min="3592" max="3592" width="6.85546875" style="508" customWidth="1"/>
    <col min="3593" max="3593" width="12.140625" style="508" customWidth="1"/>
    <col min="3594" max="3603" width="7.140625" style="508" customWidth="1"/>
    <col min="3604" max="3606" width="7" style="508" customWidth="1"/>
    <col min="3607" max="3845" width="9.140625" style="508"/>
    <col min="3846" max="3846" width="3.85546875" style="508" customWidth="1"/>
    <col min="3847" max="3847" width="10.140625" style="508" customWidth="1"/>
    <col min="3848" max="3848" width="6.85546875" style="508" customWidth="1"/>
    <col min="3849" max="3849" width="12.140625" style="508" customWidth="1"/>
    <col min="3850" max="3859" width="7.140625" style="508" customWidth="1"/>
    <col min="3860" max="3862" width="7" style="508" customWidth="1"/>
    <col min="3863" max="4101" width="9.140625" style="508"/>
    <col min="4102" max="4102" width="3.85546875" style="508" customWidth="1"/>
    <col min="4103" max="4103" width="10.140625" style="508" customWidth="1"/>
    <col min="4104" max="4104" width="6.85546875" style="508" customWidth="1"/>
    <col min="4105" max="4105" width="12.140625" style="508" customWidth="1"/>
    <col min="4106" max="4115" width="7.140625" style="508" customWidth="1"/>
    <col min="4116" max="4118" width="7" style="508" customWidth="1"/>
    <col min="4119" max="4357" width="9.140625" style="508"/>
    <col min="4358" max="4358" width="3.85546875" style="508" customWidth="1"/>
    <col min="4359" max="4359" width="10.140625" style="508" customWidth="1"/>
    <col min="4360" max="4360" width="6.85546875" style="508" customWidth="1"/>
    <col min="4361" max="4361" width="12.140625" style="508" customWidth="1"/>
    <col min="4362" max="4371" width="7.140625" style="508" customWidth="1"/>
    <col min="4372" max="4374" width="7" style="508" customWidth="1"/>
    <col min="4375" max="4613" width="9.140625" style="508"/>
    <col min="4614" max="4614" width="3.85546875" style="508" customWidth="1"/>
    <col min="4615" max="4615" width="10.140625" style="508" customWidth="1"/>
    <col min="4616" max="4616" width="6.85546875" style="508" customWidth="1"/>
    <col min="4617" max="4617" width="12.140625" style="508" customWidth="1"/>
    <col min="4618" max="4627" width="7.140625" style="508" customWidth="1"/>
    <col min="4628" max="4630" width="7" style="508" customWidth="1"/>
    <col min="4631" max="4869" width="9.140625" style="508"/>
    <col min="4870" max="4870" width="3.85546875" style="508" customWidth="1"/>
    <col min="4871" max="4871" width="10.140625" style="508" customWidth="1"/>
    <col min="4872" max="4872" width="6.85546875" style="508" customWidth="1"/>
    <col min="4873" max="4873" width="12.140625" style="508" customWidth="1"/>
    <col min="4874" max="4883" width="7.140625" style="508" customWidth="1"/>
    <col min="4884" max="4886" width="7" style="508" customWidth="1"/>
    <col min="4887" max="5125" width="9.140625" style="508"/>
    <col min="5126" max="5126" width="3.85546875" style="508" customWidth="1"/>
    <col min="5127" max="5127" width="10.140625" style="508" customWidth="1"/>
    <col min="5128" max="5128" width="6.85546875" style="508" customWidth="1"/>
    <col min="5129" max="5129" width="12.140625" style="508" customWidth="1"/>
    <col min="5130" max="5139" width="7.140625" style="508" customWidth="1"/>
    <col min="5140" max="5142" width="7" style="508" customWidth="1"/>
    <col min="5143" max="5381" width="9.140625" style="508"/>
    <col min="5382" max="5382" width="3.85546875" style="508" customWidth="1"/>
    <col min="5383" max="5383" width="10.140625" style="508" customWidth="1"/>
    <col min="5384" max="5384" width="6.85546875" style="508" customWidth="1"/>
    <col min="5385" max="5385" width="12.140625" style="508" customWidth="1"/>
    <col min="5386" max="5395" width="7.140625" style="508" customWidth="1"/>
    <col min="5396" max="5398" width="7" style="508" customWidth="1"/>
    <col min="5399" max="5637" width="9.140625" style="508"/>
    <col min="5638" max="5638" width="3.85546875" style="508" customWidth="1"/>
    <col min="5639" max="5639" width="10.140625" style="508" customWidth="1"/>
    <col min="5640" max="5640" width="6.85546875" style="508" customWidth="1"/>
    <col min="5641" max="5641" width="12.140625" style="508" customWidth="1"/>
    <col min="5642" max="5651" width="7.140625" style="508" customWidth="1"/>
    <col min="5652" max="5654" width="7" style="508" customWidth="1"/>
    <col min="5655" max="5893" width="9.140625" style="508"/>
    <col min="5894" max="5894" width="3.85546875" style="508" customWidth="1"/>
    <col min="5895" max="5895" width="10.140625" style="508" customWidth="1"/>
    <col min="5896" max="5896" width="6.85546875" style="508" customWidth="1"/>
    <col min="5897" max="5897" width="12.140625" style="508" customWidth="1"/>
    <col min="5898" max="5907" width="7.140625" style="508" customWidth="1"/>
    <col min="5908" max="5910" width="7" style="508" customWidth="1"/>
    <col min="5911" max="6149" width="9.140625" style="508"/>
    <col min="6150" max="6150" width="3.85546875" style="508" customWidth="1"/>
    <col min="6151" max="6151" width="10.140625" style="508" customWidth="1"/>
    <col min="6152" max="6152" width="6.85546875" style="508" customWidth="1"/>
    <col min="6153" max="6153" width="12.140625" style="508" customWidth="1"/>
    <col min="6154" max="6163" width="7.140625" style="508" customWidth="1"/>
    <col min="6164" max="6166" width="7" style="508" customWidth="1"/>
    <col min="6167" max="6405" width="9.140625" style="508"/>
    <col min="6406" max="6406" width="3.85546875" style="508" customWidth="1"/>
    <col min="6407" max="6407" width="10.140625" style="508" customWidth="1"/>
    <col min="6408" max="6408" width="6.85546875" style="508" customWidth="1"/>
    <col min="6409" max="6409" width="12.140625" style="508" customWidth="1"/>
    <col min="6410" max="6419" width="7.140625" style="508" customWidth="1"/>
    <col min="6420" max="6422" width="7" style="508" customWidth="1"/>
    <col min="6423" max="6661" width="9.140625" style="508"/>
    <col min="6662" max="6662" width="3.85546875" style="508" customWidth="1"/>
    <col min="6663" max="6663" width="10.140625" style="508" customWidth="1"/>
    <col min="6664" max="6664" width="6.85546875" style="508" customWidth="1"/>
    <col min="6665" max="6665" width="12.140625" style="508" customWidth="1"/>
    <col min="6666" max="6675" width="7.140625" style="508" customWidth="1"/>
    <col min="6676" max="6678" width="7" style="508" customWidth="1"/>
    <col min="6679" max="6917" width="9.140625" style="508"/>
    <col min="6918" max="6918" width="3.85546875" style="508" customWidth="1"/>
    <col min="6919" max="6919" width="10.140625" style="508" customWidth="1"/>
    <col min="6920" max="6920" width="6.85546875" style="508" customWidth="1"/>
    <col min="6921" max="6921" width="12.140625" style="508" customWidth="1"/>
    <col min="6922" max="6931" width="7.140625" style="508" customWidth="1"/>
    <col min="6932" max="6934" width="7" style="508" customWidth="1"/>
    <col min="6935" max="7173" width="9.140625" style="508"/>
    <col min="7174" max="7174" width="3.85546875" style="508" customWidth="1"/>
    <col min="7175" max="7175" width="10.140625" style="508" customWidth="1"/>
    <col min="7176" max="7176" width="6.85546875" style="508" customWidth="1"/>
    <col min="7177" max="7177" width="12.140625" style="508" customWidth="1"/>
    <col min="7178" max="7187" width="7.140625" style="508" customWidth="1"/>
    <col min="7188" max="7190" width="7" style="508" customWidth="1"/>
    <col min="7191" max="7429" width="9.140625" style="508"/>
    <col min="7430" max="7430" width="3.85546875" style="508" customWidth="1"/>
    <col min="7431" max="7431" width="10.140625" style="508" customWidth="1"/>
    <col min="7432" max="7432" width="6.85546875" style="508" customWidth="1"/>
    <col min="7433" max="7433" width="12.140625" style="508" customWidth="1"/>
    <col min="7434" max="7443" width="7.140625" style="508" customWidth="1"/>
    <col min="7444" max="7446" width="7" style="508" customWidth="1"/>
    <col min="7447" max="7685" width="9.140625" style="508"/>
    <col min="7686" max="7686" width="3.85546875" style="508" customWidth="1"/>
    <col min="7687" max="7687" width="10.140625" style="508" customWidth="1"/>
    <col min="7688" max="7688" width="6.85546875" style="508" customWidth="1"/>
    <col min="7689" max="7689" width="12.140625" style="508" customWidth="1"/>
    <col min="7690" max="7699" width="7.140625" style="508" customWidth="1"/>
    <col min="7700" max="7702" width="7" style="508" customWidth="1"/>
    <col min="7703" max="7941" width="9.140625" style="508"/>
    <col min="7942" max="7942" width="3.85546875" style="508" customWidth="1"/>
    <col min="7943" max="7943" width="10.140625" style="508" customWidth="1"/>
    <col min="7944" max="7944" width="6.85546875" style="508" customWidth="1"/>
    <col min="7945" max="7945" width="12.140625" style="508" customWidth="1"/>
    <col min="7946" max="7955" width="7.140625" style="508" customWidth="1"/>
    <col min="7956" max="7958" width="7" style="508" customWidth="1"/>
    <col min="7959" max="8197" width="9.140625" style="508"/>
    <col min="8198" max="8198" width="3.85546875" style="508" customWidth="1"/>
    <col min="8199" max="8199" width="10.140625" style="508" customWidth="1"/>
    <col min="8200" max="8200" width="6.85546875" style="508" customWidth="1"/>
    <col min="8201" max="8201" width="12.140625" style="508" customWidth="1"/>
    <col min="8202" max="8211" width="7.140625" style="508" customWidth="1"/>
    <col min="8212" max="8214" width="7" style="508" customWidth="1"/>
    <col min="8215" max="8453" width="9.140625" style="508"/>
    <col min="8454" max="8454" width="3.85546875" style="508" customWidth="1"/>
    <col min="8455" max="8455" width="10.140625" style="508" customWidth="1"/>
    <col min="8456" max="8456" width="6.85546875" style="508" customWidth="1"/>
    <col min="8457" max="8457" width="12.140625" style="508" customWidth="1"/>
    <col min="8458" max="8467" width="7.140625" style="508" customWidth="1"/>
    <col min="8468" max="8470" width="7" style="508" customWidth="1"/>
    <col min="8471" max="8709" width="9.140625" style="508"/>
    <col min="8710" max="8710" width="3.85546875" style="508" customWidth="1"/>
    <col min="8711" max="8711" width="10.140625" style="508" customWidth="1"/>
    <col min="8712" max="8712" width="6.85546875" style="508" customWidth="1"/>
    <col min="8713" max="8713" width="12.140625" style="508" customWidth="1"/>
    <col min="8714" max="8723" width="7.140625" style="508" customWidth="1"/>
    <col min="8724" max="8726" width="7" style="508" customWidth="1"/>
    <col min="8727" max="8965" width="9.140625" style="508"/>
    <col min="8966" max="8966" width="3.85546875" style="508" customWidth="1"/>
    <col min="8967" max="8967" width="10.140625" style="508" customWidth="1"/>
    <col min="8968" max="8968" width="6.85546875" style="508" customWidth="1"/>
    <col min="8969" max="8969" width="12.140625" style="508" customWidth="1"/>
    <col min="8970" max="8979" width="7.140625" style="508" customWidth="1"/>
    <col min="8980" max="8982" width="7" style="508" customWidth="1"/>
    <col min="8983" max="9221" width="9.140625" style="508"/>
    <col min="9222" max="9222" width="3.85546875" style="508" customWidth="1"/>
    <col min="9223" max="9223" width="10.140625" style="508" customWidth="1"/>
    <col min="9224" max="9224" width="6.85546875" style="508" customWidth="1"/>
    <col min="9225" max="9225" width="12.140625" style="508" customWidth="1"/>
    <col min="9226" max="9235" width="7.140625" style="508" customWidth="1"/>
    <col min="9236" max="9238" width="7" style="508" customWidth="1"/>
    <col min="9239" max="9477" width="9.140625" style="508"/>
    <col min="9478" max="9478" width="3.85546875" style="508" customWidth="1"/>
    <col min="9479" max="9479" width="10.140625" style="508" customWidth="1"/>
    <col min="9480" max="9480" width="6.85546875" style="508" customWidth="1"/>
    <col min="9481" max="9481" width="12.140625" style="508" customWidth="1"/>
    <col min="9482" max="9491" width="7.140625" style="508" customWidth="1"/>
    <col min="9492" max="9494" width="7" style="508" customWidth="1"/>
    <col min="9495" max="9733" width="9.140625" style="508"/>
    <col min="9734" max="9734" width="3.85546875" style="508" customWidth="1"/>
    <col min="9735" max="9735" width="10.140625" style="508" customWidth="1"/>
    <col min="9736" max="9736" width="6.85546875" style="508" customWidth="1"/>
    <col min="9737" max="9737" width="12.140625" style="508" customWidth="1"/>
    <col min="9738" max="9747" width="7.140625" style="508" customWidth="1"/>
    <col min="9748" max="9750" width="7" style="508" customWidth="1"/>
    <col min="9751" max="9989" width="9.140625" style="508"/>
    <col min="9990" max="9990" width="3.85546875" style="508" customWidth="1"/>
    <col min="9991" max="9991" width="10.140625" style="508" customWidth="1"/>
    <col min="9992" max="9992" width="6.85546875" style="508" customWidth="1"/>
    <col min="9993" max="9993" width="12.140625" style="508" customWidth="1"/>
    <col min="9994" max="10003" width="7.140625" style="508" customWidth="1"/>
    <col min="10004" max="10006" width="7" style="508" customWidth="1"/>
    <col min="10007" max="10245" width="9.140625" style="508"/>
    <col min="10246" max="10246" width="3.85546875" style="508" customWidth="1"/>
    <col min="10247" max="10247" width="10.140625" style="508" customWidth="1"/>
    <col min="10248" max="10248" width="6.85546875" style="508" customWidth="1"/>
    <col min="10249" max="10249" width="12.140625" style="508" customWidth="1"/>
    <col min="10250" max="10259" width="7.140625" style="508" customWidth="1"/>
    <col min="10260" max="10262" width="7" style="508" customWidth="1"/>
    <col min="10263" max="10501" width="9.140625" style="508"/>
    <col min="10502" max="10502" width="3.85546875" style="508" customWidth="1"/>
    <col min="10503" max="10503" width="10.140625" style="508" customWidth="1"/>
    <col min="10504" max="10504" width="6.85546875" style="508" customWidth="1"/>
    <col min="10505" max="10505" width="12.140625" style="508" customWidth="1"/>
    <col min="10506" max="10515" width="7.140625" style="508" customWidth="1"/>
    <col min="10516" max="10518" width="7" style="508" customWidth="1"/>
    <col min="10519" max="10757" width="9.140625" style="508"/>
    <col min="10758" max="10758" width="3.85546875" style="508" customWidth="1"/>
    <col min="10759" max="10759" width="10.140625" style="508" customWidth="1"/>
    <col min="10760" max="10760" width="6.85546875" style="508" customWidth="1"/>
    <col min="10761" max="10761" width="12.140625" style="508" customWidth="1"/>
    <col min="10762" max="10771" width="7.140625" style="508" customWidth="1"/>
    <col min="10772" max="10774" width="7" style="508" customWidth="1"/>
    <col min="10775" max="11013" width="9.140625" style="508"/>
    <col min="11014" max="11014" width="3.85546875" style="508" customWidth="1"/>
    <col min="11015" max="11015" width="10.140625" style="508" customWidth="1"/>
    <col min="11016" max="11016" width="6.85546875" style="508" customWidth="1"/>
    <col min="11017" max="11017" width="12.140625" style="508" customWidth="1"/>
    <col min="11018" max="11027" width="7.140625" style="508" customWidth="1"/>
    <col min="11028" max="11030" width="7" style="508" customWidth="1"/>
    <col min="11031" max="11269" width="9.140625" style="508"/>
    <col min="11270" max="11270" width="3.85546875" style="508" customWidth="1"/>
    <col min="11271" max="11271" width="10.140625" style="508" customWidth="1"/>
    <col min="11272" max="11272" width="6.85546875" style="508" customWidth="1"/>
    <col min="11273" max="11273" width="12.140625" style="508" customWidth="1"/>
    <col min="11274" max="11283" width="7.140625" style="508" customWidth="1"/>
    <col min="11284" max="11286" width="7" style="508" customWidth="1"/>
    <col min="11287" max="11525" width="9.140625" style="508"/>
    <col min="11526" max="11526" width="3.85546875" style="508" customWidth="1"/>
    <col min="11527" max="11527" width="10.140625" style="508" customWidth="1"/>
    <col min="11528" max="11528" width="6.85546875" style="508" customWidth="1"/>
    <col min="11529" max="11529" width="12.140625" style="508" customWidth="1"/>
    <col min="11530" max="11539" width="7.140625" style="508" customWidth="1"/>
    <col min="11540" max="11542" width="7" style="508" customWidth="1"/>
    <col min="11543" max="11781" width="9.140625" style="508"/>
    <col min="11782" max="11782" width="3.85546875" style="508" customWidth="1"/>
    <col min="11783" max="11783" width="10.140625" style="508" customWidth="1"/>
    <col min="11784" max="11784" width="6.85546875" style="508" customWidth="1"/>
    <col min="11785" max="11785" width="12.140625" style="508" customWidth="1"/>
    <col min="11786" max="11795" width="7.140625" style="508" customWidth="1"/>
    <col min="11796" max="11798" width="7" style="508" customWidth="1"/>
    <col min="11799" max="12037" width="9.140625" style="508"/>
    <col min="12038" max="12038" width="3.85546875" style="508" customWidth="1"/>
    <col min="12039" max="12039" width="10.140625" style="508" customWidth="1"/>
    <col min="12040" max="12040" width="6.85546875" style="508" customWidth="1"/>
    <col min="12041" max="12041" width="12.140625" style="508" customWidth="1"/>
    <col min="12042" max="12051" width="7.140625" style="508" customWidth="1"/>
    <col min="12052" max="12054" width="7" style="508" customWidth="1"/>
    <col min="12055" max="12293" width="9.140625" style="508"/>
    <col min="12294" max="12294" width="3.85546875" style="508" customWidth="1"/>
    <col min="12295" max="12295" width="10.140625" style="508" customWidth="1"/>
    <col min="12296" max="12296" width="6.85546875" style="508" customWidth="1"/>
    <col min="12297" max="12297" width="12.140625" style="508" customWidth="1"/>
    <col min="12298" max="12307" width="7.140625" style="508" customWidth="1"/>
    <col min="12308" max="12310" width="7" style="508" customWidth="1"/>
    <col min="12311" max="12549" width="9.140625" style="508"/>
    <col min="12550" max="12550" width="3.85546875" style="508" customWidth="1"/>
    <col min="12551" max="12551" width="10.140625" style="508" customWidth="1"/>
    <col min="12552" max="12552" width="6.85546875" style="508" customWidth="1"/>
    <col min="12553" max="12553" width="12.140625" style="508" customWidth="1"/>
    <col min="12554" max="12563" width="7.140625" style="508" customWidth="1"/>
    <col min="12564" max="12566" width="7" style="508" customWidth="1"/>
    <col min="12567" max="12805" width="9.140625" style="508"/>
    <col min="12806" max="12806" width="3.85546875" style="508" customWidth="1"/>
    <col min="12807" max="12807" width="10.140625" style="508" customWidth="1"/>
    <col min="12808" max="12808" width="6.85546875" style="508" customWidth="1"/>
    <col min="12809" max="12809" width="12.140625" style="508" customWidth="1"/>
    <col min="12810" max="12819" width="7.140625" style="508" customWidth="1"/>
    <col min="12820" max="12822" width="7" style="508" customWidth="1"/>
    <col min="12823" max="13061" width="9.140625" style="508"/>
    <col min="13062" max="13062" width="3.85546875" style="508" customWidth="1"/>
    <col min="13063" max="13063" width="10.140625" style="508" customWidth="1"/>
    <col min="13064" max="13064" width="6.85546875" style="508" customWidth="1"/>
    <col min="13065" max="13065" width="12.140625" style="508" customWidth="1"/>
    <col min="13066" max="13075" width="7.140625" style="508" customWidth="1"/>
    <col min="13076" max="13078" width="7" style="508" customWidth="1"/>
    <col min="13079" max="13317" width="9.140625" style="508"/>
    <col min="13318" max="13318" width="3.85546875" style="508" customWidth="1"/>
    <col min="13319" max="13319" width="10.140625" style="508" customWidth="1"/>
    <col min="13320" max="13320" width="6.85546875" style="508" customWidth="1"/>
    <col min="13321" max="13321" width="12.140625" style="508" customWidth="1"/>
    <col min="13322" max="13331" width="7.140625" style="508" customWidth="1"/>
    <col min="13332" max="13334" width="7" style="508" customWidth="1"/>
    <col min="13335" max="13573" width="9.140625" style="508"/>
    <col min="13574" max="13574" width="3.85546875" style="508" customWidth="1"/>
    <col min="13575" max="13575" width="10.140625" style="508" customWidth="1"/>
    <col min="13576" max="13576" width="6.85546875" style="508" customWidth="1"/>
    <col min="13577" max="13577" width="12.140625" style="508" customWidth="1"/>
    <col min="13578" max="13587" width="7.140625" style="508" customWidth="1"/>
    <col min="13588" max="13590" width="7" style="508" customWidth="1"/>
    <col min="13591" max="13829" width="9.140625" style="508"/>
    <col min="13830" max="13830" width="3.85546875" style="508" customWidth="1"/>
    <col min="13831" max="13831" width="10.140625" style="508" customWidth="1"/>
    <col min="13832" max="13832" width="6.85546875" style="508" customWidth="1"/>
    <col min="13833" max="13833" width="12.140625" style="508" customWidth="1"/>
    <col min="13834" max="13843" width="7.140625" style="508" customWidth="1"/>
    <col min="13844" max="13846" width="7" style="508" customWidth="1"/>
    <col min="13847" max="14085" width="9.140625" style="508"/>
    <col min="14086" max="14086" width="3.85546875" style="508" customWidth="1"/>
    <col min="14087" max="14087" width="10.140625" style="508" customWidth="1"/>
    <col min="14088" max="14088" width="6.85546875" style="508" customWidth="1"/>
    <col min="14089" max="14089" width="12.140625" style="508" customWidth="1"/>
    <col min="14090" max="14099" width="7.140625" style="508" customWidth="1"/>
    <col min="14100" max="14102" width="7" style="508" customWidth="1"/>
    <col min="14103" max="14341" width="9.140625" style="508"/>
    <col min="14342" max="14342" width="3.85546875" style="508" customWidth="1"/>
    <col min="14343" max="14343" width="10.140625" style="508" customWidth="1"/>
    <col min="14344" max="14344" width="6.85546875" style="508" customWidth="1"/>
    <col min="14345" max="14345" width="12.140625" style="508" customWidth="1"/>
    <col min="14346" max="14355" width="7.140625" style="508" customWidth="1"/>
    <col min="14356" max="14358" width="7" style="508" customWidth="1"/>
    <col min="14359" max="14597" width="9.140625" style="508"/>
    <col min="14598" max="14598" width="3.85546875" style="508" customWidth="1"/>
    <col min="14599" max="14599" width="10.140625" style="508" customWidth="1"/>
    <col min="14600" max="14600" width="6.85546875" style="508" customWidth="1"/>
    <col min="14601" max="14601" width="12.140625" style="508" customWidth="1"/>
    <col min="14602" max="14611" width="7.140625" style="508" customWidth="1"/>
    <col min="14612" max="14614" width="7" style="508" customWidth="1"/>
    <col min="14615" max="14853" width="9.140625" style="508"/>
    <col min="14854" max="14854" width="3.85546875" style="508" customWidth="1"/>
    <col min="14855" max="14855" width="10.140625" style="508" customWidth="1"/>
    <col min="14856" max="14856" width="6.85546875" style="508" customWidth="1"/>
    <col min="14857" max="14857" width="12.140625" style="508" customWidth="1"/>
    <col min="14858" max="14867" width="7.140625" style="508" customWidth="1"/>
    <col min="14868" max="14870" width="7" style="508" customWidth="1"/>
    <col min="14871" max="15109" width="9.140625" style="508"/>
    <col min="15110" max="15110" width="3.85546875" style="508" customWidth="1"/>
    <col min="15111" max="15111" width="10.140625" style="508" customWidth="1"/>
    <col min="15112" max="15112" width="6.85546875" style="508" customWidth="1"/>
    <col min="15113" max="15113" width="12.140625" style="508" customWidth="1"/>
    <col min="15114" max="15123" width="7.140625" style="508" customWidth="1"/>
    <col min="15124" max="15126" width="7" style="508" customWidth="1"/>
    <col min="15127" max="15365" width="9.140625" style="508"/>
    <col min="15366" max="15366" width="3.85546875" style="508" customWidth="1"/>
    <col min="15367" max="15367" width="10.140625" style="508" customWidth="1"/>
    <col min="15368" max="15368" width="6.85546875" style="508" customWidth="1"/>
    <col min="15369" max="15369" width="12.140625" style="508" customWidth="1"/>
    <col min="15370" max="15379" width="7.140625" style="508" customWidth="1"/>
    <col min="15380" max="15382" width="7" style="508" customWidth="1"/>
    <col min="15383" max="15621" width="9.140625" style="508"/>
    <col min="15622" max="15622" width="3.85546875" style="508" customWidth="1"/>
    <col min="15623" max="15623" width="10.140625" style="508" customWidth="1"/>
    <col min="15624" max="15624" width="6.85546875" style="508" customWidth="1"/>
    <col min="15625" max="15625" width="12.140625" style="508" customWidth="1"/>
    <col min="15626" max="15635" width="7.140625" style="508" customWidth="1"/>
    <col min="15636" max="15638" width="7" style="508" customWidth="1"/>
    <col min="15639" max="15877" width="9.140625" style="508"/>
    <col min="15878" max="15878" width="3.85546875" style="508" customWidth="1"/>
    <col min="15879" max="15879" width="10.140625" style="508" customWidth="1"/>
    <col min="15880" max="15880" width="6.85546875" style="508" customWidth="1"/>
    <col min="15881" max="15881" width="12.140625" style="508" customWidth="1"/>
    <col min="15882" max="15891" width="7.140625" style="508" customWidth="1"/>
    <col min="15892" max="15894" width="7" style="508" customWidth="1"/>
    <col min="15895" max="16133" width="9.140625" style="508"/>
    <col min="16134" max="16134" width="3.85546875" style="508" customWidth="1"/>
    <col min="16135" max="16135" width="10.140625" style="508" customWidth="1"/>
    <col min="16136" max="16136" width="6.85546875" style="508" customWidth="1"/>
    <col min="16137" max="16137" width="12.140625" style="508" customWidth="1"/>
    <col min="16138" max="16147" width="7.140625" style="508" customWidth="1"/>
    <col min="16148" max="16150" width="7" style="508" customWidth="1"/>
    <col min="16151" max="16384" width="9.140625" style="508"/>
  </cols>
  <sheetData>
    <row r="1" spans="1:29" ht="6.75" customHeight="1" x14ac:dyDescent="0.2"/>
    <row r="2" spans="1:29" ht="14.45" customHeight="1" x14ac:dyDescent="0.2">
      <c r="A2" s="509">
        <v>1</v>
      </c>
      <c r="B2" s="509" t="s">
        <v>0</v>
      </c>
      <c r="C2" s="509">
        <f>'Severe Acute Malnutrition'!C2+1</f>
        <v>39</v>
      </c>
      <c r="D2" s="4734" t="s">
        <v>1127</v>
      </c>
      <c r="E2" s="4735"/>
      <c r="F2" s="4735"/>
      <c r="G2" s="4735"/>
      <c r="H2" s="4735"/>
      <c r="I2" s="4735"/>
      <c r="J2" s="4735"/>
      <c r="K2" s="4735"/>
      <c r="L2" s="4735"/>
      <c r="M2" s="4735"/>
      <c r="N2" s="4735"/>
      <c r="O2" s="4735"/>
      <c r="P2" s="4735"/>
      <c r="Q2" s="4735"/>
      <c r="R2" s="4735"/>
      <c r="S2" s="4735"/>
      <c r="T2" s="4735"/>
      <c r="U2" s="4735"/>
      <c r="V2" s="4735"/>
      <c r="W2" s="4735"/>
      <c r="X2" s="4735"/>
      <c r="Y2" s="4736"/>
    </row>
    <row r="3" spans="1:29" ht="15" customHeight="1" x14ac:dyDescent="0.2">
      <c r="A3" s="509">
        <v>2</v>
      </c>
      <c r="B3" s="509" t="s">
        <v>2</v>
      </c>
      <c r="C3" s="509"/>
      <c r="D3" s="4734" t="s">
        <v>1041</v>
      </c>
      <c r="E3" s="4735"/>
      <c r="F3" s="4735"/>
      <c r="G3" s="4735"/>
      <c r="H3" s="4735"/>
      <c r="I3" s="4735"/>
      <c r="J3" s="4735"/>
      <c r="K3" s="4735"/>
      <c r="L3" s="4735"/>
      <c r="M3" s="4735"/>
      <c r="N3" s="4735"/>
      <c r="O3" s="4735"/>
      <c r="P3" s="4735"/>
      <c r="Q3" s="4735"/>
      <c r="R3" s="4735"/>
      <c r="S3" s="4735"/>
      <c r="T3" s="4735"/>
      <c r="U3" s="4735"/>
      <c r="V3" s="4735"/>
      <c r="W3" s="4735"/>
      <c r="X3" s="4735"/>
      <c r="Y3" s="4736"/>
    </row>
    <row r="4" spans="1:29" ht="14.45" customHeight="1" x14ac:dyDescent="0.2">
      <c r="A4" s="509">
        <v>3</v>
      </c>
      <c r="B4" s="509" t="s">
        <v>4</v>
      </c>
      <c r="C4" s="509"/>
      <c r="D4" s="4734" t="s">
        <v>1042</v>
      </c>
      <c r="E4" s="4735"/>
      <c r="F4" s="4735"/>
      <c r="G4" s="4735"/>
      <c r="H4" s="4735"/>
      <c r="I4" s="4735"/>
      <c r="J4" s="4735"/>
      <c r="K4" s="4735"/>
      <c r="L4" s="4735"/>
      <c r="M4" s="4735"/>
      <c r="N4" s="4735"/>
      <c r="O4" s="4735"/>
      <c r="P4" s="4735"/>
      <c r="Q4" s="4735"/>
      <c r="R4" s="4735"/>
      <c r="S4" s="4735"/>
      <c r="T4" s="4735"/>
      <c r="U4" s="4735"/>
      <c r="V4" s="4735"/>
      <c r="W4" s="4735"/>
      <c r="X4" s="4735"/>
      <c r="Y4" s="4736"/>
    </row>
    <row r="5" spans="1:29" ht="14.45" customHeight="1" x14ac:dyDescent="0.2">
      <c r="A5" s="509">
        <v>4</v>
      </c>
      <c r="B5" s="509" t="s">
        <v>1043</v>
      </c>
      <c r="C5" s="509"/>
      <c r="D5" s="4734" t="s">
        <v>1128</v>
      </c>
      <c r="E5" s="4735"/>
      <c r="F5" s="4735"/>
      <c r="G5" s="4735"/>
      <c r="H5" s="4735"/>
      <c r="I5" s="4735"/>
      <c r="J5" s="4735"/>
      <c r="K5" s="4735"/>
      <c r="L5" s="4735"/>
      <c r="M5" s="4735"/>
      <c r="N5" s="4735"/>
      <c r="O5" s="4735"/>
      <c r="P5" s="4735"/>
      <c r="Q5" s="4735"/>
      <c r="R5" s="4735"/>
      <c r="S5" s="4735"/>
      <c r="T5" s="4735"/>
      <c r="U5" s="4735"/>
      <c r="V5" s="4735"/>
      <c r="W5" s="4735"/>
      <c r="X5" s="4735"/>
      <c r="Y5" s="4736"/>
    </row>
    <row r="6" spans="1:29" ht="14.25" x14ac:dyDescent="0.2">
      <c r="A6" s="509"/>
      <c r="B6" s="309"/>
      <c r="C6" s="509"/>
      <c r="D6" s="88"/>
      <c r="E6" s="71"/>
      <c r="F6" s="88"/>
      <c r="G6" s="88"/>
      <c r="H6" s="88"/>
      <c r="I6" s="88"/>
      <c r="J6" s="88"/>
      <c r="K6" s="88"/>
      <c r="L6" s="88"/>
      <c r="M6" s="1226"/>
    </row>
    <row r="7" spans="1:29" s="88" customFormat="1" ht="12.75" x14ac:dyDescent="0.2">
      <c r="A7" s="509">
        <v>5</v>
      </c>
      <c r="B7" s="509" t="s">
        <v>6</v>
      </c>
      <c r="C7" s="309"/>
      <c r="D7" s="72" t="s">
        <v>7</v>
      </c>
      <c r="E7" s="72" t="s">
        <v>1127</v>
      </c>
      <c r="F7" s="95"/>
      <c r="G7" s="95"/>
      <c r="H7" s="95"/>
      <c r="I7" s="1123"/>
      <c r="J7" s="1123"/>
      <c r="K7" s="1123"/>
      <c r="L7" s="1123"/>
    </row>
    <row r="8" spans="1:29" s="88" customFormat="1" ht="12.75" x14ac:dyDescent="0.2">
      <c r="A8" s="509"/>
      <c r="B8" s="309"/>
      <c r="C8" s="309"/>
      <c r="D8" s="99"/>
      <c r="E8" s="128"/>
      <c r="F8" s="2424"/>
      <c r="G8" s="2424">
        <v>2000</v>
      </c>
      <c r="H8" s="2424">
        <v>2001</v>
      </c>
      <c r="I8" s="2424">
        <v>2002</v>
      </c>
      <c r="J8" s="2424">
        <v>2003</v>
      </c>
      <c r="K8" s="2424">
        <v>2004</v>
      </c>
      <c r="L8" s="2424">
        <v>2005</v>
      </c>
      <c r="M8" s="2424">
        <v>2006</v>
      </c>
      <c r="N8" s="2424">
        <v>2007</v>
      </c>
      <c r="O8" s="2424">
        <v>2008</v>
      </c>
      <c r="P8" s="2424">
        <v>2009</v>
      </c>
      <c r="Q8" s="2424">
        <v>2010</v>
      </c>
      <c r="R8" s="2424">
        <v>2011</v>
      </c>
      <c r="S8" s="2424">
        <v>2012</v>
      </c>
      <c r="T8" s="2424">
        <v>2013</v>
      </c>
      <c r="U8" s="2424">
        <v>2014</v>
      </c>
      <c r="V8" s="2424">
        <v>2015</v>
      </c>
      <c r="W8" s="2424">
        <v>2016</v>
      </c>
      <c r="X8" s="1226">
        <v>2017</v>
      </c>
      <c r="Y8" s="1226">
        <v>2018</v>
      </c>
      <c r="Z8" s="1226">
        <v>2019</v>
      </c>
      <c r="AA8" s="1226">
        <v>2020</v>
      </c>
      <c r="AB8" s="1226">
        <v>2021</v>
      </c>
      <c r="AC8" s="1226">
        <v>2022</v>
      </c>
    </row>
    <row r="9" spans="1:29" s="831" customFormat="1" ht="22.5" x14ac:dyDescent="0.2">
      <c r="A9" s="901"/>
      <c r="B9" s="1227"/>
      <c r="C9" s="1227"/>
      <c r="D9" s="82" t="s">
        <v>1129</v>
      </c>
      <c r="E9" s="978"/>
      <c r="F9" s="1228"/>
      <c r="G9" s="1229">
        <v>0.75800000000000001</v>
      </c>
      <c r="H9" s="1229">
        <v>0.64</v>
      </c>
      <c r="I9" s="1229">
        <v>0.71899999999999997</v>
      </c>
      <c r="J9" s="1229">
        <v>0.71499999999999997</v>
      </c>
      <c r="K9" s="1229">
        <v>0.70499999999999996</v>
      </c>
      <c r="L9" s="1229">
        <v>0.75600000000000001</v>
      </c>
      <c r="M9" s="1229">
        <v>0.76300000000000001</v>
      </c>
      <c r="N9" s="1229">
        <v>0.73499999999999999</v>
      </c>
      <c r="O9" s="1229">
        <v>0.75</v>
      </c>
      <c r="P9" s="1229">
        <v>0.77100000000000002</v>
      </c>
      <c r="Q9" s="1229">
        <v>0.71199999999999997</v>
      </c>
      <c r="R9" s="1229" t="s">
        <v>2154</v>
      </c>
      <c r="S9" s="1229" t="s">
        <v>1317</v>
      </c>
      <c r="T9" s="1229">
        <v>0.78700000000000003</v>
      </c>
      <c r="U9" s="1229">
        <v>0.80500000000000005</v>
      </c>
      <c r="V9" s="1229">
        <v>0.81499999999999995</v>
      </c>
      <c r="W9" s="1229">
        <v>0.70399999999999996</v>
      </c>
      <c r="X9" s="1229">
        <v>0.73899999999999999</v>
      </c>
      <c r="Y9" s="1229">
        <v>0.81699999999999995</v>
      </c>
      <c r="Z9" s="1229">
        <v>0.83899999999999997</v>
      </c>
      <c r="AA9" s="1229">
        <v>0.81</v>
      </c>
      <c r="AB9" s="1229">
        <v>0.83699999999999997</v>
      </c>
      <c r="AC9" s="1229">
        <v>0.85699999999999998</v>
      </c>
    </row>
    <row r="10" spans="1:29" s="831" customFormat="1" ht="12.75" x14ac:dyDescent="0.2">
      <c r="A10" s="901"/>
      <c r="B10" s="1227"/>
      <c r="C10" s="1227"/>
      <c r="D10" s="87"/>
      <c r="E10" s="1230"/>
      <c r="F10" s="1230"/>
      <c r="G10" s="1230"/>
      <c r="H10" s="1230"/>
      <c r="I10" s="1230"/>
      <c r="J10" s="1230"/>
      <c r="K10" s="1230"/>
      <c r="L10" s="1230"/>
      <c r="M10" s="1230"/>
      <c r="N10" s="1230"/>
      <c r="O10" s="1230"/>
      <c r="P10" s="1230"/>
      <c r="Q10" s="1230"/>
      <c r="R10" s="1230"/>
      <c r="S10" s="1230"/>
      <c r="T10" s="1230"/>
      <c r="U10" s="1230"/>
      <c r="V10" s="1230"/>
      <c r="W10" s="1230"/>
      <c r="X10" s="1230"/>
    </row>
    <row r="11" spans="1:29" ht="14.25" x14ac:dyDescent="0.2">
      <c r="A11" s="509">
        <v>6</v>
      </c>
      <c r="B11" s="509" t="s">
        <v>51</v>
      </c>
      <c r="C11" s="509"/>
    </row>
    <row r="12" spans="1:29" x14ac:dyDescent="0.2">
      <c r="D12" s="1123" t="s">
        <v>365</v>
      </c>
      <c r="E12" s="1231" t="s">
        <v>1130</v>
      </c>
      <c r="F12" s="1232"/>
      <c r="G12" s="1232"/>
      <c r="H12" s="1233"/>
      <c r="I12" s="1233"/>
      <c r="J12" s="1233"/>
      <c r="K12" s="1233"/>
      <c r="L12" s="1233"/>
      <c r="M12" s="1233"/>
      <c r="N12" s="1233"/>
      <c r="O12" s="1233"/>
      <c r="P12" s="1233"/>
      <c r="Q12" s="1234"/>
    </row>
    <row r="13" spans="1:29" x14ac:dyDescent="0.2">
      <c r="D13" s="1170" t="s">
        <v>389</v>
      </c>
      <c r="E13" s="1235"/>
      <c r="F13" s="1236"/>
      <c r="G13" s="1236"/>
      <c r="H13" s="1193">
        <v>2001</v>
      </c>
      <c r="I13" s="1193">
        <v>2002</v>
      </c>
      <c r="J13" s="1193">
        <v>2003</v>
      </c>
      <c r="K13" s="1193">
        <v>2004</v>
      </c>
      <c r="L13" s="1193">
        <v>2005</v>
      </c>
      <c r="M13" s="1193">
        <v>2006</v>
      </c>
      <c r="N13" s="1193">
        <v>2007</v>
      </c>
      <c r="O13" s="1193">
        <v>2008</v>
      </c>
      <c r="P13" s="1193">
        <v>2009</v>
      </c>
      <c r="Q13" s="1193">
        <v>2010</v>
      </c>
      <c r="R13" s="1193">
        <v>2011</v>
      </c>
      <c r="S13" s="1193">
        <v>2012</v>
      </c>
      <c r="T13" s="1193">
        <v>2013</v>
      </c>
      <c r="U13" s="1193">
        <v>2014</v>
      </c>
      <c r="V13" s="1193">
        <v>2015</v>
      </c>
      <c r="W13" s="1237">
        <v>2016</v>
      </c>
      <c r="X13" s="1237">
        <v>2017</v>
      </c>
      <c r="Y13" s="1237">
        <v>2018</v>
      </c>
      <c r="Z13" s="1237">
        <v>2019</v>
      </c>
      <c r="AA13" s="1237">
        <v>2020</v>
      </c>
    </row>
    <row r="14" spans="1:29" x14ac:dyDescent="0.2">
      <c r="D14" s="579" t="s">
        <v>276</v>
      </c>
      <c r="E14" s="1234"/>
      <c r="F14" s="1234"/>
      <c r="G14" s="1234"/>
      <c r="H14" s="376">
        <v>55.7</v>
      </c>
      <c r="I14" s="376">
        <v>72.599999999999994</v>
      </c>
      <c r="J14" s="376">
        <v>73.599999999999994</v>
      </c>
      <c r="K14" s="376">
        <v>68.400000000000006</v>
      </c>
      <c r="L14" s="376">
        <v>69.2</v>
      </c>
      <c r="M14" s="376">
        <v>65.5</v>
      </c>
      <c r="N14" s="376">
        <v>61</v>
      </c>
      <c r="O14" s="376">
        <v>62.7</v>
      </c>
      <c r="P14" s="376">
        <v>68.099999999999994</v>
      </c>
      <c r="Q14" s="376">
        <v>61.9</v>
      </c>
      <c r="R14" s="376">
        <v>62.2</v>
      </c>
      <c r="S14" s="376">
        <v>67.099999999999994</v>
      </c>
      <c r="T14" s="376">
        <v>66.400000000000006</v>
      </c>
      <c r="U14" s="376">
        <v>70.599999999999994</v>
      </c>
      <c r="V14" s="376">
        <v>75.400000000000006</v>
      </c>
      <c r="W14" s="376">
        <v>65.099999999999994</v>
      </c>
      <c r="X14" s="376">
        <v>65.900000000000006</v>
      </c>
      <c r="Y14" s="376">
        <v>72.400000000000006</v>
      </c>
      <c r="Z14" s="2196">
        <v>85.8</v>
      </c>
      <c r="AA14" s="2196">
        <v>81.2</v>
      </c>
    </row>
    <row r="15" spans="1:29" x14ac:dyDescent="0.2">
      <c r="D15" s="579" t="s">
        <v>277</v>
      </c>
      <c r="E15" s="1234"/>
      <c r="F15" s="1234"/>
      <c r="G15" s="1234"/>
      <c r="H15" s="376">
        <v>74.5</v>
      </c>
      <c r="I15" s="376">
        <v>75.900000000000006</v>
      </c>
      <c r="J15" s="376">
        <v>76.400000000000006</v>
      </c>
      <c r="K15" s="376">
        <v>81.400000000000006</v>
      </c>
      <c r="L15" s="376">
        <v>94.2</v>
      </c>
      <c r="M15" s="376">
        <v>98.4</v>
      </c>
      <c r="N15" s="376">
        <v>95.8</v>
      </c>
      <c r="O15" s="376">
        <v>96.8</v>
      </c>
      <c r="P15" s="376">
        <v>93.3</v>
      </c>
      <c r="Q15" s="376">
        <v>81.099999999999994</v>
      </c>
      <c r="R15" s="376">
        <v>84.2</v>
      </c>
      <c r="S15" s="376">
        <v>84.3</v>
      </c>
      <c r="T15" s="376">
        <v>79</v>
      </c>
      <c r="U15" s="376">
        <v>77.7</v>
      </c>
      <c r="V15" s="376">
        <v>74.5</v>
      </c>
      <c r="W15" s="376">
        <v>70</v>
      </c>
      <c r="X15" s="376">
        <v>70.099999999999994</v>
      </c>
      <c r="Y15" s="376">
        <v>76</v>
      </c>
      <c r="Z15" s="2196">
        <v>74.400000000000006</v>
      </c>
      <c r="AA15" s="2196">
        <v>76.5</v>
      </c>
    </row>
    <row r="16" spans="1:29" x14ac:dyDescent="0.2">
      <c r="B16" s="1187"/>
      <c r="C16" s="1187"/>
      <c r="D16" s="579" t="s">
        <v>278</v>
      </c>
      <c r="E16" s="1234"/>
      <c r="F16" s="1234"/>
      <c r="G16" s="1234"/>
      <c r="H16" s="376">
        <v>59.2</v>
      </c>
      <c r="I16" s="376">
        <v>64.2</v>
      </c>
      <c r="J16" s="376">
        <v>65.7</v>
      </c>
      <c r="K16" s="376">
        <v>67.7</v>
      </c>
      <c r="L16" s="376">
        <v>77.099999999999994</v>
      </c>
      <c r="M16" s="376">
        <v>76.900000000000006</v>
      </c>
      <c r="N16" s="376">
        <v>78.400000000000006</v>
      </c>
      <c r="O16" s="376">
        <v>83.9</v>
      </c>
      <c r="P16" s="376">
        <v>89.5</v>
      </c>
      <c r="Q16" s="376">
        <v>89.9</v>
      </c>
      <c r="R16" s="376">
        <v>98</v>
      </c>
      <c r="S16" s="376">
        <v>96.9</v>
      </c>
      <c r="T16" s="376">
        <v>98.6</v>
      </c>
      <c r="U16" s="376">
        <v>96.4</v>
      </c>
      <c r="V16" s="376">
        <v>91.8</v>
      </c>
      <c r="W16" s="376">
        <v>76.400000000000006</v>
      </c>
      <c r="X16" s="376">
        <v>75.3</v>
      </c>
      <c r="Y16" s="376">
        <v>82.6</v>
      </c>
      <c r="Z16" s="2196">
        <v>88.1</v>
      </c>
      <c r="AA16" s="2196">
        <v>83.2</v>
      </c>
    </row>
    <row r="17" spans="4:27" x14ac:dyDescent="0.2">
      <c r="D17" s="579" t="s">
        <v>641</v>
      </c>
      <c r="E17" s="1234"/>
      <c r="F17" s="1234"/>
      <c r="G17" s="1234"/>
      <c r="H17" s="376">
        <v>64.099999999999994</v>
      </c>
      <c r="I17" s="376">
        <v>77.2</v>
      </c>
      <c r="J17" s="376">
        <v>72.8</v>
      </c>
      <c r="K17" s="376">
        <v>67.7</v>
      </c>
      <c r="L17" s="376">
        <v>70</v>
      </c>
      <c r="M17" s="376">
        <v>69.5</v>
      </c>
      <c r="N17" s="376">
        <v>65.599999999999994</v>
      </c>
      <c r="O17" s="376">
        <v>64.599999999999994</v>
      </c>
      <c r="P17" s="376">
        <v>65.5</v>
      </c>
      <c r="Q17" s="376">
        <v>61.5</v>
      </c>
      <c r="R17" s="376">
        <v>73.2</v>
      </c>
      <c r="S17" s="376">
        <v>74.8</v>
      </c>
      <c r="T17" s="376">
        <v>75.8</v>
      </c>
      <c r="U17" s="376">
        <v>78.5</v>
      </c>
      <c r="V17" s="376">
        <v>79.2</v>
      </c>
      <c r="W17" s="376">
        <v>70.099999999999994</v>
      </c>
      <c r="X17" s="376">
        <v>78.599999999999994</v>
      </c>
      <c r="Y17" s="376">
        <v>90.5</v>
      </c>
      <c r="Z17" s="2196">
        <v>93.7</v>
      </c>
      <c r="AA17" s="2196">
        <v>92.1</v>
      </c>
    </row>
    <row r="18" spans="4:27" x14ac:dyDescent="0.2">
      <c r="D18" s="579" t="s">
        <v>280</v>
      </c>
      <c r="E18" s="1234"/>
      <c r="F18" s="1234"/>
      <c r="G18" s="1234"/>
      <c r="H18" s="376">
        <v>72.5</v>
      </c>
      <c r="I18" s="376">
        <v>84.9</v>
      </c>
      <c r="J18" s="376">
        <v>81.8</v>
      </c>
      <c r="K18" s="376">
        <v>79.3</v>
      </c>
      <c r="L18" s="376">
        <v>83.6</v>
      </c>
      <c r="M18" s="376">
        <v>89.1</v>
      </c>
      <c r="N18" s="376">
        <v>79.2</v>
      </c>
      <c r="O18" s="376">
        <v>81.599999999999994</v>
      </c>
      <c r="P18" s="376">
        <v>82.5</v>
      </c>
      <c r="Q18" s="376">
        <v>72.900000000000006</v>
      </c>
      <c r="R18" s="376">
        <v>70.5</v>
      </c>
      <c r="S18" s="376">
        <v>69.099999999999994</v>
      </c>
      <c r="T18" s="376">
        <v>66.900000000000006</v>
      </c>
      <c r="U18" s="376">
        <v>77.8</v>
      </c>
      <c r="V18" s="376">
        <v>78.2</v>
      </c>
      <c r="W18" s="376">
        <v>61</v>
      </c>
      <c r="X18" s="376">
        <v>68.7</v>
      </c>
      <c r="Y18" s="376">
        <v>74.099999999999994</v>
      </c>
      <c r="Z18" s="2196">
        <v>69.599999999999994</v>
      </c>
      <c r="AA18" s="2196">
        <v>67.8</v>
      </c>
    </row>
    <row r="19" spans="4:27" x14ac:dyDescent="0.2">
      <c r="D19" s="579" t="s">
        <v>281</v>
      </c>
      <c r="E19" s="1234"/>
      <c r="F19" s="1234"/>
      <c r="G19" s="1234"/>
      <c r="H19" s="376">
        <v>62.2</v>
      </c>
      <c r="I19" s="376">
        <v>62.8</v>
      </c>
      <c r="J19" s="376">
        <v>64.2</v>
      </c>
      <c r="K19" s="376">
        <v>65.400000000000006</v>
      </c>
      <c r="L19" s="376">
        <v>71.8</v>
      </c>
      <c r="M19" s="376">
        <v>72.3</v>
      </c>
      <c r="N19" s="376">
        <v>70.7</v>
      </c>
      <c r="O19" s="376">
        <v>70</v>
      </c>
      <c r="P19" s="376">
        <v>69.3</v>
      </c>
      <c r="Q19" s="376">
        <v>58.3</v>
      </c>
      <c r="R19" s="376">
        <v>56.4</v>
      </c>
      <c r="S19" s="376">
        <v>66.900000000000006</v>
      </c>
      <c r="T19" s="376">
        <v>73.3</v>
      </c>
      <c r="U19" s="376">
        <v>78.2</v>
      </c>
      <c r="V19" s="376">
        <v>87.1</v>
      </c>
      <c r="W19" s="376">
        <v>76.900000000000006</v>
      </c>
      <c r="X19" s="376">
        <v>86.8</v>
      </c>
      <c r="Y19" s="376">
        <v>96.3</v>
      </c>
      <c r="Z19" s="2196">
        <v>90.3</v>
      </c>
      <c r="AA19" s="2196">
        <v>83.3</v>
      </c>
    </row>
    <row r="20" spans="4:27" x14ac:dyDescent="0.2">
      <c r="D20" s="579" t="s">
        <v>282</v>
      </c>
      <c r="E20" s="1234"/>
      <c r="F20" s="1234"/>
      <c r="G20" s="1234"/>
      <c r="H20" s="376">
        <v>73.3</v>
      </c>
      <c r="I20" s="376">
        <v>73.2</v>
      </c>
      <c r="J20" s="376">
        <v>76.400000000000006</v>
      </c>
      <c r="K20" s="376">
        <v>78.7</v>
      </c>
      <c r="L20" s="376">
        <v>84</v>
      </c>
      <c r="M20" s="376">
        <v>88.6</v>
      </c>
      <c r="N20" s="376">
        <v>88.7</v>
      </c>
      <c r="O20" s="376">
        <v>85.9</v>
      </c>
      <c r="P20" s="376">
        <v>86.8</v>
      </c>
      <c r="Q20" s="376">
        <v>80</v>
      </c>
      <c r="R20" s="376">
        <v>88.3</v>
      </c>
      <c r="S20" s="376">
        <v>92.3</v>
      </c>
      <c r="T20" s="376">
        <v>94.8</v>
      </c>
      <c r="U20" s="376">
        <v>95</v>
      </c>
      <c r="V20" s="376">
        <v>96.7</v>
      </c>
      <c r="W20" s="376">
        <v>92.6</v>
      </c>
      <c r="X20" s="376">
        <v>85.8</v>
      </c>
      <c r="Y20" s="376">
        <v>85.9</v>
      </c>
      <c r="Z20" s="2196">
        <v>74.2</v>
      </c>
      <c r="AA20" s="2196">
        <v>66.400000000000006</v>
      </c>
    </row>
    <row r="21" spans="4:27" x14ac:dyDescent="0.2">
      <c r="D21" s="579" t="s">
        <v>283</v>
      </c>
      <c r="E21" s="1234"/>
      <c r="F21" s="1234"/>
      <c r="G21" s="1234"/>
      <c r="H21" s="376">
        <v>62.4</v>
      </c>
      <c r="I21" s="376">
        <v>64.099999999999994</v>
      </c>
      <c r="J21" s="376">
        <v>63.2</v>
      </c>
      <c r="K21" s="376">
        <v>64.2</v>
      </c>
      <c r="L21" s="376">
        <v>68</v>
      </c>
      <c r="M21" s="376">
        <v>66.8</v>
      </c>
      <c r="N21" s="376">
        <v>64.900000000000006</v>
      </c>
      <c r="O21" s="376">
        <v>70.5</v>
      </c>
      <c r="P21" s="376">
        <v>66.5</v>
      </c>
      <c r="Q21" s="376">
        <v>57.3</v>
      </c>
      <c r="R21" s="376">
        <v>58.4</v>
      </c>
      <c r="S21" s="376">
        <v>63.3</v>
      </c>
      <c r="T21" s="376">
        <v>65.099999999999994</v>
      </c>
      <c r="U21" s="376">
        <v>72.099999999999994</v>
      </c>
      <c r="V21" s="376">
        <v>78.3</v>
      </c>
      <c r="W21" s="376">
        <v>69</v>
      </c>
      <c r="X21" s="376">
        <v>69</v>
      </c>
      <c r="Y21" s="376">
        <v>69.5</v>
      </c>
      <c r="Z21" s="2196">
        <v>65.900000000000006</v>
      </c>
      <c r="AA21" s="2196">
        <v>63.6</v>
      </c>
    </row>
    <row r="22" spans="4:27" x14ac:dyDescent="0.2">
      <c r="D22" s="82" t="s">
        <v>284</v>
      </c>
      <c r="E22" s="1233"/>
      <c r="F22" s="1233"/>
      <c r="G22" s="1233"/>
      <c r="H22" s="1238">
        <v>71.7</v>
      </c>
      <c r="I22" s="1238">
        <v>71.900000000000006</v>
      </c>
      <c r="J22" s="1238">
        <v>74.8</v>
      </c>
      <c r="K22" s="1238">
        <v>77.7</v>
      </c>
      <c r="L22" s="1238">
        <v>84.7</v>
      </c>
      <c r="M22" s="1238">
        <v>95.4</v>
      </c>
      <c r="N22" s="1238">
        <v>98.3</v>
      </c>
      <c r="O22" s="1238">
        <v>96.1</v>
      </c>
      <c r="P22" s="1238">
        <v>97.1</v>
      </c>
      <c r="Q22" s="1238">
        <v>85.8</v>
      </c>
      <c r="R22" s="1238">
        <v>80.400000000000006</v>
      </c>
      <c r="S22" s="1238">
        <v>82.2</v>
      </c>
      <c r="T22" s="1238">
        <v>80.3</v>
      </c>
      <c r="U22" s="1238">
        <v>83.3</v>
      </c>
      <c r="V22" s="1238">
        <v>88</v>
      </c>
      <c r="W22" s="1238">
        <v>78</v>
      </c>
      <c r="X22" s="1238">
        <v>77.400000000000006</v>
      </c>
      <c r="Y22" s="1238">
        <v>81.8</v>
      </c>
      <c r="Z22" s="2197">
        <v>80.7</v>
      </c>
      <c r="AA22" s="2197">
        <v>81.900000000000006</v>
      </c>
    </row>
    <row r="23" spans="4:27" x14ac:dyDescent="0.2">
      <c r="D23" s="87"/>
      <c r="E23" s="1234"/>
      <c r="F23" s="1234"/>
      <c r="G23" s="1234"/>
      <c r="H23" s="1234"/>
      <c r="I23" s="1234"/>
      <c r="J23" s="1234"/>
      <c r="K23" s="1234"/>
      <c r="L23" s="1234"/>
      <c r="M23" s="1234"/>
      <c r="N23" s="1234"/>
      <c r="O23" s="1234"/>
      <c r="P23" s="1234"/>
      <c r="Q23" s="1234"/>
    </row>
    <row r="24" spans="4:27" x14ac:dyDescent="0.2">
      <c r="D24" s="87"/>
      <c r="E24" s="1234"/>
      <c r="F24" s="1234"/>
      <c r="G24" s="1234"/>
      <c r="H24" s="1234"/>
      <c r="I24" s="1234"/>
      <c r="J24" s="1234"/>
      <c r="K24" s="1234"/>
      <c r="L24" s="1234"/>
      <c r="M24" s="1234"/>
      <c r="N24" s="1234"/>
      <c r="O24" s="1234"/>
      <c r="P24" s="1234"/>
      <c r="Q24" s="1234"/>
    </row>
    <row r="25" spans="4:27" x14ac:dyDescent="0.2">
      <c r="D25" s="87"/>
      <c r="E25" s="1234"/>
      <c r="F25" s="1234"/>
      <c r="G25" s="1234"/>
      <c r="H25" s="1234"/>
      <c r="I25" s="1234"/>
      <c r="J25" s="1234"/>
      <c r="K25" s="1234"/>
      <c r="L25" s="1234"/>
      <c r="M25" s="1234"/>
      <c r="N25" s="1234"/>
      <c r="O25" s="1234"/>
      <c r="P25" s="1234"/>
      <c r="Q25" s="1234"/>
    </row>
    <row r="26" spans="4:27" x14ac:dyDescent="0.2">
      <c r="D26" s="87"/>
      <c r="E26" s="1234"/>
      <c r="F26" s="1234"/>
      <c r="G26" s="1234"/>
      <c r="H26" s="1234"/>
      <c r="I26" s="1234"/>
      <c r="J26" s="1234"/>
      <c r="K26" s="1234"/>
      <c r="L26" s="1234"/>
      <c r="M26" s="1234"/>
      <c r="N26" s="1234"/>
      <c r="O26" s="1234"/>
      <c r="P26" s="1234"/>
      <c r="Q26" s="1234"/>
    </row>
    <row r="27" spans="4:27" x14ac:dyDescent="0.2">
      <c r="D27" s="87"/>
      <c r="E27" s="1234"/>
      <c r="F27" s="1234"/>
      <c r="G27" s="1234"/>
      <c r="H27" s="1234"/>
      <c r="I27" s="1234"/>
      <c r="J27" s="1234"/>
      <c r="K27" s="1234"/>
      <c r="L27" s="1234"/>
      <c r="M27" s="1234"/>
      <c r="N27" s="1234"/>
      <c r="O27" s="1234"/>
      <c r="P27" s="1234"/>
      <c r="Q27" s="1234"/>
    </row>
    <row r="28" spans="4:27" x14ac:dyDescent="0.2">
      <c r="D28" s="87"/>
      <c r="E28" s="1234"/>
      <c r="F28" s="1234"/>
      <c r="G28" s="1234"/>
      <c r="H28" s="1234"/>
      <c r="I28" s="1234"/>
      <c r="J28" s="1234"/>
      <c r="K28" s="1234"/>
      <c r="L28" s="1234"/>
      <c r="M28" s="1234"/>
      <c r="N28" s="1234"/>
      <c r="O28" s="1234"/>
      <c r="P28" s="1234"/>
      <c r="Q28" s="1234"/>
    </row>
    <row r="29" spans="4:27" x14ac:dyDescent="0.2">
      <c r="D29" s="87"/>
      <c r="E29" s="1234"/>
      <c r="F29" s="1234"/>
      <c r="G29" s="1234"/>
      <c r="H29" s="1234"/>
      <c r="I29" s="1234"/>
      <c r="J29" s="1234"/>
      <c r="K29" s="1234"/>
      <c r="L29" s="1234"/>
      <c r="M29" s="1234"/>
      <c r="N29" s="1234"/>
      <c r="O29" s="1234"/>
      <c r="P29" s="1234"/>
      <c r="Q29" s="1234"/>
    </row>
    <row r="30" spans="4:27" x14ac:dyDescent="0.2">
      <c r="D30" s="87"/>
      <c r="E30" s="1234"/>
      <c r="F30" s="1234"/>
      <c r="G30" s="1234"/>
      <c r="H30" s="1234"/>
      <c r="I30" s="1234"/>
      <c r="J30" s="1234"/>
      <c r="K30" s="1234"/>
      <c r="L30" s="1234"/>
      <c r="M30" s="1234"/>
      <c r="N30" s="1234"/>
      <c r="O30" s="1234"/>
      <c r="P30" s="1234"/>
      <c r="Q30" s="1234"/>
    </row>
    <row r="31" spans="4:27" x14ac:dyDescent="0.2">
      <c r="D31" s="87"/>
      <c r="E31" s="1234"/>
      <c r="F31" s="1234"/>
      <c r="G31" s="1234"/>
      <c r="H31" s="1234"/>
      <c r="I31" s="1234"/>
      <c r="J31" s="1234"/>
      <c r="K31" s="1234"/>
      <c r="L31" s="1234"/>
      <c r="M31" s="1234"/>
      <c r="N31" s="1234"/>
      <c r="O31" s="1234"/>
      <c r="P31" s="1234"/>
      <c r="Q31" s="1234"/>
    </row>
    <row r="32" spans="4:27" x14ac:dyDescent="0.2">
      <c r="D32" s="87"/>
      <c r="E32" s="1234"/>
      <c r="F32" s="1234"/>
      <c r="G32" s="1234"/>
      <c r="H32" s="1234"/>
      <c r="I32" s="1234"/>
      <c r="J32" s="1234"/>
      <c r="K32" s="1234"/>
      <c r="L32" s="1234"/>
      <c r="M32" s="1234"/>
      <c r="N32" s="1234"/>
      <c r="O32" s="1234"/>
      <c r="P32" s="1234"/>
      <c r="Q32" s="1234"/>
    </row>
    <row r="33" spans="1:25" x14ac:dyDescent="0.2">
      <c r="D33" s="87"/>
      <c r="E33" s="1234"/>
      <c r="F33" s="1234"/>
      <c r="G33" s="1234"/>
      <c r="H33" s="1234"/>
      <c r="I33" s="1234"/>
      <c r="J33" s="1234"/>
      <c r="K33" s="1234"/>
      <c r="L33" s="1234"/>
      <c r="M33" s="1234"/>
      <c r="N33" s="1234"/>
      <c r="O33" s="1234"/>
      <c r="P33" s="1234"/>
      <c r="Q33" s="1234"/>
    </row>
    <row r="34" spans="1:25" x14ac:dyDescent="0.2">
      <c r="D34" s="87"/>
      <c r="E34" s="1234"/>
      <c r="F34" s="1234"/>
      <c r="G34" s="1234"/>
      <c r="H34" s="1234"/>
      <c r="I34" s="1234"/>
      <c r="J34" s="1234"/>
      <c r="K34" s="1234"/>
      <c r="L34" s="1234"/>
      <c r="M34" s="1234"/>
      <c r="N34" s="1234"/>
      <c r="O34" s="1234"/>
      <c r="P34" s="1234"/>
      <c r="Q34" s="1234"/>
    </row>
    <row r="35" spans="1:25" x14ac:dyDescent="0.2">
      <c r="D35" s="87"/>
      <c r="E35" s="1234"/>
      <c r="F35" s="1234"/>
      <c r="G35" s="1234"/>
      <c r="H35" s="1234"/>
      <c r="I35" s="1234"/>
      <c r="J35" s="1234"/>
      <c r="K35" s="1234"/>
      <c r="L35" s="1234"/>
      <c r="M35" s="1234"/>
      <c r="N35" s="1234"/>
      <c r="O35" s="1234"/>
      <c r="P35" s="1234"/>
      <c r="Q35" s="1234"/>
    </row>
    <row r="36" spans="1:25" x14ac:dyDescent="0.2">
      <c r="D36" s="87"/>
      <c r="E36" s="1234"/>
      <c r="F36" s="1234"/>
      <c r="G36" s="1234"/>
      <c r="H36" s="1234"/>
      <c r="I36" s="1234"/>
      <c r="J36" s="1234"/>
      <c r="K36" s="1234"/>
      <c r="L36" s="1234"/>
      <c r="M36" s="1234"/>
      <c r="N36" s="1234"/>
      <c r="O36" s="1234"/>
      <c r="P36" s="1234"/>
      <c r="Q36" s="1234"/>
    </row>
    <row r="37" spans="1:25" x14ac:dyDescent="0.2">
      <c r="D37" s="87"/>
      <c r="E37" s="1234"/>
      <c r="F37" s="1234"/>
      <c r="G37" s="1234"/>
      <c r="H37" s="1234"/>
      <c r="I37" s="1234"/>
      <c r="J37" s="1234"/>
      <c r="K37" s="1234"/>
      <c r="L37" s="1234"/>
      <c r="M37" s="1234"/>
      <c r="N37" s="1234"/>
      <c r="O37" s="1234"/>
      <c r="P37" s="1234"/>
      <c r="Q37" s="1234"/>
    </row>
    <row r="39" spans="1:25" ht="15" customHeight="1" x14ac:dyDescent="0.2">
      <c r="A39" s="509">
        <v>7</v>
      </c>
      <c r="B39" s="509" t="s">
        <v>52</v>
      </c>
      <c r="C39" s="509"/>
      <c r="D39" s="4734" t="s">
        <v>533</v>
      </c>
      <c r="E39" s="4735"/>
      <c r="F39" s="4735"/>
      <c r="G39" s="4735"/>
      <c r="H39" s="4735"/>
      <c r="I39" s="4735"/>
      <c r="J39" s="4735"/>
      <c r="K39" s="4735"/>
      <c r="L39" s="4735"/>
      <c r="M39" s="4735"/>
      <c r="N39" s="4735"/>
      <c r="O39" s="4735"/>
      <c r="P39" s="4735"/>
      <c r="Q39" s="4735"/>
      <c r="R39" s="4735"/>
      <c r="S39" s="4735"/>
      <c r="T39" s="4735"/>
      <c r="U39" s="4735"/>
      <c r="V39" s="4735"/>
      <c r="W39" s="4735"/>
      <c r="X39" s="4735"/>
      <c r="Y39" s="4736"/>
    </row>
    <row r="40" spans="1:25" ht="30.75" customHeight="1" x14ac:dyDescent="0.2">
      <c r="A40" s="546">
        <v>8</v>
      </c>
      <c r="B40" s="546" t="s">
        <v>54</v>
      </c>
      <c r="C40" s="546"/>
      <c r="D40" s="4734" t="s">
        <v>1131</v>
      </c>
      <c r="E40" s="4735"/>
      <c r="F40" s="4735"/>
      <c r="G40" s="4735"/>
      <c r="H40" s="4735"/>
      <c r="I40" s="4735"/>
      <c r="J40" s="4735"/>
      <c r="K40" s="4735"/>
      <c r="L40" s="4735"/>
      <c r="M40" s="4735"/>
      <c r="N40" s="4735"/>
      <c r="O40" s="4735"/>
      <c r="P40" s="4735"/>
      <c r="Q40" s="4735"/>
      <c r="R40" s="4735"/>
      <c r="S40" s="4735"/>
      <c r="T40" s="4735"/>
      <c r="U40" s="4735"/>
      <c r="V40" s="4735"/>
      <c r="W40" s="4735"/>
      <c r="X40" s="4735"/>
      <c r="Y40" s="4736"/>
    </row>
    <row r="41" spans="1:25" ht="15" customHeight="1" x14ac:dyDescent="0.2">
      <c r="A41" s="509">
        <v>9</v>
      </c>
      <c r="B41" s="509" t="s">
        <v>56</v>
      </c>
      <c r="C41" s="509"/>
      <c r="D41" s="4734" t="s">
        <v>1132</v>
      </c>
      <c r="E41" s="4735"/>
      <c r="F41" s="4735"/>
      <c r="G41" s="4735"/>
      <c r="H41" s="4735"/>
      <c r="I41" s="4735"/>
      <c r="J41" s="4735"/>
      <c r="K41" s="4735"/>
      <c r="L41" s="4735"/>
      <c r="M41" s="4735"/>
      <c r="N41" s="4735"/>
      <c r="O41" s="4735"/>
      <c r="P41" s="4735"/>
      <c r="Q41" s="4735"/>
      <c r="R41" s="4735"/>
      <c r="S41" s="4735"/>
      <c r="T41" s="4735"/>
      <c r="U41" s="4735"/>
      <c r="V41" s="4735"/>
      <c r="W41" s="4735"/>
      <c r="X41" s="4735"/>
      <c r="Y41" s="4736"/>
    </row>
    <row r="42" spans="1:25" ht="15" customHeight="1" x14ac:dyDescent="0.2">
      <c r="A42" s="509">
        <v>10</v>
      </c>
      <c r="B42" s="509" t="s">
        <v>58</v>
      </c>
      <c r="C42" s="509"/>
      <c r="D42" s="4734"/>
      <c r="E42" s="4735"/>
      <c r="F42" s="4735"/>
      <c r="G42" s="4735"/>
      <c r="H42" s="4735"/>
      <c r="I42" s="4735"/>
      <c r="J42" s="4735"/>
      <c r="K42" s="4735"/>
      <c r="L42" s="4735"/>
      <c r="M42" s="4735"/>
      <c r="N42" s="4735"/>
      <c r="O42" s="4735"/>
      <c r="P42" s="4735"/>
      <c r="Q42" s="4735"/>
      <c r="R42" s="4735"/>
      <c r="S42" s="4735"/>
      <c r="T42" s="4735"/>
      <c r="U42" s="4735"/>
      <c r="V42" s="4735"/>
      <c r="W42" s="4735"/>
      <c r="X42" s="4735"/>
      <c r="Y42" s="4736"/>
    </row>
  </sheetData>
  <mergeCells count="8">
    <mergeCell ref="D41:Y41"/>
    <mergeCell ref="D42:Y42"/>
    <mergeCell ref="D2:Y2"/>
    <mergeCell ref="D3:Y3"/>
    <mergeCell ref="D4:Y4"/>
    <mergeCell ref="D5:Y5"/>
    <mergeCell ref="D39:Y39"/>
    <mergeCell ref="D40:Y40"/>
  </mergeCells>
  <pageMargins left="0.74803149606299202" right="0.74803149606299202" top="0.98425196850393704" bottom="0.98425196850393704" header="0.511811023622047" footer="0.511811023622047"/>
  <pageSetup paperSize="9" scale="54"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9B07A-B1B0-407D-9FD2-F09FB08F3BD0}">
  <sheetPr>
    <tabColor rgb="FFFFC000"/>
    <pageSetUpPr fitToPage="1"/>
  </sheetPr>
  <dimension ref="A1:BI65"/>
  <sheetViews>
    <sheetView showGridLines="0" view="pageBreakPreview" topLeftCell="A25" zoomScale="90" zoomScaleNormal="100" zoomScaleSheetLayoutView="90" workbookViewId="0">
      <selection activeCell="D5" sqref="D5:AD5"/>
    </sheetView>
  </sheetViews>
  <sheetFormatPr defaultRowHeight="15" x14ac:dyDescent="0.2"/>
  <cols>
    <col min="1" max="1" width="3.85546875" style="1119" customWidth="1"/>
    <col min="2" max="2" width="14.42578125" style="1119" customWidth="1"/>
    <col min="3" max="3" width="3.85546875" style="1119" customWidth="1"/>
    <col min="4" max="11" width="10.85546875" style="751" customWidth="1"/>
    <col min="12" max="12" width="9.140625" style="751" customWidth="1"/>
    <col min="13" max="13" width="10.140625" style="751" customWidth="1"/>
    <col min="14" max="24" width="10.85546875" style="751" customWidth="1"/>
    <col min="25" max="25" width="11.140625" style="751" customWidth="1"/>
    <col min="26" max="26" width="11" style="751" customWidth="1"/>
    <col min="27" max="27" width="11.85546875" style="751" customWidth="1"/>
    <col min="28" max="28" width="10.140625" style="751" customWidth="1"/>
    <col min="29" max="29" width="8.85546875" style="751"/>
    <col min="30" max="35" width="10.85546875" style="751" customWidth="1"/>
    <col min="36" max="36" width="9.85546875" style="751" customWidth="1"/>
    <col min="37" max="37" width="10" style="751" customWidth="1"/>
    <col min="38" max="39" width="8.85546875" style="751"/>
    <col min="40" max="40" width="9.85546875" style="751" customWidth="1"/>
    <col min="41" max="41" width="11" style="751" customWidth="1"/>
    <col min="42" max="42" width="10.140625" style="751" customWidth="1"/>
    <col min="43" max="43" width="8.85546875" style="751"/>
    <col min="44" max="44" width="9.85546875" style="751" customWidth="1"/>
    <col min="45" max="45" width="9.5703125" style="751" customWidth="1"/>
    <col min="46" max="46" width="9.42578125" style="751" customWidth="1"/>
    <col min="47" max="47" width="9.85546875" style="751" customWidth="1"/>
    <col min="48" max="48" width="9.5703125" style="751" customWidth="1"/>
    <col min="49" max="49" width="9.85546875" style="751" customWidth="1"/>
    <col min="50" max="50" width="8.85546875" style="751"/>
    <col min="51" max="51" width="10.5703125" style="751" customWidth="1"/>
    <col min="52" max="52" width="8.85546875" style="751"/>
    <col min="53" max="53" width="9.5703125" style="751" customWidth="1"/>
    <col min="54" max="54" width="9.85546875" style="751" customWidth="1"/>
    <col min="55" max="281" width="8.85546875" style="751"/>
    <col min="282" max="282" width="3.85546875" style="751" customWidth="1"/>
    <col min="283" max="283" width="14.42578125" style="751" customWidth="1"/>
    <col min="284" max="284" width="3.85546875" style="751" customWidth="1"/>
    <col min="285" max="299" width="10.85546875" style="751" customWidth="1"/>
    <col min="300" max="300" width="8.85546875" style="751" customWidth="1"/>
    <col min="301" max="537" width="8.85546875" style="751"/>
    <col min="538" max="538" width="3.85546875" style="751" customWidth="1"/>
    <col min="539" max="539" width="14.42578125" style="751" customWidth="1"/>
    <col min="540" max="540" width="3.85546875" style="751" customWidth="1"/>
    <col min="541" max="555" width="10.85546875" style="751" customWidth="1"/>
    <col min="556" max="556" width="8.85546875" style="751" customWidth="1"/>
    <col min="557" max="793" width="8.85546875" style="751"/>
    <col min="794" max="794" width="3.85546875" style="751" customWidth="1"/>
    <col min="795" max="795" width="14.42578125" style="751" customWidth="1"/>
    <col min="796" max="796" width="3.85546875" style="751" customWidth="1"/>
    <col min="797" max="811" width="10.85546875" style="751" customWidth="1"/>
    <col min="812" max="812" width="8.85546875" style="751" customWidth="1"/>
    <col min="813" max="1049" width="8.85546875" style="751"/>
    <col min="1050" max="1050" width="3.85546875" style="751" customWidth="1"/>
    <col min="1051" max="1051" width="14.42578125" style="751" customWidth="1"/>
    <col min="1052" max="1052" width="3.85546875" style="751" customWidth="1"/>
    <col min="1053" max="1067" width="10.85546875" style="751" customWidth="1"/>
    <col min="1068" max="1068" width="8.85546875" style="751" customWidth="1"/>
    <col min="1069" max="1305" width="8.85546875" style="751"/>
    <col min="1306" max="1306" width="3.85546875" style="751" customWidth="1"/>
    <col min="1307" max="1307" width="14.42578125" style="751" customWidth="1"/>
    <col min="1308" max="1308" width="3.85546875" style="751" customWidth="1"/>
    <col min="1309" max="1323" width="10.85546875" style="751" customWidth="1"/>
    <col min="1324" max="1324" width="8.85546875" style="751" customWidth="1"/>
    <col min="1325" max="1561" width="8.85546875" style="751"/>
    <col min="1562" max="1562" width="3.85546875" style="751" customWidth="1"/>
    <col min="1563" max="1563" width="14.42578125" style="751" customWidth="1"/>
    <col min="1564" max="1564" width="3.85546875" style="751" customWidth="1"/>
    <col min="1565" max="1579" width="10.85546875" style="751" customWidth="1"/>
    <col min="1580" max="1580" width="8.85546875" style="751" customWidth="1"/>
    <col min="1581" max="1817" width="8.85546875" style="751"/>
    <col min="1818" max="1818" width="3.85546875" style="751" customWidth="1"/>
    <col min="1819" max="1819" width="14.42578125" style="751" customWidth="1"/>
    <col min="1820" max="1820" width="3.85546875" style="751" customWidth="1"/>
    <col min="1821" max="1835" width="10.85546875" style="751" customWidth="1"/>
    <col min="1836" max="1836" width="8.85546875" style="751" customWidth="1"/>
    <col min="1837" max="2073" width="8.85546875" style="751"/>
    <col min="2074" max="2074" width="3.85546875" style="751" customWidth="1"/>
    <col min="2075" max="2075" width="14.42578125" style="751" customWidth="1"/>
    <col min="2076" max="2076" width="3.85546875" style="751" customWidth="1"/>
    <col min="2077" max="2091" width="10.85546875" style="751" customWidth="1"/>
    <col min="2092" max="2092" width="8.85546875" style="751" customWidth="1"/>
    <col min="2093" max="2329" width="8.85546875" style="751"/>
    <col min="2330" max="2330" width="3.85546875" style="751" customWidth="1"/>
    <col min="2331" max="2331" width="14.42578125" style="751" customWidth="1"/>
    <col min="2332" max="2332" width="3.85546875" style="751" customWidth="1"/>
    <col min="2333" max="2347" width="10.85546875" style="751" customWidth="1"/>
    <col min="2348" max="2348" width="8.85546875" style="751" customWidth="1"/>
    <col min="2349" max="2585" width="8.85546875" style="751"/>
    <col min="2586" max="2586" width="3.85546875" style="751" customWidth="1"/>
    <col min="2587" max="2587" width="14.42578125" style="751" customWidth="1"/>
    <col min="2588" max="2588" width="3.85546875" style="751" customWidth="1"/>
    <col min="2589" max="2603" width="10.85546875" style="751" customWidth="1"/>
    <col min="2604" max="2604" width="8.85546875" style="751" customWidth="1"/>
    <col min="2605" max="2841" width="8.85546875" style="751"/>
    <col min="2842" max="2842" width="3.85546875" style="751" customWidth="1"/>
    <col min="2843" max="2843" width="14.42578125" style="751" customWidth="1"/>
    <col min="2844" max="2844" width="3.85546875" style="751" customWidth="1"/>
    <col min="2845" max="2859" width="10.85546875" style="751" customWidth="1"/>
    <col min="2860" max="2860" width="8.85546875" style="751" customWidth="1"/>
    <col min="2861" max="3097" width="8.85546875" style="751"/>
    <col min="3098" max="3098" width="3.85546875" style="751" customWidth="1"/>
    <col min="3099" max="3099" width="14.42578125" style="751" customWidth="1"/>
    <col min="3100" max="3100" width="3.85546875" style="751" customWidth="1"/>
    <col min="3101" max="3115" width="10.85546875" style="751" customWidth="1"/>
    <col min="3116" max="3116" width="8.85546875" style="751" customWidth="1"/>
    <col min="3117" max="3353" width="8.85546875" style="751"/>
    <col min="3354" max="3354" width="3.85546875" style="751" customWidth="1"/>
    <col min="3355" max="3355" width="14.42578125" style="751" customWidth="1"/>
    <col min="3356" max="3356" width="3.85546875" style="751" customWidth="1"/>
    <col min="3357" max="3371" width="10.85546875" style="751" customWidth="1"/>
    <col min="3372" max="3372" width="8.85546875" style="751" customWidth="1"/>
    <col min="3373" max="3609" width="8.85546875" style="751"/>
    <col min="3610" max="3610" width="3.85546875" style="751" customWidth="1"/>
    <col min="3611" max="3611" width="14.42578125" style="751" customWidth="1"/>
    <col min="3612" max="3612" width="3.85546875" style="751" customWidth="1"/>
    <col min="3613" max="3627" width="10.85546875" style="751" customWidth="1"/>
    <col min="3628" max="3628" width="8.85546875" style="751" customWidth="1"/>
    <col min="3629" max="3865" width="8.85546875" style="751"/>
    <col min="3866" max="3866" width="3.85546875" style="751" customWidth="1"/>
    <col min="3867" max="3867" width="14.42578125" style="751" customWidth="1"/>
    <col min="3868" max="3868" width="3.85546875" style="751" customWidth="1"/>
    <col min="3869" max="3883" width="10.85546875" style="751" customWidth="1"/>
    <col min="3884" max="3884" width="8.85546875" style="751" customWidth="1"/>
    <col min="3885" max="4121" width="8.85546875" style="751"/>
    <col min="4122" max="4122" width="3.85546875" style="751" customWidth="1"/>
    <col min="4123" max="4123" width="14.42578125" style="751" customWidth="1"/>
    <col min="4124" max="4124" width="3.85546875" style="751" customWidth="1"/>
    <col min="4125" max="4139" width="10.85546875" style="751" customWidth="1"/>
    <col min="4140" max="4140" width="8.85546875" style="751" customWidth="1"/>
    <col min="4141" max="4377" width="8.85546875" style="751"/>
    <col min="4378" max="4378" width="3.85546875" style="751" customWidth="1"/>
    <col min="4379" max="4379" width="14.42578125" style="751" customWidth="1"/>
    <col min="4380" max="4380" width="3.85546875" style="751" customWidth="1"/>
    <col min="4381" max="4395" width="10.85546875" style="751" customWidth="1"/>
    <col min="4396" max="4396" width="8.85546875" style="751" customWidth="1"/>
    <col min="4397" max="4633" width="8.85546875" style="751"/>
    <col min="4634" max="4634" width="3.85546875" style="751" customWidth="1"/>
    <col min="4635" max="4635" width="14.42578125" style="751" customWidth="1"/>
    <col min="4636" max="4636" width="3.85546875" style="751" customWidth="1"/>
    <col min="4637" max="4651" width="10.85546875" style="751" customWidth="1"/>
    <col min="4652" max="4652" width="8.85546875" style="751" customWidth="1"/>
    <col min="4653" max="4889" width="8.85546875" style="751"/>
    <col min="4890" max="4890" width="3.85546875" style="751" customWidth="1"/>
    <col min="4891" max="4891" width="14.42578125" style="751" customWidth="1"/>
    <col min="4892" max="4892" width="3.85546875" style="751" customWidth="1"/>
    <col min="4893" max="4907" width="10.85546875" style="751" customWidth="1"/>
    <col min="4908" max="4908" width="8.85546875" style="751" customWidth="1"/>
    <col min="4909" max="5145" width="8.85546875" style="751"/>
    <col min="5146" max="5146" width="3.85546875" style="751" customWidth="1"/>
    <col min="5147" max="5147" width="14.42578125" style="751" customWidth="1"/>
    <col min="5148" max="5148" width="3.85546875" style="751" customWidth="1"/>
    <col min="5149" max="5163" width="10.85546875" style="751" customWidth="1"/>
    <col min="5164" max="5164" width="8.85546875" style="751" customWidth="1"/>
    <col min="5165" max="5401" width="8.85546875" style="751"/>
    <col min="5402" max="5402" width="3.85546875" style="751" customWidth="1"/>
    <col min="5403" max="5403" width="14.42578125" style="751" customWidth="1"/>
    <col min="5404" max="5404" width="3.85546875" style="751" customWidth="1"/>
    <col min="5405" max="5419" width="10.85546875" style="751" customWidth="1"/>
    <col min="5420" max="5420" width="8.85546875" style="751" customWidth="1"/>
    <col min="5421" max="5657" width="8.85546875" style="751"/>
    <col min="5658" max="5658" width="3.85546875" style="751" customWidth="1"/>
    <col min="5659" max="5659" width="14.42578125" style="751" customWidth="1"/>
    <col min="5660" max="5660" width="3.85546875" style="751" customWidth="1"/>
    <col min="5661" max="5675" width="10.85546875" style="751" customWidth="1"/>
    <col min="5676" max="5676" width="8.85546875" style="751" customWidth="1"/>
    <col min="5677" max="5913" width="8.85546875" style="751"/>
    <col min="5914" max="5914" width="3.85546875" style="751" customWidth="1"/>
    <col min="5915" max="5915" width="14.42578125" style="751" customWidth="1"/>
    <col min="5916" max="5916" width="3.85546875" style="751" customWidth="1"/>
    <col min="5917" max="5931" width="10.85546875" style="751" customWidth="1"/>
    <col min="5932" max="5932" width="8.85546875" style="751" customWidth="1"/>
    <col min="5933" max="6169" width="8.85546875" style="751"/>
    <col min="6170" max="6170" width="3.85546875" style="751" customWidth="1"/>
    <col min="6171" max="6171" width="14.42578125" style="751" customWidth="1"/>
    <col min="6172" max="6172" width="3.85546875" style="751" customWidth="1"/>
    <col min="6173" max="6187" width="10.85546875" style="751" customWidth="1"/>
    <col min="6188" max="6188" width="8.85546875" style="751" customWidth="1"/>
    <col min="6189" max="6425" width="8.85546875" style="751"/>
    <col min="6426" max="6426" width="3.85546875" style="751" customWidth="1"/>
    <col min="6427" max="6427" width="14.42578125" style="751" customWidth="1"/>
    <col min="6428" max="6428" width="3.85546875" style="751" customWidth="1"/>
    <col min="6429" max="6443" width="10.85546875" style="751" customWidth="1"/>
    <col min="6444" max="6444" width="8.85546875" style="751" customWidth="1"/>
    <col min="6445" max="6681" width="8.85546875" style="751"/>
    <col min="6682" max="6682" width="3.85546875" style="751" customWidth="1"/>
    <col min="6683" max="6683" width="14.42578125" style="751" customWidth="1"/>
    <col min="6684" max="6684" width="3.85546875" style="751" customWidth="1"/>
    <col min="6685" max="6699" width="10.85546875" style="751" customWidth="1"/>
    <col min="6700" max="6700" width="8.85546875" style="751" customWidth="1"/>
    <col min="6701" max="6937" width="8.85546875" style="751"/>
    <col min="6938" max="6938" width="3.85546875" style="751" customWidth="1"/>
    <col min="6939" max="6939" width="14.42578125" style="751" customWidth="1"/>
    <col min="6940" max="6940" width="3.85546875" style="751" customWidth="1"/>
    <col min="6941" max="6955" width="10.85546875" style="751" customWidth="1"/>
    <col min="6956" max="6956" width="8.85546875" style="751" customWidth="1"/>
    <col min="6957" max="7193" width="8.85546875" style="751"/>
    <col min="7194" max="7194" width="3.85546875" style="751" customWidth="1"/>
    <col min="7195" max="7195" width="14.42578125" style="751" customWidth="1"/>
    <col min="7196" max="7196" width="3.85546875" style="751" customWidth="1"/>
    <col min="7197" max="7211" width="10.85546875" style="751" customWidth="1"/>
    <col min="7212" max="7212" width="8.85546875" style="751" customWidth="1"/>
    <col min="7213" max="7449" width="8.85546875" style="751"/>
    <col min="7450" max="7450" width="3.85546875" style="751" customWidth="1"/>
    <col min="7451" max="7451" width="14.42578125" style="751" customWidth="1"/>
    <col min="7452" max="7452" width="3.85546875" style="751" customWidth="1"/>
    <col min="7453" max="7467" width="10.85546875" style="751" customWidth="1"/>
    <col min="7468" max="7468" width="8.85546875" style="751" customWidth="1"/>
    <col min="7469" max="7705" width="8.85546875" style="751"/>
    <col min="7706" max="7706" width="3.85546875" style="751" customWidth="1"/>
    <col min="7707" max="7707" width="14.42578125" style="751" customWidth="1"/>
    <col min="7708" max="7708" width="3.85546875" style="751" customWidth="1"/>
    <col min="7709" max="7723" width="10.85546875" style="751" customWidth="1"/>
    <col min="7724" max="7724" width="8.85546875" style="751" customWidth="1"/>
    <col min="7725" max="7961" width="8.85546875" style="751"/>
    <col min="7962" max="7962" width="3.85546875" style="751" customWidth="1"/>
    <col min="7963" max="7963" width="14.42578125" style="751" customWidth="1"/>
    <col min="7964" max="7964" width="3.85546875" style="751" customWidth="1"/>
    <col min="7965" max="7979" width="10.85546875" style="751" customWidth="1"/>
    <col min="7980" max="7980" width="8.85546875" style="751" customWidth="1"/>
    <col min="7981" max="8217" width="8.85546875" style="751"/>
    <col min="8218" max="8218" width="3.85546875" style="751" customWidth="1"/>
    <col min="8219" max="8219" width="14.42578125" style="751" customWidth="1"/>
    <col min="8220" max="8220" width="3.85546875" style="751" customWidth="1"/>
    <col min="8221" max="8235" width="10.85546875" style="751" customWidth="1"/>
    <col min="8236" max="8236" width="8.85546875" style="751" customWidth="1"/>
    <col min="8237" max="8473" width="8.85546875" style="751"/>
    <col min="8474" max="8474" width="3.85546875" style="751" customWidth="1"/>
    <col min="8475" max="8475" width="14.42578125" style="751" customWidth="1"/>
    <col min="8476" max="8476" width="3.85546875" style="751" customWidth="1"/>
    <col min="8477" max="8491" width="10.85546875" style="751" customWidth="1"/>
    <col min="8492" max="8492" width="8.85546875" style="751" customWidth="1"/>
    <col min="8493" max="8729" width="8.85546875" style="751"/>
    <col min="8730" max="8730" width="3.85546875" style="751" customWidth="1"/>
    <col min="8731" max="8731" width="14.42578125" style="751" customWidth="1"/>
    <col min="8732" max="8732" width="3.85546875" style="751" customWidth="1"/>
    <col min="8733" max="8747" width="10.85546875" style="751" customWidth="1"/>
    <col min="8748" max="8748" width="8.85546875" style="751" customWidth="1"/>
    <col min="8749" max="8985" width="8.85546875" style="751"/>
    <col min="8986" max="8986" width="3.85546875" style="751" customWidth="1"/>
    <col min="8987" max="8987" width="14.42578125" style="751" customWidth="1"/>
    <col min="8988" max="8988" width="3.85546875" style="751" customWidth="1"/>
    <col min="8989" max="9003" width="10.85546875" style="751" customWidth="1"/>
    <col min="9004" max="9004" width="8.85546875" style="751" customWidth="1"/>
    <col min="9005" max="9241" width="8.85546875" style="751"/>
    <col min="9242" max="9242" width="3.85546875" style="751" customWidth="1"/>
    <col min="9243" max="9243" width="14.42578125" style="751" customWidth="1"/>
    <col min="9244" max="9244" width="3.85546875" style="751" customWidth="1"/>
    <col min="9245" max="9259" width="10.85546875" style="751" customWidth="1"/>
    <col min="9260" max="9260" width="8.85546875" style="751" customWidth="1"/>
    <col min="9261" max="9497" width="8.85546875" style="751"/>
    <col min="9498" max="9498" width="3.85546875" style="751" customWidth="1"/>
    <col min="9499" max="9499" width="14.42578125" style="751" customWidth="1"/>
    <col min="9500" max="9500" width="3.85546875" style="751" customWidth="1"/>
    <col min="9501" max="9515" width="10.85546875" style="751" customWidth="1"/>
    <col min="9516" max="9516" width="8.85546875" style="751" customWidth="1"/>
    <col min="9517" max="9753" width="8.85546875" style="751"/>
    <col min="9754" max="9754" width="3.85546875" style="751" customWidth="1"/>
    <col min="9755" max="9755" width="14.42578125" style="751" customWidth="1"/>
    <col min="9756" max="9756" width="3.85546875" style="751" customWidth="1"/>
    <col min="9757" max="9771" width="10.85546875" style="751" customWidth="1"/>
    <col min="9772" max="9772" width="8.85546875" style="751" customWidth="1"/>
    <col min="9773" max="10009" width="8.85546875" style="751"/>
    <col min="10010" max="10010" width="3.85546875" style="751" customWidth="1"/>
    <col min="10011" max="10011" width="14.42578125" style="751" customWidth="1"/>
    <col min="10012" max="10012" width="3.85546875" style="751" customWidth="1"/>
    <col min="10013" max="10027" width="10.85546875" style="751" customWidth="1"/>
    <col min="10028" max="10028" width="8.85546875" style="751" customWidth="1"/>
    <col min="10029" max="10265" width="8.85546875" style="751"/>
    <col min="10266" max="10266" width="3.85546875" style="751" customWidth="1"/>
    <col min="10267" max="10267" width="14.42578125" style="751" customWidth="1"/>
    <col min="10268" max="10268" width="3.85546875" style="751" customWidth="1"/>
    <col min="10269" max="10283" width="10.85546875" style="751" customWidth="1"/>
    <col min="10284" max="10284" width="8.85546875" style="751" customWidth="1"/>
    <col min="10285" max="10521" width="8.85546875" style="751"/>
    <col min="10522" max="10522" width="3.85546875" style="751" customWidth="1"/>
    <col min="10523" max="10523" width="14.42578125" style="751" customWidth="1"/>
    <col min="10524" max="10524" width="3.85546875" style="751" customWidth="1"/>
    <col min="10525" max="10539" width="10.85546875" style="751" customWidth="1"/>
    <col min="10540" max="10540" width="8.85546875" style="751" customWidth="1"/>
    <col min="10541" max="10777" width="8.85546875" style="751"/>
    <col min="10778" max="10778" width="3.85546875" style="751" customWidth="1"/>
    <col min="10779" max="10779" width="14.42578125" style="751" customWidth="1"/>
    <col min="10780" max="10780" width="3.85546875" style="751" customWidth="1"/>
    <col min="10781" max="10795" width="10.85546875" style="751" customWidth="1"/>
    <col min="10796" max="10796" width="8.85546875" style="751" customWidth="1"/>
    <col min="10797" max="11033" width="8.85546875" style="751"/>
    <col min="11034" max="11034" width="3.85546875" style="751" customWidth="1"/>
    <col min="11035" max="11035" width="14.42578125" style="751" customWidth="1"/>
    <col min="11036" max="11036" width="3.85546875" style="751" customWidth="1"/>
    <col min="11037" max="11051" width="10.85546875" style="751" customWidth="1"/>
    <col min="11052" max="11052" width="8.85546875" style="751" customWidth="1"/>
    <col min="11053" max="11289" width="8.85546875" style="751"/>
    <col min="11290" max="11290" width="3.85546875" style="751" customWidth="1"/>
    <col min="11291" max="11291" width="14.42578125" style="751" customWidth="1"/>
    <col min="11292" max="11292" width="3.85546875" style="751" customWidth="1"/>
    <col min="11293" max="11307" width="10.85546875" style="751" customWidth="1"/>
    <col min="11308" max="11308" width="8.85546875" style="751" customWidth="1"/>
    <col min="11309" max="11545" width="8.85546875" style="751"/>
    <col min="11546" max="11546" width="3.85546875" style="751" customWidth="1"/>
    <col min="11547" max="11547" width="14.42578125" style="751" customWidth="1"/>
    <col min="11548" max="11548" width="3.85546875" style="751" customWidth="1"/>
    <col min="11549" max="11563" width="10.85546875" style="751" customWidth="1"/>
    <col min="11564" max="11564" width="8.85546875" style="751" customWidth="1"/>
    <col min="11565" max="11801" width="8.85546875" style="751"/>
    <col min="11802" max="11802" width="3.85546875" style="751" customWidth="1"/>
    <col min="11803" max="11803" width="14.42578125" style="751" customWidth="1"/>
    <col min="11804" max="11804" width="3.85546875" style="751" customWidth="1"/>
    <col min="11805" max="11819" width="10.85546875" style="751" customWidth="1"/>
    <col min="11820" max="11820" width="8.85546875" style="751" customWidth="1"/>
    <col min="11821" max="12057" width="8.85546875" style="751"/>
    <col min="12058" max="12058" width="3.85546875" style="751" customWidth="1"/>
    <col min="12059" max="12059" width="14.42578125" style="751" customWidth="1"/>
    <col min="12060" max="12060" width="3.85546875" style="751" customWidth="1"/>
    <col min="12061" max="12075" width="10.85546875" style="751" customWidth="1"/>
    <col min="12076" max="12076" width="8.85546875" style="751" customWidth="1"/>
    <col min="12077" max="12313" width="8.85546875" style="751"/>
    <col min="12314" max="12314" width="3.85546875" style="751" customWidth="1"/>
    <col min="12315" max="12315" width="14.42578125" style="751" customWidth="1"/>
    <col min="12316" max="12316" width="3.85546875" style="751" customWidth="1"/>
    <col min="12317" max="12331" width="10.85546875" style="751" customWidth="1"/>
    <col min="12332" max="12332" width="8.85546875" style="751" customWidth="1"/>
    <col min="12333" max="12569" width="8.85546875" style="751"/>
    <col min="12570" max="12570" width="3.85546875" style="751" customWidth="1"/>
    <col min="12571" max="12571" width="14.42578125" style="751" customWidth="1"/>
    <col min="12572" max="12572" width="3.85546875" style="751" customWidth="1"/>
    <col min="12573" max="12587" width="10.85546875" style="751" customWidth="1"/>
    <col min="12588" max="12588" width="8.85546875" style="751" customWidth="1"/>
    <col min="12589" max="12825" width="8.85546875" style="751"/>
    <col min="12826" max="12826" width="3.85546875" style="751" customWidth="1"/>
    <col min="12827" max="12827" width="14.42578125" style="751" customWidth="1"/>
    <col min="12828" max="12828" width="3.85546875" style="751" customWidth="1"/>
    <col min="12829" max="12843" width="10.85546875" style="751" customWidth="1"/>
    <col min="12844" max="12844" width="8.85546875" style="751" customWidth="1"/>
    <col min="12845" max="13081" width="8.85546875" style="751"/>
    <col min="13082" max="13082" width="3.85546875" style="751" customWidth="1"/>
    <col min="13083" max="13083" width="14.42578125" style="751" customWidth="1"/>
    <col min="13084" max="13084" width="3.85546875" style="751" customWidth="1"/>
    <col min="13085" max="13099" width="10.85546875" style="751" customWidth="1"/>
    <col min="13100" max="13100" width="8.85546875" style="751" customWidth="1"/>
    <col min="13101" max="13337" width="8.85546875" style="751"/>
    <col min="13338" max="13338" width="3.85546875" style="751" customWidth="1"/>
    <col min="13339" max="13339" width="14.42578125" style="751" customWidth="1"/>
    <col min="13340" max="13340" width="3.85546875" style="751" customWidth="1"/>
    <col min="13341" max="13355" width="10.85546875" style="751" customWidth="1"/>
    <col min="13356" max="13356" width="8.85546875" style="751" customWidth="1"/>
    <col min="13357" max="13593" width="8.85546875" style="751"/>
    <col min="13594" max="13594" width="3.85546875" style="751" customWidth="1"/>
    <col min="13595" max="13595" width="14.42578125" style="751" customWidth="1"/>
    <col min="13596" max="13596" width="3.85546875" style="751" customWidth="1"/>
    <col min="13597" max="13611" width="10.85546875" style="751" customWidth="1"/>
    <col min="13612" max="13612" width="8.85546875" style="751" customWidth="1"/>
    <col min="13613" max="13849" width="8.85546875" style="751"/>
    <col min="13850" max="13850" width="3.85546875" style="751" customWidth="1"/>
    <col min="13851" max="13851" width="14.42578125" style="751" customWidth="1"/>
    <col min="13852" max="13852" width="3.85546875" style="751" customWidth="1"/>
    <col min="13853" max="13867" width="10.85546875" style="751" customWidth="1"/>
    <col min="13868" max="13868" width="8.85546875" style="751" customWidth="1"/>
    <col min="13869" max="14105" width="8.85546875" style="751"/>
    <col min="14106" max="14106" width="3.85546875" style="751" customWidth="1"/>
    <col min="14107" max="14107" width="14.42578125" style="751" customWidth="1"/>
    <col min="14108" max="14108" width="3.85546875" style="751" customWidth="1"/>
    <col min="14109" max="14123" width="10.85546875" style="751" customWidth="1"/>
    <col min="14124" max="14124" width="8.85546875" style="751" customWidth="1"/>
    <col min="14125" max="14361" width="8.85546875" style="751"/>
    <col min="14362" max="14362" width="3.85546875" style="751" customWidth="1"/>
    <col min="14363" max="14363" width="14.42578125" style="751" customWidth="1"/>
    <col min="14364" max="14364" width="3.85546875" style="751" customWidth="1"/>
    <col min="14365" max="14379" width="10.85546875" style="751" customWidth="1"/>
    <col min="14380" max="14380" width="8.85546875" style="751" customWidth="1"/>
    <col min="14381" max="14617" width="8.85546875" style="751"/>
    <col min="14618" max="14618" width="3.85546875" style="751" customWidth="1"/>
    <col min="14619" max="14619" width="14.42578125" style="751" customWidth="1"/>
    <col min="14620" max="14620" width="3.85546875" style="751" customWidth="1"/>
    <col min="14621" max="14635" width="10.85546875" style="751" customWidth="1"/>
    <col min="14636" max="14636" width="8.85546875" style="751" customWidth="1"/>
    <col min="14637" max="14873" width="8.85546875" style="751"/>
    <col min="14874" max="14874" width="3.85546875" style="751" customWidth="1"/>
    <col min="14875" max="14875" width="14.42578125" style="751" customWidth="1"/>
    <col min="14876" max="14876" width="3.85546875" style="751" customWidth="1"/>
    <col min="14877" max="14891" width="10.85546875" style="751" customWidth="1"/>
    <col min="14892" max="14892" width="8.85546875" style="751" customWidth="1"/>
    <col min="14893" max="15129" width="8.85546875" style="751"/>
    <col min="15130" max="15130" width="3.85546875" style="751" customWidth="1"/>
    <col min="15131" max="15131" width="14.42578125" style="751" customWidth="1"/>
    <col min="15132" max="15132" width="3.85546875" style="751" customWidth="1"/>
    <col min="15133" max="15147" width="10.85546875" style="751" customWidth="1"/>
    <col min="15148" max="15148" width="8.85546875" style="751" customWidth="1"/>
    <col min="15149" max="15385" width="8.85546875" style="751"/>
    <col min="15386" max="15386" width="3.85546875" style="751" customWidth="1"/>
    <col min="15387" max="15387" width="14.42578125" style="751" customWidth="1"/>
    <col min="15388" max="15388" width="3.85546875" style="751" customWidth="1"/>
    <col min="15389" max="15403" width="10.85546875" style="751" customWidth="1"/>
    <col min="15404" max="15404" width="8.85546875" style="751" customWidth="1"/>
    <col min="15405" max="15641" width="8.85546875" style="751"/>
    <col min="15642" max="15642" width="3.85546875" style="751" customWidth="1"/>
    <col min="15643" max="15643" width="14.42578125" style="751" customWidth="1"/>
    <col min="15644" max="15644" width="3.85546875" style="751" customWidth="1"/>
    <col min="15645" max="15659" width="10.85546875" style="751" customWidth="1"/>
    <col min="15660" max="15660" width="8.85546875" style="751" customWidth="1"/>
    <col min="15661" max="15897" width="8.85546875" style="751"/>
    <col min="15898" max="15898" width="3.85546875" style="751" customWidth="1"/>
    <col min="15899" max="15899" width="14.42578125" style="751" customWidth="1"/>
    <col min="15900" max="15900" width="3.85546875" style="751" customWidth="1"/>
    <col min="15901" max="15915" width="10.85546875" style="751" customWidth="1"/>
    <col min="15916" max="15916" width="8.85546875" style="751" customWidth="1"/>
    <col min="15917" max="16153" width="8.85546875" style="751"/>
    <col min="16154" max="16154" width="3.85546875" style="751" customWidth="1"/>
    <col min="16155" max="16155" width="14.42578125" style="751" customWidth="1"/>
    <col min="16156" max="16156" width="3.85546875" style="751" customWidth="1"/>
    <col min="16157" max="16171" width="10.85546875" style="751" customWidth="1"/>
    <col min="16172" max="16172" width="8.85546875" style="751" customWidth="1"/>
    <col min="16173" max="16384" width="8.85546875" style="751"/>
  </cols>
  <sheetData>
    <row r="1" spans="1:61" x14ac:dyDescent="0.25">
      <c r="O1" s="1137"/>
      <c r="P1" s="1137"/>
      <c r="Q1" s="1137"/>
      <c r="R1" s="1137"/>
      <c r="T1" s="1137"/>
      <c r="U1" s="1137"/>
      <c r="V1" s="1137"/>
      <c r="W1" s="1137"/>
      <c r="X1" s="1137"/>
      <c r="Y1" s="1137"/>
      <c r="Z1" s="1137"/>
      <c r="AA1" s="1137"/>
      <c r="AB1" s="1137"/>
      <c r="AC1" s="1137"/>
    </row>
    <row r="2" spans="1:61" ht="12.75" customHeight="1" x14ac:dyDescent="0.2">
      <c r="A2" s="509">
        <v>1</v>
      </c>
      <c r="B2" s="509" t="s">
        <v>0</v>
      </c>
      <c r="C2" s="509">
        <v>4</v>
      </c>
      <c r="D2" s="4624" t="s">
        <v>90</v>
      </c>
      <c r="E2" s="4625"/>
      <c r="F2" s="4625"/>
      <c r="G2" s="4625"/>
      <c r="H2" s="4625"/>
      <c r="I2" s="4625"/>
      <c r="J2" s="4625"/>
      <c r="K2" s="4625"/>
      <c r="L2" s="4625"/>
      <c r="M2" s="4625"/>
      <c r="N2" s="4625"/>
      <c r="O2" s="4625"/>
      <c r="P2" s="4625"/>
      <c r="Q2" s="4625"/>
      <c r="R2" s="4625"/>
      <c r="S2" s="4625"/>
      <c r="T2" s="4625"/>
      <c r="U2" s="4625"/>
      <c r="V2" s="4625"/>
      <c r="W2" s="4625"/>
      <c r="X2" s="4625"/>
      <c r="Y2" s="4625"/>
      <c r="Z2" s="4625"/>
      <c r="AA2" s="4625"/>
      <c r="AB2" s="4625"/>
      <c r="AC2" s="4625"/>
      <c r="AD2" s="4626"/>
      <c r="AE2" s="880"/>
      <c r="AF2" s="880"/>
      <c r="AG2" s="880"/>
      <c r="AH2" s="880"/>
      <c r="AI2" s="880"/>
    </row>
    <row r="3" spans="1:61" ht="12.75" customHeight="1" x14ac:dyDescent="0.2">
      <c r="A3" s="509">
        <v>2</v>
      </c>
      <c r="B3" s="509" t="s">
        <v>2</v>
      </c>
      <c r="C3" s="509"/>
      <c r="D3" s="4624" t="s">
        <v>91</v>
      </c>
      <c r="E3" s="4625"/>
      <c r="F3" s="4625"/>
      <c r="G3" s="4625"/>
      <c r="H3" s="4625"/>
      <c r="I3" s="4625"/>
      <c r="J3" s="4625"/>
      <c r="K3" s="4625"/>
      <c r="L3" s="4625"/>
      <c r="M3" s="4625"/>
      <c r="N3" s="4625"/>
      <c r="O3" s="4625"/>
      <c r="P3" s="4625"/>
      <c r="Q3" s="4625"/>
      <c r="R3" s="4625"/>
      <c r="S3" s="4625"/>
      <c r="T3" s="4625"/>
      <c r="U3" s="4625"/>
      <c r="V3" s="4625"/>
      <c r="W3" s="4625"/>
      <c r="X3" s="4625"/>
      <c r="Y3" s="4625"/>
      <c r="Z3" s="4625"/>
      <c r="AA3" s="4625"/>
      <c r="AB3" s="4625"/>
      <c r="AC3" s="4625"/>
      <c r="AD3" s="4626"/>
      <c r="AE3" s="880"/>
      <c r="AF3" s="880"/>
      <c r="AG3" s="880"/>
      <c r="AH3" s="880"/>
      <c r="AI3" s="880"/>
    </row>
    <row r="4" spans="1:61" ht="15" customHeight="1" x14ac:dyDescent="0.2">
      <c r="A4" s="509">
        <v>3</v>
      </c>
      <c r="B4" s="509" t="s">
        <v>4</v>
      </c>
      <c r="C4" s="509"/>
      <c r="D4" s="4624" t="s">
        <v>92</v>
      </c>
      <c r="E4" s="4625"/>
      <c r="F4" s="4625"/>
      <c r="G4" s="4625"/>
      <c r="H4" s="4625"/>
      <c r="I4" s="4625"/>
      <c r="J4" s="4625"/>
      <c r="K4" s="4625"/>
      <c r="L4" s="4625"/>
      <c r="M4" s="4625"/>
      <c r="N4" s="4625"/>
      <c r="O4" s="4625"/>
      <c r="P4" s="4625"/>
      <c r="Q4" s="4625"/>
      <c r="R4" s="4625"/>
      <c r="S4" s="4625"/>
      <c r="T4" s="4625"/>
      <c r="U4" s="4625"/>
      <c r="V4" s="4625"/>
      <c r="W4" s="4625"/>
      <c r="X4" s="4625"/>
      <c r="Y4" s="4625"/>
      <c r="Z4" s="4625"/>
      <c r="AA4" s="4625"/>
      <c r="AB4" s="4625"/>
      <c r="AC4" s="4625"/>
      <c r="AD4" s="4626"/>
      <c r="AE4" s="880"/>
      <c r="AF4" s="880"/>
      <c r="AG4" s="880"/>
      <c r="AH4" s="880"/>
      <c r="AI4" s="880"/>
    </row>
    <row r="5" spans="1:61" ht="12.75" x14ac:dyDescent="0.2">
      <c r="A5" s="509"/>
      <c r="B5" s="509"/>
      <c r="C5" s="509"/>
      <c r="D5" s="4624"/>
      <c r="E5" s="4625"/>
      <c r="F5" s="4625"/>
      <c r="G5" s="4625"/>
      <c r="H5" s="4625"/>
      <c r="I5" s="4625"/>
      <c r="J5" s="4625"/>
      <c r="K5" s="4625"/>
      <c r="L5" s="4625"/>
      <c r="M5" s="4625"/>
      <c r="N5" s="4625"/>
      <c r="O5" s="4625"/>
      <c r="P5" s="4625"/>
      <c r="Q5" s="4625"/>
      <c r="R5" s="4625"/>
      <c r="S5" s="4625"/>
      <c r="T5" s="4625"/>
      <c r="U5" s="4625"/>
      <c r="V5" s="4625"/>
      <c r="W5" s="4625"/>
      <c r="X5" s="4625"/>
      <c r="Y5" s="4625"/>
      <c r="Z5" s="4625"/>
      <c r="AA5" s="4625"/>
      <c r="AB5" s="4625"/>
      <c r="AC5" s="4625"/>
      <c r="AD5" s="4626"/>
      <c r="AE5" s="880"/>
      <c r="AF5" s="880"/>
      <c r="AG5" s="880"/>
      <c r="AH5" s="880"/>
      <c r="AI5" s="880"/>
    </row>
    <row r="6" spans="1:61" ht="13.5" thickBot="1" x14ac:dyDescent="0.25">
      <c r="A6" s="203">
        <v>4</v>
      </c>
      <c r="B6" s="203" t="s">
        <v>6</v>
      </c>
      <c r="C6" s="836"/>
      <c r="D6" s="548" t="s">
        <v>93</v>
      </c>
      <c r="E6" s="548">
        <v>2006</v>
      </c>
      <c r="F6" s="510"/>
      <c r="G6" s="510"/>
      <c r="H6" s="510"/>
      <c r="I6" s="548">
        <v>2008</v>
      </c>
      <c r="J6" s="548"/>
      <c r="K6" s="88"/>
      <c r="L6" s="88"/>
      <c r="M6" s="88"/>
      <c r="N6" s="548">
        <v>2010</v>
      </c>
      <c r="O6" s="548"/>
      <c r="P6" s="88"/>
      <c r="Q6" s="88"/>
      <c r="R6" s="88"/>
      <c r="S6" s="548">
        <v>2012</v>
      </c>
      <c r="T6" s="548"/>
      <c r="U6" s="88"/>
      <c r="V6" s="88"/>
      <c r="W6" s="88"/>
      <c r="X6" s="88"/>
      <c r="Y6" s="548">
        <v>2015</v>
      </c>
      <c r="Z6" s="88"/>
      <c r="AA6" s="88"/>
      <c r="AE6" s="548">
        <v>2017</v>
      </c>
      <c r="AF6" s="88"/>
      <c r="AG6" s="88"/>
      <c r="AK6" s="548">
        <v>2019</v>
      </c>
      <c r="AL6" s="88"/>
      <c r="AM6" s="88"/>
      <c r="AQ6" s="548">
        <v>2021</v>
      </c>
      <c r="AR6" s="572"/>
      <c r="AS6" s="572"/>
      <c r="AT6" s="760"/>
      <c r="AU6" s="760"/>
      <c r="AV6" s="760"/>
    </row>
    <row r="7" spans="1:61" ht="12.75" x14ac:dyDescent="0.2">
      <c r="A7" s="860"/>
      <c r="B7" s="836"/>
      <c r="C7" s="836"/>
      <c r="D7" s="2446"/>
      <c r="E7" s="2447"/>
      <c r="F7" s="2448"/>
      <c r="G7" s="2448"/>
      <c r="H7" s="2449"/>
      <c r="I7" s="2446"/>
      <c r="J7" s="2447"/>
      <c r="K7" s="2448"/>
      <c r="L7" s="2448"/>
      <c r="M7" s="2449"/>
      <c r="N7" s="2446"/>
      <c r="O7" s="2447"/>
      <c r="P7" s="2448"/>
      <c r="Q7" s="2448"/>
      <c r="R7" s="2449"/>
      <c r="S7" s="2446"/>
      <c r="T7" s="2447"/>
      <c r="U7" s="2448"/>
      <c r="V7" s="2448"/>
      <c r="W7" s="2448"/>
      <c r="X7" s="2449"/>
      <c r="Y7" s="2446"/>
      <c r="Z7" s="2447"/>
      <c r="AA7" s="2448"/>
      <c r="AB7" s="2448"/>
      <c r="AC7" s="2448"/>
      <c r="AD7" s="2449"/>
      <c r="AE7" s="2446"/>
      <c r="AF7" s="2447"/>
      <c r="AG7" s="2448"/>
      <c r="AH7" s="2448"/>
      <c r="AI7" s="2448"/>
      <c r="AJ7" s="2449"/>
      <c r="AK7" s="2446"/>
      <c r="AL7" s="2447"/>
      <c r="AM7" s="2448"/>
      <c r="AN7" s="2448"/>
      <c r="AO7" s="2448"/>
      <c r="AP7" s="2449"/>
      <c r="AQ7" s="2450"/>
      <c r="AR7" s="2451"/>
      <c r="AS7" s="2452"/>
      <c r="AT7" s="2452"/>
      <c r="AU7" s="2452"/>
      <c r="AV7" s="2453"/>
      <c r="BI7" s="88"/>
    </row>
    <row r="8" spans="1:61" ht="12.75" customHeight="1" x14ac:dyDescent="0.2">
      <c r="A8" s="860"/>
      <c r="B8" s="836"/>
      <c r="C8" s="836"/>
      <c r="D8" s="2454" t="s">
        <v>94</v>
      </c>
      <c r="E8" s="836"/>
      <c r="F8" s="836"/>
      <c r="G8" s="836"/>
      <c r="H8" s="2455"/>
      <c r="I8" s="2454" t="s">
        <v>94</v>
      </c>
      <c r="J8" s="836"/>
      <c r="K8" s="836"/>
      <c r="L8" s="836"/>
      <c r="M8" s="2455"/>
      <c r="N8" s="2454" t="s">
        <v>94</v>
      </c>
      <c r="O8" s="836"/>
      <c r="P8" s="836"/>
      <c r="Q8" s="836"/>
      <c r="R8" s="2455"/>
      <c r="S8" s="2454" t="s">
        <v>94</v>
      </c>
      <c r="T8" s="836"/>
      <c r="U8" s="836"/>
      <c r="V8" s="836"/>
      <c r="W8" s="836"/>
      <c r="X8" s="2455"/>
      <c r="Y8" s="2454" t="s">
        <v>94</v>
      </c>
      <c r="Z8" s="836"/>
      <c r="AA8" s="836"/>
      <c r="AB8" s="836"/>
      <c r="AC8" s="836"/>
      <c r="AD8" s="2455"/>
      <c r="AE8" s="2454" t="s">
        <v>94</v>
      </c>
      <c r="AF8" s="836"/>
      <c r="AG8" s="836"/>
      <c r="AH8" s="836"/>
      <c r="AI8" s="836"/>
      <c r="AJ8" s="2455"/>
      <c r="AK8" s="2454" t="s">
        <v>94</v>
      </c>
      <c r="AL8" s="836"/>
      <c r="AM8" s="836"/>
      <c r="AN8" s="836"/>
      <c r="AO8" s="836"/>
      <c r="AP8" s="2455"/>
      <c r="AQ8" s="2454" t="s">
        <v>94</v>
      </c>
      <c r="AR8" s="1527"/>
      <c r="AS8" s="1527"/>
      <c r="AT8" s="1527"/>
      <c r="AU8" s="1527"/>
      <c r="AV8" s="2456"/>
      <c r="BI8" s="836"/>
    </row>
    <row r="9" spans="1:61" ht="22.5" x14ac:dyDescent="0.2">
      <c r="A9" s="860"/>
      <c r="B9" s="836"/>
      <c r="C9" s="836"/>
      <c r="D9" s="3355"/>
      <c r="E9" s="3650" t="s">
        <v>95</v>
      </c>
      <c r="F9" s="3650" t="s">
        <v>96</v>
      </c>
      <c r="G9" s="3650" t="s">
        <v>97</v>
      </c>
      <c r="H9" s="3356"/>
      <c r="I9" s="3357" t="s">
        <v>95</v>
      </c>
      <c r="J9" s="3651" t="s">
        <v>98</v>
      </c>
      <c r="K9" s="3652" t="s">
        <v>99</v>
      </c>
      <c r="L9" s="3652"/>
      <c r="M9" s="3356"/>
      <c r="N9" s="3357" t="s">
        <v>95</v>
      </c>
      <c r="O9" s="3652" t="s">
        <v>100</v>
      </c>
      <c r="P9" s="3652" t="s">
        <v>101</v>
      </c>
      <c r="Q9" s="3652" t="s">
        <v>99</v>
      </c>
      <c r="R9" s="3356"/>
      <c r="S9" s="3357" t="s">
        <v>102</v>
      </c>
      <c r="T9" s="3651" t="s">
        <v>103</v>
      </c>
      <c r="U9" s="3652" t="s">
        <v>97</v>
      </c>
      <c r="V9" s="3652" t="s">
        <v>101</v>
      </c>
      <c r="W9" s="3652" t="s">
        <v>100</v>
      </c>
      <c r="X9" s="3652" t="s">
        <v>95</v>
      </c>
      <c r="Y9" s="3357" t="s">
        <v>102</v>
      </c>
      <c r="Z9" s="3652" t="s">
        <v>101</v>
      </c>
      <c r="AA9" s="3651" t="s">
        <v>103</v>
      </c>
      <c r="AB9" s="3652" t="s">
        <v>100</v>
      </c>
      <c r="AC9" s="3652" t="s">
        <v>99</v>
      </c>
      <c r="AD9" s="3356"/>
      <c r="AE9" s="3358" t="s">
        <v>102</v>
      </c>
      <c r="AF9" s="3653" t="s">
        <v>103</v>
      </c>
      <c r="AG9" s="3654" t="s">
        <v>101</v>
      </c>
      <c r="AH9" s="3654" t="s">
        <v>100</v>
      </c>
      <c r="AI9" s="3654" t="s">
        <v>104</v>
      </c>
      <c r="AJ9" s="3356"/>
      <c r="AK9" s="3358" t="s">
        <v>102</v>
      </c>
      <c r="AL9" s="3653" t="s">
        <v>103</v>
      </c>
      <c r="AM9" s="3654" t="s">
        <v>101</v>
      </c>
      <c r="AN9" s="3654" t="s">
        <v>105</v>
      </c>
      <c r="AO9" s="3654" t="s">
        <v>104</v>
      </c>
      <c r="AP9" s="3356" t="s">
        <v>106</v>
      </c>
      <c r="AQ9" s="3358" t="s">
        <v>104</v>
      </c>
      <c r="AR9" s="3653" t="s">
        <v>103</v>
      </c>
      <c r="AS9" s="3654" t="s">
        <v>102</v>
      </c>
      <c r="AT9" s="3654" t="s">
        <v>101</v>
      </c>
      <c r="AU9" s="3654" t="s">
        <v>105</v>
      </c>
      <c r="AV9" s="3356" t="s">
        <v>100</v>
      </c>
      <c r="BI9" s="836"/>
    </row>
    <row r="10" spans="1:61" x14ac:dyDescent="0.2">
      <c r="A10" s="860"/>
      <c r="B10" s="836"/>
      <c r="C10" s="836"/>
      <c r="D10" s="2457"/>
      <c r="E10" s="3359" t="s">
        <v>107</v>
      </c>
      <c r="F10" s="3360" t="s">
        <v>98</v>
      </c>
      <c r="G10" s="3359" t="s">
        <v>99</v>
      </c>
      <c r="H10" s="3535"/>
      <c r="I10" s="2458" t="s">
        <v>107</v>
      </c>
      <c r="J10" s="3359" t="s">
        <v>97</v>
      </c>
      <c r="K10" s="3361"/>
      <c r="L10" s="3362"/>
      <c r="M10" s="3535"/>
      <c r="N10" s="2458" t="s">
        <v>102</v>
      </c>
      <c r="O10" s="3363" t="s">
        <v>103</v>
      </c>
      <c r="P10" s="3359" t="s">
        <v>97</v>
      </c>
      <c r="Q10" s="3362"/>
      <c r="R10" s="3535"/>
      <c r="T10" s="3363"/>
      <c r="U10" s="3359"/>
      <c r="V10" s="3362"/>
      <c r="W10" s="3362"/>
      <c r="X10" s="3535"/>
      <c r="Z10" s="3362"/>
      <c r="AA10" s="3362"/>
      <c r="AB10" s="3362"/>
      <c r="AC10" s="3362"/>
      <c r="AD10" s="3536"/>
      <c r="AE10" s="2458"/>
      <c r="AF10" s="3362"/>
      <c r="AG10" s="3362"/>
      <c r="AH10" s="3362"/>
      <c r="AI10" s="3362"/>
      <c r="AJ10" s="3536"/>
      <c r="AK10" s="2458"/>
      <c r="AL10" s="3362"/>
      <c r="AM10" s="3362"/>
      <c r="AN10" s="3362"/>
      <c r="AO10" s="3362"/>
      <c r="AP10" s="3536"/>
      <c r="AQ10" s="2459"/>
      <c r="AR10" s="3364"/>
      <c r="AS10" s="3364"/>
      <c r="AT10" s="3364"/>
      <c r="AU10" s="3364"/>
      <c r="AV10" s="3537"/>
      <c r="BI10" s="1456"/>
    </row>
    <row r="11" spans="1:61" ht="12.75" customHeight="1" x14ac:dyDescent="0.2">
      <c r="A11" s="860"/>
      <c r="B11" s="836"/>
      <c r="C11" s="836"/>
      <c r="D11" s="2454" t="s">
        <v>108</v>
      </c>
      <c r="E11" s="836"/>
      <c r="F11" s="836"/>
      <c r="G11" s="836"/>
      <c r="H11" s="2455"/>
      <c r="I11" s="2454" t="s">
        <v>108</v>
      </c>
      <c r="J11" s="1456"/>
      <c r="K11" s="1456"/>
      <c r="L11" s="1456"/>
      <c r="M11" s="2455"/>
      <c r="N11" s="2454" t="s">
        <v>108</v>
      </c>
      <c r="O11" s="1456"/>
      <c r="P11" s="1456"/>
      <c r="Q11" s="1456"/>
      <c r="R11" s="2455"/>
      <c r="S11" s="2454" t="s">
        <v>108</v>
      </c>
      <c r="T11" s="1456"/>
      <c r="U11" s="1456"/>
      <c r="V11" s="1456"/>
      <c r="W11" s="1456"/>
      <c r="X11" s="2455"/>
      <c r="Y11" s="2454" t="s">
        <v>108</v>
      </c>
      <c r="Z11" s="1456"/>
      <c r="AA11" s="1456"/>
      <c r="AB11" s="1456"/>
      <c r="AC11" s="1456"/>
      <c r="AD11" s="2460"/>
      <c r="AE11" s="2454" t="s">
        <v>108</v>
      </c>
      <c r="AF11" s="1456"/>
      <c r="AG11" s="1456"/>
      <c r="AH11" s="1456"/>
      <c r="AI11" s="1456"/>
      <c r="AJ11" s="2460"/>
      <c r="AK11" s="2454" t="s">
        <v>108</v>
      </c>
      <c r="AL11" s="1456"/>
      <c r="AM11" s="1456"/>
      <c r="AN11" s="1456"/>
      <c r="AO11" s="1456"/>
      <c r="AP11" s="2460"/>
      <c r="AQ11" s="2454" t="s">
        <v>108</v>
      </c>
      <c r="AR11" s="2461"/>
      <c r="AS11" s="2461"/>
      <c r="AT11" s="2461"/>
      <c r="AU11" s="2461"/>
      <c r="AV11" s="2462"/>
      <c r="BI11" s="1456"/>
    </row>
    <row r="12" spans="1:61" ht="22.5" x14ac:dyDescent="0.2">
      <c r="A12" s="860"/>
      <c r="B12" s="836"/>
      <c r="C12" s="836"/>
      <c r="D12" s="3355"/>
      <c r="E12" s="3652" t="s">
        <v>109</v>
      </c>
      <c r="F12" s="3652" t="s">
        <v>100</v>
      </c>
      <c r="G12" s="3652" t="s">
        <v>110</v>
      </c>
      <c r="H12" s="3356"/>
      <c r="I12" s="3357" t="s">
        <v>111</v>
      </c>
      <c r="J12" s="3652" t="s">
        <v>112</v>
      </c>
      <c r="K12" s="3652" t="s">
        <v>113</v>
      </c>
      <c r="L12" s="3652" t="s">
        <v>114</v>
      </c>
      <c r="M12" s="3356"/>
      <c r="N12" s="3357" t="s">
        <v>106</v>
      </c>
      <c r="O12" s="3652" t="s">
        <v>115</v>
      </c>
      <c r="P12" s="3652" t="s">
        <v>116</v>
      </c>
      <c r="Q12" s="3652" t="s">
        <v>114</v>
      </c>
      <c r="R12" s="3356" t="s">
        <v>117</v>
      </c>
      <c r="S12" s="3357" t="s">
        <v>99</v>
      </c>
      <c r="T12" s="3652" t="s">
        <v>114</v>
      </c>
      <c r="U12" s="3652" t="s">
        <v>115</v>
      </c>
      <c r="V12" s="3652" t="s">
        <v>118</v>
      </c>
      <c r="W12" s="3652" t="s">
        <v>96</v>
      </c>
      <c r="X12" s="3356"/>
      <c r="Y12" s="3357" t="s">
        <v>106</v>
      </c>
      <c r="Z12" s="3652" t="s">
        <v>95</v>
      </c>
      <c r="AA12" s="3652" t="s">
        <v>97</v>
      </c>
      <c r="AB12" s="3652" t="s">
        <v>110</v>
      </c>
      <c r="AC12" s="3652" t="s">
        <v>116</v>
      </c>
      <c r="AD12" s="3356" t="s">
        <v>118</v>
      </c>
      <c r="AE12" s="3357" t="s">
        <v>105</v>
      </c>
      <c r="AF12" s="3652" t="s">
        <v>106</v>
      </c>
      <c r="AG12" s="3652" t="s">
        <v>99</v>
      </c>
      <c r="AH12" s="3652" t="s">
        <v>110</v>
      </c>
      <c r="AI12" s="3652" t="s">
        <v>97</v>
      </c>
      <c r="AJ12" s="3356" t="s">
        <v>95</v>
      </c>
      <c r="AK12" s="3357" t="s">
        <v>100</v>
      </c>
      <c r="AL12" s="3652" t="s">
        <v>119</v>
      </c>
      <c r="AM12" s="3652" t="s">
        <v>99</v>
      </c>
      <c r="AN12" s="3652" t="s">
        <v>120</v>
      </c>
      <c r="AO12" s="3652" t="s">
        <v>116</v>
      </c>
      <c r="AP12" s="3365" t="s">
        <v>121</v>
      </c>
      <c r="AQ12" s="3366"/>
      <c r="AR12" s="3655"/>
      <c r="AS12" s="3655"/>
      <c r="AT12" s="3655"/>
      <c r="AU12" s="3655"/>
      <c r="AV12" s="3367"/>
      <c r="BI12" s="836"/>
    </row>
    <row r="13" spans="1:61" ht="22.5" customHeight="1" x14ac:dyDescent="0.2">
      <c r="A13" s="860"/>
      <c r="B13" s="836"/>
      <c r="C13" s="836"/>
      <c r="D13" s="2463"/>
      <c r="E13" s="1456" t="s">
        <v>106</v>
      </c>
      <c r="F13" s="1456" t="s">
        <v>116</v>
      </c>
      <c r="G13" s="1456" t="s">
        <v>114</v>
      </c>
      <c r="H13" s="2455"/>
      <c r="I13" s="2464" t="s">
        <v>106</v>
      </c>
      <c r="J13" s="1456" t="s">
        <v>100</v>
      </c>
      <c r="K13" s="1456" t="s">
        <v>110</v>
      </c>
      <c r="L13" s="1456" t="s">
        <v>122</v>
      </c>
      <c r="M13" s="2455"/>
      <c r="N13" s="2464" t="s">
        <v>123</v>
      </c>
      <c r="O13" s="1456" t="s">
        <v>112</v>
      </c>
      <c r="P13" s="1456" t="s">
        <v>113</v>
      </c>
      <c r="Q13" s="1456" t="s">
        <v>124</v>
      </c>
      <c r="R13" s="2455"/>
      <c r="S13" s="2464" t="s">
        <v>106</v>
      </c>
      <c r="T13" s="1456" t="s">
        <v>112</v>
      </c>
      <c r="U13" s="1456" t="s">
        <v>125</v>
      </c>
      <c r="V13" s="1456" t="s">
        <v>126</v>
      </c>
      <c r="W13" s="1456" t="s">
        <v>123</v>
      </c>
      <c r="X13" s="2455"/>
      <c r="Y13" s="2464" t="s">
        <v>127</v>
      </c>
      <c r="Z13" s="1456" t="s">
        <v>112</v>
      </c>
      <c r="AA13" s="1456" t="s">
        <v>115</v>
      </c>
      <c r="AB13" s="1456" t="s">
        <v>96</v>
      </c>
      <c r="AC13" s="1456" t="s">
        <v>104</v>
      </c>
      <c r="AD13" s="2455" t="s">
        <v>105</v>
      </c>
      <c r="AE13" s="2464" t="s">
        <v>119</v>
      </c>
      <c r="AF13" s="1456" t="s">
        <v>127</v>
      </c>
      <c r="AG13" s="1456" t="s">
        <v>116</v>
      </c>
      <c r="AH13" s="836" t="s">
        <v>118</v>
      </c>
      <c r="AI13" s="1456" t="s">
        <v>128</v>
      </c>
      <c r="AJ13" s="2455" t="s">
        <v>96</v>
      </c>
      <c r="AK13" s="2464" t="s">
        <v>95</v>
      </c>
      <c r="AL13" s="1456" t="s">
        <v>118</v>
      </c>
      <c r="AM13" s="1456" t="s">
        <v>128</v>
      </c>
      <c r="AN13" s="836" t="s">
        <v>129</v>
      </c>
      <c r="AO13" s="1456" t="s">
        <v>127</v>
      </c>
      <c r="AP13" s="2455" t="s">
        <v>130</v>
      </c>
      <c r="AQ13" s="2465"/>
      <c r="AR13" s="2461"/>
      <c r="AS13" s="2461"/>
      <c r="AT13" s="1527"/>
      <c r="AU13" s="2461"/>
      <c r="AV13" s="2456"/>
      <c r="BI13" s="836"/>
    </row>
    <row r="14" spans="1:61" ht="23.25" customHeight="1" x14ac:dyDescent="0.2">
      <c r="A14" s="860"/>
      <c r="B14" s="836"/>
      <c r="C14" s="836"/>
      <c r="D14" s="2463"/>
      <c r="E14" s="1456" t="s">
        <v>131</v>
      </c>
      <c r="F14" s="1456" t="s">
        <v>132</v>
      </c>
      <c r="G14" s="1456" t="s">
        <v>101</v>
      </c>
      <c r="H14" s="2455"/>
      <c r="I14" s="2464" t="s">
        <v>115</v>
      </c>
      <c r="J14" s="1456" t="s">
        <v>116</v>
      </c>
      <c r="K14" s="1456" t="s">
        <v>96</v>
      </c>
      <c r="L14" s="1456" t="s">
        <v>101</v>
      </c>
      <c r="M14" s="2455"/>
      <c r="N14" s="2464" t="s">
        <v>133</v>
      </c>
      <c r="O14" s="1456" t="s">
        <v>125</v>
      </c>
      <c r="P14" s="1456" t="s">
        <v>96</v>
      </c>
      <c r="Q14" s="1456" t="s">
        <v>122</v>
      </c>
      <c r="R14" s="2455"/>
      <c r="S14" s="2464" t="s">
        <v>129</v>
      </c>
      <c r="T14" s="1456" t="s">
        <v>134</v>
      </c>
      <c r="U14" s="1456" t="s">
        <v>124</v>
      </c>
      <c r="V14" s="1456" t="s">
        <v>135</v>
      </c>
      <c r="W14" s="1456" t="s">
        <v>136</v>
      </c>
      <c r="X14" s="2455"/>
      <c r="Y14" s="2464" t="s">
        <v>129</v>
      </c>
      <c r="Z14" s="1456" t="s">
        <v>114</v>
      </c>
      <c r="AA14" s="1456" t="s">
        <v>137</v>
      </c>
      <c r="AB14" s="1456" t="s">
        <v>136</v>
      </c>
      <c r="AC14" s="1456" t="s">
        <v>113</v>
      </c>
      <c r="AD14" s="2460" t="s">
        <v>138</v>
      </c>
      <c r="AE14" s="2464" t="s">
        <v>112</v>
      </c>
      <c r="AF14" s="1456" t="s">
        <v>139</v>
      </c>
      <c r="AG14" s="2377" t="s">
        <v>121</v>
      </c>
      <c r="AH14" s="1456" t="s">
        <v>129</v>
      </c>
      <c r="AI14" s="1456" t="s">
        <v>136</v>
      </c>
      <c r="AJ14" s="2460" t="s">
        <v>130</v>
      </c>
      <c r="AK14" s="2464" t="s">
        <v>97</v>
      </c>
      <c r="AL14" s="1456" t="s">
        <v>112</v>
      </c>
      <c r="AM14" s="2466" t="s">
        <v>140</v>
      </c>
      <c r="AN14" s="1456" t="s">
        <v>96</v>
      </c>
      <c r="AO14" s="1456" t="s">
        <v>136</v>
      </c>
      <c r="AP14" s="2460" t="s">
        <v>141</v>
      </c>
      <c r="AQ14" s="2465"/>
      <c r="AR14" s="2461"/>
      <c r="AS14" s="2467"/>
      <c r="AT14" s="2461"/>
      <c r="AU14" s="2461"/>
      <c r="AV14" s="2462"/>
      <c r="BI14" s="1456"/>
    </row>
    <row r="15" spans="1:61" ht="23.25" customHeight="1" x14ac:dyDescent="0.2">
      <c r="A15" s="860"/>
      <c r="B15" s="836"/>
      <c r="C15" s="836"/>
      <c r="D15" s="2463"/>
      <c r="E15" s="1456"/>
      <c r="F15" s="1456"/>
      <c r="G15" s="1456"/>
      <c r="H15" s="2455"/>
      <c r="I15" s="2464"/>
      <c r="J15" s="1456"/>
      <c r="K15" s="1456"/>
      <c r="L15" s="1456"/>
      <c r="M15" s="2455"/>
      <c r="N15" s="2464"/>
      <c r="O15" s="1456"/>
      <c r="P15" s="1456"/>
      <c r="Q15" s="1456"/>
      <c r="R15" s="2455"/>
      <c r="S15" s="2464" t="s">
        <v>140</v>
      </c>
      <c r="T15" s="1456" t="s">
        <v>105</v>
      </c>
      <c r="U15" s="1456"/>
      <c r="V15" s="1456"/>
      <c r="W15" s="1456"/>
      <c r="X15" s="2455"/>
      <c r="Y15" s="2464" t="s">
        <v>134</v>
      </c>
      <c r="Z15" s="1456"/>
      <c r="AA15" s="1456"/>
      <c r="AB15" s="1456"/>
      <c r="AC15" s="1456"/>
      <c r="AD15" s="2460"/>
      <c r="AE15" s="2464" t="s">
        <v>142</v>
      </c>
      <c r="AF15" s="1456" t="s">
        <v>115</v>
      </c>
      <c r="AG15" s="2377" t="s">
        <v>141</v>
      </c>
      <c r="AH15" s="1456"/>
      <c r="AI15" s="1456"/>
      <c r="AJ15" s="2460"/>
      <c r="AK15" s="2464" t="s">
        <v>110</v>
      </c>
      <c r="AL15" s="1456" t="s">
        <v>117</v>
      </c>
      <c r="AM15" s="2466" t="s">
        <v>143</v>
      </c>
      <c r="AN15" s="1456" t="s">
        <v>144</v>
      </c>
      <c r="AO15" s="1456" t="s">
        <v>114</v>
      </c>
      <c r="AP15" s="2460" t="s">
        <v>145</v>
      </c>
      <c r="AQ15" s="2465"/>
      <c r="AR15" s="2461"/>
      <c r="AS15" s="2467"/>
      <c r="AT15" s="2461"/>
      <c r="AU15" s="2461"/>
      <c r="AV15" s="2462"/>
      <c r="BI15" s="1456"/>
    </row>
    <row r="16" spans="1:61" ht="24.75" customHeight="1" x14ac:dyDescent="0.2">
      <c r="A16" s="860"/>
      <c r="B16" s="836"/>
      <c r="C16" s="836"/>
      <c r="D16" s="2457"/>
      <c r="E16" s="3362"/>
      <c r="F16" s="3362"/>
      <c r="G16" s="3362"/>
      <c r="H16" s="3535"/>
      <c r="I16" s="2458"/>
      <c r="J16" s="3362"/>
      <c r="K16" s="3362"/>
      <c r="L16" s="3362"/>
      <c r="M16" s="3535"/>
      <c r="N16" s="2458"/>
      <c r="O16" s="3362"/>
      <c r="P16" s="3362"/>
      <c r="Q16" s="3362"/>
      <c r="R16" s="3535"/>
      <c r="S16" s="2458"/>
      <c r="T16" s="3362"/>
      <c r="U16" s="3362"/>
      <c r="V16" s="3362"/>
      <c r="W16" s="3362"/>
      <c r="X16" s="3535"/>
      <c r="Y16" s="2458"/>
      <c r="Z16" s="3362"/>
      <c r="AA16" s="3362"/>
      <c r="AB16" s="3362"/>
      <c r="AC16" s="3362"/>
      <c r="AD16" s="3535"/>
      <c r="AE16" s="2458"/>
      <c r="AF16" s="3362"/>
      <c r="AG16" s="3362"/>
      <c r="AH16" s="3362"/>
      <c r="AI16" s="3362"/>
      <c r="AJ16" s="3535"/>
      <c r="AK16" s="2458" t="s">
        <v>142</v>
      </c>
      <c r="AL16" s="3362"/>
      <c r="AM16" s="3362"/>
      <c r="AN16" s="3362"/>
      <c r="AO16" s="3362"/>
      <c r="AP16" s="3535"/>
      <c r="AQ16" s="2459"/>
      <c r="AR16" s="3364"/>
      <c r="AS16" s="3364"/>
      <c r="AT16" s="3364"/>
      <c r="AU16" s="3364"/>
      <c r="AV16" s="3538"/>
      <c r="BI16" s="836"/>
    </row>
    <row r="17" spans="1:61" ht="12.75" customHeight="1" x14ac:dyDescent="0.2">
      <c r="A17" s="860"/>
      <c r="B17" s="836"/>
      <c r="C17" s="836"/>
      <c r="D17" s="2468" t="s">
        <v>146</v>
      </c>
      <c r="E17" s="836"/>
      <c r="F17" s="836"/>
      <c r="G17" s="836"/>
      <c r="H17" s="2455"/>
      <c r="I17" s="2468" t="s">
        <v>146</v>
      </c>
      <c r="J17" s="1456"/>
      <c r="K17" s="1456"/>
      <c r="L17" s="1456"/>
      <c r="M17" s="2455"/>
      <c r="N17" s="2468" t="s">
        <v>146</v>
      </c>
      <c r="O17" s="1456"/>
      <c r="P17" s="1456"/>
      <c r="Q17" s="1456"/>
      <c r="R17" s="2455"/>
      <c r="S17" s="2468" t="s">
        <v>146</v>
      </c>
      <c r="T17" s="1456"/>
      <c r="U17" s="1456"/>
      <c r="V17" s="1456"/>
      <c r="W17" s="1456"/>
      <c r="X17" s="2455"/>
      <c r="Y17" s="2468" t="s">
        <v>146</v>
      </c>
      <c r="Z17" s="1456"/>
      <c r="AA17" s="1456"/>
      <c r="AB17" s="1456"/>
      <c r="AC17" s="1456"/>
      <c r="AD17" s="2455"/>
      <c r="AE17" s="2468" t="s">
        <v>146</v>
      </c>
      <c r="AF17" s="1456"/>
      <c r="AG17" s="1456"/>
      <c r="AH17" s="1456"/>
      <c r="AI17" s="1456"/>
      <c r="AJ17" s="2455"/>
      <c r="AK17" s="2468" t="s">
        <v>146</v>
      </c>
      <c r="AL17" s="1456"/>
      <c r="AM17" s="1456"/>
      <c r="AN17" s="1456"/>
      <c r="AO17" s="1456"/>
      <c r="AP17" s="2455"/>
      <c r="AQ17" s="2468" t="s">
        <v>146</v>
      </c>
      <c r="AR17" s="2461"/>
      <c r="AS17" s="2461"/>
      <c r="AT17" s="2461"/>
      <c r="AU17" s="2461"/>
      <c r="AV17" s="2456"/>
      <c r="BI17" s="836"/>
    </row>
    <row r="18" spans="1:61" ht="22.5" x14ac:dyDescent="0.2">
      <c r="A18" s="860"/>
      <c r="B18" s="836"/>
      <c r="C18" s="836"/>
      <c r="D18" s="3368"/>
      <c r="E18" s="3652" t="s">
        <v>133</v>
      </c>
      <c r="F18" s="3652" t="s">
        <v>130</v>
      </c>
      <c r="G18" s="3652" t="s">
        <v>147</v>
      </c>
      <c r="H18" s="3365" t="s">
        <v>122</v>
      </c>
      <c r="I18" s="3357" t="s">
        <v>148</v>
      </c>
      <c r="J18" s="3652" t="s">
        <v>149</v>
      </c>
      <c r="K18" s="3652" t="s">
        <v>150</v>
      </c>
      <c r="L18" s="3652" t="s">
        <v>118</v>
      </c>
      <c r="M18" s="3356"/>
      <c r="N18" s="3357" t="s">
        <v>148</v>
      </c>
      <c r="O18" s="3652" t="s">
        <v>140</v>
      </c>
      <c r="P18" s="3652" t="s">
        <v>142</v>
      </c>
      <c r="Q18" s="3652" t="s">
        <v>151</v>
      </c>
      <c r="R18" s="3356" t="s">
        <v>126</v>
      </c>
      <c r="S18" s="3357" t="s">
        <v>127</v>
      </c>
      <c r="T18" s="3652" t="s">
        <v>113</v>
      </c>
      <c r="U18" s="3652" t="s">
        <v>152</v>
      </c>
      <c r="V18" s="3652" t="s">
        <v>133</v>
      </c>
      <c r="W18" s="3652" t="s">
        <v>153</v>
      </c>
      <c r="X18" s="3356"/>
      <c r="Y18" s="3357" t="s">
        <v>148</v>
      </c>
      <c r="Z18" s="3652" t="s">
        <v>135</v>
      </c>
      <c r="AA18" s="3652" t="s">
        <v>124</v>
      </c>
      <c r="AB18" s="3652" t="s">
        <v>123</v>
      </c>
      <c r="AC18" s="3652" t="s">
        <v>133</v>
      </c>
      <c r="AD18" s="3356" t="s">
        <v>126</v>
      </c>
      <c r="AE18" s="3357" t="s">
        <v>144</v>
      </c>
      <c r="AF18" s="3652" t="s">
        <v>114</v>
      </c>
      <c r="AG18" s="3652" t="s">
        <v>134</v>
      </c>
      <c r="AH18" s="3652" t="s">
        <v>113</v>
      </c>
      <c r="AI18" s="3652" t="s">
        <v>126</v>
      </c>
      <c r="AJ18" s="3356" t="s">
        <v>154</v>
      </c>
      <c r="AK18" s="3357" t="s">
        <v>113</v>
      </c>
      <c r="AL18" s="3652" t="s">
        <v>126</v>
      </c>
      <c r="AM18" s="3652" t="s">
        <v>115</v>
      </c>
      <c r="AN18" s="3652" t="s">
        <v>155</v>
      </c>
      <c r="AO18" s="3652" t="s">
        <v>134</v>
      </c>
      <c r="AP18" s="3356" t="s">
        <v>156</v>
      </c>
      <c r="AQ18" s="3366"/>
      <c r="AR18" s="3655"/>
      <c r="AS18" s="3655"/>
      <c r="AT18" s="3655"/>
      <c r="AU18" s="3655"/>
      <c r="AV18" s="3369"/>
      <c r="BI18" s="836"/>
    </row>
    <row r="19" spans="1:61" ht="22.5" x14ac:dyDescent="0.2">
      <c r="A19" s="860"/>
      <c r="B19" s="836"/>
      <c r="C19" s="836"/>
      <c r="D19" s="2469"/>
      <c r="E19" s="1456" t="s">
        <v>157</v>
      </c>
      <c r="F19" s="1456" t="s">
        <v>158</v>
      </c>
      <c r="G19" s="1456" t="s">
        <v>159</v>
      </c>
      <c r="H19" s="2460" t="s">
        <v>160</v>
      </c>
      <c r="I19" s="2464" t="s">
        <v>153</v>
      </c>
      <c r="J19" s="1456" t="s">
        <v>104</v>
      </c>
      <c r="K19" s="1456" t="s">
        <v>161</v>
      </c>
      <c r="L19" s="1456" t="s">
        <v>162</v>
      </c>
      <c r="M19" s="2455"/>
      <c r="N19" s="2464" t="s">
        <v>163</v>
      </c>
      <c r="O19" s="1456" t="s">
        <v>149</v>
      </c>
      <c r="P19" s="1456" t="s">
        <v>150</v>
      </c>
      <c r="Q19" s="1456" t="s">
        <v>164</v>
      </c>
      <c r="R19" s="2455" t="s">
        <v>160</v>
      </c>
      <c r="S19" s="2464" t="s">
        <v>159</v>
      </c>
      <c r="T19" s="1456" t="s">
        <v>142</v>
      </c>
      <c r="U19" s="1456" t="s">
        <v>116</v>
      </c>
      <c r="V19" s="1456" t="s">
        <v>164</v>
      </c>
      <c r="W19" s="1456" t="s">
        <v>104</v>
      </c>
      <c r="X19" s="2455"/>
      <c r="Y19" s="2464" t="s">
        <v>153</v>
      </c>
      <c r="Z19" s="1456" t="s">
        <v>164</v>
      </c>
      <c r="AA19" s="1456" t="s">
        <v>142</v>
      </c>
      <c r="AB19" s="1456" t="s">
        <v>143</v>
      </c>
      <c r="AC19" s="1456" t="s">
        <v>157</v>
      </c>
      <c r="AD19" s="2455" t="s">
        <v>140</v>
      </c>
      <c r="AE19" s="2464" t="s">
        <v>165</v>
      </c>
      <c r="AF19" s="1456" t="s">
        <v>140</v>
      </c>
      <c r="AG19" s="1456" t="s">
        <v>123</v>
      </c>
      <c r="AH19" s="1456" t="s">
        <v>157</v>
      </c>
      <c r="AI19" s="1456" t="s">
        <v>145</v>
      </c>
      <c r="AJ19" s="2460" t="s">
        <v>143</v>
      </c>
      <c r="AK19" s="2464" t="s">
        <v>148</v>
      </c>
      <c r="AL19" s="1456" t="s">
        <v>165</v>
      </c>
      <c r="AM19" s="1456" t="s">
        <v>157</v>
      </c>
      <c r="AN19" s="1456" t="s">
        <v>166</v>
      </c>
      <c r="AO19" s="1456" t="s">
        <v>123</v>
      </c>
      <c r="AP19" s="2460" t="s">
        <v>167</v>
      </c>
      <c r="AQ19" s="2465"/>
      <c r="AR19" s="2461"/>
      <c r="AS19" s="2461"/>
      <c r="AT19" s="2461"/>
      <c r="AU19" s="2461"/>
      <c r="AV19" s="2462"/>
      <c r="BI19" s="836"/>
    </row>
    <row r="20" spans="1:61" ht="22.5" x14ac:dyDescent="0.2">
      <c r="A20" s="860"/>
      <c r="B20" s="836"/>
      <c r="C20" s="836"/>
      <c r="D20" s="2469"/>
      <c r="E20" s="1456" t="s">
        <v>140</v>
      </c>
      <c r="F20" s="1456" t="s">
        <v>156</v>
      </c>
      <c r="G20" s="1456" t="s">
        <v>164</v>
      </c>
      <c r="H20" s="2460" t="s">
        <v>154</v>
      </c>
      <c r="I20" s="2464" t="s">
        <v>168</v>
      </c>
      <c r="J20" s="1456" t="s">
        <v>169</v>
      </c>
      <c r="K20" s="1456" t="s">
        <v>105</v>
      </c>
      <c r="L20" s="1456" t="s">
        <v>154</v>
      </c>
      <c r="M20" s="2455"/>
      <c r="N20" s="2464" t="s">
        <v>153</v>
      </c>
      <c r="O20" s="1456" t="s">
        <v>104</v>
      </c>
      <c r="P20" s="1456" t="s">
        <v>161</v>
      </c>
      <c r="Q20" s="1456" t="s">
        <v>120</v>
      </c>
      <c r="R20" s="2455" t="s">
        <v>145</v>
      </c>
      <c r="S20" s="2464" t="s">
        <v>147</v>
      </c>
      <c r="T20" s="1456" t="s">
        <v>117</v>
      </c>
      <c r="U20" s="1456" t="s">
        <v>155</v>
      </c>
      <c r="V20" s="1456" t="s">
        <v>137</v>
      </c>
      <c r="W20" s="1456" t="s">
        <v>170</v>
      </c>
      <c r="X20" s="2455"/>
      <c r="Y20" s="2464" t="s">
        <v>171</v>
      </c>
      <c r="Z20" s="1456" t="s">
        <v>172</v>
      </c>
      <c r="AA20" s="1456" t="s">
        <v>170</v>
      </c>
      <c r="AB20" s="1456" t="s">
        <v>169</v>
      </c>
      <c r="AC20" s="1456" t="s">
        <v>156</v>
      </c>
      <c r="AD20" s="2455" t="s">
        <v>163</v>
      </c>
      <c r="AE20" s="2464" t="s">
        <v>117</v>
      </c>
      <c r="AF20" s="1456" t="s">
        <v>124</v>
      </c>
      <c r="AG20" s="1456" t="s">
        <v>155</v>
      </c>
      <c r="AH20" s="1456" t="s">
        <v>156</v>
      </c>
      <c r="AI20" s="1456" t="s">
        <v>151</v>
      </c>
      <c r="AJ20" s="2455" t="s">
        <v>173</v>
      </c>
      <c r="AK20" s="2464" t="s">
        <v>169</v>
      </c>
      <c r="AL20" s="1456" t="s">
        <v>124</v>
      </c>
      <c r="AM20" s="1456" t="s">
        <v>154</v>
      </c>
      <c r="AN20" s="1456" t="s">
        <v>147</v>
      </c>
      <c r="AO20" s="1456" t="s">
        <v>164</v>
      </c>
      <c r="AP20" s="2455" t="s">
        <v>150</v>
      </c>
      <c r="AQ20" s="2465"/>
      <c r="AR20" s="2461"/>
      <c r="AS20" s="2461"/>
      <c r="AT20" s="2461"/>
      <c r="AU20" s="2461"/>
      <c r="AV20" s="2456"/>
      <c r="BI20" s="836"/>
    </row>
    <row r="21" spans="1:61" ht="22.5" x14ac:dyDescent="0.2">
      <c r="A21" s="860"/>
      <c r="B21" s="836"/>
      <c r="C21" s="836"/>
      <c r="D21" s="2469"/>
      <c r="E21" s="1456" t="s">
        <v>169</v>
      </c>
      <c r="F21" s="1456" t="s">
        <v>150</v>
      </c>
      <c r="G21" s="1456" t="s">
        <v>120</v>
      </c>
      <c r="H21" s="2460"/>
      <c r="I21" s="2464" t="s">
        <v>129</v>
      </c>
      <c r="J21" s="1456" t="s">
        <v>141</v>
      </c>
      <c r="K21" s="1456" t="s">
        <v>147</v>
      </c>
      <c r="L21" s="1456" t="s">
        <v>134</v>
      </c>
      <c r="M21" s="2455"/>
      <c r="N21" s="2464" t="s">
        <v>174</v>
      </c>
      <c r="O21" s="1456" t="s">
        <v>169</v>
      </c>
      <c r="P21" s="1456" t="s">
        <v>137</v>
      </c>
      <c r="Q21" s="1456" t="s">
        <v>136</v>
      </c>
      <c r="R21" s="2455" t="s">
        <v>154</v>
      </c>
      <c r="S21" s="2464" t="s">
        <v>141</v>
      </c>
      <c r="T21" s="1456" t="s">
        <v>148</v>
      </c>
      <c r="U21" s="1456" t="s">
        <v>157</v>
      </c>
      <c r="V21" s="1456" t="s">
        <v>154</v>
      </c>
      <c r="W21" s="1456" t="s">
        <v>175</v>
      </c>
      <c r="X21" s="2460"/>
      <c r="Y21" s="2464" t="s">
        <v>121</v>
      </c>
      <c r="Z21" s="1456" t="s">
        <v>176</v>
      </c>
      <c r="AA21" s="1456" t="s">
        <v>177</v>
      </c>
      <c r="AB21" s="1456" t="s">
        <v>150</v>
      </c>
      <c r="AC21" s="1456" t="s">
        <v>162</v>
      </c>
      <c r="AD21" s="2460" t="s">
        <v>111</v>
      </c>
      <c r="AE21" s="2464" t="s">
        <v>169</v>
      </c>
      <c r="AF21" s="1456" t="s">
        <v>148</v>
      </c>
      <c r="AG21" s="1456" t="s">
        <v>147</v>
      </c>
      <c r="AH21" s="1456" t="s">
        <v>167</v>
      </c>
      <c r="AI21" s="1456" t="s">
        <v>133</v>
      </c>
      <c r="AJ21" s="2460" t="s">
        <v>164</v>
      </c>
      <c r="AK21" s="2464" t="s">
        <v>152</v>
      </c>
      <c r="AL21" s="1456" t="s">
        <v>178</v>
      </c>
      <c r="AM21" s="1456" t="s">
        <v>179</v>
      </c>
      <c r="AN21" s="1456" t="s">
        <v>125</v>
      </c>
      <c r="AO21" s="1456" t="s">
        <v>122</v>
      </c>
      <c r="AP21" s="2460" t="s">
        <v>180</v>
      </c>
      <c r="AQ21" s="2465"/>
      <c r="AR21" s="2461"/>
      <c r="AS21" s="2461"/>
      <c r="AT21" s="2461"/>
      <c r="AU21" s="2461"/>
      <c r="AV21" s="2462"/>
      <c r="BI21" s="1456"/>
    </row>
    <row r="22" spans="1:61" ht="12.75" x14ac:dyDescent="0.2">
      <c r="A22" s="860"/>
      <c r="B22" s="836"/>
      <c r="C22" s="836"/>
      <c r="D22" s="2469"/>
      <c r="E22" s="1456" t="s">
        <v>141</v>
      </c>
      <c r="F22" s="1456" t="s">
        <v>137</v>
      </c>
      <c r="G22" s="1456" t="s">
        <v>118</v>
      </c>
      <c r="H22" s="2460"/>
      <c r="I22" s="2464" t="s">
        <v>133</v>
      </c>
      <c r="J22" s="1456" t="s">
        <v>125</v>
      </c>
      <c r="K22" s="1456" t="s">
        <v>151</v>
      </c>
      <c r="L22" s="1456" t="s">
        <v>117</v>
      </c>
      <c r="M22" s="2455"/>
      <c r="N22" s="2464" t="s">
        <v>111</v>
      </c>
      <c r="O22" s="1456" t="s">
        <v>141</v>
      </c>
      <c r="P22" s="1456" t="s">
        <v>105</v>
      </c>
      <c r="Q22" s="1456" t="s">
        <v>110</v>
      </c>
      <c r="R22" s="2455" t="s">
        <v>134</v>
      </c>
      <c r="S22" s="2464" t="s">
        <v>169</v>
      </c>
      <c r="T22" s="1456" t="s">
        <v>111</v>
      </c>
      <c r="U22" s="1456" t="s">
        <v>150</v>
      </c>
      <c r="V22" s="1456" t="s">
        <v>138</v>
      </c>
      <c r="W22" s="1456" t="s">
        <v>156</v>
      </c>
      <c r="X22" s="2455"/>
      <c r="Y22" s="2464" t="s">
        <v>181</v>
      </c>
      <c r="Z22" s="1456" t="s">
        <v>182</v>
      </c>
      <c r="AA22" s="1456" t="s">
        <v>141</v>
      </c>
      <c r="AB22" s="1456" t="s">
        <v>147</v>
      </c>
      <c r="AC22" s="1456" t="s">
        <v>125</v>
      </c>
      <c r="AD22" s="2455" t="s">
        <v>160</v>
      </c>
      <c r="AE22" s="2464" t="s">
        <v>176</v>
      </c>
      <c r="AF22" s="1456" t="s">
        <v>152</v>
      </c>
      <c r="AG22" s="1456" t="s">
        <v>125</v>
      </c>
      <c r="AH22" s="1456" t="s">
        <v>150</v>
      </c>
      <c r="AI22" s="1456" t="s">
        <v>180</v>
      </c>
      <c r="AJ22" s="2455" t="s">
        <v>166</v>
      </c>
      <c r="AK22" s="2464" t="s">
        <v>133</v>
      </c>
      <c r="AL22" s="1456" t="s">
        <v>183</v>
      </c>
      <c r="AM22" s="1456" t="s">
        <v>171</v>
      </c>
      <c r="AN22" s="1456" t="s">
        <v>173</v>
      </c>
      <c r="AO22" s="1456" t="s">
        <v>177</v>
      </c>
      <c r="AP22" s="2455" t="s">
        <v>149</v>
      </c>
      <c r="AQ22" s="2465"/>
      <c r="AR22" s="2461"/>
      <c r="AS22" s="2461"/>
      <c r="AT22" s="2461"/>
      <c r="AU22" s="2461"/>
      <c r="AV22" s="2456"/>
      <c r="BI22" s="836"/>
    </row>
    <row r="23" spans="1:61" ht="23.25" customHeight="1" x14ac:dyDescent="0.2">
      <c r="A23" s="860"/>
      <c r="B23" s="836"/>
      <c r="C23" s="836"/>
      <c r="D23" s="2469"/>
      <c r="E23" s="836"/>
      <c r="F23" s="836"/>
      <c r="G23" s="836"/>
      <c r="H23" s="2455"/>
      <c r="I23" s="2464" t="s">
        <v>157</v>
      </c>
      <c r="J23" s="1456" t="s">
        <v>130</v>
      </c>
      <c r="K23" s="1456" t="s">
        <v>164</v>
      </c>
      <c r="L23" s="1456" t="s">
        <v>184</v>
      </c>
      <c r="M23" s="2455"/>
      <c r="N23" s="2464" t="s">
        <v>129</v>
      </c>
      <c r="O23" s="1456" t="s">
        <v>130</v>
      </c>
      <c r="P23" s="1456" t="s">
        <v>166</v>
      </c>
      <c r="Q23" s="1456" t="s">
        <v>118</v>
      </c>
      <c r="R23" s="2455"/>
      <c r="S23" s="2464" t="s">
        <v>110</v>
      </c>
      <c r="T23" s="1456" t="s">
        <v>185</v>
      </c>
      <c r="U23" s="1456" t="s">
        <v>160</v>
      </c>
      <c r="V23" s="1456" t="s">
        <v>167</v>
      </c>
      <c r="W23" s="1456" t="s">
        <v>122</v>
      </c>
      <c r="X23" s="2455"/>
      <c r="Y23" s="2464" t="s">
        <v>180</v>
      </c>
      <c r="Z23" s="1456" t="s">
        <v>117</v>
      </c>
      <c r="AA23" s="1456" t="s">
        <v>178</v>
      </c>
      <c r="AB23" s="1456" t="s">
        <v>154</v>
      </c>
      <c r="AC23" s="1456" t="s">
        <v>186</v>
      </c>
      <c r="AD23" s="2460" t="s">
        <v>175</v>
      </c>
      <c r="AE23" s="2464" t="s">
        <v>177</v>
      </c>
      <c r="AF23" s="1456" t="s">
        <v>187</v>
      </c>
      <c r="AG23" s="1456" t="s">
        <v>171</v>
      </c>
      <c r="AH23" s="1456" t="s">
        <v>122</v>
      </c>
      <c r="AI23" s="1456" t="s">
        <v>159</v>
      </c>
      <c r="AJ23" s="2460" t="s">
        <v>162</v>
      </c>
      <c r="AK23" s="2464" t="s">
        <v>187</v>
      </c>
      <c r="AL23" s="1456" t="s">
        <v>188</v>
      </c>
      <c r="AM23" s="1456" t="s">
        <v>185</v>
      </c>
      <c r="AN23" s="1456" t="s">
        <v>151</v>
      </c>
      <c r="AO23" s="1456" t="s">
        <v>182</v>
      </c>
      <c r="AP23" s="2460" t="s">
        <v>161</v>
      </c>
      <c r="AQ23" s="2465"/>
      <c r="AR23" s="2461"/>
      <c r="AS23" s="2461"/>
      <c r="AT23" s="2461"/>
      <c r="AU23" s="2461"/>
      <c r="AV23" s="2462"/>
      <c r="BI23" s="1456"/>
    </row>
    <row r="24" spans="1:61" ht="12.75" x14ac:dyDescent="0.2">
      <c r="A24" s="860"/>
      <c r="B24" s="836"/>
      <c r="C24" s="836"/>
      <c r="D24" s="2463"/>
      <c r="E24" s="836"/>
      <c r="F24" s="836"/>
      <c r="G24" s="836"/>
      <c r="H24" s="2455"/>
      <c r="I24" s="2463" t="s">
        <v>140</v>
      </c>
      <c r="J24" s="836" t="s">
        <v>158</v>
      </c>
      <c r="K24" s="836" t="s">
        <v>120</v>
      </c>
      <c r="L24" s="836"/>
      <c r="M24" s="2455"/>
      <c r="N24" s="2463" t="s">
        <v>157</v>
      </c>
      <c r="O24" s="836" t="s">
        <v>127</v>
      </c>
      <c r="P24" s="836" t="s">
        <v>147</v>
      </c>
      <c r="Q24" s="836" t="s">
        <v>162</v>
      </c>
      <c r="R24" s="2455"/>
      <c r="S24" s="2463" t="s">
        <v>151</v>
      </c>
      <c r="T24" s="836" t="s">
        <v>171</v>
      </c>
      <c r="U24" s="836" t="s">
        <v>189</v>
      </c>
      <c r="V24" s="836" t="s">
        <v>181</v>
      </c>
      <c r="W24" s="836" t="s">
        <v>163</v>
      </c>
      <c r="X24" s="2455" t="s">
        <v>182</v>
      </c>
      <c r="Y24" s="2463" t="s">
        <v>173</v>
      </c>
      <c r="Z24" s="836" t="s">
        <v>190</v>
      </c>
      <c r="AA24" s="836" t="s">
        <v>159</v>
      </c>
      <c r="AB24" s="836" t="s">
        <v>155</v>
      </c>
      <c r="AC24" s="836" t="s">
        <v>145</v>
      </c>
      <c r="AD24" s="2455" t="s">
        <v>191</v>
      </c>
      <c r="AE24" s="2463" t="s">
        <v>182</v>
      </c>
      <c r="AF24" s="836" t="s">
        <v>183</v>
      </c>
      <c r="AG24" s="836" t="s">
        <v>149</v>
      </c>
      <c r="AH24" s="836" t="s">
        <v>153</v>
      </c>
      <c r="AI24" s="836" t="s">
        <v>185</v>
      </c>
      <c r="AJ24" s="2455" t="s">
        <v>192</v>
      </c>
      <c r="AK24" s="2463"/>
      <c r="AL24" s="836"/>
      <c r="AM24" s="836"/>
      <c r="AN24" s="836"/>
      <c r="AO24" s="836"/>
      <c r="AP24" s="2455"/>
      <c r="AQ24" s="2470"/>
      <c r="AR24" s="1527"/>
      <c r="AS24" s="1527"/>
      <c r="AT24" s="1527"/>
      <c r="AU24" s="1527"/>
      <c r="AV24" s="2456"/>
      <c r="BI24" s="836"/>
    </row>
    <row r="25" spans="1:61" x14ac:dyDescent="0.2">
      <c r="A25" s="860"/>
      <c r="B25" s="836"/>
      <c r="C25" s="836"/>
      <c r="D25" s="2471"/>
      <c r="E25" s="3359"/>
      <c r="F25" s="3359"/>
      <c r="G25" s="3359"/>
      <c r="H25" s="3535"/>
      <c r="I25" s="2458"/>
      <c r="J25" s="3362"/>
      <c r="K25" s="3362"/>
      <c r="L25" s="3361"/>
      <c r="M25" s="3535"/>
      <c r="N25" s="2458"/>
      <c r="O25" s="3362"/>
      <c r="P25" s="3362"/>
      <c r="Q25" s="3362"/>
      <c r="R25" s="3535"/>
      <c r="S25" s="2458"/>
      <c r="T25" s="3362"/>
      <c r="U25" s="3362"/>
      <c r="V25" s="3362"/>
      <c r="W25" s="3362"/>
      <c r="X25" s="3535"/>
      <c r="Y25" s="2457" t="s">
        <v>152</v>
      </c>
      <c r="Z25" s="3359" t="s">
        <v>193</v>
      </c>
      <c r="AA25" s="3359"/>
      <c r="AB25" s="3359"/>
      <c r="AC25" s="3359"/>
      <c r="AD25" s="3535"/>
      <c r="AE25" s="2457"/>
      <c r="AF25" s="3359"/>
      <c r="AG25" s="3359"/>
      <c r="AH25" s="3359"/>
      <c r="AI25" s="3359"/>
      <c r="AJ25" s="3535"/>
      <c r="AK25" s="2457"/>
      <c r="AL25" s="3359"/>
      <c r="AM25" s="3359"/>
      <c r="AN25" s="3359"/>
      <c r="AO25" s="3359"/>
      <c r="AP25" s="3535"/>
      <c r="AQ25" s="2472"/>
      <c r="AR25" s="3370"/>
      <c r="AS25" s="3370"/>
      <c r="AT25" s="3370"/>
      <c r="AU25" s="3370"/>
      <c r="AV25" s="3538"/>
      <c r="BI25" s="836"/>
    </row>
    <row r="26" spans="1:61" ht="12.75" customHeight="1" x14ac:dyDescent="0.2">
      <c r="A26" s="860"/>
      <c r="B26" s="836"/>
      <c r="C26" s="836"/>
      <c r="D26" s="2468" t="s">
        <v>194</v>
      </c>
      <c r="E26" s="1456"/>
      <c r="F26" s="1456"/>
      <c r="G26" s="1456"/>
      <c r="H26" s="2460"/>
      <c r="I26" s="2468" t="s">
        <v>194</v>
      </c>
      <c r="J26" s="1456"/>
      <c r="K26" s="1456"/>
      <c r="L26" s="1456"/>
      <c r="M26" s="2455"/>
      <c r="N26" s="2468" t="s">
        <v>194</v>
      </c>
      <c r="O26" s="1456"/>
      <c r="P26" s="1456"/>
      <c r="Q26" s="1456"/>
      <c r="R26" s="2455"/>
      <c r="S26" s="2468" t="s">
        <v>194</v>
      </c>
      <c r="T26" s="1456"/>
      <c r="U26" s="1456"/>
      <c r="V26" s="1456"/>
      <c r="W26" s="1456"/>
      <c r="X26" s="2455"/>
      <c r="Y26" s="2468" t="s">
        <v>194</v>
      </c>
      <c r="Z26" s="1456"/>
      <c r="AA26" s="1456"/>
      <c r="AB26" s="1456"/>
      <c r="AC26" s="1456"/>
      <c r="AD26" s="2455"/>
      <c r="AE26" s="2468" t="s">
        <v>194</v>
      </c>
      <c r="AF26" s="1456"/>
      <c r="AG26" s="1456"/>
      <c r="AH26" s="1456"/>
      <c r="AI26" s="1456"/>
      <c r="AJ26" s="2455"/>
      <c r="AK26" s="2468" t="s">
        <v>194</v>
      </c>
      <c r="AL26" s="1456"/>
      <c r="AM26" s="1456"/>
      <c r="AN26" s="1456"/>
      <c r="AO26" s="1456"/>
      <c r="AP26" s="2455"/>
      <c r="AQ26" s="2468" t="s">
        <v>194</v>
      </c>
      <c r="AR26" s="2461"/>
      <c r="AS26" s="2461"/>
      <c r="AT26" s="2461"/>
      <c r="AU26" s="2461"/>
      <c r="AV26" s="2456"/>
      <c r="BI26" s="836"/>
    </row>
    <row r="27" spans="1:61" ht="20.45" customHeight="1" x14ac:dyDescent="0.2">
      <c r="A27" s="860"/>
      <c r="B27" s="836"/>
      <c r="C27" s="836"/>
      <c r="D27" s="3368"/>
      <c r="E27" s="3652" t="s">
        <v>167</v>
      </c>
      <c r="F27" s="3652" t="s">
        <v>153</v>
      </c>
      <c r="G27" s="3652" t="s">
        <v>104</v>
      </c>
      <c r="H27" s="3365" t="s">
        <v>184</v>
      </c>
      <c r="I27" s="3357" t="s">
        <v>167</v>
      </c>
      <c r="J27" s="3652" t="s">
        <v>195</v>
      </c>
      <c r="K27" s="3652" t="s">
        <v>166</v>
      </c>
      <c r="L27" s="3652" t="s">
        <v>160</v>
      </c>
      <c r="M27" s="3356"/>
      <c r="N27" s="3357" t="s">
        <v>152</v>
      </c>
      <c r="O27" s="3652" t="s">
        <v>171</v>
      </c>
      <c r="P27" s="3652" t="s">
        <v>180</v>
      </c>
      <c r="Q27" s="3652" t="s">
        <v>182</v>
      </c>
      <c r="R27" s="3356" t="s">
        <v>196</v>
      </c>
      <c r="S27" s="3357" t="s">
        <v>172</v>
      </c>
      <c r="T27" s="3652" t="s">
        <v>162</v>
      </c>
      <c r="U27" s="3652" t="s">
        <v>180</v>
      </c>
      <c r="V27" s="3652" t="s">
        <v>197</v>
      </c>
      <c r="W27" s="3652" t="s">
        <v>187</v>
      </c>
      <c r="X27" s="3356"/>
      <c r="Y27" s="3357" t="s">
        <v>198</v>
      </c>
      <c r="Z27" s="3652" t="s">
        <v>122</v>
      </c>
      <c r="AA27" s="3652" t="s">
        <v>184</v>
      </c>
      <c r="AB27" s="3652" t="s">
        <v>185</v>
      </c>
      <c r="AC27" s="3652" t="s">
        <v>167</v>
      </c>
      <c r="AD27" s="3356" t="s">
        <v>187</v>
      </c>
      <c r="AE27" s="3357" t="s">
        <v>199</v>
      </c>
      <c r="AF27" s="3652" t="s">
        <v>181</v>
      </c>
      <c r="AG27" s="3652" t="s">
        <v>191</v>
      </c>
      <c r="AH27" s="3652" t="s">
        <v>178</v>
      </c>
      <c r="AI27" s="3652" t="s">
        <v>172</v>
      </c>
      <c r="AJ27" s="3356" t="s">
        <v>161</v>
      </c>
      <c r="AK27" s="3357" t="s">
        <v>200</v>
      </c>
      <c r="AL27" s="3652" t="s">
        <v>193</v>
      </c>
      <c r="AM27" s="3652" t="s">
        <v>162</v>
      </c>
      <c r="AN27" s="3652" t="s">
        <v>172</v>
      </c>
      <c r="AO27" s="3652" t="s">
        <v>192</v>
      </c>
      <c r="AP27" s="3356" t="s">
        <v>201</v>
      </c>
      <c r="AQ27" s="3366"/>
      <c r="AR27" s="3655"/>
      <c r="AS27" s="3655"/>
      <c r="AT27" s="3655"/>
      <c r="AU27" s="3655"/>
      <c r="AV27" s="3369"/>
      <c r="BI27" s="836"/>
    </row>
    <row r="28" spans="1:61" ht="33.75" x14ac:dyDescent="0.2">
      <c r="A28" s="860"/>
      <c r="B28" s="836"/>
      <c r="C28" s="836"/>
      <c r="D28" s="2469"/>
      <c r="E28" s="1456" t="s">
        <v>202</v>
      </c>
      <c r="F28" s="1456" t="s">
        <v>203</v>
      </c>
      <c r="G28" s="1456" t="s">
        <v>204</v>
      </c>
      <c r="H28" s="2460"/>
      <c r="I28" s="2464" t="s">
        <v>163</v>
      </c>
      <c r="J28" s="1456" t="s">
        <v>205</v>
      </c>
      <c r="K28" s="1456" t="s">
        <v>206</v>
      </c>
      <c r="L28" s="1456" t="s">
        <v>145</v>
      </c>
      <c r="M28" s="2455"/>
      <c r="N28" s="2464" t="s">
        <v>167</v>
      </c>
      <c r="O28" s="1456" t="s">
        <v>156</v>
      </c>
      <c r="P28" s="1456" t="s">
        <v>181</v>
      </c>
      <c r="Q28" s="1456" t="s">
        <v>159</v>
      </c>
      <c r="R28" s="2455" t="s">
        <v>207</v>
      </c>
      <c r="S28" s="2464" t="s">
        <v>196</v>
      </c>
      <c r="T28" s="1456" t="s">
        <v>145</v>
      </c>
      <c r="U28" s="1456" t="s">
        <v>208</v>
      </c>
      <c r="V28" s="1456" t="s">
        <v>161</v>
      </c>
      <c r="W28" s="1456" t="s">
        <v>205</v>
      </c>
      <c r="X28" s="2455"/>
      <c r="Y28" s="2464" t="s">
        <v>189</v>
      </c>
      <c r="Z28" s="1456" t="s">
        <v>201</v>
      </c>
      <c r="AA28" s="1456" t="s">
        <v>161</v>
      </c>
      <c r="AB28" s="1456" t="s">
        <v>179</v>
      </c>
      <c r="AC28" s="1456" t="s">
        <v>197</v>
      </c>
      <c r="AD28" s="2455" t="s">
        <v>207</v>
      </c>
      <c r="AE28" s="2464" t="s">
        <v>189</v>
      </c>
      <c r="AF28" s="1456" t="s">
        <v>209</v>
      </c>
      <c r="AG28" s="1456" t="s">
        <v>200</v>
      </c>
      <c r="AH28" s="1456" t="s">
        <v>163</v>
      </c>
      <c r="AI28" s="1456" t="s">
        <v>210</v>
      </c>
      <c r="AJ28" s="2460" t="s">
        <v>211</v>
      </c>
      <c r="AK28" s="2464" t="s">
        <v>189</v>
      </c>
      <c r="AL28" s="1456" t="s">
        <v>181</v>
      </c>
      <c r="AM28" s="1456" t="s">
        <v>176</v>
      </c>
      <c r="AN28" s="1456" t="s">
        <v>111</v>
      </c>
      <c r="AO28" s="1456" t="s">
        <v>212</v>
      </c>
      <c r="AP28" s="2460" t="s">
        <v>153</v>
      </c>
      <c r="AQ28" s="2465"/>
      <c r="AR28" s="2461"/>
      <c r="AS28" s="2461"/>
      <c r="AT28" s="2461"/>
      <c r="AU28" s="2461"/>
      <c r="AV28" s="2462"/>
      <c r="BI28" s="836"/>
    </row>
    <row r="29" spans="1:61" ht="33.75" x14ac:dyDescent="0.2">
      <c r="A29" s="860"/>
      <c r="B29" s="836"/>
      <c r="C29" s="836"/>
      <c r="D29" s="2469"/>
      <c r="E29" s="1456" t="s">
        <v>148</v>
      </c>
      <c r="F29" s="1456" t="s">
        <v>176</v>
      </c>
      <c r="G29" s="1456" t="s">
        <v>151</v>
      </c>
      <c r="H29" s="2460"/>
      <c r="I29" s="2464" t="s">
        <v>176</v>
      </c>
      <c r="J29" s="1456" t="s">
        <v>137</v>
      </c>
      <c r="K29" s="1456" t="s">
        <v>213</v>
      </c>
      <c r="L29" s="1456" t="s">
        <v>210</v>
      </c>
      <c r="M29" s="2455"/>
      <c r="N29" s="2464" t="s">
        <v>214</v>
      </c>
      <c r="O29" s="1456" t="s">
        <v>205</v>
      </c>
      <c r="P29" s="1456" t="s">
        <v>187</v>
      </c>
      <c r="Q29" s="1456" t="s">
        <v>193</v>
      </c>
      <c r="R29" s="2455" t="s">
        <v>184</v>
      </c>
      <c r="S29" s="2464" t="s">
        <v>176</v>
      </c>
      <c r="T29" s="1456" t="s">
        <v>121</v>
      </c>
      <c r="U29" s="1456" t="s">
        <v>211</v>
      </c>
      <c r="V29" s="1456" t="s">
        <v>214</v>
      </c>
      <c r="W29" s="1456" t="s">
        <v>190</v>
      </c>
      <c r="X29" s="2455"/>
      <c r="Y29" s="2464" t="s">
        <v>211</v>
      </c>
      <c r="Z29" s="1456" t="s">
        <v>214</v>
      </c>
      <c r="AA29" s="1456" t="s">
        <v>215</v>
      </c>
      <c r="AB29" s="1456" t="s">
        <v>151</v>
      </c>
      <c r="AC29" s="1456" t="s">
        <v>216</v>
      </c>
      <c r="AD29" s="2455"/>
      <c r="AE29" s="2464" t="s">
        <v>215</v>
      </c>
      <c r="AF29" s="1456" t="s">
        <v>198</v>
      </c>
      <c r="AG29" s="1456" t="s">
        <v>137</v>
      </c>
      <c r="AH29" s="1456" t="s">
        <v>214</v>
      </c>
      <c r="AI29" s="1456" t="s">
        <v>190</v>
      </c>
      <c r="AJ29" s="2455" t="s">
        <v>217</v>
      </c>
      <c r="AK29" s="2464" t="s">
        <v>214</v>
      </c>
      <c r="AL29" s="1456" t="s">
        <v>163</v>
      </c>
      <c r="AM29" s="1456" t="s">
        <v>191</v>
      </c>
      <c r="AN29" s="1456" t="s">
        <v>217</v>
      </c>
      <c r="AO29" s="1456" t="s">
        <v>209</v>
      </c>
      <c r="AP29" s="2473" t="s">
        <v>198</v>
      </c>
      <c r="AQ29" s="2465"/>
      <c r="AR29" s="2461"/>
      <c r="AS29" s="2461"/>
      <c r="AT29" s="2461"/>
      <c r="AU29" s="2461"/>
      <c r="AV29" s="2474"/>
      <c r="BI29" s="836"/>
    </row>
    <row r="30" spans="1:61" ht="22.5" x14ac:dyDescent="0.2">
      <c r="A30" s="860"/>
      <c r="B30" s="836"/>
      <c r="C30" s="836"/>
      <c r="D30" s="2469"/>
      <c r="E30" s="1456" t="s">
        <v>163</v>
      </c>
      <c r="F30" s="1456" t="s">
        <v>218</v>
      </c>
      <c r="G30" s="1456" t="s">
        <v>219</v>
      </c>
      <c r="H30" s="2460"/>
      <c r="I30" s="2464" t="s">
        <v>218</v>
      </c>
      <c r="J30" s="1456" t="s">
        <v>180</v>
      </c>
      <c r="K30" s="1456" t="s">
        <v>159</v>
      </c>
      <c r="L30" s="1456" t="s">
        <v>196</v>
      </c>
      <c r="M30" s="2455"/>
      <c r="N30" s="2464" t="s">
        <v>176</v>
      </c>
      <c r="O30" s="1456" t="s">
        <v>189</v>
      </c>
      <c r="P30" s="1456" t="s">
        <v>185</v>
      </c>
      <c r="Q30" s="1456" t="s">
        <v>210</v>
      </c>
      <c r="R30" s="2455"/>
      <c r="S30" s="2464"/>
      <c r="T30" s="1456"/>
      <c r="U30" s="1456"/>
      <c r="V30" s="1456"/>
      <c r="W30" s="1456"/>
      <c r="X30" s="2455"/>
      <c r="Y30" s="2464"/>
      <c r="Z30" s="1456"/>
      <c r="AA30" s="1456"/>
      <c r="AB30" s="1456"/>
      <c r="AC30" s="1456"/>
      <c r="AD30" s="2455"/>
      <c r="AE30" s="2464" t="s">
        <v>179</v>
      </c>
      <c r="AF30" s="1456" t="s">
        <v>201</v>
      </c>
      <c r="AG30" s="1456"/>
      <c r="AH30" s="1456"/>
      <c r="AI30" s="1456"/>
      <c r="AJ30" s="2455"/>
      <c r="AK30" s="2464" t="s">
        <v>220</v>
      </c>
      <c r="AL30" s="1456" t="s">
        <v>190</v>
      </c>
      <c r="AM30" s="1456" t="s">
        <v>221</v>
      </c>
      <c r="AN30" s="1456" t="s">
        <v>222</v>
      </c>
      <c r="AO30" s="1456" t="s">
        <v>210</v>
      </c>
      <c r="AP30" s="2473" t="s">
        <v>184</v>
      </c>
      <c r="AQ30" s="2465"/>
      <c r="AR30" s="2461"/>
      <c r="AS30" s="2461"/>
      <c r="AT30" s="2461"/>
      <c r="AU30" s="2461"/>
      <c r="AV30" s="2474"/>
      <c r="BI30" s="836"/>
    </row>
    <row r="31" spans="1:61" ht="22.5" x14ac:dyDescent="0.2">
      <c r="A31" s="860"/>
      <c r="B31" s="836"/>
      <c r="C31" s="836"/>
      <c r="D31" s="2471"/>
      <c r="E31" s="3362"/>
      <c r="F31" s="3362"/>
      <c r="G31" s="3362"/>
      <c r="H31" s="3536"/>
      <c r="I31" s="2458"/>
      <c r="J31" s="3362"/>
      <c r="K31" s="3362"/>
      <c r="L31" s="3362"/>
      <c r="M31" s="3535"/>
      <c r="N31" s="2458"/>
      <c r="O31" s="3362"/>
      <c r="P31" s="3362"/>
      <c r="Q31" s="3362"/>
      <c r="R31" s="3535"/>
      <c r="S31" s="2458"/>
      <c r="T31" s="3362"/>
      <c r="U31" s="3362"/>
      <c r="V31" s="3362"/>
      <c r="W31" s="3362"/>
      <c r="X31" s="3535"/>
      <c r="Y31" s="2458"/>
      <c r="Z31" s="3362"/>
      <c r="AA31" s="3362"/>
      <c r="AB31" s="3362"/>
      <c r="AC31" s="3362"/>
      <c r="AD31" s="3535"/>
      <c r="AE31" s="2458"/>
      <c r="AF31" s="3362"/>
      <c r="AG31" s="3362"/>
      <c r="AH31" s="3362"/>
      <c r="AI31" s="3362"/>
      <c r="AJ31" s="3535"/>
      <c r="AK31" s="2458" t="s">
        <v>223</v>
      </c>
      <c r="AL31" s="3362" t="s">
        <v>159</v>
      </c>
      <c r="AM31" s="3362" t="s">
        <v>186</v>
      </c>
      <c r="AN31" s="3362" t="s">
        <v>137</v>
      </c>
      <c r="AO31" s="3362" t="s">
        <v>211</v>
      </c>
      <c r="AP31" s="3535" t="s">
        <v>216</v>
      </c>
      <c r="AQ31" s="2459"/>
      <c r="AR31" s="3364"/>
      <c r="AS31" s="3364"/>
      <c r="AT31" s="3364"/>
      <c r="AU31" s="3364"/>
      <c r="AV31" s="3538"/>
      <c r="BI31" s="836"/>
    </row>
    <row r="32" spans="1:61" ht="12.75" customHeight="1" x14ac:dyDescent="0.2">
      <c r="A32" s="860"/>
      <c r="B32" s="836"/>
      <c r="C32" s="836"/>
      <c r="D32" s="2468" t="s">
        <v>224</v>
      </c>
      <c r="E32" s="1456"/>
      <c r="F32" s="1456"/>
      <c r="G32" s="1456"/>
      <c r="H32" s="2460"/>
      <c r="I32" s="4634" t="s">
        <v>224</v>
      </c>
      <c r="J32" s="4635"/>
      <c r="K32" s="4635"/>
      <c r="L32" s="4635"/>
      <c r="M32" s="4636"/>
      <c r="N32" s="2454" t="s">
        <v>224</v>
      </c>
      <c r="O32" s="1456"/>
      <c r="P32" s="1456"/>
      <c r="Q32" s="1456"/>
      <c r="R32" s="2455"/>
      <c r="S32" s="2454" t="s">
        <v>224</v>
      </c>
      <c r="T32" s="1456"/>
      <c r="U32" s="1456"/>
      <c r="V32" s="1456"/>
      <c r="W32" s="1456"/>
      <c r="X32" s="2455"/>
      <c r="Y32" s="2454" t="s">
        <v>224</v>
      </c>
      <c r="Z32" s="1456"/>
      <c r="AA32" s="1456"/>
      <c r="AB32" s="1456"/>
      <c r="AC32" s="1456"/>
      <c r="AD32" s="3535"/>
      <c r="AE32" s="2454" t="s">
        <v>224</v>
      </c>
      <c r="AF32" s="1456"/>
      <c r="AG32" s="1456"/>
      <c r="AH32" s="1456"/>
      <c r="AI32" s="1456"/>
      <c r="AJ32" s="3535"/>
      <c r="AK32" s="2454" t="s">
        <v>224</v>
      </c>
      <c r="AL32" s="1456"/>
      <c r="AM32" s="1456"/>
      <c r="AN32" s="1456"/>
      <c r="AO32" s="1456"/>
      <c r="AP32" s="3535"/>
      <c r="AQ32" s="2454" t="s">
        <v>224</v>
      </c>
      <c r="AR32" s="2461"/>
      <c r="AS32" s="2461"/>
      <c r="AT32" s="2461"/>
      <c r="AU32" s="2461"/>
      <c r="AV32" s="3538"/>
      <c r="BI32" s="836"/>
    </row>
    <row r="33" spans="1:61" ht="33.75" x14ac:dyDescent="0.2">
      <c r="A33" s="860"/>
      <c r="B33" s="836"/>
      <c r="C33" s="836"/>
      <c r="D33" s="3368"/>
      <c r="E33" s="3650" t="s">
        <v>225</v>
      </c>
      <c r="F33" s="3650" t="s">
        <v>149</v>
      </c>
      <c r="G33" s="3650" t="s">
        <v>226</v>
      </c>
      <c r="H33" s="3356"/>
      <c r="I33" s="3357" t="s">
        <v>152</v>
      </c>
      <c r="J33" s="3652" t="s">
        <v>227</v>
      </c>
      <c r="K33" s="3652" t="s">
        <v>143</v>
      </c>
      <c r="L33" s="3652" t="s">
        <v>228</v>
      </c>
      <c r="M33" s="3356"/>
      <c r="N33" s="3357" t="s">
        <v>229</v>
      </c>
      <c r="O33" s="3652" t="s">
        <v>198</v>
      </c>
      <c r="P33" s="3652" t="s">
        <v>213</v>
      </c>
      <c r="Q33" s="3652" t="s">
        <v>230</v>
      </c>
      <c r="R33" s="3356"/>
      <c r="S33" s="3357" t="s">
        <v>179</v>
      </c>
      <c r="T33" s="3652" t="s">
        <v>143</v>
      </c>
      <c r="U33" s="3652" t="s">
        <v>212</v>
      </c>
      <c r="V33" s="3652" t="s">
        <v>198</v>
      </c>
      <c r="W33" s="3652" t="s">
        <v>215</v>
      </c>
      <c r="X33" s="3356" t="s">
        <v>216</v>
      </c>
      <c r="Y33" s="3357" t="s">
        <v>229</v>
      </c>
      <c r="Z33" s="3652" t="s">
        <v>212</v>
      </c>
      <c r="AA33" s="3652" t="s">
        <v>231</v>
      </c>
      <c r="AB33" s="3652" t="s">
        <v>213</v>
      </c>
      <c r="AC33" s="3652" t="s">
        <v>149</v>
      </c>
      <c r="AD33" s="2455" t="s">
        <v>192</v>
      </c>
      <c r="AE33" s="3357" t="s">
        <v>220</v>
      </c>
      <c r="AF33" s="3652" t="s">
        <v>216</v>
      </c>
      <c r="AG33" s="3652" t="s">
        <v>212</v>
      </c>
      <c r="AH33" s="3652" t="s">
        <v>232</v>
      </c>
      <c r="AI33" s="3652" t="s">
        <v>160</v>
      </c>
      <c r="AJ33" s="2455" t="s">
        <v>231</v>
      </c>
      <c r="AK33" s="3357" t="s">
        <v>233</v>
      </c>
      <c r="AL33" s="3652" t="s">
        <v>228</v>
      </c>
      <c r="AM33" s="3652" t="s">
        <v>213</v>
      </c>
      <c r="AN33" s="3652" t="s">
        <v>234</v>
      </c>
      <c r="AO33" s="3652" t="s">
        <v>160</v>
      </c>
      <c r="AP33" s="2455" t="s">
        <v>235</v>
      </c>
      <c r="AQ33" s="3366"/>
      <c r="AR33" s="3655"/>
      <c r="AS33" s="3655"/>
      <c r="AT33" s="3655"/>
      <c r="AU33" s="3655"/>
      <c r="AV33" s="2456"/>
      <c r="BI33" s="836"/>
    </row>
    <row r="34" spans="1:61" ht="22.5" x14ac:dyDescent="0.2">
      <c r="A34" s="860"/>
      <c r="B34" s="836"/>
      <c r="C34" s="836"/>
      <c r="D34" s="2469"/>
      <c r="E34" s="836" t="s">
        <v>190</v>
      </c>
      <c r="F34" s="836" t="s">
        <v>236</v>
      </c>
      <c r="G34" s="836" t="s">
        <v>237</v>
      </c>
      <c r="H34" s="2455"/>
      <c r="I34" s="2464" t="s">
        <v>229</v>
      </c>
      <c r="J34" s="1456" t="s">
        <v>232</v>
      </c>
      <c r="K34" s="1456" t="s">
        <v>189</v>
      </c>
      <c r="L34" s="1456" t="s">
        <v>173</v>
      </c>
      <c r="M34" s="2455"/>
      <c r="N34" s="2464" t="s">
        <v>231</v>
      </c>
      <c r="O34" s="1456" t="s">
        <v>121</v>
      </c>
      <c r="P34" s="1456" t="s">
        <v>216</v>
      </c>
      <c r="Q34" s="1456"/>
      <c r="R34" s="2455"/>
      <c r="S34" s="2464" t="s">
        <v>220</v>
      </c>
      <c r="T34" s="1456" t="s">
        <v>149</v>
      </c>
      <c r="U34" s="1456" t="s">
        <v>229</v>
      </c>
      <c r="V34" s="1456" t="s">
        <v>231</v>
      </c>
      <c r="W34" s="1456" t="s">
        <v>191</v>
      </c>
      <c r="X34" s="2455" t="s">
        <v>232</v>
      </c>
      <c r="Y34" s="2464" t="s">
        <v>232</v>
      </c>
      <c r="Z34" s="1456" t="s">
        <v>238</v>
      </c>
      <c r="AA34" s="1456" t="s">
        <v>196</v>
      </c>
      <c r="AB34" s="1456" t="s">
        <v>220</v>
      </c>
      <c r="AC34" s="1456" t="s">
        <v>227</v>
      </c>
      <c r="AD34" s="2460" t="s">
        <v>239</v>
      </c>
      <c r="AE34" s="2464" t="s">
        <v>111</v>
      </c>
      <c r="AF34" s="1456" t="s">
        <v>240</v>
      </c>
      <c r="AG34" s="1456" t="s">
        <v>241</v>
      </c>
      <c r="AH34" s="1456" t="s">
        <v>184</v>
      </c>
      <c r="AI34" s="1456" t="s">
        <v>223</v>
      </c>
      <c r="AJ34" s="2460" t="s">
        <v>242</v>
      </c>
      <c r="AK34" s="2464" t="s">
        <v>231</v>
      </c>
      <c r="AL34" s="1456" t="s">
        <v>243</v>
      </c>
      <c r="AM34" s="1456" t="s">
        <v>244</v>
      </c>
      <c r="AN34" s="1456" t="s">
        <v>242</v>
      </c>
      <c r="AO34" s="1456" t="s">
        <v>205</v>
      </c>
      <c r="AP34" s="2460" t="s">
        <v>245</v>
      </c>
      <c r="AQ34" s="2465"/>
      <c r="AR34" s="2461"/>
      <c r="AS34" s="2461"/>
      <c r="AT34" s="2461"/>
      <c r="AU34" s="2461"/>
      <c r="AV34" s="2462"/>
      <c r="BI34" s="1456"/>
    </row>
    <row r="35" spans="1:61" ht="33.75" x14ac:dyDescent="0.2">
      <c r="A35" s="860"/>
      <c r="B35" s="836"/>
      <c r="C35" s="836"/>
      <c r="D35" s="2475"/>
      <c r="E35" s="1119"/>
      <c r="F35" s="1119"/>
      <c r="G35" s="1119"/>
      <c r="H35" s="2476"/>
      <c r="I35" s="2464" t="s">
        <v>214</v>
      </c>
      <c r="J35" s="1456" t="s">
        <v>198</v>
      </c>
      <c r="K35" s="1456" t="s">
        <v>236</v>
      </c>
      <c r="L35" s="1456" t="s">
        <v>238</v>
      </c>
      <c r="M35" s="2455"/>
      <c r="N35" s="2464" t="s">
        <v>190</v>
      </c>
      <c r="O35" s="1456" t="s">
        <v>245</v>
      </c>
      <c r="P35" s="1456" t="s">
        <v>201</v>
      </c>
      <c r="Q35" s="1456"/>
      <c r="R35" s="2455"/>
      <c r="S35" s="2464" t="s">
        <v>207</v>
      </c>
      <c r="T35" s="1456" t="s">
        <v>186</v>
      </c>
      <c r="U35" s="1456" t="s">
        <v>173</v>
      </c>
      <c r="V35" s="1456" t="s">
        <v>201</v>
      </c>
      <c r="W35" s="1456" t="s">
        <v>192</v>
      </c>
      <c r="X35" s="2455" t="s">
        <v>184</v>
      </c>
      <c r="Y35" s="2464" t="s">
        <v>243</v>
      </c>
      <c r="Z35" s="1456" t="s">
        <v>205</v>
      </c>
      <c r="AA35" s="1456" t="s">
        <v>223</v>
      </c>
      <c r="AB35" s="1456" t="s">
        <v>246</v>
      </c>
      <c r="AC35" s="1456" t="s">
        <v>228</v>
      </c>
      <c r="AD35" s="2455"/>
      <c r="AE35" s="2464" t="s">
        <v>186</v>
      </c>
      <c r="AF35" s="1456" t="s">
        <v>244</v>
      </c>
      <c r="AG35" s="1456" t="s">
        <v>229</v>
      </c>
      <c r="AH35" s="1456" t="s">
        <v>243</v>
      </c>
      <c r="AI35" s="1456" t="s">
        <v>205</v>
      </c>
      <c r="AJ35" s="2455" t="s">
        <v>247</v>
      </c>
      <c r="AK35" s="2464" t="s">
        <v>248</v>
      </c>
      <c r="AL35" s="1456" t="s">
        <v>240</v>
      </c>
      <c r="AM35" s="1456" t="s">
        <v>229</v>
      </c>
      <c r="AN35" s="1456" t="s">
        <v>238</v>
      </c>
      <c r="AO35" s="1456" t="s">
        <v>246</v>
      </c>
      <c r="AP35" s="2455" t="s">
        <v>241</v>
      </c>
      <c r="AQ35" s="2465"/>
      <c r="AR35" s="2461"/>
      <c r="AS35" s="2461"/>
      <c r="AT35" s="2461"/>
      <c r="AU35" s="2461"/>
      <c r="AV35" s="2456"/>
      <c r="BI35" s="836"/>
    </row>
    <row r="36" spans="1:61" ht="22.5" x14ac:dyDescent="0.2">
      <c r="A36" s="860"/>
      <c r="B36" s="836"/>
      <c r="C36" s="836"/>
      <c r="D36" s="2475"/>
      <c r="E36" s="1119"/>
      <c r="F36" s="1119"/>
      <c r="G36" s="1119"/>
      <c r="H36" s="2476"/>
      <c r="I36" s="2464" t="s">
        <v>231</v>
      </c>
      <c r="J36" s="1456" t="s">
        <v>121</v>
      </c>
      <c r="K36" s="1456" t="s">
        <v>226</v>
      </c>
      <c r="L36" s="1456" t="s">
        <v>212</v>
      </c>
      <c r="M36" s="2455"/>
      <c r="N36" s="2464" t="s">
        <v>220</v>
      </c>
      <c r="O36" s="1456" t="s">
        <v>192</v>
      </c>
      <c r="P36" s="1456" t="s">
        <v>211</v>
      </c>
      <c r="Q36" s="1456"/>
      <c r="R36" s="2455"/>
      <c r="S36" s="2464" t="s">
        <v>243</v>
      </c>
      <c r="T36" s="1456" t="s">
        <v>213</v>
      </c>
      <c r="U36" s="1456" t="s">
        <v>227</v>
      </c>
      <c r="V36" s="1456" t="s">
        <v>178</v>
      </c>
      <c r="W36" s="1456" t="s">
        <v>228</v>
      </c>
      <c r="X36" s="2460" t="s">
        <v>239</v>
      </c>
      <c r="Y36" s="2464"/>
      <c r="Z36" s="1456"/>
      <c r="AA36" s="1456"/>
      <c r="AB36" s="1456"/>
      <c r="AC36" s="1456"/>
      <c r="AD36" s="2455"/>
      <c r="AE36" s="2464" t="s">
        <v>227</v>
      </c>
      <c r="AF36" s="1456" t="s">
        <v>238</v>
      </c>
      <c r="AG36" s="1456" t="s">
        <v>228</v>
      </c>
      <c r="AH36" s="1456" t="s">
        <v>213</v>
      </c>
      <c r="AI36" s="1456" t="s">
        <v>196</v>
      </c>
      <c r="AJ36" s="2460" t="s">
        <v>245</v>
      </c>
      <c r="AK36" s="2464" t="s">
        <v>196</v>
      </c>
      <c r="AL36" s="1456" t="s">
        <v>207</v>
      </c>
      <c r="AM36" s="1456"/>
      <c r="AN36" s="1456"/>
      <c r="AO36" s="1456"/>
      <c r="AP36" s="2460"/>
      <c r="AQ36" s="2465"/>
      <c r="AR36" s="2461"/>
      <c r="AS36" s="2461"/>
      <c r="AT36" s="2461"/>
      <c r="AU36" s="2461"/>
      <c r="AV36" s="2462"/>
      <c r="BI36" s="836"/>
    </row>
    <row r="37" spans="1:61" ht="22.5" x14ac:dyDescent="0.2">
      <c r="A37" s="860"/>
      <c r="B37" s="836"/>
      <c r="C37" s="836"/>
      <c r="D37" s="2475"/>
      <c r="E37" s="1119"/>
      <c r="F37" s="1119"/>
      <c r="G37" s="1119"/>
      <c r="H37" s="2476"/>
      <c r="I37" s="2464" t="s">
        <v>190</v>
      </c>
      <c r="J37" s="1456" t="s">
        <v>249</v>
      </c>
      <c r="K37" s="1456" t="s">
        <v>237</v>
      </c>
      <c r="L37" s="1456" t="s">
        <v>207</v>
      </c>
      <c r="M37" s="2455"/>
      <c r="N37" s="2464" t="s">
        <v>186</v>
      </c>
      <c r="O37" s="1456" t="s">
        <v>155</v>
      </c>
      <c r="P37" s="1456" t="s">
        <v>228</v>
      </c>
      <c r="Q37" s="1456"/>
      <c r="R37" s="2455"/>
      <c r="S37" s="2464" t="s">
        <v>223</v>
      </c>
      <c r="T37" s="1456" t="s">
        <v>246</v>
      </c>
      <c r="U37" s="1456"/>
      <c r="V37" s="1456"/>
      <c r="W37" s="1456"/>
      <c r="X37" s="2455"/>
      <c r="Y37" s="2464"/>
      <c r="Z37" s="1456"/>
      <c r="AA37" s="1456"/>
      <c r="AB37" s="1456"/>
      <c r="AC37" s="1456"/>
      <c r="AD37" s="2455"/>
      <c r="AE37" s="2464" t="s">
        <v>222</v>
      </c>
      <c r="AF37" s="1456" t="s">
        <v>246</v>
      </c>
      <c r="AG37" s="1456" t="s">
        <v>207</v>
      </c>
      <c r="AH37" s="1456"/>
      <c r="AI37" s="1456"/>
      <c r="AJ37" s="2455"/>
      <c r="AK37" s="2464"/>
      <c r="AL37" s="1456"/>
      <c r="AM37" s="1456"/>
      <c r="AN37" s="1456"/>
      <c r="AO37" s="1456"/>
      <c r="AP37" s="2455"/>
      <c r="AQ37" s="2465"/>
      <c r="AR37" s="2461"/>
      <c r="AS37" s="2461"/>
      <c r="AT37" s="2461"/>
      <c r="AU37" s="2461"/>
      <c r="AV37" s="2456"/>
      <c r="BI37" s="836"/>
    </row>
    <row r="38" spans="1:61" x14ac:dyDescent="0.2">
      <c r="A38" s="860"/>
      <c r="B38" s="836"/>
      <c r="C38" s="836"/>
      <c r="D38" s="2475"/>
      <c r="E38" s="1119"/>
      <c r="F38" s="1119"/>
      <c r="G38" s="1119"/>
      <c r="H38" s="2476"/>
      <c r="I38" s="2464" t="s">
        <v>220</v>
      </c>
      <c r="J38" s="1456" t="s">
        <v>192</v>
      </c>
      <c r="K38" s="1456" t="s">
        <v>201</v>
      </c>
      <c r="L38" s="2477"/>
      <c r="M38" s="2455"/>
      <c r="N38" s="2464" t="s">
        <v>227</v>
      </c>
      <c r="O38" s="1456" t="s">
        <v>243</v>
      </c>
      <c r="P38" s="1456" t="s">
        <v>173</v>
      </c>
      <c r="Q38" s="344"/>
      <c r="R38" s="2455"/>
      <c r="S38" s="2464"/>
      <c r="T38" s="1456"/>
      <c r="U38" s="1456"/>
      <c r="V38" s="344"/>
      <c r="W38" s="344"/>
      <c r="X38" s="2455"/>
      <c r="Y38" s="2464"/>
      <c r="Z38" s="1456"/>
      <c r="AA38" s="1456"/>
      <c r="AB38" s="344"/>
      <c r="AC38" s="344"/>
      <c r="AD38" s="2455"/>
      <c r="AE38" s="2464"/>
      <c r="AF38" s="1456"/>
      <c r="AG38" s="1456"/>
      <c r="AH38" s="344"/>
      <c r="AI38" s="344"/>
      <c r="AJ38" s="2455"/>
      <c r="AK38" s="2464"/>
      <c r="AL38" s="1456"/>
      <c r="AM38" s="1456"/>
      <c r="AN38" s="344"/>
      <c r="AO38" s="344"/>
      <c r="AP38" s="2455"/>
      <c r="AQ38" s="2465"/>
      <c r="AR38" s="2461"/>
      <c r="AS38" s="2461"/>
      <c r="AT38" s="2478"/>
      <c r="AU38" s="2478"/>
      <c r="AV38" s="2456"/>
      <c r="BI38" s="836"/>
    </row>
    <row r="39" spans="1:61" ht="23.25" thickBot="1" x14ac:dyDescent="0.25">
      <c r="A39" s="860"/>
      <c r="B39" s="836"/>
      <c r="C39" s="836"/>
      <c r="D39" s="2479"/>
      <c r="E39" s="2480"/>
      <c r="F39" s="2480"/>
      <c r="G39" s="2480"/>
      <c r="H39" s="2481"/>
      <c r="I39" s="2482" t="s">
        <v>186</v>
      </c>
      <c r="J39" s="2483" t="s">
        <v>250</v>
      </c>
      <c r="K39" s="2483" t="s">
        <v>211</v>
      </c>
      <c r="L39" s="2484"/>
      <c r="M39" s="2485"/>
      <c r="N39" s="2482" t="s">
        <v>232</v>
      </c>
      <c r="O39" s="2483" t="s">
        <v>143</v>
      </c>
      <c r="P39" s="2483" t="s">
        <v>238</v>
      </c>
      <c r="Q39" s="2486"/>
      <c r="R39" s="2485"/>
      <c r="S39" s="2482"/>
      <c r="T39" s="2483"/>
      <c r="U39" s="2483"/>
      <c r="V39" s="2486"/>
      <c r="W39" s="2486"/>
      <c r="X39" s="2485"/>
      <c r="Y39" s="2482"/>
      <c r="Z39" s="2483"/>
      <c r="AA39" s="2483"/>
      <c r="AB39" s="2486"/>
      <c r="AC39" s="2486"/>
      <c r="AD39" s="2485"/>
      <c r="AE39" s="2482"/>
      <c r="AF39" s="2483"/>
      <c r="AG39" s="2483"/>
      <c r="AH39" s="2486"/>
      <c r="AI39" s="2486"/>
      <c r="AJ39" s="2485"/>
      <c r="AK39" s="2482"/>
      <c r="AL39" s="2483"/>
      <c r="AM39" s="2483"/>
      <c r="AN39" s="2486"/>
      <c r="AO39" s="2486"/>
      <c r="AP39" s="2485"/>
      <c r="AQ39" s="2487"/>
      <c r="AR39" s="2488"/>
      <c r="AS39" s="2488"/>
      <c r="AT39" s="2489"/>
      <c r="AU39" s="2489"/>
      <c r="AV39" s="2490"/>
      <c r="BI39" s="836"/>
    </row>
    <row r="40" spans="1:61" ht="12.75" x14ac:dyDescent="0.2">
      <c r="A40" s="203"/>
      <c r="B40" s="2491"/>
      <c r="C40" s="2491"/>
      <c r="N40" s="512"/>
      <c r="O40" s="512"/>
      <c r="P40" s="512"/>
      <c r="Q40" s="512"/>
      <c r="R40" s="512"/>
      <c r="S40" s="512"/>
      <c r="T40" s="512"/>
      <c r="U40" s="512"/>
      <c r="V40" s="512"/>
      <c r="W40" s="512"/>
      <c r="X40" s="512"/>
      <c r="Y40" s="512"/>
      <c r="Z40" s="512"/>
      <c r="AA40" s="512"/>
    </row>
    <row r="41" spans="1:61" ht="15" customHeight="1" x14ac:dyDescent="0.2">
      <c r="A41" s="509">
        <v>5</v>
      </c>
      <c r="B41" s="509" t="s">
        <v>52</v>
      </c>
      <c r="C41" s="509"/>
      <c r="D41" s="4628" t="s">
        <v>251</v>
      </c>
      <c r="E41" s="4629"/>
      <c r="F41" s="4629"/>
      <c r="G41" s="4629"/>
      <c r="H41" s="4629"/>
      <c r="I41" s="4629"/>
      <c r="J41" s="4629"/>
      <c r="K41" s="4629"/>
      <c r="L41" s="4629"/>
      <c r="M41" s="4629"/>
      <c r="N41" s="4629"/>
      <c r="O41" s="4629"/>
      <c r="P41" s="4629"/>
      <c r="Q41" s="4629"/>
      <c r="R41" s="4629"/>
      <c r="S41" s="4629"/>
      <c r="T41" s="4629"/>
      <c r="U41" s="4629"/>
      <c r="V41" s="4629"/>
      <c r="W41" s="4629"/>
      <c r="X41" s="4629"/>
      <c r="Y41" s="4629"/>
      <c r="Z41" s="4629"/>
      <c r="AA41" s="4629"/>
      <c r="AB41" s="4629"/>
      <c r="AC41" s="4629"/>
      <c r="AD41" s="4630"/>
      <c r="AE41" s="2492"/>
      <c r="AF41" s="2492"/>
      <c r="AG41" s="2492"/>
      <c r="AH41" s="2492"/>
      <c r="AI41" s="2492"/>
    </row>
    <row r="42" spans="1:61" ht="56.45" customHeight="1" x14ac:dyDescent="0.2">
      <c r="A42" s="546">
        <v>6</v>
      </c>
      <c r="B42" s="546" t="s">
        <v>54</v>
      </c>
      <c r="C42" s="546"/>
      <c r="D42" s="4628" t="s">
        <v>252</v>
      </c>
      <c r="E42" s="4629"/>
      <c r="F42" s="4629"/>
      <c r="G42" s="4629"/>
      <c r="H42" s="4629"/>
      <c r="I42" s="4629"/>
      <c r="J42" s="4629"/>
      <c r="K42" s="4629"/>
      <c r="L42" s="4629"/>
      <c r="M42" s="4629"/>
      <c r="N42" s="4629"/>
      <c r="O42" s="4629"/>
      <c r="P42" s="4629"/>
      <c r="Q42" s="4629"/>
      <c r="R42" s="4629"/>
      <c r="S42" s="4629"/>
      <c r="T42" s="4629"/>
      <c r="U42" s="4629"/>
      <c r="V42" s="4629"/>
      <c r="W42" s="4629"/>
      <c r="X42" s="4629"/>
      <c r="Y42" s="4629"/>
      <c r="Z42" s="4629"/>
      <c r="AA42" s="4629"/>
      <c r="AB42" s="4629"/>
      <c r="AC42" s="4629"/>
      <c r="AD42" s="4630"/>
      <c r="AE42" s="2492"/>
      <c r="AF42" s="2492"/>
      <c r="AG42" s="2492"/>
      <c r="AH42" s="2492"/>
      <c r="AI42" s="2492"/>
    </row>
    <row r="43" spans="1:61" ht="12.75" customHeight="1" x14ac:dyDescent="0.2">
      <c r="A43" s="509">
        <v>7</v>
      </c>
      <c r="B43" s="509" t="s">
        <v>56</v>
      </c>
      <c r="C43" s="509"/>
      <c r="D43" s="4631" t="s">
        <v>253</v>
      </c>
      <c r="E43" s="4632"/>
      <c r="F43" s="4632"/>
      <c r="G43" s="4632"/>
      <c r="H43" s="4632"/>
      <c r="I43" s="4632"/>
      <c r="J43" s="4632"/>
      <c r="K43" s="4632"/>
      <c r="L43" s="4632"/>
      <c r="M43" s="4632"/>
      <c r="N43" s="4632"/>
      <c r="O43" s="4632"/>
      <c r="P43" s="4632"/>
      <c r="Q43" s="4632"/>
      <c r="R43" s="4632"/>
      <c r="S43" s="4632"/>
      <c r="T43" s="4632"/>
      <c r="U43" s="4632"/>
      <c r="V43" s="4632"/>
      <c r="W43" s="4632"/>
      <c r="X43" s="4632"/>
      <c r="Y43" s="4632"/>
      <c r="Z43" s="4632"/>
      <c r="AA43" s="4632"/>
      <c r="AB43" s="4632"/>
      <c r="AC43" s="4632"/>
      <c r="AD43" s="4633"/>
      <c r="AE43" s="2493"/>
      <c r="AF43" s="2493"/>
      <c r="AG43" s="2493"/>
      <c r="AH43" s="2493"/>
      <c r="AI43" s="2493"/>
    </row>
    <row r="44" spans="1:61" x14ac:dyDescent="0.25">
      <c r="N44" s="88"/>
      <c r="O44" s="1137"/>
      <c r="P44" s="1137"/>
      <c r="Q44" s="1137"/>
      <c r="R44" s="1137"/>
      <c r="S44" s="88"/>
      <c r="T44" s="1137"/>
      <c r="U44" s="1137"/>
      <c r="V44" s="1137"/>
      <c r="W44" s="1137"/>
      <c r="X44" s="1137"/>
      <c r="Y44" s="1137"/>
      <c r="Z44" s="1137"/>
      <c r="AA44" s="1137"/>
      <c r="AB44" s="1137"/>
      <c r="AC44" s="1137"/>
    </row>
    <row r="45" spans="1:61" x14ac:dyDescent="0.25">
      <c r="N45" s="88"/>
      <c r="O45" s="1137"/>
      <c r="P45" s="1137"/>
      <c r="Q45" s="1137"/>
      <c r="R45" s="1137"/>
      <c r="S45" s="88"/>
      <c r="T45" s="1137"/>
      <c r="U45" s="1137"/>
      <c r="V45" s="1137"/>
      <c r="W45" s="1137"/>
      <c r="X45" s="1137"/>
      <c r="Y45" s="1137"/>
      <c r="Z45" s="1137"/>
      <c r="AA45" s="1137"/>
      <c r="AB45" s="1137"/>
      <c r="AC45" s="1137"/>
    </row>
    <row r="46" spans="1:61" x14ac:dyDescent="0.25">
      <c r="G46" s="2494"/>
      <c r="N46" s="88"/>
      <c r="O46" s="1137"/>
      <c r="P46" s="1137"/>
      <c r="Q46" s="1137"/>
      <c r="R46" s="1137"/>
      <c r="S46" s="88"/>
      <c r="T46" s="1137"/>
      <c r="U46" s="1137"/>
      <c r="V46" s="1137"/>
      <c r="W46" s="1137"/>
      <c r="X46" s="1137"/>
      <c r="Y46" s="1137"/>
      <c r="Z46" s="1137"/>
      <c r="AA46" s="1137"/>
      <c r="AB46" s="1137"/>
      <c r="AC46" s="1137"/>
    </row>
    <row r="47" spans="1:61" x14ac:dyDescent="0.25">
      <c r="G47" s="2494"/>
      <c r="N47" s="88"/>
      <c r="S47" s="88"/>
    </row>
    <row r="48" spans="1:61" x14ac:dyDescent="0.25">
      <c r="G48" s="2494"/>
      <c r="N48" s="88"/>
      <c r="S48" s="88"/>
    </row>
    <row r="49" spans="7:19" x14ac:dyDescent="0.25">
      <c r="G49" s="2494"/>
      <c r="N49" s="88"/>
      <c r="S49" s="88"/>
    </row>
    <row r="50" spans="7:19" x14ac:dyDescent="0.25">
      <c r="G50" s="2494"/>
      <c r="N50" s="88"/>
      <c r="S50" s="88"/>
    </row>
    <row r="51" spans="7:19" x14ac:dyDescent="0.25">
      <c r="G51" s="2494"/>
      <c r="N51" s="88"/>
      <c r="S51" s="88"/>
    </row>
    <row r="52" spans="7:19" x14ac:dyDescent="0.25">
      <c r="G52" s="2494"/>
      <c r="N52" s="88"/>
      <c r="S52" s="88"/>
    </row>
    <row r="53" spans="7:19" x14ac:dyDescent="0.25">
      <c r="G53" s="2494"/>
      <c r="N53" s="88"/>
      <c r="S53" s="88"/>
    </row>
    <row r="54" spans="7:19" x14ac:dyDescent="0.25">
      <c r="G54" s="2494"/>
      <c r="N54" s="88"/>
      <c r="S54" s="88"/>
    </row>
    <row r="55" spans="7:19" x14ac:dyDescent="0.25">
      <c r="G55" s="2494"/>
      <c r="N55" s="88"/>
      <c r="S55" s="88"/>
    </row>
    <row r="56" spans="7:19" x14ac:dyDescent="0.25">
      <c r="G56" s="2494"/>
      <c r="N56" s="88"/>
      <c r="S56" s="88"/>
    </row>
    <row r="57" spans="7:19" x14ac:dyDescent="0.2">
      <c r="N57" s="88"/>
      <c r="S57" s="88"/>
    </row>
    <row r="58" spans="7:19" x14ac:dyDescent="0.2">
      <c r="N58" s="88"/>
      <c r="S58" s="88"/>
    </row>
    <row r="59" spans="7:19" x14ac:dyDescent="0.2">
      <c r="N59" s="88"/>
      <c r="S59" s="88"/>
    </row>
    <row r="60" spans="7:19" x14ac:dyDescent="0.2">
      <c r="N60" s="88"/>
      <c r="S60" s="88"/>
    </row>
    <row r="61" spans="7:19" x14ac:dyDescent="0.2">
      <c r="N61" s="88"/>
      <c r="S61" s="88"/>
    </row>
    <row r="62" spans="7:19" x14ac:dyDescent="0.2">
      <c r="N62" s="88"/>
      <c r="S62" s="88"/>
    </row>
    <row r="63" spans="7:19" x14ac:dyDescent="0.2">
      <c r="N63" s="88"/>
      <c r="S63" s="88"/>
    </row>
    <row r="64" spans="7:19" x14ac:dyDescent="0.2">
      <c r="N64" s="88"/>
      <c r="S64" s="88"/>
    </row>
    <row r="65" spans="14:19" x14ac:dyDescent="0.2">
      <c r="N65" s="88"/>
      <c r="S65" s="88"/>
    </row>
  </sheetData>
  <mergeCells count="8">
    <mergeCell ref="D42:AD42"/>
    <mergeCell ref="D43:AD43"/>
    <mergeCell ref="D2:AD2"/>
    <mergeCell ref="D3:AD3"/>
    <mergeCell ref="D4:AD4"/>
    <mergeCell ref="D5:AD5"/>
    <mergeCell ref="I32:M32"/>
    <mergeCell ref="D41:AD41"/>
  </mergeCells>
  <hyperlinks>
    <hyperlink ref="D43" r:id="rId1" xr:uid="{3FEECB4F-36C1-40BF-9483-06F81F940E24}"/>
    <hyperlink ref="AF22" r:id="rId2" display="https://www.internationalbudget.org/open-budget-survey/results-by-country/country-info/?country=af" xr:uid="{BF4F5328-3708-42C9-BF76-7215151B8728}"/>
  </hyperlinks>
  <pageMargins left="0.74803149606299213" right="0.74803149606299213" top="0.98425196850393704" bottom="0.98425196850393704" header="0.51181102362204722" footer="0.51181102362204722"/>
  <pageSetup paperSize="9" scale="21" orientation="landscape" r:id="rId3"/>
  <headerFooter alignWithMargins="0">
    <oddHeader>&amp;C&amp;"-,Bold"DEVELOPMENT INDICATORS 2014</oddHeader>
    <oddFooter>&amp;LDepartment of Planning, Monitoring and Evaluation (DPME). &amp;CPage &amp;P of &amp;N&amp;R&amp;D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442BD-B4EE-4763-8D71-643F7D1B3CF2}">
  <sheetPr>
    <tabColor theme="9"/>
    <pageSetUpPr fitToPage="1"/>
  </sheetPr>
  <dimension ref="A2:AC40"/>
  <sheetViews>
    <sheetView showGridLines="0" view="pageBreakPreview" topLeftCell="D10" zoomScaleNormal="100" zoomScaleSheetLayoutView="100" workbookViewId="0">
      <selection activeCell="X26" sqref="X26"/>
    </sheetView>
  </sheetViews>
  <sheetFormatPr defaultColWidth="9.140625" defaultRowHeight="15" x14ac:dyDescent="0.2"/>
  <cols>
    <col min="1" max="1" width="3.85546875" style="506" customWidth="1"/>
    <col min="2" max="2" width="14.42578125" style="1266" customWidth="1"/>
    <col min="3" max="3" width="3.85546875" style="1266" customWidth="1"/>
    <col min="4" max="5" width="8.42578125" style="508" customWidth="1"/>
    <col min="6" max="11" width="8.140625" style="508" customWidth="1"/>
    <col min="12" max="13" width="9.140625" style="508"/>
    <col min="14" max="14" width="6.140625" style="508" customWidth="1"/>
    <col min="15" max="15" width="6.42578125" style="508" customWidth="1"/>
    <col min="16" max="16" width="6.85546875" style="508" customWidth="1"/>
    <col min="17" max="18" width="6.140625" style="508" customWidth="1"/>
    <col min="19" max="19" width="8" style="508" customWidth="1"/>
    <col min="20" max="21" width="7.140625" style="508" customWidth="1"/>
    <col min="22" max="22" width="6.85546875" style="508" customWidth="1"/>
    <col min="23" max="23" width="7.42578125" style="508" customWidth="1"/>
    <col min="24" max="24" width="6.42578125" style="508" customWidth="1"/>
    <col min="25" max="27" width="7.140625" style="508" customWidth="1"/>
    <col min="28" max="258" width="9.140625" style="508"/>
    <col min="259" max="259" width="3.85546875" style="508" customWidth="1"/>
    <col min="260" max="260" width="14.42578125" style="508" customWidth="1"/>
    <col min="261" max="261" width="3.85546875" style="508" customWidth="1"/>
    <col min="262" max="263" width="8.42578125" style="508" customWidth="1"/>
    <col min="264" max="269" width="8.140625" style="508" customWidth="1"/>
    <col min="270" max="514" width="9.140625" style="508"/>
    <col min="515" max="515" width="3.85546875" style="508" customWidth="1"/>
    <col min="516" max="516" width="14.42578125" style="508" customWidth="1"/>
    <col min="517" max="517" width="3.85546875" style="508" customWidth="1"/>
    <col min="518" max="519" width="8.42578125" style="508" customWidth="1"/>
    <col min="520" max="525" width="8.140625" style="508" customWidth="1"/>
    <col min="526" max="770" width="9.140625" style="508"/>
    <col min="771" max="771" width="3.85546875" style="508" customWidth="1"/>
    <col min="772" max="772" width="14.42578125" style="508" customWidth="1"/>
    <col min="773" max="773" width="3.85546875" style="508" customWidth="1"/>
    <col min="774" max="775" width="8.42578125" style="508" customWidth="1"/>
    <col min="776" max="781" width="8.140625" style="508" customWidth="1"/>
    <col min="782" max="1026" width="9.140625" style="508"/>
    <col min="1027" max="1027" width="3.85546875" style="508" customWidth="1"/>
    <col min="1028" max="1028" width="14.42578125" style="508" customWidth="1"/>
    <col min="1029" max="1029" width="3.85546875" style="508" customWidth="1"/>
    <col min="1030" max="1031" width="8.42578125" style="508" customWidth="1"/>
    <col min="1032" max="1037" width="8.140625" style="508" customWidth="1"/>
    <col min="1038" max="1282" width="9.140625" style="508"/>
    <col min="1283" max="1283" width="3.85546875" style="508" customWidth="1"/>
    <col min="1284" max="1284" width="14.42578125" style="508" customWidth="1"/>
    <col min="1285" max="1285" width="3.85546875" style="508" customWidth="1"/>
    <col min="1286" max="1287" width="8.42578125" style="508" customWidth="1"/>
    <col min="1288" max="1293" width="8.140625" style="508" customWidth="1"/>
    <col min="1294" max="1538" width="9.140625" style="508"/>
    <col min="1539" max="1539" width="3.85546875" style="508" customWidth="1"/>
    <col min="1540" max="1540" width="14.42578125" style="508" customWidth="1"/>
    <col min="1541" max="1541" width="3.85546875" style="508" customWidth="1"/>
    <col min="1542" max="1543" width="8.42578125" style="508" customWidth="1"/>
    <col min="1544" max="1549" width="8.140625" style="508" customWidth="1"/>
    <col min="1550" max="1794" width="9.140625" style="508"/>
    <col min="1795" max="1795" width="3.85546875" style="508" customWidth="1"/>
    <col min="1796" max="1796" width="14.42578125" style="508" customWidth="1"/>
    <col min="1797" max="1797" width="3.85546875" style="508" customWidth="1"/>
    <col min="1798" max="1799" width="8.42578125" style="508" customWidth="1"/>
    <col min="1800" max="1805" width="8.140625" style="508" customWidth="1"/>
    <col min="1806" max="2050" width="9.140625" style="508"/>
    <col min="2051" max="2051" width="3.85546875" style="508" customWidth="1"/>
    <col min="2052" max="2052" width="14.42578125" style="508" customWidth="1"/>
    <col min="2053" max="2053" width="3.85546875" style="508" customWidth="1"/>
    <col min="2054" max="2055" width="8.42578125" style="508" customWidth="1"/>
    <col min="2056" max="2061" width="8.140625" style="508" customWidth="1"/>
    <col min="2062" max="2306" width="9.140625" style="508"/>
    <col min="2307" max="2307" width="3.85546875" style="508" customWidth="1"/>
    <col min="2308" max="2308" width="14.42578125" style="508" customWidth="1"/>
    <col min="2309" max="2309" width="3.85546875" style="508" customWidth="1"/>
    <col min="2310" max="2311" width="8.42578125" style="508" customWidth="1"/>
    <col min="2312" max="2317" width="8.140625" style="508" customWidth="1"/>
    <col min="2318" max="2562" width="9.140625" style="508"/>
    <col min="2563" max="2563" width="3.85546875" style="508" customWidth="1"/>
    <col min="2564" max="2564" width="14.42578125" style="508" customWidth="1"/>
    <col min="2565" max="2565" width="3.85546875" style="508" customWidth="1"/>
    <col min="2566" max="2567" width="8.42578125" style="508" customWidth="1"/>
    <col min="2568" max="2573" width="8.140625" style="508" customWidth="1"/>
    <col min="2574" max="2818" width="9.140625" style="508"/>
    <col min="2819" max="2819" width="3.85546875" style="508" customWidth="1"/>
    <col min="2820" max="2820" width="14.42578125" style="508" customWidth="1"/>
    <col min="2821" max="2821" width="3.85546875" style="508" customWidth="1"/>
    <col min="2822" max="2823" width="8.42578125" style="508" customWidth="1"/>
    <col min="2824" max="2829" width="8.140625" style="508" customWidth="1"/>
    <col min="2830" max="3074" width="9.140625" style="508"/>
    <col min="3075" max="3075" width="3.85546875" style="508" customWidth="1"/>
    <col min="3076" max="3076" width="14.42578125" style="508" customWidth="1"/>
    <col min="3077" max="3077" width="3.85546875" style="508" customWidth="1"/>
    <col min="3078" max="3079" width="8.42578125" style="508" customWidth="1"/>
    <col min="3080" max="3085" width="8.140625" style="508" customWidth="1"/>
    <col min="3086" max="3330" width="9.140625" style="508"/>
    <col min="3331" max="3331" width="3.85546875" style="508" customWidth="1"/>
    <col min="3332" max="3332" width="14.42578125" style="508" customWidth="1"/>
    <col min="3333" max="3333" width="3.85546875" style="508" customWidth="1"/>
    <col min="3334" max="3335" width="8.42578125" style="508" customWidth="1"/>
    <col min="3336" max="3341" width="8.140625" style="508" customWidth="1"/>
    <col min="3342" max="3586" width="9.140625" style="508"/>
    <col min="3587" max="3587" width="3.85546875" style="508" customWidth="1"/>
    <col min="3588" max="3588" width="14.42578125" style="508" customWidth="1"/>
    <col min="3589" max="3589" width="3.85546875" style="508" customWidth="1"/>
    <col min="3590" max="3591" width="8.42578125" style="508" customWidth="1"/>
    <col min="3592" max="3597" width="8.140625" style="508" customWidth="1"/>
    <col min="3598" max="3842" width="9.140625" style="508"/>
    <col min="3843" max="3843" width="3.85546875" style="508" customWidth="1"/>
    <col min="3844" max="3844" width="14.42578125" style="508" customWidth="1"/>
    <col min="3845" max="3845" width="3.85546875" style="508" customWidth="1"/>
    <col min="3846" max="3847" width="8.42578125" style="508" customWidth="1"/>
    <col min="3848" max="3853" width="8.140625" style="508" customWidth="1"/>
    <col min="3854" max="4098" width="9.140625" style="508"/>
    <col min="4099" max="4099" width="3.85546875" style="508" customWidth="1"/>
    <col min="4100" max="4100" width="14.42578125" style="508" customWidth="1"/>
    <col min="4101" max="4101" width="3.85546875" style="508" customWidth="1"/>
    <col min="4102" max="4103" width="8.42578125" style="508" customWidth="1"/>
    <col min="4104" max="4109" width="8.140625" style="508" customWidth="1"/>
    <col min="4110" max="4354" width="9.140625" style="508"/>
    <col min="4355" max="4355" width="3.85546875" style="508" customWidth="1"/>
    <col min="4356" max="4356" width="14.42578125" style="508" customWidth="1"/>
    <col min="4357" max="4357" width="3.85546875" style="508" customWidth="1"/>
    <col min="4358" max="4359" width="8.42578125" style="508" customWidth="1"/>
    <col min="4360" max="4365" width="8.140625" style="508" customWidth="1"/>
    <col min="4366" max="4610" width="9.140625" style="508"/>
    <col min="4611" max="4611" width="3.85546875" style="508" customWidth="1"/>
    <col min="4612" max="4612" width="14.42578125" style="508" customWidth="1"/>
    <col min="4613" max="4613" width="3.85546875" style="508" customWidth="1"/>
    <col min="4614" max="4615" width="8.42578125" style="508" customWidth="1"/>
    <col min="4616" max="4621" width="8.140625" style="508" customWidth="1"/>
    <col min="4622" max="4866" width="9.140625" style="508"/>
    <col min="4867" max="4867" width="3.85546875" style="508" customWidth="1"/>
    <col min="4868" max="4868" width="14.42578125" style="508" customWidth="1"/>
    <col min="4869" max="4869" width="3.85546875" style="508" customWidth="1"/>
    <col min="4870" max="4871" width="8.42578125" style="508" customWidth="1"/>
    <col min="4872" max="4877" width="8.140625" style="508" customWidth="1"/>
    <col min="4878" max="5122" width="9.140625" style="508"/>
    <col min="5123" max="5123" width="3.85546875" style="508" customWidth="1"/>
    <col min="5124" max="5124" width="14.42578125" style="508" customWidth="1"/>
    <col min="5125" max="5125" width="3.85546875" style="508" customWidth="1"/>
    <col min="5126" max="5127" width="8.42578125" style="508" customWidth="1"/>
    <col min="5128" max="5133" width="8.140625" style="508" customWidth="1"/>
    <col min="5134" max="5378" width="9.140625" style="508"/>
    <col min="5379" max="5379" width="3.85546875" style="508" customWidth="1"/>
    <col min="5380" max="5380" width="14.42578125" style="508" customWidth="1"/>
    <col min="5381" max="5381" width="3.85546875" style="508" customWidth="1"/>
    <col min="5382" max="5383" width="8.42578125" style="508" customWidth="1"/>
    <col min="5384" max="5389" width="8.140625" style="508" customWidth="1"/>
    <col min="5390" max="5634" width="9.140625" style="508"/>
    <col min="5635" max="5635" width="3.85546875" style="508" customWidth="1"/>
    <col min="5636" max="5636" width="14.42578125" style="508" customWidth="1"/>
    <col min="5637" max="5637" width="3.85546875" style="508" customWidth="1"/>
    <col min="5638" max="5639" width="8.42578125" style="508" customWidth="1"/>
    <col min="5640" max="5645" width="8.140625" style="508" customWidth="1"/>
    <col min="5646" max="5890" width="9.140625" style="508"/>
    <col min="5891" max="5891" width="3.85546875" style="508" customWidth="1"/>
    <col min="5892" max="5892" width="14.42578125" style="508" customWidth="1"/>
    <col min="5893" max="5893" width="3.85546875" style="508" customWidth="1"/>
    <col min="5894" max="5895" width="8.42578125" style="508" customWidth="1"/>
    <col min="5896" max="5901" width="8.140625" style="508" customWidth="1"/>
    <col min="5902" max="6146" width="9.140625" style="508"/>
    <col min="6147" max="6147" width="3.85546875" style="508" customWidth="1"/>
    <col min="6148" max="6148" width="14.42578125" style="508" customWidth="1"/>
    <col min="6149" max="6149" width="3.85546875" style="508" customWidth="1"/>
    <col min="6150" max="6151" width="8.42578125" style="508" customWidth="1"/>
    <col min="6152" max="6157" width="8.140625" style="508" customWidth="1"/>
    <col min="6158" max="6402" width="9.140625" style="508"/>
    <col min="6403" max="6403" width="3.85546875" style="508" customWidth="1"/>
    <col min="6404" max="6404" width="14.42578125" style="508" customWidth="1"/>
    <col min="6405" max="6405" width="3.85546875" style="508" customWidth="1"/>
    <col min="6406" max="6407" width="8.42578125" style="508" customWidth="1"/>
    <col min="6408" max="6413" width="8.140625" style="508" customWidth="1"/>
    <col min="6414" max="6658" width="9.140625" style="508"/>
    <col min="6659" max="6659" width="3.85546875" style="508" customWidth="1"/>
    <col min="6660" max="6660" width="14.42578125" style="508" customWidth="1"/>
    <col min="6661" max="6661" width="3.85546875" style="508" customWidth="1"/>
    <col min="6662" max="6663" width="8.42578125" style="508" customWidth="1"/>
    <col min="6664" max="6669" width="8.140625" style="508" customWidth="1"/>
    <col min="6670" max="6914" width="9.140625" style="508"/>
    <col min="6915" max="6915" width="3.85546875" style="508" customWidth="1"/>
    <col min="6916" max="6916" width="14.42578125" style="508" customWidth="1"/>
    <col min="6917" max="6917" width="3.85546875" style="508" customWidth="1"/>
    <col min="6918" max="6919" width="8.42578125" style="508" customWidth="1"/>
    <col min="6920" max="6925" width="8.140625" style="508" customWidth="1"/>
    <col min="6926" max="7170" width="9.140625" style="508"/>
    <col min="7171" max="7171" width="3.85546875" style="508" customWidth="1"/>
    <col min="7172" max="7172" width="14.42578125" style="508" customWidth="1"/>
    <col min="7173" max="7173" width="3.85546875" style="508" customWidth="1"/>
    <col min="7174" max="7175" width="8.42578125" style="508" customWidth="1"/>
    <col min="7176" max="7181" width="8.140625" style="508" customWidth="1"/>
    <col min="7182" max="7426" width="9.140625" style="508"/>
    <col min="7427" max="7427" width="3.85546875" style="508" customWidth="1"/>
    <col min="7428" max="7428" width="14.42578125" style="508" customWidth="1"/>
    <col min="7429" max="7429" width="3.85546875" style="508" customWidth="1"/>
    <col min="7430" max="7431" width="8.42578125" style="508" customWidth="1"/>
    <col min="7432" max="7437" width="8.140625" style="508" customWidth="1"/>
    <col min="7438" max="7682" width="9.140625" style="508"/>
    <col min="7683" max="7683" width="3.85546875" style="508" customWidth="1"/>
    <col min="7684" max="7684" width="14.42578125" style="508" customWidth="1"/>
    <col min="7685" max="7685" width="3.85546875" style="508" customWidth="1"/>
    <col min="7686" max="7687" width="8.42578125" style="508" customWidth="1"/>
    <col min="7688" max="7693" width="8.140625" style="508" customWidth="1"/>
    <col min="7694" max="7938" width="9.140625" style="508"/>
    <col min="7939" max="7939" width="3.85546875" style="508" customWidth="1"/>
    <col min="7940" max="7940" width="14.42578125" style="508" customWidth="1"/>
    <col min="7941" max="7941" width="3.85546875" style="508" customWidth="1"/>
    <col min="7942" max="7943" width="8.42578125" style="508" customWidth="1"/>
    <col min="7944" max="7949" width="8.140625" style="508" customWidth="1"/>
    <col min="7950" max="8194" width="9.140625" style="508"/>
    <col min="8195" max="8195" width="3.85546875" style="508" customWidth="1"/>
    <col min="8196" max="8196" width="14.42578125" style="508" customWidth="1"/>
    <col min="8197" max="8197" width="3.85546875" style="508" customWidth="1"/>
    <col min="8198" max="8199" width="8.42578125" style="508" customWidth="1"/>
    <col min="8200" max="8205" width="8.140625" style="508" customWidth="1"/>
    <col min="8206" max="8450" width="9.140625" style="508"/>
    <col min="8451" max="8451" width="3.85546875" style="508" customWidth="1"/>
    <col min="8452" max="8452" width="14.42578125" style="508" customWidth="1"/>
    <col min="8453" max="8453" width="3.85546875" style="508" customWidth="1"/>
    <col min="8454" max="8455" width="8.42578125" style="508" customWidth="1"/>
    <col min="8456" max="8461" width="8.140625" style="508" customWidth="1"/>
    <col min="8462" max="8706" width="9.140625" style="508"/>
    <col min="8707" max="8707" width="3.85546875" style="508" customWidth="1"/>
    <col min="8708" max="8708" width="14.42578125" style="508" customWidth="1"/>
    <col min="8709" max="8709" width="3.85546875" style="508" customWidth="1"/>
    <col min="8710" max="8711" width="8.42578125" style="508" customWidth="1"/>
    <col min="8712" max="8717" width="8.140625" style="508" customWidth="1"/>
    <col min="8718" max="8962" width="9.140625" style="508"/>
    <col min="8963" max="8963" width="3.85546875" style="508" customWidth="1"/>
    <col min="8964" max="8964" width="14.42578125" style="508" customWidth="1"/>
    <col min="8965" max="8965" width="3.85546875" style="508" customWidth="1"/>
    <col min="8966" max="8967" width="8.42578125" style="508" customWidth="1"/>
    <col min="8968" max="8973" width="8.140625" style="508" customWidth="1"/>
    <col min="8974" max="9218" width="9.140625" style="508"/>
    <col min="9219" max="9219" width="3.85546875" style="508" customWidth="1"/>
    <col min="9220" max="9220" width="14.42578125" style="508" customWidth="1"/>
    <col min="9221" max="9221" width="3.85546875" style="508" customWidth="1"/>
    <col min="9222" max="9223" width="8.42578125" style="508" customWidth="1"/>
    <col min="9224" max="9229" width="8.140625" style="508" customWidth="1"/>
    <col min="9230" max="9474" width="9.140625" style="508"/>
    <col min="9475" max="9475" width="3.85546875" style="508" customWidth="1"/>
    <col min="9476" max="9476" width="14.42578125" style="508" customWidth="1"/>
    <col min="9477" max="9477" width="3.85546875" style="508" customWidth="1"/>
    <col min="9478" max="9479" width="8.42578125" style="508" customWidth="1"/>
    <col min="9480" max="9485" width="8.140625" style="508" customWidth="1"/>
    <col min="9486" max="9730" width="9.140625" style="508"/>
    <col min="9731" max="9731" width="3.85546875" style="508" customWidth="1"/>
    <col min="9732" max="9732" width="14.42578125" style="508" customWidth="1"/>
    <col min="9733" max="9733" width="3.85546875" style="508" customWidth="1"/>
    <col min="9734" max="9735" width="8.42578125" style="508" customWidth="1"/>
    <col min="9736" max="9741" width="8.140625" style="508" customWidth="1"/>
    <col min="9742" max="9986" width="9.140625" style="508"/>
    <col min="9987" max="9987" width="3.85546875" style="508" customWidth="1"/>
    <col min="9988" max="9988" width="14.42578125" style="508" customWidth="1"/>
    <col min="9989" max="9989" width="3.85546875" style="508" customWidth="1"/>
    <col min="9990" max="9991" width="8.42578125" style="508" customWidth="1"/>
    <col min="9992" max="9997" width="8.140625" style="508" customWidth="1"/>
    <col min="9998" max="10242" width="9.140625" style="508"/>
    <col min="10243" max="10243" width="3.85546875" style="508" customWidth="1"/>
    <col min="10244" max="10244" width="14.42578125" style="508" customWidth="1"/>
    <col min="10245" max="10245" width="3.85546875" style="508" customWidth="1"/>
    <col min="10246" max="10247" width="8.42578125" style="508" customWidth="1"/>
    <col min="10248" max="10253" width="8.140625" style="508" customWidth="1"/>
    <col min="10254" max="10498" width="9.140625" style="508"/>
    <col min="10499" max="10499" width="3.85546875" style="508" customWidth="1"/>
    <col min="10500" max="10500" width="14.42578125" style="508" customWidth="1"/>
    <col min="10501" max="10501" width="3.85546875" style="508" customWidth="1"/>
    <col min="10502" max="10503" width="8.42578125" style="508" customWidth="1"/>
    <col min="10504" max="10509" width="8.140625" style="508" customWidth="1"/>
    <col min="10510" max="10754" width="9.140625" style="508"/>
    <col min="10755" max="10755" width="3.85546875" style="508" customWidth="1"/>
    <col min="10756" max="10756" width="14.42578125" style="508" customWidth="1"/>
    <col min="10757" max="10757" width="3.85546875" style="508" customWidth="1"/>
    <col min="10758" max="10759" width="8.42578125" style="508" customWidth="1"/>
    <col min="10760" max="10765" width="8.140625" style="508" customWidth="1"/>
    <col min="10766" max="11010" width="9.140625" style="508"/>
    <col min="11011" max="11011" width="3.85546875" style="508" customWidth="1"/>
    <col min="11012" max="11012" width="14.42578125" style="508" customWidth="1"/>
    <col min="11013" max="11013" width="3.85546875" style="508" customWidth="1"/>
    <col min="11014" max="11015" width="8.42578125" style="508" customWidth="1"/>
    <col min="11016" max="11021" width="8.140625" style="508" customWidth="1"/>
    <col min="11022" max="11266" width="9.140625" style="508"/>
    <col min="11267" max="11267" width="3.85546875" style="508" customWidth="1"/>
    <col min="11268" max="11268" width="14.42578125" style="508" customWidth="1"/>
    <col min="11269" max="11269" width="3.85546875" style="508" customWidth="1"/>
    <col min="11270" max="11271" width="8.42578125" style="508" customWidth="1"/>
    <col min="11272" max="11277" width="8.140625" style="508" customWidth="1"/>
    <col min="11278" max="11522" width="9.140625" style="508"/>
    <col min="11523" max="11523" width="3.85546875" style="508" customWidth="1"/>
    <col min="11524" max="11524" width="14.42578125" style="508" customWidth="1"/>
    <col min="11525" max="11525" width="3.85546875" style="508" customWidth="1"/>
    <col min="11526" max="11527" width="8.42578125" style="508" customWidth="1"/>
    <col min="11528" max="11533" width="8.140625" style="508" customWidth="1"/>
    <col min="11534" max="11778" width="9.140625" style="508"/>
    <col min="11779" max="11779" width="3.85546875" style="508" customWidth="1"/>
    <col min="11780" max="11780" width="14.42578125" style="508" customWidth="1"/>
    <col min="11781" max="11781" width="3.85546875" style="508" customWidth="1"/>
    <col min="11782" max="11783" width="8.42578125" style="508" customWidth="1"/>
    <col min="11784" max="11789" width="8.140625" style="508" customWidth="1"/>
    <col min="11790" max="12034" width="9.140625" style="508"/>
    <col min="12035" max="12035" width="3.85546875" style="508" customWidth="1"/>
    <col min="12036" max="12036" width="14.42578125" style="508" customWidth="1"/>
    <col min="12037" max="12037" width="3.85546875" style="508" customWidth="1"/>
    <col min="12038" max="12039" width="8.42578125" style="508" customWidth="1"/>
    <col min="12040" max="12045" width="8.140625" style="508" customWidth="1"/>
    <col min="12046" max="12290" width="9.140625" style="508"/>
    <col min="12291" max="12291" width="3.85546875" style="508" customWidth="1"/>
    <col min="12292" max="12292" width="14.42578125" style="508" customWidth="1"/>
    <col min="12293" max="12293" width="3.85546875" style="508" customWidth="1"/>
    <col min="12294" max="12295" width="8.42578125" style="508" customWidth="1"/>
    <col min="12296" max="12301" width="8.140625" style="508" customWidth="1"/>
    <col min="12302" max="12546" width="9.140625" style="508"/>
    <col min="12547" max="12547" width="3.85546875" style="508" customWidth="1"/>
    <col min="12548" max="12548" width="14.42578125" style="508" customWidth="1"/>
    <col min="12549" max="12549" width="3.85546875" style="508" customWidth="1"/>
    <col min="12550" max="12551" width="8.42578125" style="508" customWidth="1"/>
    <col min="12552" max="12557" width="8.140625" style="508" customWidth="1"/>
    <col min="12558" max="12802" width="9.140625" style="508"/>
    <col min="12803" max="12803" width="3.85546875" style="508" customWidth="1"/>
    <col min="12804" max="12804" width="14.42578125" style="508" customWidth="1"/>
    <col min="12805" max="12805" width="3.85546875" style="508" customWidth="1"/>
    <col min="12806" max="12807" width="8.42578125" style="508" customWidth="1"/>
    <col min="12808" max="12813" width="8.140625" style="508" customWidth="1"/>
    <col min="12814" max="13058" width="9.140625" style="508"/>
    <col min="13059" max="13059" width="3.85546875" style="508" customWidth="1"/>
    <col min="13060" max="13060" width="14.42578125" style="508" customWidth="1"/>
    <col min="13061" max="13061" width="3.85546875" style="508" customWidth="1"/>
    <col min="13062" max="13063" width="8.42578125" style="508" customWidth="1"/>
    <col min="13064" max="13069" width="8.140625" style="508" customWidth="1"/>
    <col min="13070" max="13314" width="9.140625" style="508"/>
    <col min="13315" max="13315" width="3.85546875" style="508" customWidth="1"/>
    <col min="13316" max="13316" width="14.42578125" style="508" customWidth="1"/>
    <col min="13317" max="13317" width="3.85546875" style="508" customWidth="1"/>
    <col min="13318" max="13319" width="8.42578125" style="508" customWidth="1"/>
    <col min="13320" max="13325" width="8.140625" style="508" customWidth="1"/>
    <col min="13326" max="13570" width="9.140625" style="508"/>
    <col min="13571" max="13571" width="3.85546875" style="508" customWidth="1"/>
    <col min="13572" max="13572" width="14.42578125" style="508" customWidth="1"/>
    <col min="13573" max="13573" width="3.85546875" style="508" customWidth="1"/>
    <col min="13574" max="13575" width="8.42578125" style="508" customWidth="1"/>
    <col min="13576" max="13581" width="8.140625" style="508" customWidth="1"/>
    <col min="13582" max="13826" width="9.140625" style="508"/>
    <col min="13827" max="13827" width="3.85546875" style="508" customWidth="1"/>
    <col min="13828" max="13828" width="14.42578125" style="508" customWidth="1"/>
    <col min="13829" max="13829" width="3.85546875" style="508" customWidth="1"/>
    <col min="13830" max="13831" width="8.42578125" style="508" customWidth="1"/>
    <col min="13832" max="13837" width="8.140625" style="508" customWidth="1"/>
    <col min="13838" max="14082" width="9.140625" style="508"/>
    <col min="14083" max="14083" width="3.85546875" style="508" customWidth="1"/>
    <col min="14084" max="14084" width="14.42578125" style="508" customWidth="1"/>
    <col min="14085" max="14085" width="3.85546875" style="508" customWidth="1"/>
    <col min="14086" max="14087" width="8.42578125" style="508" customWidth="1"/>
    <col min="14088" max="14093" width="8.140625" style="508" customWidth="1"/>
    <col min="14094" max="14338" width="9.140625" style="508"/>
    <col min="14339" max="14339" width="3.85546875" style="508" customWidth="1"/>
    <col min="14340" max="14340" width="14.42578125" style="508" customWidth="1"/>
    <col min="14341" max="14341" width="3.85546875" style="508" customWidth="1"/>
    <col min="14342" max="14343" width="8.42578125" style="508" customWidth="1"/>
    <col min="14344" max="14349" width="8.140625" style="508" customWidth="1"/>
    <col min="14350" max="14594" width="9.140625" style="508"/>
    <col min="14595" max="14595" width="3.85546875" style="508" customWidth="1"/>
    <col min="14596" max="14596" width="14.42578125" style="508" customWidth="1"/>
    <col min="14597" max="14597" width="3.85546875" style="508" customWidth="1"/>
    <col min="14598" max="14599" width="8.42578125" style="508" customWidth="1"/>
    <col min="14600" max="14605" width="8.140625" style="508" customWidth="1"/>
    <col min="14606" max="14850" width="9.140625" style="508"/>
    <col min="14851" max="14851" width="3.85546875" style="508" customWidth="1"/>
    <col min="14852" max="14852" width="14.42578125" style="508" customWidth="1"/>
    <col min="14853" max="14853" width="3.85546875" style="508" customWidth="1"/>
    <col min="14854" max="14855" width="8.42578125" style="508" customWidth="1"/>
    <col min="14856" max="14861" width="8.140625" style="508" customWidth="1"/>
    <col min="14862" max="15106" width="9.140625" style="508"/>
    <col min="15107" max="15107" width="3.85546875" style="508" customWidth="1"/>
    <col min="15108" max="15108" width="14.42578125" style="508" customWidth="1"/>
    <col min="15109" max="15109" width="3.85546875" style="508" customWidth="1"/>
    <col min="15110" max="15111" width="8.42578125" style="508" customWidth="1"/>
    <col min="15112" max="15117" width="8.140625" style="508" customWidth="1"/>
    <col min="15118" max="15362" width="9.140625" style="508"/>
    <col min="15363" max="15363" width="3.85546875" style="508" customWidth="1"/>
    <col min="15364" max="15364" width="14.42578125" style="508" customWidth="1"/>
    <col min="15365" max="15365" width="3.85546875" style="508" customWidth="1"/>
    <col min="15366" max="15367" width="8.42578125" style="508" customWidth="1"/>
    <col min="15368" max="15373" width="8.140625" style="508" customWidth="1"/>
    <col min="15374" max="15618" width="9.140625" style="508"/>
    <col min="15619" max="15619" width="3.85546875" style="508" customWidth="1"/>
    <col min="15620" max="15620" width="14.42578125" style="508" customWidth="1"/>
    <col min="15621" max="15621" width="3.85546875" style="508" customWidth="1"/>
    <col min="15622" max="15623" width="8.42578125" style="508" customWidth="1"/>
    <col min="15624" max="15629" width="8.140625" style="508" customWidth="1"/>
    <col min="15630" max="15874" width="9.140625" style="508"/>
    <col min="15875" max="15875" width="3.85546875" style="508" customWidth="1"/>
    <col min="15876" max="15876" width="14.42578125" style="508" customWidth="1"/>
    <col min="15877" max="15877" width="3.85546875" style="508" customWidth="1"/>
    <col min="15878" max="15879" width="8.42578125" style="508" customWidth="1"/>
    <col min="15880" max="15885" width="8.140625" style="508" customWidth="1"/>
    <col min="15886" max="16130" width="9.140625" style="508"/>
    <col min="16131" max="16131" width="3.85546875" style="508" customWidth="1"/>
    <col min="16132" max="16132" width="14.42578125" style="508" customWidth="1"/>
    <col min="16133" max="16133" width="3.85546875" style="508" customWidth="1"/>
    <col min="16134" max="16135" width="8.42578125" style="508" customWidth="1"/>
    <col min="16136" max="16141" width="8.140625" style="508" customWidth="1"/>
    <col min="16142" max="16384" width="9.140625" style="508"/>
  </cols>
  <sheetData>
    <row r="2" spans="1:29" ht="14.1" customHeight="1" x14ac:dyDescent="0.2">
      <c r="A2" s="509">
        <v>1</v>
      </c>
      <c r="B2" s="509" t="s">
        <v>0</v>
      </c>
      <c r="C2" s="509">
        <v>40</v>
      </c>
      <c r="D2" s="4734" t="s">
        <v>1133</v>
      </c>
      <c r="E2" s="4735"/>
      <c r="F2" s="4735"/>
      <c r="G2" s="4735"/>
      <c r="H2" s="4735"/>
      <c r="I2" s="4735"/>
      <c r="J2" s="4735"/>
      <c r="K2" s="4735"/>
      <c r="L2" s="4735"/>
      <c r="M2" s="4735"/>
      <c r="N2" s="4735"/>
      <c r="O2" s="4735"/>
      <c r="P2" s="4735"/>
      <c r="Q2" s="4735"/>
      <c r="R2" s="4735"/>
      <c r="S2" s="4735"/>
      <c r="T2" s="4735"/>
      <c r="U2" s="4735"/>
      <c r="V2" s="4735"/>
      <c r="W2" s="4735"/>
      <c r="X2" s="4736"/>
    </row>
    <row r="3" spans="1:29" ht="14.1" customHeight="1" x14ac:dyDescent="0.2">
      <c r="A3" s="509">
        <v>2</v>
      </c>
      <c r="B3" s="509" t="s">
        <v>2</v>
      </c>
      <c r="C3" s="509"/>
      <c r="D3" s="4734" t="s">
        <v>1041</v>
      </c>
      <c r="E3" s="4735"/>
      <c r="F3" s="4735"/>
      <c r="G3" s="4735"/>
      <c r="H3" s="4735"/>
      <c r="I3" s="4735"/>
      <c r="J3" s="4735"/>
      <c r="K3" s="4735"/>
      <c r="L3" s="4735"/>
      <c r="M3" s="4735"/>
      <c r="N3" s="4735"/>
      <c r="O3" s="4735"/>
      <c r="P3" s="4735"/>
      <c r="Q3" s="4735"/>
      <c r="R3" s="4735"/>
      <c r="S3" s="4735"/>
      <c r="T3" s="4735"/>
      <c r="U3" s="4735"/>
      <c r="V3" s="4735"/>
      <c r="W3" s="4735"/>
      <c r="X3" s="4736"/>
    </row>
    <row r="4" spans="1:29" ht="14.1" customHeight="1" x14ac:dyDescent="0.2">
      <c r="A4" s="509">
        <v>3</v>
      </c>
      <c r="B4" s="509" t="s">
        <v>4</v>
      </c>
      <c r="C4" s="509"/>
      <c r="D4" s="4734" t="s">
        <v>1042</v>
      </c>
      <c r="E4" s="4735"/>
      <c r="F4" s="4735"/>
      <c r="G4" s="4735"/>
      <c r="H4" s="4735"/>
      <c r="I4" s="4735"/>
      <c r="J4" s="4735"/>
      <c r="K4" s="4735"/>
      <c r="L4" s="4735"/>
      <c r="M4" s="4735"/>
      <c r="N4" s="4735"/>
      <c r="O4" s="4735"/>
      <c r="P4" s="4735"/>
      <c r="Q4" s="4735"/>
      <c r="R4" s="4735"/>
      <c r="S4" s="4735"/>
      <c r="T4" s="4735"/>
      <c r="U4" s="4735"/>
      <c r="V4" s="4735"/>
      <c r="W4" s="4735"/>
      <c r="X4" s="4736"/>
    </row>
    <row r="5" spans="1:29" ht="14.1" customHeight="1" x14ac:dyDescent="0.2">
      <c r="A5" s="509">
        <v>4</v>
      </c>
      <c r="B5" s="509" t="s">
        <v>1043</v>
      </c>
      <c r="C5" s="509"/>
      <c r="D5" s="4734" t="s">
        <v>1134</v>
      </c>
      <c r="E5" s="4735"/>
      <c r="F5" s="4735"/>
      <c r="G5" s="4735"/>
      <c r="H5" s="4735"/>
      <c r="I5" s="4735"/>
      <c r="J5" s="4735"/>
      <c r="K5" s="4735"/>
      <c r="L5" s="4735"/>
      <c r="M5" s="4735"/>
      <c r="N5" s="4735"/>
      <c r="O5" s="4735"/>
      <c r="P5" s="4735"/>
      <c r="Q5" s="4735"/>
      <c r="R5" s="4735"/>
      <c r="S5" s="4735"/>
      <c r="T5" s="4735"/>
      <c r="U5" s="4735"/>
      <c r="V5" s="4735"/>
      <c r="W5" s="4735"/>
      <c r="X5" s="4736"/>
    </row>
    <row r="6" spans="1:29" ht="14.1" customHeight="1" x14ac:dyDescent="0.2">
      <c r="A6" s="509"/>
      <c r="B6" s="509"/>
      <c r="C6" s="509"/>
      <c r="D6" s="867"/>
      <c r="E6" s="867"/>
      <c r="F6" s="867"/>
      <c r="G6" s="867"/>
      <c r="H6" s="867"/>
      <c r="I6" s="867"/>
      <c r="J6" s="867"/>
      <c r="K6" s="867"/>
      <c r="L6" s="867"/>
      <c r="M6" s="867"/>
      <c r="N6" s="867"/>
      <c r="O6" s="867"/>
      <c r="P6" s="867"/>
      <c r="Q6" s="867"/>
      <c r="R6" s="867"/>
      <c r="S6" s="867"/>
      <c r="T6" s="867"/>
      <c r="U6" s="867"/>
      <c r="V6" s="867"/>
      <c r="W6" s="867"/>
    </row>
    <row r="7" spans="1:29" ht="14.25" x14ac:dyDescent="0.2">
      <c r="A7" s="509">
        <v>5</v>
      </c>
      <c r="B7" s="509" t="s">
        <v>6</v>
      </c>
      <c r="C7" s="509"/>
      <c r="K7" s="1249"/>
    </row>
    <row r="8" spans="1:29" s="88" customFormat="1" ht="14.25" x14ac:dyDescent="0.2">
      <c r="A8" s="860"/>
      <c r="B8" s="836"/>
      <c r="C8" s="836"/>
      <c r="D8" s="71" t="s">
        <v>858</v>
      </c>
      <c r="E8" s="71" t="s">
        <v>1135</v>
      </c>
      <c r="F8" s="71"/>
      <c r="G8" s="71"/>
      <c r="H8" s="71"/>
      <c r="I8" s="71"/>
      <c r="J8" s="71"/>
      <c r="K8" s="71"/>
      <c r="X8" s="508"/>
    </row>
    <row r="9" spans="1:29" s="88" customFormat="1" ht="13.5" customHeight="1" x14ac:dyDescent="0.2">
      <c r="A9" s="860"/>
      <c r="B9" s="836"/>
      <c r="C9" s="836"/>
      <c r="D9" s="1239">
        <v>1997</v>
      </c>
      <c r="E9" s="1240">
        <v>1998</v>
      </c>
      <c r="F9" s="1240">
        <v>1999</v>
      </c>
      <c r="G9" s="1240">
        <v>2000</v>
      </c>
      <c r="H9" s="1240">
        <v>2001</v>
      </c>
      <c r="I9" s="1240">
        <v>2002</v>
      </c>
      <c r="J9" s="1240">
        <v>2003</v>
      </c>
      <c r="K9" s="1240">
        <v>2004</v>
      </c>
      <c r="L9" s="1241">
        <v>2005</v>
      </c>
      <c r="M9" s="1241">
        <v>2006</v>
      </c>
      <c r="N9" s="1241">
        <v>2007</v>
      </c>
      <c r="O9" s="1241">
        <v>2008</v>
      </c>
      <c r="P9" s="1241">
        <v>2009</v>
      </c>
      <c r="Q9" s="1241">
        <v>2010</v>
      </c>
      <c r="R9" s="1241">
        <v>2011</v>
      </c>
      <c r="S9" s="1241">
        <v>2012</v>
      </c>
      <c r="T9" s="1241">
        <v>2013</v>
      </c>
      <c r="U9" s="1242">
        <v>2014</v>
      </c>
      <c r="V9" s="1243">
        <v>2015</v>
      </c>
      <c r="W9" s="1242">
        <v>2016</v>
      </c>
      <c r="X9" s="1244">
        <v>2017</v>
      </c>
      <c r="Y9" s="1244">
        <v>2018</v>
      </c>
      <c r="Z9" s="1244">
        <v>2019</v>
      </c>
      <c r="AA9" s="1244">
        <v>2020</v>
      </c>
      <c r="AB9" s="1244">
        <v>2021</v>
      </c>
      <c r="AC9" s="1244">
        <v>2022</v>
      </c>
    </row>
    <row r="10" spans="1:29" s="88" customFormat="1" ht="13.5" customHeight="1" x14ac:dyDescent="0.2">
      <c r="A10" s="860" t="s">
        <v>1136</v>
      </c>
      <c r="B10" s="1245">
        <v>1</v>
      </c>
      <c r="C10" s="1246" t="s">
        <v>1137</v>
      </c>
      <c r="D10" s="1247"/>
      <c r="E10" s="1248"/>
      <c r="F10" s="1248"/>
      <c r="G10" s="1248"/>
      <c r="H10" s="1248"/>
      <c r="I10" s="1248">
        <v>133</v>
      </c>
      <c r="J10" s="1248">
        <v>150</v>
      </c>
      <c r="K10" s="1248">
        <v>196</v>
      </c>
      <c r="L10" s="1248">
        <v>212</v>
      </c>
      <c r="M10" s="1249">
        <v>237</v>
      </c>
      <c r="N10" s="1249">
        <v>277</v>
      </c>
      <c r="O10" s="1249">
        <v>271</v>
      </c>
      <c r="P10" s="1249">
        <v>283</v>
      </c>
      <c r="Q10" s="1249">
        <v>248</v>
      </c>
      <c r="R10" s="1249">
        <v>184</v>
      </c>
      <c r="S10" s="1249">
        <v>155</v>
      </c>
      <c r="T10" s="1249" t="s">
        <v>2155</v>
      </c>
      <c r="U10" s="1249" t="s">
        <v>2156</v>
      </c>
      <c r="V10" s="1249" t="s">
        <v>2157</v>
      </c>
      <c r="W10" s="1249">
        <v>57</v>
      </c>
      <c r="X10" s="1249" t="s">
        <v>2158</v>
      </c>
      <c r="Y10" s="1249" t="s">
        <v>2159</v>
      </c>
      <c r="Z10" s="1249" t="s">
        <v>2160</v>
      </c>
      <c r="AA10" s="1249" t="s">
        <v>2161</v>
      </c>
      <c r="AB10" s="1249" t="s">
        <v>2162</v>
      </c>
      <c r="AC10" s="1249" t="s">
        <v>2163</v>
      </c>
    </row>
    <row r="11" spans="1:29" s="88" customFormat="1" ht="13.5" hidden="1" customHeight="1" x14ac:dyDescent="0.2">
      <c r="A11" s="860"/>
      <c r="B11" s="1245"/>
      <c r="C11" s="1246" t="e">
        <f>1+C10</f>
        <v>#VALUE!</v>
      </c>
      <c r="D11" s="1251"/>
      <c r="E11" s="1248">
        <v>73.8</v>
      </c>
      <c r="F11" s="1248"/>
      <c r="G11" s="1248"/>
      <c r="H11" s="1248"/>
      <c r="I11" s="1248"/>
      <c r="J11" s="1248">
        <v>165.5</v>
      </c>
      <c r="K11" s="1248"/>
      <c r="L11" s="1248"/>
      <c r="M11" s="1249"/>
      <c r="N11" s="1249"/>
      <c r="O11" s="1249"/>
      <c r="P11" s="1249"/>
      <c r="Q11" s="1249"/>
      <c r="R11" s="1249"/>
      <c r="S11" s="1249"/>
      <c r="T11" s="1249"/>
      <c r="U11" s="1249"/>
      <c r="V11" s="1249"/>
      <c r="W11" s="1249"/>
      <c r="X11" s="1250"/>
      <c r="Y11" s="1250"/>
      <c r="Z11" s="508"/>
      <c r="AA11" s="508"/>
    </row>
    <row r="12" spans="1:29" ht="13.5" customHeight="1" x14ac:dyDescent="0.2">
      <c r="B12" s="1245">
        <v>2</v>
      </c>
      <c r="C12" s="1246" t="s">
        <v>1138</v>
      </c>
      <c r="D12" s="1252"/>
      <c r="E12" s="1253"/>
      <c r="F12" s="1253"/>
      <c r="G12" s="1253"/>
      <c r="H12" s="1253"/>
      <c r="I12" s="1253"/>
      <c r="J12" s="1253"/>
      <c r="K12" s="1253"/>
      <c r="L12" s="1253"/>
      <c r="M12" s="1254"/>
      <c r="N12" s="1254"/>
      <c r="O12" s="1254">
        <v>280</v>
      </c>
      <c r="P12" s="1254">
        <v>304</v>
      </c>
      <c r="Q12" s="1254">
        <v>269</v>
      </c>
      <c r="R12" s="1254">
        <v>198</v>
      </c>
      <c r="S12" s="1254">
        <v>164</v>
      </c>
      <c r="T12" s="1254">
        <v>153</v>
      </c>
      <c r="U12" s="1254">
        <v>166</v>
      </c>
      <c r="V12" s="1254">
        <v>153</v>
      </c>
      <c r="W12" s="1255">
        <v>134</v>
      </c>
      <c r="X12" s="1255">
        <v>134.97</v>
      </c>
      <c r="Y12" s="2905">
        <v>122.9</v>
      </c>
      <c r="Z12" s="1254"/>
      <c r="AA12" s="1254"/>
      <c r="AB12" s="1254"/>
      <c r="AC12" s="1254"/>
    </row>
    <row r="13" spans="1:29" ht="13.5" customHeight="1" x14ac:dyDescent="0.2">
      <c r="B13" s="1245"/>
      <c r="C13" s="1246"/>
      <c r="D13" s="1256"/>
      <c r="E13" s="1257"/>
      <c r="F13" s="1257"/>
      <c r="G13" s="1257"/>
      <c r="H13" s="1257"/>
      <c r="I13" s="1257"/>
      <c r="J13" s="1257"/>
      <c r="K13" s="1257"/>
      <c r="L13" s="1257"/>
      <c r="M13" s="1258"/>
      <c r="N13" s="1258"/>
      <c r="O13" s="1258"/>
      <c r="P13" s="1258"/>
      <c r="Q13" s="1258"/>
      <c r="R13" s="1258"/>
      <c r="S13" s="1258"/>
      <c r="T13" s="1258"/>
      <c r="U13" s="1258"/>
      <c r="V13" s="1258"/>
      <c r="W13" s="1258"/>
      <c r="X13" s="1258"/>
      <c r="Y13" s="2906"/>
      <c r="AC13" s="2906"/>
    </row>
    <row r="14" spans="1:29" ht="13.5" customHeight="1" x14ac:dyDescent="0.2">
      <c r="B14" s="508"/>
      <c r="C14" s="1245"/>
      <c r="D14" s="4853" t="s">
        <v>1139</v>
      </c>
      <c r="E14" s="4853"/>
      <c r="F14" s="4853"/>
      <c r="G14" s="4853"/>
      <c r="H14" s="4853"/>
      <c r="I14" s="1257"/>
      <c r="J14" s="1257"/>
      <c r="K14" s="1257"/>
      <c r="L14" s="1257"/>
      <c r="M14" s="1258"/>
      <c r="N14" s="1258"/>
      <c r="O14" s="1258"/>
      <c r="P14" s="1258"/>
      <c r="Q14" s="1258"/>
      <c r="R14" s="1258"/>
      <c r="S14" s="1258"/>
      <c r="T14" s="1258"/>
      <c r="U14" s="1258"/>
      <c r="V14" s="1258"/>
      <c r="W14" s="1258"/>
      <c r="X14" s="1258"/>
      <c r="Y14" s="2906"/>
      <c r="AC14" s="2906"/>
    </row>
    <row r="15" spans="1:29" ht="13.5" customHeight="1" x14ac:dyDescent="0.2">
      <c r="B15" s="1245">
        <v>3</v>
      </c>
      <c r="C15" s="1246"/>
      <c r="D15" s="1259"/>
      <c r="E15" s="1260"/>
      <c r="F15" s="1260"/>
      <c r="G15" s="1260"/>
      <c r="H15" s="1260"/>
      <c r="I15" s="1260"/>
      <c r="J15" s="1260"/>
      <c r="K15" s="1260"/>
      <c r="L15" s="1261">
        <v>150.19999999999999</v>
      </c>
      <c r="M15" s="1261">
        <v>161.69999999999999</v>
      </c>
      <c r="N15" s="1261">
        <v>158.5</v>
      </c>
      <c r="O15" s="1261">
        <v>164.8</v>
      </c>
      <c r="P15" s="1261">
        <v>188.9</v>
      </c>
      <c r="Q15" s="1261">
        <v>186.2</v>
      </c>
      <c r="R15" s="4158">
        <v>166.97</v>
      </c>
      <c r="S15" s="1261">
        <v>147.69</v>
      </c>
      <c r="T15" s="1261">
        <v>144.58000000000001</v>
      </c>
      <c r="U15" s="1261">
        <v>135.53</v>
      </c>
      <c r="V15" s="1261">
        <v>135.53</v>
      </c>
      <c r="W15" s="1262">
        <v>135.27000000000001</v>
      </c>
      <c r="X15" s="1263">
        <v>130.96</v>
      </c>
      <c r="Y15" s="1264" t="s">
        <v>1140</v>
      </c>
      <c r="Z15" s="1263"/>
      <c r="AA15" s="1263"/>
      <c r="AB15" s="1263"/>
      <c r="AC15" s="1263"/>
    </row>
    <row r="16" spans="1:29" ht="14.25" x14ac:dyDescent="0.2">
      <c r="A16" s="508"/>
      <c r="B16" s="508"/>
      <c r="C16" s="509"/>
      <c r="R16" s="2906"/>
    </row>
    <row r="17" spans="1:3" ht="14.25" x14ac:dyDescent="0.2">
      <c r="A17" s="509">
        <v>6</v>
      </c>
      <c r="B17" s="509" t="s">
        <v>51</v>
      </c>
      <c r="C17" s="507"/>
    </row>
    <row r="18" spans="1:3" x14ac:dyDescent="0.2">
      <c r="B18" s="507"/>
      <c r="C18" s="507"/>
    </row>
    <row r="19" spans="1:3" x14ac:dyDescent="0.2">
      <c r="B19" s="507"/>
      <c r="C19" s="507"/>
    </row>
    <row r="20" spans="1:3" x14ac:dyDescent="0.2">
      <c r="B20" s="507"/>
      <c r="C20" s="507"/>
    </row>
    <row r="21" spans="1:3" x14ac:dyDescent="0.2">
      <c r="B21" s="507"/>
      <c r="C21" s="507"/>
    </row>
    <row r="22" spans="1:3" x14ac:dyDescent="0.2">
      <c r="B22" s="507"/>
      <c r="C22" s="507"/>
    </row>
    <row r="23" spans="1:3" x14ac:dyDescent="0.2">
      <c r="B23" s="507"/>
      <c r="C23" s="507"/>
    </row>
    <row r="24" spans="1:3" x14ac:dyDescent="0.2">
      <c r="B24" s="507"/>
      <c r="C24" s="507"/>
    </row>
    <row r="25" spans="1:3" x14ac:dyDescent="0.2">
      <c r="B25" s="507"/>
      <c r="C25" s="507"/>
    </row>
    <row r="26" spans="1:3" x14ac:dyDescent="0.2">
      <c r="B26" s="507"/>
      <c r="C26" s="507"/>
    </row>
    <row r="27" spans="1:3" x14ac:dyDescent="0.2">
      <c r="B27" s="507"/>
      <c r="C27" s="507"/>
    </row>
    <row r="28" spans="1:3" x14ac:dyDescent="0.2">
      <c r="B28" s="507"/>
      <c r="C28" s="507"/>
    </row>
    <row r="29" spans="1:3" x14ac:dyDescent="0.2">
      <c r="B29" s="507"/>
      <c r="C29" s="507"/>
    </row>
    <row r="30" spans="1:3" x14ac:dyDescent="0.2">
      <c r="B30" s="507"/>
      <c r="C30" s="507"/>
    </row>
    <row r="31" spans="1:3" x14ac:dyDescent="0.2">
      <c r="B31" s="507"/>
      <c r="C31" s="507"/>
    </row>
    <row r="32" spans="1:3" x14ac:dyDescent="0.2">
      <c r="B32" s="507"/>
      <c r="C32" s="507"/>
    </row>
    <row r="33" spans="1:24" x14ac:dyDescent="0.25">
      <c r="B33" s="507"/>
      <c r="C33" s="507"/>
      <c r="D33" s="1265"/>
      <c r="E33" s="751"/>
      <c r="F33" s="751"/>
      <c r="G33" s="751"/>
      <c r="H33" s="751"/>
      <c r="I33" s="751"/>
    </row>
    <row r="34" spans="1:24" ht="15" customHeight="1" x14ac:dyDescent="0.2">
      <c r="A34" s="509">
        <v>7</v>
      </c>
      <c r="B34" s="509" t="s">
        <v>52</v>
      </c>
      <c r="C34" s="509"/>
      <c r="D34" s="4603" t="s">
        <v>1141</v>
      </c>
      <c r="E34" s="4604"/>
      <c r="F34" s="4604"/>
      <c r="G34" s="4604"/>
      <c r="H34" s="4604"/>
      <c r="I34" s="4604"/>
      <c r="J34" s="4604"/>
      <c r="K34" s="4604"/>
      <c r="L34" s="4604"/>
      <c r="M34" s="4604"/>
      <c r="N34" s="4604"/>
      <c r="O34" s="4604"/>
      <c r="P34" s="4604"/>
      <c r="Q34" s="4604"/>
      <c r="R34" s="4604"/>
      <c r="S34" s="4604"/>
      <c r="T34" s="4604"/>
      <c r="U34" s="4605"/>
      <c r="V34" s="880"/>
      <c r="W34" s="880"/>
    </row>
    <row r="35" spans="1:24" ht="27" customHeight="1" x14ac:dyDescent="0.2">
      <c r="A35" s="546">
        <v>8</v>
      </c>
      <c r="B35" s="546" t="s">
        <v>54</v>
      </c>
      <c r="C35" s="546"/>
      <c r="D35" s="4734" t="s">
        <v>1142</v>
      </c>
      <c r="E35" s="4735"/>
      <c r="F35" s="4735"/>
      <c r="G35" s="4735"/>
      <c r="H35" s="4735"/>
      <c r="I35" s="4735"/>
      <c r="J35" s="4735"/>
      <c r="K35" s="4735"/>
      <c r="L35" s="4735"/>
      <c r="M35" s="4735"/>
      <c r="N35" s="4735"/>
      <c r="O35" s="4735"/>
      <c r="P35" s="4735"/>
      <c r="Q35" s="4735"/>
      <c r="R35" s="4735"/>
      <c r="S35" s="4735"/>
      <c r="T35" s="4735"/>
      <c r="U35" s="4735"/>
      <c r="V35" s="4735"/>
      <c r="W35" s="4735"/>
      <c r="X35" s="4736"/>
    </row>
    <row r="36" spans="1:24" ht="39" customHeight="1" x14ac:dyDescent="0.2">
      <c r="A36" s="509">
        <v>9</v>
      </c>
      <c r="B36" s="509" t="s">
        <v>56</v>
      </c>
      <c r="C36" s="509"/>
      <c r="D36" s="4734" t="s">
        <v>1143</v>
      </c>
      <c r="E36" s="4735"/>
      <c r="F36" s="4735"/>
      <c r="G36" s="4735"/>
      <c r="H36" s="4735"/>
      <c r="I36" s="4735"/>
      <c r="J36" s="4735"/>
      <c r="K36" s="4735"/>
      <c r="L36" s="4735"/>
      <c r="M36" s="4735"/>
      <c r="N36" s="4735"/>
      <c r="O36" s="4735"/>
      <c r="P36" s="4735"/>
      <c r="Q36" s="4735"/>
      <c r="R36" s="4735"/>
      <c r="S36" s="4735"/>
      <c r="T36" s="4735"/>
      <c r="U36" s="4735"/>
      <c r="V36" s="4735"/>
      <c r="W36" s="4735"/>
      <c r="X36" s="4736"/>
    </row>
    <row r="37" spans="1:24" ht="39.75" customHeight="1" x14ac:dyDescent="0.2">
      <c r="A37" s="509">
        <v>10</v>
      </c>
      <c r="B37" s="509" t="s">
        <v>409</v>
      </c>
      <c r="D37" s="4734" t="s">
        <v>1144</v>
      </c>
      <c r="E37" s="4735"/>
      <c r="F37" s="4735"/>
      <c r="G37" s="4735"/>
      <c r="H37" s="4735"/>
      <c r="I37" s="4735"/>
      <c r="J37" s="4735"/>
      <c r="K37" s="4735"/>
      <c r="L37" s="4735"/>
      <c r="M37" s="4735"/>
      <c r="N37" s="4735"/>
      <c r="O37" s="4735"/>
      <c r="P37" s="4735"/>
      <c r="Q37" s="4735"/>
      <c r="R37" s="4735"/>
      <c r="S37" s="4735"/>
      <c r="T37" s="4735"/>
      <c r="U37" s="4735"/>
      <c r="V37" s="4735"/>
      <c r="W37" s="4735"/>
      <c r="X37" s="4736"/>
    </row>
    <row r="40" spans="1:24" x14ac:dyDescent="0.2">
      <c r="B40" s="1267" t="s">
        <v>1145</v>
      </c>
    </row>
  </sheetData>
  <mergeCells count="9">
    <mergeCell ref="D35:X35"/>
    <mergeCell ref="D36:X36"/>
    <mergeCell ref="D37:X37"/>
    <mergeCell ref="D2:X2"/>
    <mergeCell ref="D3:X3"/>
    <mergeCell ref="D4:X4"/>
    <mergeCell ref="D5:X5"/>
    <mergeCell ref="D14:H14"/>
    <mergeCell ref="D34:U34"/>
  </mergeCells>
  <hyperlinks>
    <hyperlink ref="B40" r:id="rId1" xr:uid="{81D36015-2595-455E-AA4F-C5C53AC14464}"/>
  </hyperlinks>
  <pageMargins left="0.74803149606299202" right="0.74803149606299202" top="0.98425196850393704" bottom="0.98425196850393704" header="0.511811023622047" footer="0.511811023622047"/>
  <pageSetup paperSize="9" scale="56" orientation="landscape" r:id="rId2"/>
  <headerFooter alignWithMargins="0">
    <oddHeader>&amp;C&amp;"-,Bold"DEVELOPMENT INDICATORS 2017</oddHeader>
    <oddFooter>&amp;LDepartment of Planning, Monitoring and Evaluation (DPME). &amp;CPage &amp;P of &amp;N&amp;R&amp;D</odd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240D9-7BB5-43AC-A66A-A3409798D38A}">
  <sheetPr>
    <tabColor theme="9"/>
    <pageSetUpPr fitToPage="1"/>
  </sheetPr>
  <dimension ref="A2:AB58"/>
  <sheetViews>
    <sheetView showGridLines="0" view="pageBreakPreview" zoomScaleNormal="100" zoomScaleSheetLayoutView="100" workbookViewId="0">
      <selection activeCell="U39" sqref="U39"/>
    </sheetView>
  </sheetViews>
  <sheetFormatPr defaultColWidth="9.140625" defaultRowHeight="15" x14ac:dyDescent="0.2"/>
  <cols>
    <col min="1" max="1" width="3.85546875" style="506" customWidth="1"/>
    <col min="2" max="2" width="14.42578125" style="507" customWidth="1"/>
    <col min="3" max="3" width="3.85546875" style="507" customWidth="1"/>
    <col min="4" max="4" width="23.42578125" style="508" customWidth="1"/>
    <col min="5" max="25" width="6.140625" style="508" customWidth="1"/>
    <col min="26" max="26" width="7.85546875" style="508" customWidth="1"/>
    <col min="27" max="37" width="10" style="508" bestFit="1" customWidth="1"/>
    <col min="38" max="260" width="9.140625" style="508"/>
    <col min="261" max="261" width="3.85546875" style="508" customWidth="1"/>
    <col min="262" max="262" width="14.42578125" style="508" customWidth="1"/>
    <col min="263" max="263" width="3.85546875" style="508" customWidth="1"/>
    <col min="264" max="264" width="14.5703125" style="508" customWidth="1"/>
    <col min="265" max="281" width="6.140625" style="508" customWidth="1"/>
    <col min="282" max="516" width="9.140625" style="508"/>
    <col min="517" max="517" width="3.85546875" style="508" customWidth="1"/>
    <col min="518" max="518" width="14.42578125" style="508" customWidth="1"/>
    <col min="519" max="519" width="3.85546875" style="508" customWidth="1"/>
    <col min="520" max="520" width="14.5703125" style="508" customWidth="1"/>
    <col min="521" max="537" width="6.140625" style="508" customWidth="1"/>
    <col min="538" max="772" width="9.140625" style="508"/>
    <col min="773" max="773" width="3.85546875" style="508" customWidth="1"/>
    <col min="774" max="774" width="14.42578125" style="508" customWidth="1"/>
    <col min="775" max="775" width="3.85546875" style="508" customWidth="1"/>
    <col min="776" max="776" width="14.5703125" style="508" customWidth="1"/>
    <col min="777" max="793" width="6.140625" style="508" customWidth="1"/>
    <col min="794" max="1028" width="9.140625" style="508"/>
    <col min="1029" max="1029" width="3.85546875" style="508" customWidth="1"/>
    <col min="1030" max="1030" width="14.42578125" style="508" customWidth="1"/>
    <col min="1031" max="1031" width="3.85546875" style="508" customWidth="1"/>
    <col min="1032" max="1032" width="14.5703125" style="508" customWidth="1"/>
    <col min="1033" max="1049" width="6.140625" style="508" customWidth="1"/>
    <col min="1050" max="1284" width="9.140625" style="508"/>
    <col min="1285" max="1285" width="3.85546875" style="508" customWidth="1"/>
    <col min="1286" max="1286" width="14.42578125" style="508" customWidth="1"/>
    <col min="1287" max="1287" width="3.85546875" style="508" customWidth="1"/>
    <col min="1288" max="1288" width="14.5703125" style="508" customWidth="1"/>
    <col min="1289" max="1305" width="6.140625" style="508" customWidth="1"/>
    <col min="1306" max="1540" width="9.140625" style="508"/>
    <col min="1541" max="1541" width="3.85546875" style="508" customWidth="1"/>
    <col min="1542" max="1542" width="14.42578125" style="508" customWidth="1"/>
    <col min="1543" max="1543" width="3.85546875" style="508" customWidth="1"/>
    <col min="1544" max="1544" width="14.5703125" style="508" customWidth="1"/>
    <col min="1545" max="1561" width="6.140625" style="508" customWidth="1"/>
    <col min="1562" max="1796" width="9.140625" style="508"/>
    <col min="1797" max="1797" width="3.85546875" style="508" customWidth="1"/>
    <col min="1798" max="1798" width="14.42578125" style="508" customWidth="1"/>
    <col min="1799" max="1799" width="3.85546875" style="508" customWidth="1"/>
    <col min="1800" max="1800" width="14.5703125" style="508" customWidth="1"/>
    <col min="1801" max="1817" width="6.140625" style="508" customWidth="1"/>
    <col min="1818" max="2052" width="9.140625" style="508"/>
    <col min="2053" max="2053" width="3.85546875" style="508" customWidth="1"/>
    <col min="2054" max="2054" width="14.42578125" style="508" customWidth="1"/>
    <col min="2055" max="2055" width="3.85546875" style="508" customWidth="1"/>
    <col min="2056" max="2056" width="14.5703125" style="508" customWidth="1"/>
    <col min="2057" max="2073" width="6.140625" style="508" customWidth="1"/>
    <col min="2074" max="2308" width="9.140625" style="508"/>
    <col min="2309" max="2309" width="3.85546875" style="508" customWidth="1"/>
    <col min="2310" max="2310" width="14.42578125" style="508" customWidth="1"/>
    <col min="2311" max="2311" width="3.85546875" style="508" customWidth="1"/>
    <col min="2312" max="2312" width="14.5703125" style="508" customWidth="1"/>
    <col min="2313" max="2329" width="6.140625" style="508" customWidth="1"/>
    <col min="2330" max="2564" width="9.140625" style="508"/>
    <col min="2565" max="2565" width="3.85546875" style="508" customWidth="1"/>
    <col min="2566" max="2566" width="14.42578125" style="508" customWidth="1"/>
    <col min="2567" max="2567" width="3.85546875" style="508" customWidth="1"/>
    <col min="2568" max="2568" width="14.5703125" style="508" customWidth="1"/>
    <col min="2569" max="2585" width="6.140625" style="508" customWidth="1"/>
    <col min="2586" max="2820" width="9.140625" style="508"/>
    <col min="2821" max="2821" width="3.85546875" style="508" customWidth="1"/>
    <col min="2822" max="2822" width="14.42578125" style="508" customWidth="1"/>
    <col min="2823" max="2823" width="3.85546875" style="508" customWidth="1"/>
    <col min="2824" max="2824" width="14.5703125" style="508" customWidth="1"/>
    <col min="2825" max="2841" width="6.140625" style="508" customWidth="1"/>
    <col min="2842" max="3076" width="9.140625" style="508"/>
    <col min="3077" max="3077" width="3.85546875" style="508" customWidth="1"/>
    <col min="3078" max="3078" width="14.42578125" style="508" customWidth="1"/>
    <col min="3079" max="3079" width="3.85546875" style="508" customWidth="1"/>
    <col min="3080" max="3080" width="14.5703125" style="508" customWidth="1"/>
    <col min="3081" max="3097" width="6.140625" style="508" customWidth="1"/>
    <col min="3098" max="3332" width="9.140625" style="508"/>
    <col min="3333" max="3333" width="3.85546875" style="508" customWidth="1"/>
    <col min="3334" max="3334" width="14.42578125" style="508" customWidth="1"/>
    <col min="3335" max="3335" width="3.85546875" style="508" customWidth="1"/>
    <col min="3336" max="3336" width="14.5703125" style="508" customWidth="1"/>
    <col min="3337" max="3353" width="6.140625" style="508" customWidth="1"/>
    <col min="3354" max="3588" width="9.140625" style="508"/>
    <col min="3589" max="3589" width="3.85546875" style="508" customWidth="1"/>
    <col min="3590" max="3590" width="14.42578125" style="508" customWidth="1"/>
    <col min="3591" max="3591" width="3.85546875" style="508" customWidth="1"/>
    <col min="3592" max="3592" width="14.5703125" style="508" customWidth="1"/>
    <col min="3593" max="3609" width="6.140625" style="508" customWidth="1"/>
    <col min="3610" max="3844" width="9.140625" style="508"/>
    <col min="3845" max="3845" width="3.85546875" style="508" customWidth="1"/>
    <col min="3846" max="3846" width="14.42578125" style="508" customWidth="1"/>
    <col min="3847" max="3847" width="3.85546875" style="508" customWidth="1"/>
    <col min="3848" max="3848" width="14.5703125" style="508" customWidth="1"/>
    <col min="3849" max="3865" width="6.140625" style="508" customWidth="1"/>
    <col min="3866" max="4100" width="9.140625" style="508"/>
    <col min="4101" max="4101" width="3.85546875" style="508" customWidth="1"/>
    <col min="4102" max="4102" width="14.42578125" style="508" customWidth="1"/>
    <col min="4103" max="4103" width="3.85546875" style="508" customWidth="1"/>
    <col min="4104" max="4104" width="14.5703125" style="508" customWidth="1"/>
    <col min="4105" max="4121" width="6.140625" style="508" customWidth="1"/>
    <col min="4122" max="4356" width="9.140625" style="508"/>
    <col min="4357" max="4357" width="3.85546875" style="508" customWidth="1"/>
    <col min="4358" max="4358" width="14.42578125" style="508" customWidth="1"/>
    <col min="4359" max="4359" width="3.85546875" style="508" customWidth="1"/>
    <col min="4360" max="4360" width="14.5703125" style="508" customWidth="1"/>
    <col min="4361" max="4377" width="6.140625" style="508" customWidth="1"/>
    <col min="4378" max="4612" width="9.140625" style="508"/>
    <col min="4613" max="4613" width="3.85546875" style="508" customWidth="1"/>
    <col min="4614" max="4614" width="14.42578125" style="508" customWidth="1"/>
    <col min="4615" max="4615" width="3.85546875" style="508" customWidth="1"/>
    <col min="4616" max="4616" width="14.5703125" style="508" customWidth="1"/>
    <col min="4617" max="4633" width="6.140625" style="508" customWidth="1"/>
    <col min="4634" max="4868" width="9.140625" style="508"/>
    <col min="4869" max="4869" width="3.85546875" style="508" customWidth="1"/>
    <col min="4870" max="4870" width="14.42578125" style="508" customWidth="1"/>
    <col min="4871" max="4871" width="3.85546875" style="508" customWidth="1"/>
    <col min="4872" max="4872" width="14.5703125" style="508" customWidth="1"/>
    <col min="4873" max="4889" width="6.140625" style="508" customWidth="1"/>
    <col min="4890" max="5124" width="9.140625" style="508"/>
    <col min="5125" max="5125" width="3.85546875" style="508" customWidth="1"/>
    <col min="5126" max="5126" width="14.42578125" style="508" customWidth="1"/>
    <col min="5127" max="5127" width="3.85546875" style="508" customWidth="1"/>
    <col min="5128" max="5128" width="14.5703125" style="508" customWidth="1"/>
    <col min="5129" max="5145" width="6.140625" style="508" customWidth="1"/>
    <col min="5146" max="5380" width="9.140625" style="508"/>
    <col min="5381" max="5381" width="3.85546875" style="508" customWidth="1"/>
    <col min="5382" max="5382" width="14.42578125" style="508" customWidth="1"/>
    <col min="5383" max="5383" width="3.85546875" style="508" customWidth="1"/>
    <col min="5384" max="5384" width="14.5703125" style="508" customWidth="1"/>
    <col min="5385" max="5401" width="6.140625" style="508" customWidth="1"/>
    <col min="5402" max="5636" width="9.140625" style="508"/>
    <col min="5637" max="5637" width="3.85546875" style="508" customWidth="1"/>
    <col min="5638" max="5638" width="14.42578125" style="508" customWidth="1"/>
    <col min="5639" max="5639" width="3.85546875" style="508" customWidth="1"/>
    <col min="5640" max="5640" width="14.5703125" style="508" customWidth="1"/>
    <col min="5641" max="5657" width="6.140625" style="508" customWidth="1"/>
    <col min="5658" max="5892" width="9.140625" style="508"/>
    <col min="5893" max="5893" width="3.85546875" style="508" customWidth="1"/>
    <col min="5894" max="5894" width="14.42578125" style="508" customWidth="1"/>
    <col min="5895" max="5895" width="3.85546875" style="508" customWidth="1"/>
    <col min="5896" max="5896" width="14.5703125" style="508" customWidth="1"/>
    <col min="5897" max="5913" width="6.140625" style="508" customWidth="1"/>
    <col min="5914" max="6148" width="9.140625" style="508"/>
    <col min="6149" max="6149" width="3.85546875" style="508" customWidth="1"/>
    <col min="6150" max="6150" width="14.42578125" style="508" customWidth="1"/>
    <col min="6151" max="6151" width="3.85546875" style="508" customWidth="1"/>
    <col min="6152" max="6152" width="14.5703125" style="508" customWidth="1"/>
    <col min="6153" max="6169" width="6.140625" style="508" customWidth="1"/>
    <col min="6170" max="6404" width="9.140625" style="508"/>
    <col min="6405" max="6405" width="3.85546875" style="508" customWidth="1"/>
    <col min="6406" max="6406" width="14.42578125" style="508" customWidth="1"/>
    <col min="6407" max="6407" width="3.85546875" style="508" customWidth="1"/>
    <col min="6408" max="6408" width="14.5703125" style="508" customWidth="1"/>
    <col min="6409" max="6425" width="6.140625" style="508" customWidth="1"/>
    <col min="6426" max="6660" width="9.140625" style="508"/>
    <col min="6661" max="6661" width="3.85546875" style="508" customWidth="1"/>
    <col min="6662" max="6662" width="14.42578125" style="508" customWidth="1"/>
    <col min="6663" max="6663" width="3.85546875" style="508" customWidth="1"/>
    <col min="6664" max="6664" width="14.5703125" style="508" customWidth="1"/>
    <col min="6665" max="6681" width="6.140625" style="508" customWidth="1"/>
    <col min="6682" max="6916" width="9.140625" style="508"/>
    <col min="6917" max="6917" width="3.85546875" style="508" customWidth="1"/>
    <col min="6918" max="6918" width="14.42578125" style="508" customWidth="1"/>
    <col min="6919" max="6919" width="3.85546875" style="508" customWidth="1"/>
    <col min="6920" max="6920" width="14.5703125" style="508" customWidth="1"/>
    <col min="6921" max="6937" width="6.140625" style="508" customWidth="1"/>
    <col min="6938" max="7172" width="9.140625" style="508"/>
    <col min="7173" max="7173" width="3.85546875" style="508" customWidth="1"/>
    <col min="7174" max="7174" width="14.42578125" style="508" customWidth="1"/>
    <col min="7175" max="7175" width="3.85546875" style="508" customWidth="1"/>
    <col min="7176" max="7176" width="14.5703125" style="508" customWidth="1"/>
    <col min="7177" max="7193" width="6.140625" style="508" customWidth="1"/>
    <col min="7194" max="7428" width="9.140625" style="508"/>
    <col min="7429" max="7429" width="3.85546875" style="508" customWidth="1"/>
    <col min="7430" max="7430" width="14.42578125" style="508" customWidth="1"/>
    <col min="7431" max="7431" width="3.85546875" style="508" customWidth="1"/>
    <col min="7432" max="7432" width="14.5703125" style="508" customWidth="1"/>
    <col min="7433" max="7449" width="6.140625" style="508" customWidth="1"/>
    <col min="7450" max="7684" width="9.140625" style="508"/>
    <col min="7685" max="7685" width="3.85546875" style="508" customWidth="1"/>
    <col min="7686" max="7686" width="14.42578125" style="508" customWidth="1"/>
    <col min="7687" max="7687" width="3.85546875" style="508" customWidth="1"/>
    <col min="7688" max="7688" width="14.5703125" style="508" customWidth="1"/>
    <col min="7689" max="7705" width="6.140625" style="508" customWidth="1"/>
    <col min="7706" max="7940" width="9.140625" style="508"/>
    <col min="7941" max="7941" width="3.85546875" style="508" customWidth="1"/>
    <col min="7942" max="7942" width="14.42578125" style="508" customWidth="1"/>
    <col min="7943" max="7943" width="3.85546875" style="508" customWidth="1"/>
    <col min="7944" max="7944" width="14.5703125" style="508" customWidth="1"/>
    <col min="7945" max="7961" width="6.140625" style="508" customWidth="1"/>
    <col min="7962" max="8196" width="9.140625" style="508"/>
    <col min="8197" max="8197" width="3.85546875" style="508" customWidth="1"/>
    <col min="8198" max="8198" width="14.42578125" style="508" customWidth="1"/>
    <col min="8199" max="8199" width="3.85546875" style="508" customWidth="1"/>
    <col min="8200" max="8200" width="14.5703125" style="508" customWidth="1"/>
    <col min="8201" max="8217" width="6.140625" style="508" customWidth="1"/>
    <col min="8218" max="8452" width="9.140625" style="508"/>
    <col min="8453" max="8453" width="3.85546875" style="508" customWidth="1"/>
    <col min="8454" max="8454" width="14.42578125" style="508" customWidth="1"/>
    <col min="8455" max="8455" width="3.85546875" style="508" customWidth="1"/>
    <col min="8456" max="8456" width="14.5703125" style="508" customWidth="1"/>
    <col min="8457" max="8473" width="6.140625" style="508" customWidth="1"/>
    <col min="8474" max="8708" width="9.140625" style="508"/>
    <col min="8709" max="8709" width="3.85546875" style="508" customWidth="1"/>
    <col min="8710" max="8710" width="14.42578125" style="508" customWidth="1"/>
    <col min="8711" max="8711" width="3.85546875" style="508" customWidth="1"/>
    <col min="8712" max="8712" width="14.5703125" style="508" customWidth="1"/>
    <col min="8713" max="8729" width="6.140625" style="508" customWidth="1"/>
    <col min="8730" max="8964" width="9.140625" style="508"/>
    <col min="8965" max="8965" width="3.85546875" style="508" customWidth="1"/>
    <col min="8966" max="8966" width="14.42578125" style="508" customWidth="1"/>
    <col min="8967" max="8967" width="3.85546875" style="508" customWidth="1"/>
    <col min="8968" max="8968" width="14.5703125" style="508" customWidth="1"/>
    <col min="8969" max="8985" width="6.140625" style="508" customWidth="1"/>
    <col min="8986" max="9220" width="9.140625" style="508"/>
    <col min="9221" max="9221" width="3.85546875" style="508" customWidth="1"/>
    <col min="9222" max="9222" width="14.42578125" style="508" customWidth="1"/>
    <col min="9223" max="9223" width="3.85546875" style="508" customWidth="1"/>
    <col min="9224" max="9224" width="14.5703125" style="508" customWidth="1"/>
    <col min="9225" max="9241" width="6.140625" style="508" customWidth="1"/>
    <col min="9242" max="9476" width="9.140625" style="508"/>
    <col min="9477" max="9477" width="3.85546875" style="508" customWidth="1"/>
    <col min="9478" max="9478" width="14.42578125" style="508" customWidth="1"/>
    <col min="9479" max="9479" width="3.85546875" style="508" customWidth="1"/>
    <col min="9480" max="9480" width="14.5703125" style="508" customWidth="1"/>
    <col min="9481" max="9497" width="6.140625" style="508" customWidth="1"/>
    <col min="9498" max="9732" width="9.140625" style="508"/>
    <col min="9733" max="9733" width="3.85546875" style="508" customWidth="1"/>
    <col min="9734" max="9734" width="14.42578125" style="508" customWidth="1"/>
    <col min="9735" max="9735" width="3.85546875" style="508" customWidth="1"/>
    <col min="9736" max="9736" width="14.5703125" style="508" customWidth="1"/>
    <col min="9737" max="9753" width="6.140625" style="508" customWidth="1"/>
    <col min="9754" max="9988" width="9.140625" style="508"/>
    <col min="9989" max="9989" width="3.85546875" style="508" customWidth="1"/>
    <col min="9990" max="9990" width="14.42578125" style="508" customWidth="1"/>
    <col min="9991" max="9991" width="3.85546875" style="508" customWidth="1"/>
    <col min="9992" max="9992" width="14.5703125" style="508" customWidth="1"/>
    <col min="9993" max="10009" width="6.140625" style="508" customWidth="1"/>
    <col min="10010" max="10244" width="9.140625" style="508"/>
    <col min="10245" max="10245" width="3.85546875" style="508" customWidth="1"/>
    <col min="10246" max="10246" width="14.42578125" style="508" customWidth="1"/>
    <col min="10247" max="10247" width="3.85546875" style="508" customWidth="1"/>
    <col min="10248" max="10248" width="14.5703125" style="508" customWidth="1"/>
    <col min="10249" max="10265" width="6.140625" style="508" customWidth="1"/>
    <col min="10266" max="10500" width="9.140625" style="508"/>
    <col min="10501" max="10501" width="3.85546875" style="508" customWidth="1"/>
    <col min="10502" max="10502" width="14.42578125" style="508" customWidth="1"/>
    <col min="10503" max="10503" width="3.85546875" style="508" customWidth="1"/>
    <col min="10504" max="10504" width="14.5703125" style="508" customWidth="1"/>
    <col min="10505" max="10521" width="6.140625" style="508" customWidth="1"/>
    <col min="10522" max="10756" width="9.140625" style="508"/>
    <col min="10757" max="10757" width="3.85546875" style="508" customWidth="1"/>
    <col min="10758" max="10758" width="14.42578125" style="508" customWidth="1"/>
    <col min="10759" max="10759" width="3.85546875" style="508" customWidth="1"/>
    <col min="10760" max="10760" width="14.5703125" style="508" customWidth="1"/>
    <col min="10761" max="10777" width="6.140625" style="508" customWidth="1"/>
    <col min="10778" max="11012" width="9.140625" style="508"/>
    <col min="11013" max="11013" width="3.85546875" style="508" customWidth="1"/>
    <col min="11014" max="11014" width="14.42578125" style="508" customWidth="1"/>
    <col min="11015" max="11015" width="3.85546875" style="508" customWidth="1"/>
    <col min="11016" max="11016" width="14.5703125" style="508" customWidth="1"/>
    <col min="11017" max="11033" width="6.140625" style="508" customWidth="1"/>
    <col min="11034" max="11268" width="9.140625" style="508"/>
    <col min="11269" max="11269" width="3.85546875" style="508" customWidth="1"/>
    <col min="11270" max="11270" width="14.42578125" style="508" customWidth="1"/>
    <col min="11271" max="11271" width="3.85546875" style="508" customWidth="1"/>
    <col min="11272" max="11272" width="14.5703125" style="508" customWidth="1"/>
    <col min="11273" max="11289" width="6.140625" style="508" customWidth="1"/>
    <col min="11290" max="11524" width="9.140625" style="508"/>
    <col min="11525" max="11525" width="3.85546875" style="508" customWidth="1"/>
    <col min="11526" max="11526" width="14.42578125" style="508" customWidth="1"/>
    <col min="11527" max="11527" width="3.85546875" style="508" customWidth="1"/>
    <col min="11528" max="11528" width="14.5703125" style="508" customWidth="1"/>
    <col min="11529" max="11545" width="6.140625" style="508" customWidth="1"/>
    <col min="11546" max="11780" width="9.140625" style="508"/>
    <col min="11781" max="11781" width="3.85546875" style="508" customWidth="1"/>
    <col min="11782" max="11782" width="14.42578125" style="508" customWidth="1"/>
    <col min="11783" max="11783" width="3.85546875" style="508" customWidth="1"/>
    <col min="11784" max="11784" width="14.5703125" style="508" customWidth="1"/>
    <col min="11785" max="11801" width="6.140625" style="508" customWidth="1"/>
    <col min="11802" max="12036" width="9.140625" style="508"/>
    <col min="12037" max="12037" width="3.85546875" style="508" customWidth="1"/>
    <col min="12038" max="12038" width="14.42578125" style="508" customWidth="1"/>
    <col min="12039" max="12039" width="3.85546875" style="508" customWidth="1"/>
    <col min="12040" max="12040" width="14.5703125" style="508" customWidth="1"/>
    <col min="12041" max="12057" width="6.140625" style="508" customWidth="1"/>
    <col min="12058" max="12292" width="9.140625" style="508"/>
    <col min="12293" max="12293" width="3.85546875" style="508" customWidth="1"/>
    <col min="12294" max="12294" width="14.42578125" style="508" customWidth="1"/>
    <col min="12295" max="12295" width="3.85546875" style="508" customWidth="1"/>
    <col min="12296" max="12296" width="14.5703125" style="508" customWidth="1"/>
    <col min="12297" max="12313" width="6.140625" style="508" customWidth="1"/>
    <col min="12314" max="12548" width="9.140625" style="508"/>
    <col min="12549" max="12549" width="3.85546875" style="508" customWidth="1"/>
    <col min="12550" max="12550" width="14.42578125" style="508" customWidth="1"/>
    <col min="12551" max="12551" width="3.85546875" style="508" customWidth="1"/>
    <col min="12552" max="12552" width="14.5703125" style="508" customWidth="1"/>
    <col min="12553" max="12569" width="6.140625" style="508" customWidth="1"/>
    <col min="12570" max="12804" width="9.140625" style="508"/>
    <col min="12805" max="12805" width="3.85546875" style="508" customWidth="1"/>
    <col min="12806" max="12806" width="14.42578125" style="508" customWidth="1"/>
    <col min="12807" max="12807" width="3.85546875" style="508" customWidth="1"/>
    <col min="12808" max="12808" width="14.5703125" style="508" customWidth="1"/>
    <col min="12809" max="12825" width="6.140625" style="508" customWidth="1"/>
    <col min="12826" max="13060" width="9.140625" style="508"/>
    <col min="13061" max="13061" width="3.85546875" style="508" customWidth="1"/>
    <col min="13062" max="13062" width="14.42578125" style="508" customWidth="1"/>
    <col min="13063" max="13063" width="3.85546875" style="508" customWidth="1"/>
    <col min="13064" max="13064" width="14.5703125" style="508" customWidth="1"/>
    <col min="13065" max="13081" width="6.140625" style="508" customWidth="1"/>
    <col min="13082" max="13316" width="9.140625" style="508"/>
    <col min="13317" max="13317" width="3.85546875" style="508" customWidth="1"/>
    <col min="13318" max="13318" width="14.42578125" style="508" customWidth="1"/>
    <col min="13319" max="13319" width="3.85546875" style="508" customWidth="1"/>
    <col min="13320" max="13320" width="14.5703125" style="508" customWidth="1"/>
    <col min="13321" max="13337" width="6.140625" style="508" customWidth="1"/>
    <col min="13338" max="13572" width="9.140625" style="508"/>
    <col min="13573" max="13573" width="3.85546875" style="508" customWidth="1"/>
    <col min="13574" max="13574" width="14.42578125" style="508" customWidth="1"/>
    <col min="13575" max="13575" width="3.85546875" style="508" customWidth="1"/>
    <col min="13576" max="13576" width="14.5703125" style="508" customWidth="1"/>
    <col min="13577" max="13593" width="6.140625" style="508" customWidth="1"/>
    <col min="13594" max="13828" width="9.140625" style="508"/>
    <col min="13829" max="13829" width="3.85546875" style="508" customWidth="1"/>
    <col min="13830" max="13830" width="14.42578125" style="508" customWidth="1"/>
    <col min="13831" max="13831" width="3.85546875" style="508" customWidth="1"/>
    <col min="13832" max="13832" width="14.5703125" style="508" customWidth="1"/>
    <col min="13833" max="13849" width="6.140625" style="508" customWidth="1"/>
    <col min="13850" max="14084" width="9.140625" style="508"/>
    <col min="14085" max="14085" width="3.85546875" style="508" customWidth="1"/>
    <col min="14086" max="14086" width="14.42578125" style="508" customWidth="1"/>
    <col min="14087" max="14087" width="3.85546875" style="508" customWidth="1"/>
    <col min="14088" max="14088" width="14.5703125" style="508" customWidth="1"/>
    <col min="14089" max="14105" width="6.140625" style="508" customWidth="1"/>
    <col min="14106" max="14340" width="9.140625" style="508"/>
    <col min="14341" max="14341" width="3.85546875" style="508" customWidth="1"/>
    <col min="14342" max="14342" width="14.42578125" style="508" customWidth="1"/>
    <col min="14343" max="14343" width="3.85546875" style="508" customWidth="1"/>
    <col min="14344" max="14344" width="14.5703125" style="508" customWidth="1"/>
    <col min="14345" max="14361" width="6.140625" style="508" customWidth="1"/>
    <col min="14362" max="14596" width="9.140625" style="508"/>
    <col min="14597" max="14597" width="3.85546875" style="508" customWidth="1"/>
    <col min="14598" max="14598" width="14.42578125" style="508" customWidth="1"/>
    <col min="14599" max="14599" width="3.85546875" style="508" customWidth="1"/>
    <col min="14600" max="14600" width="14.5703125" style="508" customWidth="1"/>
    <col min="14601" max="14617" width="6.140625" style="508" customWidth="1"/>
    <col min="14618" max="14852" width="9.140625" style="508"/>
    <col min="14853" max="14853" width="3.85546875" style="508" customWidth="1"/>
    <col min="14854" max="14854" width="14.42578125" style="508" customWidth="1"/>
    <col min="14855" max="14855" width="3.85546875" style="508" customWidth="1"/>
    <col min="14856" max="14856" width="14.5703125" style="508" customWidth="1"/>
    <col min="14857" max="14873" width="6.140625" style="508" customWidth="1"/>
    <col min="14874" max="15108" width="9.140625" style="508"/>
    <col min="15109" max="15109" width="3.85546875" style="508" customWidth="1"/>
    <col min="15110" max="15110" width="14.42578125" style="508" customWidth="1"/>
    <col min="15111" max="15111" width="3.85546875" style="508" customWidth="1"/>
    <col min="15112" max="15112" width="14.5703125" style="508" customWidth="1"/>
    <col min="15113" max="15129" width="6.140625" style="508" customWidth="1"/>
    <col min="15130" max="15364" width="9.140625" style="508"/>
    <col min="15365" max="15365" width="3.85546875" style="508" customWidth="1"/>
    <col min="15366" max="15366" width="14.42578125" style="508" customWidth="1"/>
    <col min="15367" max="15367" width="3.85546875" style="508" customWidth="1"/>
    <col min="15368" max="15368" width="14.5703125" style="508" customWidth="1"/>
    <col min="15369" max="15385" width="6.140625" style="508" customWidth="1"/>
    <col min="15386" max="15620" width="9.140625" style="508"/>
    <col min="15621" max="15621" width="3.85546875" style="508" customWidth="1"/>
    <col min="15622" max="15622" width="14.42578125" style="508" customWidth="1"/>
    <col min="15623" max="15623" width="3.85546875" style="508" customWidth="1"/>
    <col min="15624" max="15624" width="14.5703125" style="508" customWidth="1"/>
    <col min="15625" max="15641" width="6.140625" style="508" customWidth="1"/>
    <col min="15642" max="15876" width="9.140625" style="508"/>
    <col min="15877" max="15877" width="3.85546875" style="508" customWidth="1"/>
    <col min="15878" max="15878" width="14.42578125" style="508" customWidth="1"/>
    <col min="15879" max="15879" width="3.85546875" style="508" customWidth="1"/>
    <col min="15880" max="15880" width="14.5703125" style="508" customWidth="1"/>
    <col min="15881" max="15897" width="6.140625" style="508" customWidth="1"/>
    <col min="15898" max="16132" width="9.140625" style="508"/>
    <col min="16133" max="16133" width="3.85546875" style="508" customWidth="1"/>
    <col min="16134" max="16134" width="14.42578125" style="508" customWidth="1"/>
    <col min="16135" max="16135" width="3.85546875" style="508" customWidth="1"/>
    <col min="16136" max="16136" width="14.5703125" style="508" customWidth="1"/>
    <col min="16137" max="16153" width="6.140625" style="508" customWidth="1"/>
    <col min="16154" max="16384" width="9.140625" style="508"/>
  </cols>
  <sheetData>
    <row r="2" spans="1:27" ht="15" customHeight="1" x14ac:dyDescent="0.2">
      <c r="A2" s="509">
        <v>1</v>
      </c>
      <c r="B2" s="509" t="s">
        <v>0</v>
      </c>
      <c r="C2" s="509">
        <v>41</v>
      </c>
      <c r="D2" s="4737" t="s">
        <v>1146</v>
      </c>
      <c r="E2" s="4738"/>
      <c r="F2" s="4738"/>
      <c r="G2" s="4738"/>
      <c r="H2" s="4738"/>
      <c r="I2" s="4738"/>
      <c r="J2" s="4738"/>
      <c r="K2" s="4738"/>
      <c r="L2" s="4738"/>
      <c r="M2" s="4738"/>
      <c r="N2" s="4738"/>
      <c r="O2" s="4738"/>
      <c r="P2" s="4738"/>
      <c r="Q2" s="4738"/>
      <c r="R2" s="4738"/>
      <c r="S2" s="4738"/>
      <c r="T2" s="4738"/>
      <c r="U2" s="4738"/>
      <c r="V2" s="4738"/>
      <c r="W2" s="4738"/>
      <c r="X2" s="4738"/>
      <c r="Y2" s="4738"/>
      <c r="Z2" s="4739"/>
    </row>
    <row r="3" spans="1:27" ht="15" customHeight="1" x14ac:dyDescent="0.2">
      <c r="A3" s="509">
        <v>2</v>
      </c>
      <c r="B3" s="509" t="s">
        <v>2</v>
      </c>
      <c r="C3" s="509"/>
      <c r="D3" s="4603" t="s">
        <v>1041</v>
      </c>
      <c r="E3" s="4604"/>
      <c r="F3" s="4604"/>
      <c r="G3" s="4604"/>
      <c r="H3" s="4604"/>
      <c r="I3" s="4604"/>
      <c r="J3" s="4604"/>
      <c r="K3" s="4604"/>
      <c r="L3" s="4604"/>
      <c r="M3" s="4604"/>
      <c r="N3" s="4604"/>
      <c r="O3" s="4604"/>
      <c r="P3" s="4604"/>
      <c r="Q3" s="4604"/>
      <c r="R3" s="4604"/>
      <c r="S3" s="4604"/>
      <c r="T3" s="4604"/>
      <c r="U3" s="4604"/>
      <c r="V3" s="4604"/>
      <c r="W3" s="4604"/>
      <c r="X3" s="4604"/>
      <c r="Y3" s="4604"/>
      <c r="Z3" s="4605"/>
    </row>
    <row r="4" spans="1:27" ht="15" customHeight="1" x14ac:dyDescent="0.2">
      <c r="A4" s="509">
        <v>3</v>
      </c>
      <c r="B4" s="509" t="s">
        <v>4</v>
      </c>
      <c r="C4" s="509"/>
      <c r="D4" s="4844" t="s">
        <v>1147</v>
      </c>
      <c r="E4" s="4845"/>
      <c r="F4" s="4845"/>
      <c r="G4" s="4845"/>
      <c r="H4" s="4845"/>
      <c r="I4" s="4845"/>
      <c r="J4" s="4845"/>
      <c r="K4" s="4845"/>
      <c r="L4" s="4845"/>
      <c r="M4" s="4845"/>
      <c r="N4" s="4845"/>
      <c r="O4" s="4845"/>
      <c r="P4" s="4845"/>
      <c r="Q4" s="4845"/>
      <c r="R4" s="4845"/>
      <c r="S4" s="4845"/>
      <c r="T4" s="4845"/>
      <c r="U4" s="4845"/>
      <c r="V4" s="4845"/>
      <c r="W4" s="4845"/>
      <c r="X4" s="4845"/>
      <c r="Y4" s="4845"/>
      <c r="Z4" s="4846"/>
    </row>
    <row r="5" spans="1:27" ht="15" customHeight="1" x14ac:dyDescent="0.2">
      <c r="A5" s="509">
        <v>4</v>
      </c>
      <c r="B5" s="509" t="s">
        <v>1043</v>
      </c>
      <c r="C5" s="509"/>
      <c r="D5" s="4844"/>
      <c r="E5" s="4845"/>
      <c r="F5" s="4845"/>
      <c r="G5" s="4845"/>
      <c r="H5" s="4845"/>
      <c r="I5" s="4845"/>
      <c r="J5" s="4845"/>
      <c r="K5" s="4845"/>
      <c r="L5" s="4845"/>
      <c r="M5" s="4845"/>
      <c r="N5" s="4845"/>
      <c r="O5" s="4845"/>
      <c r="P5" s="4845"/>
      <c r="Q5" s="4845"/>
      <c r="R5" s="4845"/>
      <c r="S5" s="4845"/>
      <c r="T5" s="4845"/>
      <c r="U5" s="4845"/>
      <c r="V5" s="4845"/>
      <c r="W5" s="4845"/>
      <c r="X5" s="4845"/>
      <c r="Y5" s="4845"/>
      <c r="Z5" s="4846"/>
    </row>
    <row r="6" spans="1:27" ht="15" customHeight="1" x14ac:dyDescent="0.2">
      <c r="C6" s="860"/>
      <c r="D6" s="87"/>
      <c r="E6" s="87"/>
      <c r="F6" s="87"/>
      <c r="G6" s="87"/>
      <c r="H6" s="87"/>
      <c r="I6" s="87"/>
      <c r="J6" s="87"/>
      <c r="K6" s="87"/>
      <c r="L6" s="87"/>
      <c r="M6" s="87"/>
      <c r="N6" s="87"/>
      <c r="O6" s="87"/>
      <c r="P6" s="87"/>
      <c r="Q6" s="87"/>
      <c r="R6" s="87"/>
      <c r="S6" s="87"/>
      <c r="T6" s="87"/>
      <c r="U6" s="87"/>
      <c r="V6" s="87"/>
      <c r="W6" s="87"/>
      <c r="X6" s="87"/>
      <c r="Y6" s="87"/>
      <c r="Z6" s="1268"/>
    </row>
    <row r="7" spans="1:27" s="88" customFormat="1" ht="13.5" thickBot="1" x14ac:dyDescent="0.25">
      <c r="A7" s="509">
        <v>5</v>
      </c>
      <c r="B7" s="509" t="s">
        <v>6</v>
      </c>
      <c r="C7" s="836"/>
      <c r="D7" s="548" t="s">
        <v>80</v>
      </c>
      <c r="E7" s="548" t="s">
        <v>1148</v>
      </c>
      <c r="F7" s="548"/>
      <c r="G7" s="71"/>
      <c r="H7" s="71"/>
      <c r="I7" s="71"/>
      <c r="J7" s="71"/>
      <c r="K7" s="71"/>
      <c r="L7" s="71"/>
    </row>
    <row r="8" spans="1:27" s="88" customFormat="1" ht="15" customHeight="1" thickBot="1" x14ac:dyDescent="0.25">
      <c r="A8" s="860"/>
      <c r="B8" s="836"/>
      <c r="C8" s="836"/>
      <c r="D8" s="1269" t="s">
        <v>389</v>
      </c>
      <c r="E8" s="1270"/>
      <c r="F8" s="1271">
        <v>2002</v>
      </c>
      <c r="G8" s="1272">
        <v>2003</v>
      </c>
      <c r="H8" s="1272">
        <v>2004</v>
      </c>
      <c r="I8" s="1272">
        <v>2005</v>
      </c>
      <c r="J8" s="1272">
        <v>2006</v>
      </c>
      <c r="K8" s="1272">
        <v>2007</v>
      </c>
      <c r="L8" s="1272">
        <v>2008</v>
      </c>
      <c r="M8" s="1272">
        <v>2009</v>
      </c>
      <c r="N8" s="1271">
        <v>2010</v>
      </c>
      <c r="O8" s="1271">
        <v>2011</v>
      </c>
      <c r="P8" s="1271">
        <v>2012</v>
      </c>
      <c r="Q8" s="1272">
        <v>2013</v>
      </c>
      <c r="R8" s="1272">
        <v>2014</v>
      </c>
      <c r="S8" s="1272">
        <v>2015</v>
      </c>
      <c r="T8" s="1272">
        <v>2016</v>
      </c>
      <c r="U8" s="1272">
        <v>2017</v>
      </c>
      <c r="V8" s="1272">
        <v>2018</v>
      </c>
      <c r="W8" s="1272">
        <v>2019</v>
      </c>
      <c r="X8" s="2198">
        <v>2020</v>
      </c>
      <c r="Y8" s="2198">
        <v>2021</v>
      </c>
      <c r="Z8" s="3101">
        <v>2022</v>
      </c>
    </row>
    <row r="9" spans="1:27" s="88" customFormat="1" ht="15.75" customHeight="1" thickBot="1" x14ac:dyDescent="0.25">
      <c r="A9" s="860"/>
      <c r="B9" s="836"/>
      <c r="C9" s="1245">
        <v>1</v>
      </c>
      <c r="D9" s="1273" t="s">
        <v>1149</v>
      </c>
      <c r="E9" s="1274"/>
      <c r="F9" s="1291">
        <v>6.31</v>
      </c>
      <c r="G9" s="1291">
        <v>6.32</v>
      </c>
      <c r="H9" s="1291">
        <v>6.29</v>
      </c>
      <c r="I9" s="1291">
        <v>6.25</v>
      </c>
      <c r="J9" s="1291">
        <v>6.18</v>
      </c>
      <c r="K9" s="1291">
        <v>6.13</v>
      </c>
      <c r="L9" s="1291">
        <v>6.11</v>
      </c>
      <c r="M9" s="1291">
        <v>6.16</v>
      </c>
      <c r="N9" s="1291">
        <v>6.2</v>
      </c>
      <c r="O9" s="1291">
        <v>6.23</v>
      </c>
      <c r="P9" s="1291">
        <v>6.29</v>
      </c>
      <c r="Q9" s="1291">
        <v>6.29</v>
      </c>
      <c r="R9" s="1291">
        <v>6.24</v>
      </c>
      <c r="S9" s="1291">
        <v>6.21</v>
      </c>
      <c r="T9" s="1291">
        <v>6.05</v>
      </c>
      <c r="U9" s="1291">
        <v>5.92</v>
      </c>
      <c r="V9" s="1291">
        <v>5.79</v>
      </c>
      <c r="W9" s="1291">
        <v>5.68</v>
      </c>
      <c r="X9" s="2199">
        <v>5.6</v>
      </c>
      <c r="Y9" s="2199">
        <v>5.53</v>
      </c>
      <c r="Z9" s="3102">
        <v>5.79</v>
      </c>
      <c r="AA9" s="3105"/>
    </row>
    <row r="10" spans="1:27" s="88" customFormat="1" ht="15" customHeight="1" x14ac:dyDescent="0.2">
      <c r="A10" s="860"/>
      <c r="B10" s="836"/>
      <c r="C10" s="1245">
        <v>2</v>
      </c>
      <c r="D10" s="1273" t="s">
        <v>1150</v>
      </c>
      <c r="E10" s="1274"/>
      <c r="F10" s="1291">
        <v>15.24</v>
      </c>
      <c r="G10" s="1291">
        <v>15.98</v>
      </c>
      <c r="H10" s="1291">
        <v>16.55</v>
      </c>
      <c r="I10" s="1291">
        <v>17</v>
      </c>
      <c r="J10" s="1291">
        <v>17.399999999999999</v>
      </c>
      <c r="K10" s="1291">
        <v>17.77</v>
      </c>
      <c r="L10" s="1291">
        <v>18.16</v>
      </c>
      <c r="M10" s="1291">
        <v>18.78</v>
      </c>
      <c r="N10" s="1291">
        <v>19.399999999999999</v>
      </c>
      <c r="O10" s="1291">
        <v>20.07</v>
      </c>
      <c r="P10" s="1291">
        <v>20.76</v>
      </c>
      <c r="Q10" s="1291">
        <v>21.38</v>
      </c>
      <c r="R10" s="1291">
        <v>21.96</v>
      </c>
      <c r="S10" s="1291">
        <v>22.49</v>
      </c>
      <c r="T10" s="1291">
        <v>22.84</v>
      </c>
      <c r="U10" s="1291">
        <v>23.17</v>
      </c>
      <c r="V10" s="1291">
        <v>23.44</v>
      </c>
      <c r="W10" s="1291">
        <v>23.64</v>
      </c>
      <c r="X10" s="2199">
        <v>23.8</v>
      </c>
      <c r="Y10" s="2199">
        <v>23.92</v>
      </c>
      <c r="Z10" s="3103">
        <v>24.099683180168878</v>
      </c>
    </row>
    <row r="11" spans="1:27" s="88" customFormat="1" ht="15" customHeight="1" x14ac:dyDescent="0.2">
      <c r="A11" s="860"/>
      <c r="B11" s="836"/>
      <c r="C11" s="1245">
        <v>3</v>
      </c>
      <c r="D11" s="1273" t="s">
        <v>1151</v>
      </c>
      <c r="E11" s="1274"/>
      <c r="F11" s="1291">
        <v>13.18</v>
      </c>
      <c r="G11" s="1291">
        <v>13.77</v>
      </c>
      <c r="H11" s="1291">
        <v>14.21</v>
      </c>
      <c r="I11" s="1291">
        <v>14.55</v>
      </c>
      <c r="J11" s="1291">
        <v>14.83</v>
      </c>
      <c r="K11" s="1291">
        <v>15.09</v>
      </c>
      <c r="L11" s="1291">
        <v>15.38</v>
      </c>
      <c r="M11" s="1291">
        <v>15.8</v>
      </c>
      <c r="N11" s="1291">
        <v>16.22</v>
      </c>
      <c r="O11" s="1291">
        <v>16.690000000000001</v>
      </c>
      <c r="P11" s="1291">
        <v>17.190000000000001</v>
      </c>
      <c r="Q11" s="1291">
        <v>17.63</v>
      </c>
      <c r="R11" s="1291">
        <v>18.059999999999999</v>
      </c>
      <c r="S11" s="1291">
        <v>18.45</v>
      </c>
      <c r="T11" s="1291">
        <v>18.71</v>
      </c>
      <c r="U11" s="1291">
        <v>18.96</v>
      </c>
      <c r="V11" s="1291">
        <v>19.16</v>
      </c>
      <c r="W11" s="1291">
        <v>19.309999999999999</v>
      </c>
      <c r="X11" s="2199">
        <v>19.420000000000002</v>
      </c>
      <c r="Y11" s="2199">
        <v>19.5</v>
      </c>
      <c r="Z11" s="3103">
        <v>19.629181416899154</v>
      </c>
    </row>
    <row r="12" spans="1:27" s="88" customFormat="1" ht="12.6" customHeight="1" x14ac:dyDescent="0.2">
      <c r="A12" s="860"/>
      <c r="B12" s="836"/>
      <c r="C12" s="1245">
        <v>4</v>
      </c>
      <c r="D12" s="1273" t="s">
        <v>1152</v>
      </c>
      <c r="E12" s="1274"/>
      <c r="F12" s="1291">
        <v>8.14</v>
      </c>
      <c r="G12" s="1291">
        <v>8.6199999999999992</v>
      </c>
      <c r="H12" s="1291">
        <v>9.01</v>
      </c>
      <c r="I12" s="1291">
        <v>9.33</v>
      </c>
      <c r="J12" s="1291">
        <v>9.59</v>
      </c>
      <c r="K12" s="1291">
        <v>9.83</v>
      </c>
      <c r="L12" s="1291">
        <v>10.07</v>
      </c>
      <c r="M12" s="1291">
        <v>10.39</v>
      </c>
      <c r="N12" s="1291">
        <v>10.7</v>
      </c>
      <c r="O12" s="1291">
        <v>11.05</v>
      </c>
      <c r="P12" s="1291">
        <v>11.41</v>
      </c>
      <c r="Q12" s="1291">
        <v>11.73</v>
      </c>
      <c r="R12" s="1291">
        <v>12.06</v>
      </c>
      <c r="S12" s="1291">
        <v>12.37</v>
      </c>
      <c r="T12" s="1291">
        <v>12.61</v>
      </c>
      <c r="U12" s="1291">
        <v>12.84</v>
      </c>
      <c r="V12" s="1291">
        <v>13.06</v>
      </c>
      <c r="W12" s="1291">
        <v>13.26</v>
      </c>
      <c r="X12" s="2199">
        <v>13.47</v>
      </c>
      <c r="Y12" s="2199">
        <v>13.68</v>
      </c>
      <c r="Z12" s="3104">
        <v>13.93857602508044</v>
      </c>
    </row>
    <row r="13" spans="1:27" s="88" customFormat="1" ht="12.6" customHeight="1" x14ac:dyDescent="0.2">
      <c r="A13" s="860"/>
      <c r="B13" s="836"/>
      <c r="C13" s="1245">
        <v>5</v>
      </c>
      <c r="D13" s="1273" t="s">
        <v>1153</v>
      </c>
      <c r="E13" s="1274"/>
      <c r="F13" s="2200">
        <v>1.9</v>
      </c>
      <c r="G13" s="2200">
        <v>1.9</v>
      </c>
      <c r="H13" s="2200">
        <v>1.8</v>
      </c>
      <c r="I13" s="2200">
        <v>1.7</v>
      </c>
      <c r="J13" s="2200">
        <v>1.7</v>
      </c>
      <c r="K13" s="2200">
        <v>1.7</v>
      </c>
      <c r="L13" s="2200">
        <v>1.6</v>
      </c>
      <c r="M13" s="2200">
        <v>1.7</v>
      </c>
      <c r="N13" s="2200">
        <v>1.6</v>
      </c>
      <c r="O13" s="2200">
        <v>1.6</v>
      </c>
      <c r="P13" s="2200">
        <v>1.6</v>
      </c>
      <c r="Q13" s="2200">
        <v>1.5</v>
      </c>
      <c r="R13" s="2200">
        <v>1.5</v>
      </c>
      <c r="S13" s="2200">
        <v>1.5</v>
      </c>
      <c r="T13" s="2200">
        <v>1.3</v>
      </c>
      <c r="U13" s="2200">
        <v>1.3</v>
      </c>
      <c r="V13" s="2200">
        <v>1.2</v>
      </c>
      <c r="W13" s="2200">
        <v>1.2</v>
      </c>
      <c r="X13" s="2201">
        <v>1.2</v>
      </c>
      <c r="Y13" s="2201">
        <v>1.2</v>
      </c>
      <c r="Z13" s="3103">
        <v>1.23</v>
      </c>
    </row>
    <row r="14" spans="1:27" s="88" customFormat="1" ht="12" thickBot="1" x14ac:dyDescent="0.25">
      <c r="A14" s="860"/>
      <c r="B14" s="836"/>
      <c r="C14" s="1245">
        <v>6</v>
      </c>
      <c r="D14" s="1275" t="s">
        <v>1154</v>
      </c>
      <c r="E14" s="1276"/>
      <c r="F14" s="1277"/>
      <c r="G14" s="1277"/>
      <c r="H14" s="1277"/>
      <c r="I14" s="1277"/>
      <c r="J14" s="1277"/>
      <c r="K14" s="1277"/>
      <c r="L14" s="1277"/>
      <c r="M14" s="1277"/>
      <c r="N14" s="1277"/>
      <c r="O14" s="1277"/>
      <c r="P14" s="1277"/>
      <c r="Q14" s="1277"/>
      <c r="R14" s="1277"/>
      <c r="S14" s="1277"/>
      <c r="T14" s="1277"/>
      <c r="U14" s="1277"/>
      <c r="V14" s="1277"/>
      <c r="W14" s="1277"/>
      <c r="X14" s="1278"/>
      <c r="Y14" s="1278"/>
      <c r="Z14" s="1278"/>
    </row>
    <row r="15" spans="1:27" s="88" customFormat="1" ht="16.350000000000001" customHeight="1" thickBot="1" x14ac:dyDescent="0.25">
      <c r="C15" s="1140"/>
    </row>
    <row r="16" spans="1:27" s="88" customFormat="1" ht="16.350000000000001" hidden="1" customHeight="1" x14ac:dyDescent="0.2">
      <c r="A16" s="865"/>
      <c r="B16" s="836"/>
      <c r="C16" s="1140"/>
      <c r="D16" s="87"/>
      <c r="E16" s="1279"/>
      <c r="F16" s="1279"/>
      <c r="G16" s="1279"/>
      <c r="H16" s="1279"/>
      <c r="I16" s="1279"/>
      <c r="J16" s="1279"/>
      <c r="K16" s="1279"/>
      <c r="L16" s="1279"/>
      <c r="M16" s="1279"/>
      <c r="N16" s="1279"/>
      <c r="O16" s="1279"/>
      <c r="P16" s="1279"/>
      <c r="Q16" s="1280"/>
      <c r="R16" s="1280"/>
      <c r="S16" s="1280"/>
      <c r="T16" s="1280"/>
    </row>
    <row r="17" spans="1:28" s="88" customFormat="1" ht="16.350000000000001" hidden="1" customHeight="1" x14ac:dyDescent="0.2">
      <c r="A17" s="865"/>
      <c r="B17" s="836"/>
      <c r="C17" s="1140"/>
      <c r="D17" s="548" t="s">
        <v>267</v>
      </c>
      <c r="E17" s="548" t="s">
        <v>1155</v>
      </c>
      <c r="F17" s="1279"/>
      <c r="G17" s="1279"/>
      <c r="H17" s="1279"/>
      <c r="I17" s="1279"/>
      <c r="J17" s="1279"/>
      <c r="K17" s="1279"/>
      <c r="L17" s="1279"/>
      <c r="M17" s="1279"/>
      <c r="N17" s="1279"/>
      <c r="O17" s="1279"/>
      <c r="P17" s="1279"/>
      <c r="Q17" s="1280"/>
      <c r="R17" s="1280"/>
      <c r="S17" s="1280"/>
      <c r="T17" s="1280"/>
    </row>
    <row r="18" spans="1:28" s="88" customFormat="1" ht="15" hidden="1" customHeight="1" x14ac:dyDescent="0.25">
      <c r="A18" s="860"/>
      <c r="B18" s="836"/>
      <c r="C18" s="836"/>
      <c r="D18" s="2945" t="s">
        <v>389</v>
      </c>
      <c r="E18" s="3442">
        <v>1994</v>
      </c>
      <c r="F18" s="3442">
        <v>1995</v>
      </c>
      <c r="G18" s="3442">
        <v>1996</v>
      </c>
      <c r="H18" s="3442">
        <v>1997</v>
      </c>
      <c r="I18" s="3443">
        <v>1998</v>
      </c>
      <c r="J18" s="3443">
        <v>1999</v>
      </c>
      <c r="K18" s="3443">
        <v>2000</v>
      </c>
      <c r="L18" s="3444">
        <v>2001</v>
      </c>
      <c r="M18" s="3444">
        <v>2002</v>
      </c>
      <c r="N18" s="3444">
        <v>2003</v>
      </c>
      <c r="O18" s="3444">
        <v>2004</v>
      </c>
      <c r="P18" s="3444">
        <v>2005</v>
      </c>
      <c r="Q18" s="3444">
        <v>2006</v>
      </c>
      <c r="R18" s="3444">
        <v>2007</v>
      </c>
      <c r="S18" s="3444">
        <v>2008</v>
      </c>
      <c r="T18" s="3444">
        <v>2009</v>
      </c>
      <c r="U18" s="3444">
        <v>2010</v>
      </c>
      <c r="V18" s="3444">
        <v>2011</v>
      </c>
      <c r="W18" s="3444">
        <v>2012</v>
      </c>
      <c r="X18" s="3444">
        <v>2013</v>
      </c>
      <c r="Y18" s="3444">
        <v>2014</v>
      </c>
      <c r="Z18" s="3444">
        <v>2014</v>
      </c>
      <c r="AB18" s="1281"/>
    </row>
    <row r="19" spans="1:28" s="88" customFormat="1" ht="12.6" hidden="1" customHeight="1" x14ac:dyDescent="0.2">
      <c r="A19" s="865"/>
      <c r="B19" s="836"/>
      <c r="C19" s="1140">
        <v>11</v>
      </c>
      <c r="D19" s="88" t="s">
        <v>1156</v>
      </c>
      <c r="E19" s="1282"/>
      <c r="F19" s="1282"/>
      <c r="G19" s="1282"/>
      <c r="H19" s="1282"/>
      <c r="I19" s="1282"/>
      <c r="J19" s="1282"/>
      <c r="K19" s="1282"/>
      <c r="L19" s="1282"/>
      <c r="M19" s="1282"/>
      <c r="N19" s="1282"/>
      <c r="O19" s="1282"/>
      <c r="P19" s="1282"/>
      <c r="Q19" s="1283"/>
      <c r="R19" s="1283"/>
      <c r="S19" s="1283"/>
      <c r="T19" s="1283"/>
      <c r="U19" s="1284">
        <v>31.4</v>
      </c>
      <c r="V19" s="1284">
        <v>32.200000000000003</v>
      </c>
      <c r="W19" s="1285"/>
      <c r="X19" s="1285"/>
      <c r="Y19" s="1285"/>
      <c r="Z19" s="1285"/>
    </row>
    <row r="20" spans="1:28" s="88" customFormat="1" ht="20.45" hidden="1" customHeight="1" x14ac:dyDescent="0.2">
      <c r="A20" s="865"/>
      <c r="B20" s="836"/>
      <c r="C20" s="1140">
        <v>12</v>
      </c>
      <c r="D20" s="621" t="s">
        <v>1157</v>
      </c>
      <c r="E20" s="1286"/>
      <c r="F20" s="1286"/>
      <c r="G20" s="1286"/>
      <c r="H20" s="1286"/>
      <c r="I20" s="1286"/>
      <c r="J20" s="1286"/>
      <c r="K20" s="1286"/>
      <c r="L20" s="1286"/>
      <c r="M20" s="1286"/>
      <c r="N20" s="1286"/>
      <c r="O20" s="1286"/>
      <c r="P20" s="1286"/>
      <c r="Q20" s="1287"/>
      <c r="R20" s="1287"/>
      <c r="S20" s="1287"/>
      <c r="T20" s="1287"/>
      <c r="U20" s="1288">
        <v>3.5</v>
      </c>
      <c r="V20" s="1288">
        <v>2.67</v>
      </c>
      <c r="W20" s="1289"/>
      <c r="X20" s="1289"/>
      <c r="Y20" s="1289"/>
      <c r="Z20" s="1289"/>
    </row>
    <row r="21" spans="1:28" s="88" customFormat="1" ht="16.350000000000001" hidden="1" customHeight="1" x14ac:dyDescent="0.2">
      <c r="A21" s="865"/>
      <c r="B21" s="836"/>
      <c r="C21" s="1140"/>
      <c r="D21" s="87"/>
      <c r="E21" s="1279"/>
      <c r="F21" s="1279"/>
      <c r="G21" s="1279"/>
      <c r="H21" s="1279"/>
      <c r="I21" s="1279"/>
      <c r="J21" s="1279"/>
      <c r="K21" s="1279"/>
      <c r="L21" s="1279"/>
      <c r="M21" s="1279"/>
      <c r="N21" s="1279"/>
      <c r="O21" s="1279"/>
      <c r="P21" s="1279"/>
      <c r="Q21" s="1280"/>
      <c r="R21" s="1280"/>
      <c r="S21" s="1280"/>
      <c r="T21" s="1280"/>
    </row>
    <row r="22" spans="1:28" s="88" customFormat="1" ht="12" hidden="1" thickBot="1" x14ac:dyDescent="0.25">
      <c r="A22" s="865"/>
      <c r="B22" s="836"/>
      <c r="C22" s="1140"/>
      <c r="D22" s="87"/>
      <c r="E22" s="1279"/>
      <c r="F22" s="1279"/>
      <c r="G22" s="1279"/>
      <c r="H22" s="1279"/>
      <c r="I22" s="1279"/>
      <c r="J22" s="1279"/>
      <c r="K22" s="1279"/>
      <c r="L22" s="1279"/>
      <c r="M22" s="1279"/>
      <c r="N22" s="1279"/>
      <c r="O22" s="1279"/>
      <c r="P22" s="1279"/>
      <c r="Q22" s="1280"/>
      <c r="R22" s="1280"/>
      <c r="S22" s="1280"/>
      <c r="T22" s="1280"/>
    </row>
    <row r="23" spans="1:28" s="88" customFormat="1" ht="12" thickBot="1" x14ac:dyDescent="0.25">
      <c r="A23" s="865"/>
      <c r="B23" s="836"/>
      <c r="C23" s="836"/>
      <c r="D23" s="1269" t="s">
        <v>1158</v>
      </c>
      <c r="E23" s="1270"/>
      <c r="F23" s="1271">
        <v>2002</v>
      </c>
      <c r="G23" s="1272">
        <v>2003</v>
      </c>
      <c r="H23" s="1272">
        <v>2004</v>
      </c>
      <c r="I23" s="1272">
        <v>2005</v>
      </c>
      <c r="J23" s="1272">
        <v>2006</v>
      </c>
      <c r="K23" s="1272">
        <v>2007</v>
      </c>
      <c r="L23" s="1272">
        <v>2008</v>
      </c>
      <c r="M23" s="1272">
        <v>2009</v>
      </c>
      <c r="N23" s="1271">
        <v>2010</v>
      </c>
      <c r="O23" s="1271">
        <v>2011</v>
      </c>
      <c r="P23" s="1271">
        <v>2012</v>
      </c>
      <c r="Q23" s="1272">
        <v>2013</v>
      </c>
      <c r="R23" s="1272">
        <v>2014</v>
      </c>
      <c r="S23" s="1272">
        <v>2015</v>
      </c>
      <c r="T23" s="1272">
        <v>2016</v>
      </c>
      <c r="U23" s="1272">
        <v>2017</v>
      </c>
      <c r="V23" s="1272">
        <v>2018</v>
      </c>
      <c r="W23" s="1272">
        <v>2019</v>
      </c>
      <c r="X23" s="2198">
        <v>2020</v>
      </c>
      <c r="Y23" s="2198">
        <v>2021</v>
      </c>
      <c r="Z23" s="2198">
        <v>2022</v>
      </c>
    </row>
    <row r="24" spans="1:28" thickBot="1" x14ac:dyDescent="0.25">
      <c r="A24" s="508"/>
      <c r="B24" s="508"/>
      <c r="C24" s="509"/>
      <c r="D24" s="1290" t="s">
        <v>1159</v>
      </c>
      <c r="E24" s="1291"/>
      <c r="F24" s="2202">
        <v>3.78</v>
      </c>
      <c r="G24" s="2202">
        <v>4.04</v>
      </c>
      <c r="H24" s="2202">
        <v>4.2699999999999996</v>
      </c>
      <c r="I24" s="2202">
        <v>4.47</v>
      </c>
      <c r="J24" s="2202">
        <v>4.6500000000000004</v>
      </c>
      <c r="K24" s="2202">
        <v>4.83</v>
      </c>
      <c r="L24" s="2202">
        <v>5.01</v>
      </c>
      <c r="M24" s="2202">
        <v>5.24</v>
      </c>
      <c r="N24" s="2202">
        <v>5.48</v>
      </c>
      <c r="O24" s="2202">
        <v>5.75</v>
      </c>
      <c r="P24" s="2202">
        <v>6.03</v>
      </c>
      <c r="Q24" s="2202">
        <v>6.3</v>
      </c>
      <c r="R24" s="2202">
        <v>6.57</v>
      </c>
      <c r="S24" s="2202">
        <v>6.84</v>
      </c>
      <c r="T24" s="2202">
        <v>7.08</v>
      </c>
      <c r="U24" s="2202">
        <v>7.32</v>
      </c>
      <c r="V24" s="2203">
        <v>7.55</v>
      </c>
      <c r="W24" s="2203">
        <v>7.79</v>
      </c>
      <c r="X24" s="2204">
        <v>8.02</v>
      </c>
      <c r="Y24" s="2204">
        <v>8.23</v>
      </c>
      <c r="Z24" s="2915">
        <v>8.4474739999999997</v>
      </c>
    </row>
    <row r="26" spans="1:28" ht="14.25" x14ac:dyDescent="0.2">
      <c r="A26" s="509">
        <v>6</v>
      </c>
      <c r="B26" s="509" t="s">
        <v>51</v>
      </c>
    </row>
    <row r="29" spans="1:28" x14ac:dyDescent="0.2">
      <c r="N29" s="1292"/>
    </row>
    <row r="38" spans="1:25" ht="14.25" x14ac:dyDescent="0.2">
      <c r="A38" s="509">
        <v>7</v>
      </c>
      <c r="B38" s="509" t="s">
        <v>52</v>
      </c>
      <c r="C38" s="509"/>
      <c r="D38" s="4764" t="s">
        <v>533</v>
      </c>
      <c r="E38" s="4765"/>
      <c r="F38" s="4765"/>
      <c r="G38" s="4765"/>
      <c r="H38" s="4765"/>
      <c r="I38" s="4765"/>
      <c r="J38" s="4765"/>
      <c r="K38" s="4765"/>
      <c r="L38" s="4765"/>
      <c r="M38" s="4765"/>
      <c r="N38" s="4765"/>
      <c r="O38" s="4765"/>
      <c r="P38" s="4765"/>
      <c r="Q38" s="4765"/>
      <c r="R38" s="4765"/>
      <c r="S38" s="4765"/>
      <c r="T38" s="4765"/>
      <c r="U38" s="4765"/>
      <c r="V38" s="4765"/>
      <c r="W38" s="4765"/>
      <c r="X38" s="4765"/>
      <c r="Y38" s="4766"/>
    </row>
    <row r="39" spans="1:25" ht="20.100000000000001" customHeight="1" x14ac:dyDescent="0.2">
      <c r="A39" s="546">
        <v>8</v>
      </c>
      <c r="B39" s="546" t="s">
        <v>54</v>
      </c>
      <c r="C39" s="546"/>
    </row>
    <row r="40" spans="1:25" ht="17.45" customHeight="1" x14ac:dyDescent="0.2">
      <c r="A40" s="509">
        <v>9</v>
      </c>
      <c r="B40" s="509" t="s">
        <v>56</v>
      </c>
      <c r="C40" s="546"/>
    </row>
    <row r="41" spans="1:25" hidden="1" x14ac:dyDescent="0.2">
      <c r="A41" s="506">
        <v>9</v>
      </c>
      <c r="B41" s="509" t="s">
        <v>409</v>
      </c>
      <c r="D41" s="4603" t="s">
        <v>1160</v>
      </c>
      <c r="E41" s="4604"/>
      <c r="F41" s="4604"/>
      <c r="G41" s="4604"/>
      <c r="H41" s="4604"/>
      <c r="I41" s="4604"/>
      <c r="J41" s="4604"/>
      <c r="K41" s="4604"/>
      <c r="L41" s="4604"/>
      <c r="M41" s="4604"/>
      <c r="N41" s="4604"/>
      <c r="O41" s="4604"/>
      <c r="P41" s="4604"/>
      <c r="Q41" s="4604"/>
      <c r="R41" s="4604"/>
      <c r="S41" s="4604"/>
      <c r="T41" s="4604"/>
      <c r="U41" s="4604"/>
      <c r="V41" s="4604"/>
      <c r="W41" s="4604"/>
      <c r="X41" s="4604"/>
      <c r="Y41" s="4605"/>
    </row>
    <row r="42" spans="1:25" x14ac:dyDescent="0.25">
      <c r="A42"/>
      <c r="B42"/>
      <c r="C42"/>
      <c r="D42" s="4764" t="s">
        <v>1161</v>
      </c>
      <c r="E42" s="4765"/>
      <c r="F42" s="4765"/>
      <c r="G42" s="4765"/>
      <c r="H42" s="4765"/>
      <c r="I42" s="4765"/>
      <c r="J42" s="4765"/>
      <c r="K42" s="4765"/>
      <c r="L42" s="4765"/>
      <c r="M42" s="4765"/>
      <c r="N42" s="4765"/>
      <c r="O42" s="4765"/>
      <c r="P42" s="4765"/>
      <c r="Q42" s="4765"/>
      <c r="R42" s="4765"/>
      <c r="S42" s="4765"/>
      <c r="T42" s="4765"/>
      <c r="U42" s="4765"/>
      <c r="V42" s="4765"/>
      <c r="W42" s="4765"/>
      <c r="X42" s="4765"/>
      <c r="Y42" s="4766"/>
    </row>
    <row r="43" spans="1:25" x14ac:dyDescent="0.25">
      <c r="A43"/>
      <c r="B43"/>
      <c r="C43"/>
      <c r="D43" s="4854" t="s">
        <v>1162</v>
      </c>
      <c r="E43" s="4855"/>
      <c r="F43" s="4855"/>
      <c r="G43" s="4855"/>
      <c r="H43" s="4855"/>
      <c r="I43" s="4855"/>
      <c r="J43" s="4855"/>
      <c r="K43" s="4855"/>
      <c r="L43" s="4855"/>
      <c r="M43" s="4855"/>
      <c r="N43" s="4855"/>
      <c r="O43" s="4855"/>
      <c r="P43" s="4855"/>
      <c r="Q43" s="4855"/>
      <c r="R43" s="4855"/>
      <c r="S43" s="4855"/>
      <c r="T43" s="4855"/>
      <c r="U43" s="4855"/>
      <c r="V43" s="4855"/>
      <c r="W43" s="4855"/>
      <c r="X43" s="4855"/>
      <c r="Y43" s="4856"/>
    </row>
    <row r="45" spans="1:25" ht="15.75" thickBot="1" x14ac:dyDescent="0.25"/>
    <row r="46" spans="1:25" ht="15.75" thickBot="1" x14ac:dyDescent="0.3">
      <c r="D46" s="1293" t="s">
        <v>389</v>
      </c>
      <c r="E46" s="1293"/>
      <c r="F46" s="1294">
        <v>2002</v>
      </c>
      <c r="G46" s="1294">
        <v>2003</v>
      </c>
      <c r="H46" s="1294">
        <v>2004</v>
      </c>
      <c r="I46" s="1294">
        <v>2005</v>
      </c>
      <c r="J46" s="1294">
        <v>2006</v>
      </c>
      <c r="K46" s="1294">
        <v>2007</v>
      </c>
      <c r="L46" s="1294">
        <v>2008</v>
      </c>
      <c r="M46" s="1294">
        <v>2009</v>
      </c>
      <c r="N46" s="1294">
        <v>2010</v>
      </c>
      <c r="O46" s="1294">
        <v>2011</v>
      </c>
      <c r="P46" s="1294">
        <v>2012</v>
      </c>
      <c r="Q46" s="1294">
        <v>2013</v>
      </c>
      <c r="R46" s="1294">
        <v>2014</v>
      </c>
      <c r="S46" s="1294">
        <v>2015</v>
      </c>
      <c r="T46" s="1294">
        <v>2016</v>
      </c>
      <c r="U46" s="1294">
        <v>2017</v>
      </c>
      <c r="V46" s="1295">
        <v>2018</v>
      </c>
    </row>
    <row r="47" spans="1:25" x14ac:dyDescent="0.25">
      <c r="D47" s="1296" t="s">
        <v>1149</v>
      </c>
      <c r="E47" s="1297"/>
      <c r="F47" s="1298"/>
      <c r="G47" s="1299"/>
      <c r="H47" s="1299"/>
      <c r="I47" s="1299"/>
      <c r="J47" s="1299"/>
      <c r="K47" s="1299"/>
      <c r="L47" s="1299"/>
      <c r="M47" s="1299"/>
      <c r="N47" s="1299"/>
      <c r="O47" s="1299"/>
      <c r="P47" s="1299"/>
      <c r="Q47" s="1299"/>
      <c r="R47" s="1299"/>
      <c r="S47" s="1299"/>
      <c r="T47" s="1299"/>
      <c r="U47" s="1299"/>
      <c r="V47" s="1300"/>
    </row>
    <row r="48" spans="1:25" x14ac:dyDescent="0.25">
      <c r="D48" s="1273" t="s">
        <v>1150</v>
      </c>
      <c r="E48" s="1301"/>
      <c r="F48" s="1298"/>
      <c r="G48" s="1299"/>
      <c r="H48" s="1299"/>
      <c r="I48" s="1299"/>
      <c r="J48" s="1299"/>
      <c r="K48" s="1299"/>
      <c r="L48" s="1299"/>
      <c r="M48" s="1299"/>
      <c r="N48" s="1299"/>
      <c r="O48" s="1299"/>
      <c r="P48" s="1299"/>
      <c r="Q48" s="1299"/>
      <c r="R48" s="1299"/>
      <c r="S48" s="1299"/>
      <c r="T48" s="1299"/>
      <c r="U48" s="1299">
        <v>26.3</v>
      </c>
      <c r="V48" s="1300"/>
    </row>
    <row r="49" spans="4:22" x14ac:dyDescent="0.25">
      <c r="D49" s="1273" t="s">
        <v>1163</v>
      </c>
      <c r="E49" s="1301"/>
      <c r="F49" s="1302"/>
      <c r="G49" s="1299"/>
      <c r="H49" s="1299"/>
      <c r="I49" s="1299"/>
      <c r="J49" s="1299"/>
      <c r="K49" s="1299"/>
      <c r="L49" s="1299"/>
      <c r="M49" s="1299"/>
      <c r="N49" s="1299"/>
      <c r="O49" s="1299"/>
      <c r="P49" s="1299"/>
      <c r="Q49" s="1299"/>
      <c r="R49" s="1299"/>
      <c r="S49" s="1299"/>
      <c r="T49" s="1299"/>
      <c r="U49" s="1299"/>
      <c r="V49" s="1300"/>
    </row>
    <row r="50" spans="4:22" x14ac:dyDescent="0.25">
      <c r="D50" s="1273" t="s">
        <v>1164</v>
      </c>
      <c r="E50" s="1301"/>
      <c r="F50" s="1302"/>
      <c r="G50" s="1299"/>
      <c r="H50" s="1299"/>
      <c r="I50" s="1299"/>
      <c r="J50" s="1299"/>
      <c r="K50" s="1299"/>
      <c r="L50" s="1299"/>
      <c r="M50" s="1299"/>
      <c r="N50" s="1299"/>
      <c r="O50" s="1299"/>
      <c r="P50" s="1299"/>
      <c r="Q50" s="1299"/>
      <c r="R50" s="1299"/>
      <c r="S50" s="1299"/>
      <c r="T50" s="1299"/>
      <c r="U50" s="1299"/>
      <c r="V50" s="1300"/>
    </row>
    <row r="51" spans="4:22" x14ac:dyDescent="0.25">
      <c r="D51" s="1273" t="s">
        <v>1151</v>
      </c>
      <c r="E51" s="1301"/>
      <c r="F51" s="1298"/>
      <c r="G51" s="1299"/>
      <c r="H51" s="1299"/>
      <c r="I51" s="1299"/>
      <c r="J51" s="1299"/>
      <c r="K51" s="1299"/>
      <c r="L51" s="1299"/>
      <c r="M51" s="1299"/>
      <c r="N51" s="1299"/>
      <c r="O51" s="1299"/>
      <c r="P51" s="1299"/>
      <c r="Q51" s="1299"/>
      <c r="R51" s="1299"/>
      <c r="S51" s="1299"/>
      <c r="T51" s="1299"/>
      <c r="U51" s="1299">
        <v>20.6</v>
      </c>
      <c r="V51" s="1300"/>
    </row>
    <row r="52" spans="4:22" x14ac:dyDescent="0.25">
      <c r="D52" s="1303" t="s">
        <v>1165</v>
      </c>
      <c r="E52" s="1301"/>
      <c r="F52" s="1298"/>
      <c r="G52" s="1299"/>
      <c r="H52" s="1299"/>
      <c r="I52" s="1299"/>
      <c r="J52" s="1299"/>
      <c r="K52" s="1299"/>
      <c r="L52" s="1299"/>
      <c r="M52" s="1299"/>
      <c r="N52" s="1299"/>
      <c r="O52" s="1299"/>
      <c r="P52" s="1299"/>
      <c r="Q52" s="1299"/>
      <c r="R52" s="1299"/>
      <c r="S52" s="1299"/>
      <c r="T52" s="1299"/>
      <c r="U52" s="1299"/>
      <c r="V52" s="1300"/>
    </row>
    <row r="53" spans="4:22" x14ac:dyDescent="0.25">
      <c r="D53" s="3725" t="s">
        <v>1166</v>
      </c>
      <c r="E53" s="1301"/>
      <c r="F53" s="1302"/>
      <c r="G53" s="1299"/>
      <c r="H53" s="1299"/>
      <c r="I53" s="1299"/>
      <c r="J53" s="1299"/>
      <c r="K53" s="1299"/>
      <c r="L53" s="1299"/>
      <c r="M53" s="1299"/>
      <c r="N53" s="1299"/>
      <c r="O53" s="1299"/>
      <c r="P53" s="1299"/>
      <c r="Q53" s="1299"/>
      <c r="R53" s="1299"/>
      <c r="S53" s="1299"/>
      <c r="T53" s="1299"/>
      <c r="U53" s="1299"/>
      <c r="V53" s="1300"/>
    </row>
    <row r="54" spans="4:22" x14ac:dyDescent="0.25">
      <c r="D54" s="3725" t="s">
        <v>1167</v>
      </c>
      <c r="E54" s="1301"/>
      <c r="F54" s="1302"/>
      <c r="G54" s="1299"/>
      <c r="H54" s="1299"/>
      <c r="I54" s="1299"/>
      <c r="J54" s="1299"/>
      <c r="K54" s="1299"/>
      <c r="L54" s="1299"/>
      <c r="M54" s="1299"/>
      <c r="N54" s="1299"/>
      <c r="O54" s="1299"/>
      <c r="P54" s="1299"/>
      <c r="Q54" s="1299"/>
      <c r="R54" s="1299"/>
      <c r="S54" s="1299"/>
      <c r="T54" s="1299"/>
      <c r="U54" s="1299"/>
      <c r="V54" s="1300"/>
    </row>
    <row r="55" spans="4:22" ht="15.75" thickBot="1" x14ac:dyDescent="0.3">
      <c r="D55" s="3726" t="s">
        <v>1152</v>
      </c>
      <c r="E55" s="3727"/>
      <c r="F55" s="1304">
        <v>11.4</v>
      </c>
      <c r="G55" s="1305"/>
      <c r="H55" s="1305"/>
      <c r="I55" s="1305">
        <v>10.8</v>
      </c>
      <c r="J55" s="1305"/>
      <c r="K55" s="1305"/>
      <c r="L55" s="1305">
        <v>10.9</v>
      </c>
      <c r="M55" s="1305"/>
      <c r="N55" s="1305"/>
      <c r="O55" s="1305"/>
      <c r="P55" s="1305">
        <v>12.2</v>
      </c>
      <c r="Q55" s="1305"/>
      <c r="R55" s="1305"/>
      <c r="S55" s="1305"/>
      <c r="T55" s="1305"/>
      <c r="U55" s="1305"/>
      <c r="V55" s="1306"/>
    </row>
    <row r="58" spans="4:22" x14ac:dyDescent="0.2">
      <c r="D58" s="508" t="s">
        <v>1168</v>
      </c>
    </row>
  </sheetData>
  <mergeCells count="8">
    <mergeCell ref="D42:Y42"/>
    <mergeCell ref="D43:Y43"/>
    <mergeCell ref="D2:Z2"/>
    <mergeCell ref="D3:Z3"/>
    <mergeCell ref="D4:Z4"/>
    <mergeCell ref="D5:Z5"/>
    <mergeCell ref="D38:Y38"/>
    <mergeCell ref="D41:Y41"/>
  </mergeCells>
  <pageMargins left="0.74803149606299213" right="0.74803149606299213" top="4.3124999999999997E-2" bottom="0.98425196850393704" header="0.51181102362204722" footer="0.51181102362204722"/>
  <pageSetup paperSize="9" scale="67" orientation="landscape" r:id="rId1"/>
  <headerFooter alignWithMargins="0">
    <oddFooter>&amp;LDepartment of Planning, Monitoring and Evaluation (DPME). &amp;CPage &amp;P of &amp;N&amp;R&amp;D</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95DF7-97DD-41DC-9E59-8C511B49831F}">
  <sheetPr>
    <tabColor theme="9"/>
    <pageSetUpPr fitToPage="1"/>
  </sheetPr>
  <dimension ref="A2:AF78"/>
  <sheetViews>
    <sheetView showGridLines="0" zoomScaleNormal="100" zoomScaleSheetLayoutView="100" workbookViewId="0">
      <selection activeCell="V27" sqref="V27"/>
    </sheetView>
  </sheetViews>
  <sheetFormatPr defaultColWidth="9.140625" defaultRowHeight="15" x14ac:dyDescent="0.2"/>
  <cols>
    <col min="1" max="1" width="3.85546875" style="506" customWidth="1"/>
    <col min="2" max="2" width="14.42578125" style="507" customWidth="1"/>
    <col min="3" max="3" width="3.85546875" style="507" customWidth="1"/>
    <col min="4" max="4" width="17.5703125" style="508" customWidth="1"/>
    <col min="5" max="6" width="6.85546875" style="508" customWidth="1"/>
    <col min="7" max="7" width="11.42578125" style="508" bestFit="1" customWidth="1"/>
    <col min="8" max="9" width="6.85546875" style="508" customWidth="1"/>
    <col min="10" max="10" width="9.85546875" style="508" bestFit="1" customWidth="1"/>
    <col min="11" max="11" width="9.85546875" style="508" customWidth="1"/>
    <col min="12" max="12" width="9.42578125" style="508" customWidth="1"/>
    <col min="13" max="13" width="9.85546875" style="508" customWidth="1"/>
    <col min="14" max="14" width="9" style="508" customWidth="1"/>
    <col min="15" max="16" width="6.85546875" style="508" customWidth="1"/>
    <col min="17" max="17" width="8.85546875" style="508" bestFit="1" customWidth="1"/>
    <col min="18" max="23" width="6.85546875" style="508" customWidth="1"/>
    <col min="24" max="259" width="9.140625" style="508"/>
    <col min="260" max="260" width="3.85546875" style="508" customWidth="1"/>
    <col min="261" max="261" width="14.42578125" style="508" customWidth="1"/>
    <col min="262" max="262" width="3.85546875" style="508" customWidth="1"/>
    <col min="263" max="263" width="14.140625" style="508" customWidth="1"/>
    <col min="264" max="278" width="6.85546875" style="508" customWidth="1"/>
    <col min="279" max="515" width="9.140625" style="508"/>
    <col min="516" max="516" width="3.85546875" style="508" customWidth="1"/>
    <col min="517" max="517" width="14.42578125" style="508" customWidth="1"/>
    <col min="518" max="518" width="3.85546875" style="508" customWidth="1"/>
    <col min="519" max="519" width="14.140625" style="508" customWidth="1"/>
    <col min="520" max="534" width="6.85546875" style="508" customWidth="1"/>
    <col min="535" max="771" width="9.140625" style="508"/>
    <col min="772" max="772" width="3.85546875" style="508" customWidth="1"/>
    <col min="773" max="773" width="14.42578125" style="508" customWidth="1"/>
    <col min="774" max="774" width="3.85546875" style="508" customWidth="1"/>
    <col min="775" max="775" width="14.140625" style="508" customWidth="1"/>
    <col min="776" max="790" width="6.85546875" style="508" customWidth="1"/>
    <col min="791" max="1027" width="9.140625" style="508"/>
    <col min="1028" max="1028" width="3.85546875" style="508" customWidth="1"/>
    <col min="1029" max="1029" width="14.42578125" style="508" customWidth="1"/>
    <col min="1030" max="1030" width="3.85546875" style="508" customWidth="1"/>
    <col min="1031" max="1031" width="14.140625" style="508" customWidth="1"/>
    <col min="1032" max="1046" width="6.85546875" style="508" customWidth="1"/>
    <col min="1047" max="1283" width="9.140625" style="508"/>
    <col min="1284" max="1284" width="3.85546875" style="508" customWidth="1"/>
    <col min="1285" max="1285" width="14.42578125" style="508" customWidth="1"/>
    <col min="1286" max="1286" width="3.85546875" style="508" customWidth="1"/>
    <col min="1287" max="1287" width="14.140625" style="508" customWidth="1"/>
    <col min="1288" max="1302" width="6.85546875" style="508" customWidth="1"/>
    <col min="1303" max="1539" width="9.140625" style="508"/>
    <col min="1540" max="1540" width="3.85546875" style="508" customWidth="1"/>
    <col min="1541" max="1541" width="14.42578125" style="508" customWidth="1"/>
    <col min="1542" max="1542" width="3.85546875" style="508" customWidth="1"/>
    <col min="1543" max="1543" width="14.140625" style="508" customWidth="1"/>
    <col min="1544" max="1558" width="6.85546875" style="508" customWidth="1"/>
    <col min="1559" max="1795" width="9.140625" style="508"/>
    <col min="1796" max="1796" width="3.85546875" style="508" customWidth="1"/>
    <col min="1797" max="1797" width="14.42578125" style="508" customWidth="1"/>
    <col min="1798" max="1798" width="3.85546875" style="508" customWidth="1"/>
    <col min="1799" max="1799" width="14.140625" style="508" customWidth="1"/>
    <col min="1800" max="1814" width="6.85546875" style="508" customWidth="1"/>
    <col min="1815" max="2051" width="9.140625" style="508"/>
    <col min="2052" max="2052" width="3.85546875" style="508" customWidth="1"/>
    <col min="2053" max="2053" width="14.42578125" style="508" customWidth="1"/>
    <col min="2054" max="2054" width="3.85546875" style="508" customWidth="1"/>
    <col min="2055" max="2055" width="14.140625" style="508" customWidth="1"/>
    <col min="2056" max="2070" width="6.85546875" style="508" customWidth="1"/>
    <col min="2071" max="2307" width="9.140625" style="508"/>
    <col min="2308" max="2308" width="3.85546875" style="508" customWidth="1"/>
    <col min="2309" max="2309" width="14.42578125" style="508" customWidth="1"/>
    <col min="2310" max="2310" width="3.85546875" style="508" customWidth="1"/>
    <col min="2311" max="2311" width="14.140625" style="508" customWidth="1"/>
    <col min="2312" max="2326" width="6.85546875" style="508" customWidth="1"/>
    <col min="2327" max="2563" width="9.140625" style="508"/>
    <col min="2564" max="2564" width="3.85546875" style="508" customWidth="1"/>
    <col min="2565" max="2565" width="14.42578125" style="508" customWidth="1"/>
    <col min="2566" max="2566" width="3.85546875" style="508" customWidth="1"/>
    <col min="2567" max="2567" width="14.140625" style="508" customWidth="1"/>
    <col min="2568" max="2582" width="6.85546875" style="508" customWidth="1"/>
    <col min="2583" max="2819" width="9.140625" style="508"/>
    <col min="2820" max="2820" width="3.85546875" style="508" customWidth="1"/>
    <col min="2821" max="2821" width="14.42578125" style="508" customWidth="1"/>
    <col min="2822" max="2822" width="3.85546875" style="508" customWidth="1"/>
    <col min="2823" max="2823" width="14.140625" style="508" customWidth="1"/>
    <col min="2824" max="2838" width="6.85546875" style="508" customWidth="1"/>
    <col min="2839" max="3075" width="9.140625" style="508"/>
    <col min="3076" max="3076" width="3.85546875" style="508" customWidth="1"/>
    <col min="3077" max="3077" width="14.42578125" style="508" customWidth="1"/>
    <col min="3078" max="3078" width="3.85546875" style="508" customWidth="1"/>
    <col min="3079" max="3079" width="14.140625" style="508" customWidth="1"/>
    <col min="3080" max="3094" width="6.85546875" style="508" customWidth="1"/>
    <col min="3095" max="3331" width="9.140625" style="508"/>
    <col min="3332" max="3332" width="3.85546875" style="508" customWidth="1"/>
    <col min="3333" max="3333" width="14.42578125" style="508" customWidth="1"/>
    <col min="3334" max="3334" width="3.85546875" style="508" customWidth="1"/>
    <col min="3335" max="3335" width="14.140625" style="508" customWidth="1"/>
    <col min="3336" max="3350" width="6.85546875" style="508" customWidth="1"/>
    <col min="3351" max="3587" width="9.140625" style="508"/>
    <col min="3588" max="3588" width="3.85546875" style="508" customWidth="1"/>
    <col min="3589" max="3589" width="14.42578125" style="508" customWidth="1"/>
    <col min="3590" max="3590" width="3.85546875" style="508" customWidth="1"/>
    <col min="3591" max="3591" width="14.140625" style="508" customWidth="1"/>
    <col min="3592" max="3606" width="6.85546875" style="508" customWidth="1"/>
    <col min="3607" max="3843" width="9.140625" style="508"/>
    <col min="3844" max="3844" width="3.85546875" style="508" customWidth="1"/>
    <col min="3845" max="3845" width="14.42578125" style="508" customWidth="1"/>
    <col min="3846" max="3846" width="3.85546875" style="508" customWidth="1"/>
    <col min="3847" max="3847" width="14.140625" style="508" customWidth="1"/>
    <col min="3848" max="3862" width="6.85546875" style="508" customWidth="1"/>
    <col min="3863" max="4099" width="9.140625" style="508"/>
    <col min="4100" max="4100" width="3.85546875" style="508" customWidth="1"/>
    <col min="4101" max="4101" width="14.42578125" style="508" customWidth="1"/>
    <col min="4102" max="4102" width="3.85546875" style="508" customWidth="1"/>
    <col min="4103" max="4103" width="14.140625" style="508" customWidth="1"/>
    <col min="4104" max="4118" width="6.85546875" style="508" customWidth="1"/>
    <col min="4119" max="4355" width="9.140625" style="508"/>
    <col min="4356" max="4356" width="3.85546875" style="508" customWidth="1"/>
    <col min="4357" max="4357" width="14.42578125" style="508" customWidth="1"/>
    <col min="4358" max="4358" width="3.85546875" style="508" customWidth="1"/>
    <col min="4359" max="4359" width="14.140625" style="508" customWidth="1"/>
    <col min="4360" max="4374" width="6.85546875" style="508" customWidth="1"/>
    <col min="4375" max="4611" width="9.140625" style="508"/>
    <col min="4612" max="4612" width="3.85546875" style="508" customWidth="1"/>
    <col min="4613" max="4613" width="14.42578125" style="508" customWidth="1"/>
    <col min="4614" max="4614" width="3.85546875" style="508" customWidth="1"/>
    <col min="4615" max="4615" width="14.140625" style="508" customWidth="1"/>
    <col min="4616" max="4630" width="6.85546875" style="508" customWidth="1"/>
    <col min="4631" max="4867" width="9.140625" style="508"/>
    <col min="4868" max="4868" width="3.85546875" style="508" customWidth="1"/>
    <col min="4869" max="4869" width="14.42578125" style="508" customWidth="1"/>
    <col min="4870" max="4870" width="3.85546875" style="508" customWidth="1"/>
    <col min="4871" max="4871" width="14.140625" style="508" customWidth="1"/>
    <col min="4872" max="4886" width="6.85546875" style="508" customWidth="1"/>
    <col min="4887" max="5123" width="9.140625" style="508"/>
    <col min="5124" max="5124" width="3.85546875" style="508" customWidth="1"/>
    <col min="5125" max="5125" width="14.42578125" style="508" customWidth="1"/>
    <col min="5126" max="5126" width="3.85546875" style="508" customWidth="1"/>
    <col min="5127" max="5127" width="14.140625" style="508" customWidth="1"/>
    <col min="5128" max="5142" width="6.85546875" style="508" customWidth="1"/>
    <col min="5143" max="5379" width="9.140625" style="508"/>
    <col min="5380" max="5380" width="3.85546875" style="508" customWidth="1"/>
    <col min="5381" max="5381" width="14.42578125" style="508" customWidth="1"/>
    <col min="5382" max="5382" width="3.85546875" style="508" customWidth="1"/>
    <col min="5383" max="5383" width="14.140625" style="508" customWidth="1"/>
    <col min="5384" max="5398" width="6.85546875" style="508" customWidth="1"/>
    <col min="5399" max="5635" width="9.140625" style="508"/>
    <col min="5636" max="5636" width="3.85546875" style="508" customWidth="1"/>
    <col min="5637" max="5637" width="14.42578125" style="508" customWidth="1"/>
    <col min="5638" max="5638" width="3.85546875" style="508" customWidth="1"/>
    <col min="5639" max="5639" width="14.140625" style="508" customWidth="1"/>
    <col min="5640" max="5654" width="6.85546875" style="508" customWidth="1"/>
    <col min="5655" max="5891" width="9.140625" style="508"/>
    <col min="5892" max="5892" width="3.85546875" style="508" customWidth="1"/>
    <col min="5893" max="5893" width="14.42578125" style="508" customWidth="1"/>
    <col min="5894" max="5894" width="3.85546875" style="508" customWidth="1"/>
    <col min="5895" max="5895" width="14.140625" style="508" customWidth="1"/>
    <col min="5896" max="5910" width="6.85546875" style="508" customWidth="1"/>
    <col min="5911" max="6147" width="9.140625" style="508"/>
    <col min="6148" max="6148" width="3.85546875" style="508" customWidth="1"/>
    <col min="6149" max="6149" width="14.42578125" style="508" customWidth="1"/>
    <col min="6150" max="6150" width="3.85546875" style="508" customWidth="1"/>
    <col min="6151" max="6151" width="14.140625" style="508" customWidth="1"/>
    <col min="6152" max="6166" width="6.85546875" style="508" customWidth="1"/>
    <col min="6167" max="6403" width="9.140625" style="508"/>
    <col min="6404" max="6404" width="3.85546875" style="508" customWidth="1"/>
    <col min="6405" max="6405" width="14.42578125" style="508" customWidth="1"/>
    <col min="6406" max="6406" width="3.85546875" style="508" customWidth="1"/>
    <col min="6407" max="6407" width="14.140625" style="508" customWidth="1"/>
    <col min="6408" max="6422" width="6.85546875" style="508" customWidth="1"/>
    <col min="6423" max="6659" width="9.140625" style="508"/>
    <col min="6660" max="6660" width="3.85546875" style="508" customWidth="1"/>
    <col min="6661" max="6661" width="14.42578125" style="508" customWidth="1"/>
    <col min="6662" max="6662" width="3.85546875" style="508" customWidth="1"/>
    <col min="6663" max="6663" width="14.140625" style="508" customWidth="1"/>
    <col min="6664" max="6678" width="6.85546875" style="508" customWidth="1"/>
    <col min="6679" max="6915" width="9.140625" style="508"/>
    <col min="6916" max="6916" width="3.85546875" style="508" customWidth="1"/>
    <col min="6917" max="6917" width="14.42578125" style="508" customWidth="1"/>
    <col min="6918" max="6918" width="3.85546875" style="508" customWidth="1"/>
    <col min="6919" max="6919" width="14.140625" style="508" customWidth="1"/>
    <col min="6920" max="6934" width="6.85546875" style="508" customWidth="1"/>
    <col min="6935" max="7171" width="9.140625" style="508"/>
    <col min="7172" max="7172" width="3.85546875" style="508" customWidth="1"/>
    <col min="7173" max="7173" width="14.42578125" style="508" customWidth="1"/>
    <col min="7174" max="7174" width="3.85546875" style="508" customWidth="1"/>
    <col min="7175" max="7175" width="14.140625" style="508" customWidth="1"/>
    <col min="7176" max="7190" width="6.85546875" style="508" customWidth="1"/>
    <col min="7191" max="7427" width="9.140625" style="508"/>
    <col min="7428" max="7428" width="3.85546875" style="508" customWidth="1"/>
    <col min="7429" max="7429" width="14.42578125" style="508" customWidth="1"/>
    <col min="7430" max="7430" width="3.85546875" style="508" customWidth="1"/>
    <col min="7431" max="7431" width="14.140625" style="508" customWidth="1"/>
    <col min="7432" max="7446" width="6.85546875" style="508" customWidth="1"/>
    <col min="7447" max="7683" width="9.140625" style="508"/>
    <col min="7684" max="7684" width="3.85546875" style="508" customWidth="1"/>
    <col min="7685" max="7685" width="14.42578125" style="508" customWidth="1"/>
    <col min="7686" max="7686" width="3.85546875" style="508" customWidth="1"/>
    <col min="7687" max="7687" width="14.140625" style="508" customWidth="1"/>
    <col min="7688" max="7702" width="6.85546875" style="508" customWidth="1"/>
    <col min="7703" max="7939" width="9.140625" style="508"/>
    <col min="7940" max="7940" width="3.85546875" style="508" customWidth="1"/>
    <col min="7941" max="7941" width="14.42578125" style="508" customWidth="1"/>
    <col min="7942" max="7942" width="3.85546875" style="508" customWidth="1"/>
    <col min="7943" max="7943" width="14.140625" style="508" customWidth="1"/>
    <col min="7944" max="7958" width="6.85546875" style="508" customWidth="1"/>
    <col min="7959" max="8195" width="9.140625" style="508"/>
    <col min="8196" max="8196" width="3.85546875" style="508" customWidth="1"/>
    <col min="8197" max="8197" width="14.42578125" style="508" customWidth="1"/>
    <col min="8198" max="8198" width="3.85546875" style="508" customWidth="1"/>
    <col min="8199" max="8199" width="14.140625" style="508" customWidth="1"/>
    <col min="8200" max="8214" width="6.85546875" style="508" customWidth="1"/>
    <col min="8215" max="8451" width="9.140625" style="508"/>
    <col min="8452" max="8452" width="3.85546875" style="508" customWidth="1"/>
    <col min="8453" max="8453" width="14.42578125" style="508" customWidth="1"/>
    <col min="8454" max="8454" width="3.85546875" style="508" customWidth="1"/>
    <col min="8455" max="8455" width="14.140625" style="508" customWidth="1"/>
    <col min="8456" max="8470" width="6.85546875" style="508" customWidth="1"/>
    <col min="8471" max="8707" width="9.140625" style="508"/>
    <col min="8708" max="8708" width="3.85546875" style="508" customWidth="1"/>
    <col min="8709" max="8709" width="14.42578125" style="508" customWidth="1"/>
    <col min="8710" max="8710" width="3.85546875" style="508" customWidth="1"/>
    <col min="8711" max="8711" width="14.140625" style="508" customWidth="1"/>
    <col min="8712" max="8726" width="6.85546875" style="508" customWidth="1"/>
    <col min="8727" max="8963" width="9.140625" style="508"/>
    <col min="8964" max="8964" width="3.85546875" style="508" customWidth="1"/>
    <col min="8965" max="8965" width="14.42578125" style="508" customWidth="1"/>
    <col min="8966" max="8966" width="3.85546875" style="508" customWidth="1"/>
    <col min="8967" max="8967" width="14.140625" style="508" customWidth="1"/>
    <col min="8968" max="8982" width="6.85546875" style="508" customWidth="1"/>
    <col min="8983" max="9219" width="9.140625" style="508"/>
    <col min="9220" max="9220" width="3.85546875" style="508" customWidth="1"/>
    <col min="9221" max="9221" width="14.42578125" style="508" customWidth="1"/>
    <col min="9222" max="9222" width="3.85546875" style="508" customWidth="1"/>
    <col min="9223" max="9223" width="14.140625" style="508" customWidth="1"/>
    <col min="9224" max="9238" width="6.85546875" style="508" customWidth="1"/>
    <col min="9239" max="9475" width="9.140625" style="508"/>
    <col min="9476" max="9476" width="3.85546875" style="508" customWidth="1"/>
    <col min="9477" max="9477" width="14.42578125" style="508" customWidth="1"/>
    <col min="9478" max="9478" width="3.85546875" style="508" customWidth="1"/>
    <col min="9479" max="9479" width="14.140625" style="508" customWidth="1"/>
    <col min="9480" max="9494" width="6.85546875" style="508" customWidth="1"/>
    <col min="9495" max="9731" width="9.140625" style="508"/>
    <col min="9732" max="9732" width="3.85546875" style="508" customWidth="1"/>
    <col min="9733" max="9733" width="14.42578125" style="508" customWidth="1"/>
    <col min="9734" max="9734" width="3.85546875" style="508" customWidth="1"/>
    <col min="9735" max="9735" width="14.140625" style="508" customWidth="1"/>
    <col min="9736" max="9750" width="6.85546875" style="508" customWidth="1"/>
    <col min="9751" max="9987" width="9.140625" style="508"/>
    <col min="9988" max="9988" width="3.85546875" style="508" customWidth="1"/>
    <col min="9989" max="9989" width="14.42578125" style="508" customWidth="1"/>
    <col min="9990" max="9990" width="3.85546875" style="508" customWidth="1"/>
    <col min="9991" max="9991" width="14.140625" style="508" customWidth="1"/>
    <col min="9992" max="10006" width="6.85546875" style="508" customWidth="1"/>
    <col min="10007" max="10243" width="9.140625" style="508"/>
    <col min="10244" max="10244" width="3.85546875" style="508" customWidth="1"/>
    <col min="10245" max="10245" width="14.42578125" style="508" customWidth="1"/>
    <col min="10246" max="10246" width="3.85546875" style="508" customWidth="1"/>
    <col min="10247" max="10247" width="14.140625" style="508" customWidth="1"/>
    <col min="10248" max="10262" width="6.85546875" style="508" customWidth="1"/>
    <col min="10263" max="10499" width="9.140625" style="508"/>
    <col min="10500" max="10500" width="3.85546875" style="508" customWidth="1"/>
    <col min="10501" max="10501" width="14.42578125" style="508" customWidth="1"/>
    <col min="10502" max="10502" width="3.85546875" style="508" customWidth="1"/>
    <col min="10503" max="10503" width="14.140625" style="508" customWidth="1"/>
    <col min="10504" max="10518" width="6.85546875" style="508" customWidth="1"/>
    <col min="10519" max="10755" width="9.140625" style="508"/>
    <col min="10756" max="10756" width="3.85546875" style="508" customWidth="1"/>
    <col min="10757" max="10757" width="14.42578125" style="508" customWidth="1"/>
    <col min="10758" max="10758" width="3.85546875" style="508" customWidth="1"/>
    <col min="10759" max="10759" width="14.140625" style="508" customWidth="1"/>
    <col min="10760" max="10774" width="6.85546875" style="508" customWidth="1"/>
    <col min="10775" max="11011" width="9.140625" style="508"/>
    <col min="11012" max="11012" width="3.85546875" style="508" customWidth="1"/>
    <col min="11013" max="11013" width="14.42578125" style="508" customWidth="1"/>
    <col min="11014" max="11014" width="3.85546875" style="508" customWidth="1"/>
    <col min="11015" max="11015" width="14.140625" style="508" customWidth="1"/>
    <col min="11016" max="11030" width="6.85546875" style="508" customWidth="1"/>
    <col min="11031" max="11267" width="9.140625" style="508"/>
    <col min="11268" max="11268" width="3.85546875" style="508" customWidth="1"/>
    <col min="11269" max="11269" width="14.42578125" style="508" customWidth="1"/>
    <col min="11270" max="11270" width="3.85546875" style="508" customWidth="1"/>
    <col min="11271" max="11271" width="14.140625" style="508" customWidth="1"/>
    <col min="11272" max="11286" width="6.85546875" style="508" customWidth="1"/>
    <col min="11287" max="11523" width="9.140625" style="508"/>
    <col min="11524" max="11524" width="3.85546875" style="508" customWidth="1"/>
    <col min="11525" max="11525" width="14.42578125" style="508" customWidth="1"/>
    <col min="11526" max="11526" width="3.85546875" style="508" customWidth="1"/>
    <col min="11527" max="11527" width="14.140625" style="508" customWidth="1"/>
    <col min="11528" max="11542" width="6.85546875" style="508" customWidth="1"/>
    <col min="11543" max="11779" width="9.140625" style="508"/>
    <col min="11780" max="11780" width="3.85546875" style="508" customWidth="1"/>
    <col min="11781" max="11781" width="14.42578125" style="508" customWidth="1"/>
    <col min="11782" max="11782" width="3.85546875" style="508" customWidth="1"/>
    <col min="11783" max="11783" width="14.140625" style="508" customWidth="1"/>
    <col min="11784" max="11798" width="6.85546875" style="508" customWidth="1"/>
    <col min="11799" max="12035" width="9.140625" style="508"/>
    <col min="12036" max="12036" width="3.85546875" style="508" customWidth="1"/>
    <col min="12037" max="12037" width="14.42578125" style="508" customWidth="1"/>
    <col min="12038" max="12038" width="3.85546875" style="508" customWidth="1"/>
    <col min="12039" max="12039" width="14.140625" style="508" customWidth="1"/>
    <col min="12040" max="12054" width="6.85546875" style="508" customWidth="1"/>
    <col min="12055" max="12291" width="9.140625" style="508"/>
    <col min="12292" max="12292" width="3.85546875" style="508" customWidth="1"/>
    <col min="12293" max="12293" width="14.42578125" style="508" customWidth="1"/>
    <col min="12294" max="12294" width="3.85546875" style="508" customWidth="1"/>
    <col min="12295" max="12295" width="14.140625" style="508" customWidth="1"/>
    <col min="12296" max="12310" width="6.85546875" style="508" customWidth="1"/>
    <col min="12311" max="12547" width="9.140625" style="508"/>
    <col min="12548" max="12548" width="3.85546875" style="508" customWidth="1"/>
    <col min="12549" max="12549" width="14.42578125" style="508" customWidth="1"/>
    <col min="12550" max="12550" width="3.85546875" style="508" customWidth="1"/>
    <col min="12551" max="12551" width="14.140625" style="508" customWidth="1"/>
    <col min="12552" max="12566" width="6.85546875" style="508" customWidth="1"/>
    <col min="12567" max="12803" width="9.140625" style="508"/>
    <col min="12804" max="12804" width="3.85546875" style="508" customWidth="1"/>
    <col min="12805" max="12805" width="14.42578125" style="508" customWidth="1"/>
    <col min="12806" max="12806" width="3.85546875" style="508" customWidth="1"/>
    <col min="12807" max="12807" width="14.140625" style="508" customWidth="1"/>
    <col min="12808" max="12822" width="6.85546875" style="508" customWidth="1"/>
    <col min="12823" max="13059" width="9.140625" style="508"/>
    <col min="13060" max="13060" width="3.85546875" style="508" customWidth="1"/>
    <col min="13061" max="13061" width="14.42578125" style="508" customWidth="1"/>
    <col min="13062" max="13062" width="3.85546875" style="508" customWidth="1"/>
    <col min="13063" max="13063" width="14.140625" style="508" customWidth="1"/>
    <col min="13064" max="13078" width="6.85546875" style="508" customWidth="1"/>
    <col min="13079" max="13315" width="9.140625" style="508"/>
    <col min="13316" max="13316" width="3.85546875" style="508" customWidth="1"/>
    <col min="13317" max="13317" width="14.42578125" style="508" customWidth="1"/>
    <col min="13318" max="13318" width="3.85546875" style="508" customWidth="1"/>
    <col min="13319" max="13319" width="14.140625" style="508" customWidth="1"/>
    <col min="13320" max="13334" width="6.85546875" style="508" customWidth="1"/>
    <col min="13335" max="13571" width="9.140625" style="508"/>
    <col min="13572" max="13572" width="3.85546875" style="508" customWidth="1"/>
    <col min="13573" max="13573" width="14.42578125" style="508" customWidth="1"/>
    <col min="13574" max="13574" width="3.85546875" style="508" customWidth="1"/>
    <col min="13575" max="13575" width="14.140625" style="508" customWidth="1"/>
    <col min="13576" max="13590" width="6.85546875" style="508" customWidth="1"/>
    <col min="13591" max="13827" width="9.140625" style="508"/>
    <col min="13828" max="13828" width="3.85546875" style="508" customWidth="1"/>
    <col min="13829" max="13829" width="14.42578125" style="508" customWidth="1"/>
    <col min="13830" max="13830" width="3.85546875" style="508" customWidth="1"/>
    <col min="13831" max="13831" width="14.140625" style="508" customWidth="1"/>
    <col min="13832" max="13846" width="6.85546875" style="508" customWidth="1"/>
    <col min="13847" max="14083" width="9.140625" style="508"/>
    <col min="14084" max="14084" width="3.85546875" style="508" customWidth="1"/>
    <col min="14085" max="14085" width="14.42578125" style="508" customWidth="1"/>
    <col min="14086" max="14086" width="3.85546875" style="508" customWidth="1"/>
    <col min="14087" max="14087" width="14.140625" style="508" customWidth="1"/>
    <col min="14088" max="14102" width="6.85546875" style="508" customWidth="1"/>
    <col min="14103" max="14339" width="9.140625" style="508"/>
    <col min="14340" max="14340" width="3.85546875" style="508" customWidth="1"/>
    <col min="14341" max="14341" width="14.42578125" style="508" customWidth="1"/>
    <col min="14342" max="14342" width="3.85546875" style="508" customWidth="1"/>
    <col min="14343" max="14343" width="14.140625" style="508" customWidth="1"/>
    <col min="14344" max="14358" width="6.85546875" style="508" customWidth="1"/>
    <col min="14359" max="14595" width="9.140625" style="508"/>
    <col min="14596" max="14596" width="3.85546875" style="508" customWidth="1"/>
    <col min="14597" max="14597" width="14.42578125" style="508" customWidth="1"/>
    <col min="14598" max="14598" width="3.85546875" style="508" customWidth="1"/>
    <col min="14599" max="14599" width="14.140625" style="508" customWidth="1"/>
    <col min="14600" max="14614" width="6.85546875" style="508" customWidth="1"/>
    <col min="14615" max="14851" width="9.140625" style="508"/>
    <col min="14852" max="14852" width="3.85546875" style="508" customWidth="1"/>
    <col min="14853" max="14853" width="14.42578125" style="508" customWidth="1"/>
    <col min="14854" max="14854" width="3.85546875" style="508" customWidth="1"/>
    <col min="14855" max="14855" width="14.140625" style="508" customWidth="1"/>
    <col min="14856" max="14870" width="6.85546875" style="508" customWidth="1"/>
    <col min="14871" max="15107" width="9.140625" style="508"/>
    <col min="15108" max="15108" width="3.85546875" style="508" customWidth="1"/>
    <col min="15109" max="15109" width="14.42578125" style="508" customWidth="1"/>
    <col min="15110" max="15110" width="3.85546875" style="508" customWidth="1"/>
    <col min="15111" max="15111" width="14.140625" style="508" customWidth="1"/>
    <col min="15112" max="15126" width="6.85546875" style="508" customWidth="1"/>
    <col min="15127" max="15363" width="9.140625" style="508"/>
    <col min="15364" max="15364" width="3.85546875" style="508" customWidth="1"/>
    <col min="15365" max="15365" width="14.42578125" style="508" customWidth="1"/>
    <col min="15366" max="15366" width="3.85546875" style="508" customWidth="1"/>
    <col min="15367" max="15367" width="14.140625" style="508" customWidth="1"/>
    <col min="15368" max="15382" width="6.85546875" style="508" customWidth="1"/>
    <col min="15383" max="15619" width="9.140625" style="508"/>
    <col min="15620" max="15620" width="3.85546875" style="508" customWidth="1"/>
    <col min="15621" max="15621" width="14.42578125" style="508" customWidth="1"/>
    <col min="15622" max="15622" width="3.85546875" style="508" customWidth="1"/>
    <col min="15623" max="15623" width="14.140625" style="508" customWidth="1"/>
    <col min="15624" max="15638" width="6.85546875" style="508" customWidth="1"/>
    <col min="15639" max="15875" width="9.140625" style="508"/>
    <col min="15876" max="15876" width="3.85546875" style="508" customWidth="1"/>
    <col min="15877" max="15877" width="14.42578125" style="508" customWidth="1"/>
    <col min="15878" max="15878" width="3.85546875" style="508" customWidth="1"/>
    <col min="15879" max="15879" width="14.140625" style="508" customWidth="1"/>
    <col min="15880" max="15894" width="6.85546875" style="508" customWidth="1"/>
    <col min="15895" max="16131" width="9.140625" style="508"/>
    <col min="16132" max="16132" width="3.85546875" style="508" customWidth="1"/>
    <col min="16133" max="16133" width="14.42578125" style="508" customWidth="1"/>
    <col min="16134" max="16134" width="3.85546875" style="508" customWidth="1"/>
    <col min="16135" max="16135" width="14.140625" style="508" customWidth="1"/>
    <col min="16136" max="16150" width="6.85546875" style="508" customWidth="1"/>
    <col min="16151" max="16384" width="9.140625" style="508"/>
  </cols>
  <sheetData>
    <row r="2" spans="1:28" ht="12" customHeight="1" x14ac:dyDescent="0.25">
      <c r="A2" s="509">
        <v>1</v>
      </c>
      <c r="B2" s="509" t="s">
        <v>1169</v>
      </c>
      <c r="C2" s="509">
        <v>42</v>
      </c>
      <c r="D2" s="4857" t="s">
        <v>1170</v>
      </c>
      <c r="E2" s="4858"/>
      <c r="F2" s="4858"/>
      <c r="G2" s="4858"/>
      <c r="H2" s="4858"/>
      <c r="I2" s="4858"/>
      <c r="J2" s="4858"/>
      <c r="K2" s="4858"/>
      <c r="L2" s="4858"/>
      <c r="M2" s="4858"/>
      <c r="N2" s="4858"/>
      <c r="O2" s="4858"/>
      <c r="P2" s="4858"/>
      <c r="Q2" s="4858"/>
      <c r="R2" s="4858"/>
      <c r="S2" s="4858"/>
      <c r="T2" s="4858"/>
      <c r="U2" s="4858"/>
      <c r="V2" s="4859"/>
      <c r="W2" s="1307"/>
      <c r="X2" s="3785"/>
      <c r="Y2" s="3785"/>
      <c r="Z2" s="3785"/>
      <c r="AA2" s="3785"/>
      <c r="AB2" s="3785"/>
    </row>
    <row r="3" spans="1:28" ht="14.1" customHeight="1" x14ac:dyDescent="0.25">
      <c r="A3" s="509">
        <v>2</v>
      </c>
      <c r="B3" s="509" t="s">
        <v>1171</v>
      </c>
      <c r="C3" s="509"/>
      <c r="D3" s="4734" t="s">
        <v>1041</v>
      </c>
      <c r="E3" s="4735"/>
      <c r="F3" s="4735"/>
      <c r="G3" s="4735"/>
      <c r="H3" s="4735"/>
      <c r="I3" s="4735"/>
      <c r="J3" s="4735"/>
      <c r="K3" s="4735"/>
      <c r="L3" s="4735"/>
      <c r="M3" s="4735"/>
      <c r="N3" s="4735"/>
      <c r="O3" s="4735"/>
      <c r="P3" s="4735"/>
      <c r="Q3" s="4735"/>
      <c r="R3" s="4735"/>
      <c r="S3" s="4735"/>
      <c r="T3" s="4735"/>
      <c r="U3" s="4735"/>
      <c r="V3" s="4736"/>
      <c r="W3" s="1307"/>
      <c r="X3" s="3785"/>
      <c r="Y3" s="3785"/>
      <c r="Z3" s="3785"/>
      <c r="AA3" s="3785"/>
      <c r="AB3" s="3785"/>
    </row>
    <row r="4" spans="1:28" ht="14.25" customHeight="1" x14ac:dyDescent="0.25">
      <c r="A4" s="509">
        <v>3</v>
      </c>
      <c r="B4" s="509" t="s">
        <v>4</v>
      </c>
      <c r="C4" s="509"/>
      <c r="D4" s="4734" t="s">
        <v>1042</v>
      </c>
      <c r="E4" s="4735"/>
      <c r="F4" s="4735"/>
      <c r="G4" s="4735"/>
      <c r="H4" s="4735"/>
      <c r="I4" s="4735"/>
      <c r="J4" s="4735"/>
      <c r="K4" s="4735"/>
      <c r="L4" s="4735"/>
      <c r="M4" s="4735"/>
      <c r="N4" s="4735"/>
      <c r="O4" s="4735"/>
      <c r="P4" s="4735"/>
      <c r="Q4" s="4735"/>
      <c r="R4" s="4735"/>
      <c r="S4" s="4735"/>
      <c r="T4" s="4735"/>
      <c r="U4" s="4735"/>
      <c r="V4" s="4736"/>
      <c r="W4" s="1307"/>
      <c r="X4" s="3786"/>
      <c r="Y4" s="3786"/>
      <c r="Z4" s="3786"/>
      <c r="AA4" s="3786"/>
      <c r="AB4" s="3785"/>
    </row>
    <row r="5" spans="1:28" ht="14.25" customHeight="1" x14ac:dyDescent="0.25">
      <c r="A5" s="509">
        <v>4</v>
      </c>
      <c r="B5" s="509" t="s">
        <v>1043</v>
      </c>
      <c r="C5" s="509"/>
      <c r="D5" s="4844" t="s">
        <v>1172</v>
      </c>
      <c r="E5" s="4845"/>
      <c r="F5" s="4845"/>
      <c r="G5" s="4845"/>
      <c r="H5" s="4845"/>
      <c r="I5" s="4845"/>
      <c r="J5" s="4845"/>
      <c r="K5" s="4845"/>
      <c r="L5" s="4845"/>
      <c r="M5" s="4845"/>
      <c r="N5" s="4845"/>
      <c r="O5" s="4845"/>
      <c r="P5" s="4845"/>
      <c r="Q5" s="4845"/>
      <c r="R5" s="4845"/>
      <c r="S5" s="4845"/>
      <c r="T5" s="4845"/>
      <c r="U5" s="4845"/>
      <c r="V5" s="4846"/>
      <c r="W5" s="1307"/>
      <c r="X5" s="3786"/>
      <c r="Y5" s="3786"/>
      <c r="Z5" s="3786"/>
      <c r="AA5" s="3786"/>
      <c r="AB5" s="3785"/>
    </row>
    <row r="6" spans="1:28" x14ac:dyDescent="0.25">
      <c r="A6" s="508"/>
      <c r="B6" s="508"/>
      <c r="C6" s="509"/>
      <c r="W6" s="1307"/>
      <c r="X6" s="3785"/>
      <c r="Y6" s="3785"/>
      <c r="Z6" s="3785"/>
      <c r="AA6" s="3785"/>
      <c r="AB6" s="3785"/>
    </row>
    <row r="7" spans="1:28" s="88" customFormat="1" ht="12.75" x14ac:dyDescent="0.2">
      <c r="A7" s="509">
        <v>5</v>
      </c>
      <c r="B7" s="509" t="s">
        <v>6</v>
      </c>
      <c r="C7" s="836"/>
      <c r="D7" s="71" t="s">
        <v>80</v>
      </c>
      <c r="E7" s="71" t="s">
        <v>1173</v>
      </c>
      <c r="F7" s="71"/>
      <c r="G7" s="71"/>
      <c r="H7" s="71"/>
      <c r="I7" s="71"/>
      <c r="J7" s="71"/>
      <c r="K7" s="71"/>
      <c r="L7" s="71"/>
      <c r="X7" s="3787"/>
      <c r="Y7" s="3787"/>
      <c r="Z7" s="3787"/>
      <c r="AA7" s="3787"/>
      <c r="AB7" s="3787"/>
    </row>
    <row r="8" spans="1:28" s="88" customFormat="1" ht="12.75" x14ac:dyDescent="0.25">
      <c r="A8" s="860"/>
      <c r="B8" s="836"/>
      <c r="C8" s="836"/>
      <c r="D8" s="99"/>
      <c r="E8" s="1193">
        <v>2005</v>
      </c>
      <c r="F8" s="1193">
        <v>2006</v>
      </c>
      <c r="G8" s="1193">
        <v>2007</v>
      </c>
      <c r="H8" s="1308">
        <v>2008</v>
      </c>
      <c r="I8" s="1308">
        <v>2009</v>
      </c>
      <c r="J8" s="1308">
        <v>2010</v>
      </c>
      <c r="K8" s="1308">
        <v>2011</v>
      </c>
      <c r="L8" s="1308">
        <v>2012</v>
      </c>
      <c r="M8" s="1308">
        <v>2013</v>
      </c>
      <c r="N8" s="1308">
        <v>2014</v>
      </c>
      <c r="O8" s="1308">
        <v>2015</v>
      </c>
      <c r="P8" s="1309">
        <v>2016</v>
      </c>
      <c r="Q8" s="1309">
        <v>2017</v>
      </c>
      <c r="R8" s="1309">
        <v>2018</v>
      </c>
      <c r="S8" s="1309">
        <v>2019</v>
      </c>
      <c r="T8" s="1309">
        <v>2020</v>
      </c>
      <c r="U8" s="1309">
        <v>2021</v>
      </c>
      <c r="V8" s="1309">
        <v>2022</v>
      </c>
      <c r="W8" s="1310"/>
      <c r="X8" s="3787"/>
      <c r="Y8" s="3787"/>
      <c r="Z8" s="3787"/>
      <c r="AA8" s="3787"/>
      <c r="AB8" s="3787"/>
    </row>
    <row r="9" spans="1:28" ht="23.25" x14ac:dyDescent="0.25">
      <c r="D9" s="1311" t="s">
        <v>1174</v>
      </c>
      <c r="E9" s="1312">
        <v>5157</v>
      </c>
      <c r="F9" s="1312">
        <v>36103</v>
      </c>
      <c r="G9" s="1312">
        <v>79821</v>
      </c>
      <c r="H9" s="1312">
        <v>154855</v>
      </c>
      <c r="I9" s="1312">
        <v>480031</v>
      </c>
      <c r="J9" s="1312">
        <v>741540</v>
      </c>
      <c r="K9" s="1312">
        <v>1337630</v>
      </c>
      <c r="L9" s="1312">
        <v>2029509</v>
      </c>
      <c r="M9" s="1312">
        <v>2472591</v>
      </c>
      <c r="N9" s="1312">
        <v>2760890</v>
      </c>
      <c r="O9" s="1312">
        <v>3064920</v>
      </c>
      <c r="P9" s="1312">
        <v>3549268</v>
      </c>
      <c r="Q9" s="1312">
        <v>3923464</v>
      </c>
      <c r="R9" s="1312">
        <v>4338833</v>
      </c>
      <c r="S9" s="1312">
        <v>4770460</v>
      </c>
      <c r="T9" s="1312">
        <v>4906094</v>
      </c>
      <c r="U9" s="1312">
        <v>5092512</v>
      </c>
      <c r="V9" s="1312" t="s">
        <v>2164</v>
      </c>
      <c r="W9" s="1313"/>
      <c r="X9" s="3785"/>
      <c r="Y9" s="3785"/>
      <c r="Z9" s="3785"/>
      <c r="AA9" s="3785"/>
      <c r="AB9" s="3785"/>
    </row>
    <row r="10" spans="1:28" ht="23.25" x14ac:dyDescent="0.25">
      <c r="D10" s="1311" t="s">
        <v>1175</v>
      </c>
      <c r="E10" s="1312">
        <v>367</v>
      </c>
      <c r="F10" s="1312">
        <v>2020</v>
      </c>
      <c r="G10" s="1312">
        <v>4895</v>
      </c>
      <c r="H10" s="1312">
        <v>8040</v>
      </c>
      <c r="I10" s="1312">
        <v>37097</v>
      </c>
      <c r="J10" s="1312">
        <v>56923</v>
      </c>
      <c r="K10" s="1312">
        <v>100350</v>
      </c>
      <c r="L10" s="1312">
        <v>139104</v>
      </c>
      <c r="M10" s="1312">
        <v>156857</v>
      </c>
      <c r="N10" s="1312">
        <v>159707</v>
      </c>
      <c r="O10" s="1312">
        <v>146864</v>
      </c>
      <c r="P10" s="1312">
        <v>166852</v>
      </c>
      <c r="Q10" s="1312">
        <v>162764</v>
      </c>
      <c r="R10" s="1312">
        <v>157304</v>
      </c>
      <c r="S10" s="1312">
        <v>152060</v>
      </c>
      <c r="T10" s="1312">
        <v>139828</v>
      </c>
      <c r="U10" s="1312" t="s">
        <v>2165</v>
      </c>
      <c r="V10" s="1312">
        <v>117745</v>
      </c>
      <c r="W10" s="1313"/>
      <c r="X10" s="3785"/>
      <c r="Y10" s="3785"/>
      <c r="Z10" s="3785"/>
      <c r="AA10" s="3785"/>
      <c r="AB10" s="3785"/>
    </row>
    <row r="11" spans="1:28" ht="21.75" customHeight="1" x14ac:dyDescent="0.25">
      <c r="D11" s="1314" t="s">
        <v>1176</v>
      </c>
      <c r="E11" s="1315">
        <f t="shared" ref="E11:K11" si="0">SUM(E9:E10)</f>
        <v>5524</v>
      </c>
      <c r="F11" s="1315">
        <f t="shared" si="0"/>
        <v>38123</v>
      </c>
      <c r="G11" s="1315">
        <f t="shared" si="0"/>
        <v>84716</v>
      </c>
      <c r="H11" s="1315">
        <f t="shared" si="0"/>
        <v>162895</v>
      </c>
      <c r="I11" s="1315">
        <f t="shared" si="0"/>
        <v>517128</v>
      </c>
      <c r="J11" s="1315">
        <f t="shared" si="0"/>
        <v>798463</v>
      </c>
      <c r="K11" s="1315">
        <f t="shared" si="0"/>
        <v>1437980</v>
      </c>
      <c r="L11" s="1315">
        <v>2168613</v>
      </c>
      <c r="M11" s="1315">
        <v>2629448</v>
      </c>
      <c r="N11" s="1315">
        <v>2920597</v>
      </c>
      <c r="O11" s="1315">
        <v>3211784</v>
      </c>
      <c r="P11" s="1315">
        <v>3716120</v>
      </c>
      <c r="Q11" s="1315">
        <v>4086228</v>
      </c>
      <c r="R11" s="1315">
        <v>4496137</v>
      </c>
      <c r="S11" s="1315">
        <v>4922520</v>
      </c>
      <c r="T11" s="1315">
        <v>5045922</v>
      </c>
      <c r="U11" s="1315">
        <v>5217737</v>
      </c>
      <c r="V11" s="1315" t="s">
        <v>2166</v>
      </c>
      <c r="W11" s="1316"/>
      <c r="X11" s="3785"/>
      <c r="Y11" s="3785"/>
      <c r="Z11" s="3785"/>
      <c r="AA11" s="3785"/>
      <c r="AB11" s="3785"/>
    </row>
    <row r="12" spans="1:28" ht="21.75" customHeight="1" x14ac:dyDescent="0.25">
      <c r="D12" s="994"/>
      <c r="E12" s="1317"/>
      <c r="F12" s="1317"/>
      <c r="G12" s="1317"/>
      <c r="H12" s="1317"/>
      <c r="I12" s="1317"/>
      <c r="J12" s="1317"/>
      <c r="K12" s="1317"/>
      <c r="L12" s="1317"/>
      <c r="M12" s="1317"/>
      <c r="N12" s="1317"/>
      <c r="O12" s="1317"/>
      <c r="P12" s="1317"/>
      <c r="Q12" s="1317"/>
      <c r="S12" s="1318"/>
      <c r="T12" s="1316"/>
      <c r="U12" s="1316"/>
      <c r="V12" s="1316"/>
      <c r="W12" s="1316"/>
    </row>
    <row r="13" spans="1:28" ht="14.25" x14ac:dyDescent="0.2">
      <c r="A13" s="509"/>
      <c r="B13" s="509"/>
      <c r="C13" s="509"/>
      <c r="E13" s="1319"/>
    </row>
    <row r="14" spans="1:28" ht="14.25" x14ac:dyDescent="0.2">
      <c r="A14" s="509">
        <v>6</v>
      </c>
      <c r="B14" s="509" t="s">
        <v>51</v>
      </c>
    </row>
    <row r="17" spans="1:25" x14ac:dyDescent="0.2">
      <c r="B17" s="1187"/>
      <c r="C17" s="1187"/>
    </row>
    <row r="20" spans="1:25" x14ac:dyDescent="0.2">
      <c r="Y20" s="1320"/>
    </row>
    <row r="23" spans="1:25" x14ac:dyDescent="0.2">
      <c r="Y23" s="1321"/>
    </row>
    <row r="25" spans="1:25" x14ac:dyDescent="0.2">
      <c r="X25" s="1322"/>
    </row>
    <row r="27" spans="1:25" ht="65.25" customHeight="1" x14ac:dyDescent="0.2"/>
    <row r="29" spans="1:25" x14ac:dyDescent="0.2">
      <c r="A29" s="506">
        <v>7</v>
      </c>
      <c r="B29" s="509" t="s">
        <v>52</v>
      </c>
      <c r="D29" s="4603" t="s">
        <v>1177</v>
      </c>
      <c r="E29" s="4604"/>
      <c r="F29" s="4604"/>
      <c r="G29" s="4604"/>
      <c r="H29" s="4604"/>
      <c r="I29" s="4604"/>
      <c r="J29" s="4604"/>
      <c r="K29" s="4604"/>
      <c r="L29" s="4604"/>
      <c r="M29" s="4604"/>
      <c r="N29" s="4604"/>
      <c r="O29" s="4604"/>
      <c r="P29" s="4604"/>
      <c r="Q29" s="4604"/>
      <c r="R29" s="4604"/>
      <c r="S29" s="4604"/>
      <c r="T29" s="4604"/>
      <c r="U29" s="4604"/>
      <c r="V29" s="4605"/>
    </row>
    <row r="30" spans="1:25" ht="41.25" customHeight="1" x14ac:dyDescent="0.2">
      <c r="A30" s="509">
        <v>8</v>
      </c>
      <c r="B30" s="509" t="s">
        <v>54</v>
      </c>
      <c r="C30" s="509"/>
      <c r="D30" s="4742" t="s">
        <v>2192</v>
      </c>
      <c r="E30" s="4743"/>
      <c r="F30" s="4743"/>
      <c r="G30" s="4743"/>
      <c r="H30" s="4743"/>
      <c r="I30" s="4743"/>
      <c r="J30" s="4743"/>
      <c r="K30" s="4743"/>
      <c r="L30" s="4743"/>
      <c r="M30" s="4743"/>
      <c r="N30" s="4743"/>
      <c r="O30" s="4743"/>
      <c r="P30" s="4743"/>
      <c r="Q30" s="4743"/>
      <c r="R30" s="4743"/>
      <c r="S30" s="4743"/>
      <c r="T30" s="4743"/>
      <c r="U30" s="4743"/>
      <c r="V30" s="4847"/>
    </row>
    <row r="31" spans="1:25" ht="14.25" customHeight="1" x14ac:dyDescent="0.2">
      <c r="A31" s="546">
        <v>9</v>
      </c>
      <c r="B31" s="546" t="s">
        <v>56</v>
      </c>
      <c r="C31" s="546"/>
      <c r="D31" s="4603" t="s">
        <v>1132</v>
      </c>
      <c r="E31" s="4604"/>
      <c r="F31" s="4604"/>
      <c r="G31" s="4604"/>
      <c r="H31" s="4604"/>
      <c r="I31" s="4604"/>
      <c r="J31" s="4604"/>
      <c r="K31" s="4604"/>
      <c r="L31" s="4604"/>
      <c r="M31" s="4604"/>
      <c r="N31" s="4604"/>
      <c r="O31" s="4604"/>
      <c r="P31" s="4604"/>
      <c r="Q31" s="4604"/>
      <c r="R31" s="4604"/>
      <c r="S31" s="4604"/>
      <c r="T31" s="4604"/>
      <c r="U31" s="4604"/>
      <c r="V31" s="4605"/>
    </row>
    <row r="32" spans="1:25" ht="27.75" customHeight="1" x14ac:dyDescent="0.2">
      <c r="A32" s="546">
        <v>10</v>
      </c>
      <c r="B32" s="509" t="s">
        <v>409</v>
      </c>
      <c r="C32" s="509"/>
      <c r="D32" s="4603"/>
      <c r="E32" s="4604"/>
      <c r="F32" s="4604"/>
      <c r="G32" s="4604"/>
      <c r="H32" s="4604"/>
      <c r="I32" s="4604"/>
      <c r="J32" s="4604"/>
      <c r="K32" s="4604"/>
      <c r="L32" s="4604"/>
      <c r="M32" s="4604"/>
      <c r="N32" s="4604"/>
      <c r="O32" s="4604"/>
      <c r="P32" s="4604"/>
      <c r="Q32" s="4604"/>
      <c r="R32" s="4604"/>
      <c r="S32" s="4604"/>
      <c r="T32" s="4604"/>
      <c r="U32" s="4604"/>
      <c r="V32" s="4605"/>
    </row>
    <row r="33" spans="1:32" ht="14.25" x14ac:dyDescent="0.2">
      <c r="A33" s="508"/>
    </row>
    <row r="34" spans="1:32" ht="14.25" x14ac:dyDescent="0.2">
      <c r="A34" s="508"/>
    </row>
    <row r="36" spans="1:32" ht="14.25" x14ac:dyDescent="0.2">
      <c r="A36" s="508"/>
      <c r="B36" s="751"/>
      <c r="C36" s="751"/>
      <c r="D36" s="751"/>
      <c r="E36" s="751"/>
      <c r="F36" s="751"/>
      <c r="G36" s="751"/>
      <c r="H36" s="751"/>
      <c r="I36" s="751"/>
      <c r="J36" s="751"/>
      <c r="K36" s="751"/>
      <c r="L36" s="751"/>
      <c r="M36" s="751"/>
      <c r="N36" s="751"/>
      <c r="O36" s="751"/>
      <c r="P36" s="751"/>
      <c r="Q36" s="751"/>
      <c r="R36" s="751"/>
      <c r="S36" s="751"/>
      <c r="T36" s="751"/>
      <c r="U36" s="751"/>
      <c r="V36" s="751"/>
      <c r="W36" s="751"/>
      <c r="X36" s="751"/>
      <c r="Y36" s="751"/>
      <c r="Z36" s="751"/>
      <c r="AA36" s="751"/>
      <c r="AB36" s="751"/>
      <c r="AC36" s="751"/>
      <c r="AD36" s="751"/>
      <c r="AE36" s="751"/>
      <c r="AF36" s="751"/>
    </row>
    <row r="37" spans="1:32" ht="14.25" x14ac:dyDescent="0.2">
      <c r="A37" s="508"/>
      <c r="B37" s="999"/>
      <c r="C37" s="751"/>
      <c r="D37" s="751"/>
      <c r="E37" s="751"/>
      <c r="F37" s="751"/>
      <c r="G37" s="999"/>
      <c r="H37" s="751"/>
      <c r="I37" s="751"/>
      <c r="J37" s="751"/>
      <c r="K37" s="751"/>
      <c r="L37" s="751"/>
      <c r="M37" s="751"/>
      <c r="N37" s="751"/>
      <c r="O37" s="751"/>
      <c r="P37" s="751"/>
      <c r="Q37" s="751"/>
      <c r="R37" s="751"/>
      <c r="S37" s="751"/>
      <c r="T37" s="751"/>
      <c r="U37" s="751"/>
      <c r="V37" s="751"/>
      <c r="W37" s="751"/>
      <c r="X37" s="751"/>
      <c r="Y37" s="751"/>
      <c r="Z37" s="751"/>
      <c r="AA37" s="751"/>
      <c r="AB37" s="751"/>
      <c r="AC37" s="751"/>
      <c r="AD37" s="751"/>
      <c r="AE37" s="751"/>
      <c r="AF37" s="751"/>
    </row>
    <row r="38" spans="1:32" ht="14.25" x14ac:dyDescent="0.2">
      <c r="A38" s="508"/>
      <c r="B38" s="751"/>
      <c r="C38" s="751"/>
      <c r="D38" s="751"/>
      <c r="E38" s="751"/>
      <c r="F38" s="751"/>
      <c r="G38" s="751"/>
      <c r="H38" s="751"/>
      <c r="I38" s="751"/>
      <c r="J38" s="751"/>
      <c r="K38" s="751"/>
      <c r="L38" s="751"/>
      <c r="M38" s="751"/>
      <c r="N38" s="751"/>
      <c r="O38" s="751"/>
      <c r="P38" s="751"/>
      <c r="Q38" s="751"/>
      <c r="R38" s="751"/>
      <c r="S38" s="751"/>
      <c r="T38" s="751"/>
      <c r="U38" s="751"/>
      <c r="V38" s="751"/>
      <c r="W38" s="751"/>
      <c r="X38" s="751"/>
      <c r="Y38" s="751"/>
      <c r="Z38" s="751"/>
      <c r="AA38" s="751"/>
      <c r="AB38" s="751"/>
      <c r="AC38" s="751"/>
      <c r="AD38" s="751"/>
      <c r="AE38" s="751"/>
      <c r="AF38" s="751"/>
    </row>
    <row r="39" spans="1:32" ht="14.25" x14ac:dyDescent="0.2">
      <c r="A39" s="508"/>
      <c r="B39" s="1323"/>
      <c r="C39" s="4860"/>
      <c r="D39" s="4860"/>
      <c r="E39" s="4860"/>
      <c r="F39" s="4860"/>
      <c r="G39" s="4860"/>
      <c r="H39" s="4860"/>
      <c r="I39" s="4860"/>
      <c r="J39" s="4860"/>
      <c r="K39" s="4860"/>
      <c r="L39" s="4860"/>
      <c r="M39" s="4860"/>
      <c r="N39" s="4860"/>
      <c r="O39" s="4860"/>
      <c r="P39" s="4860"/>
      <c r="Q39" s="4860"/>
      <c r="R39" s="4860"/>
      <c r="S39" s="4860"/>
      <c r="T39" s="4860"/>
      <c r="U39" s="4860"/>
      <c r="V39" s="4860"/>
      <c r="W39" s="4860"/>
      <c r="X39" s="4860"/>
      <c r="Y39" s="4860"/>
      <c r="Z39" s="4860"/>
      <c r="AA39" s="4860"/>
      <c r="AB39" s="4860"/>
      <c r="AC39" s="1324"/>
      <c r="AD39" s="1324"/>
      <c r="AE39" s="1324"/>
    </row>
    <row r="40" spans="1:32" ht="14.25" x14ac:dyDescent="0.2">
      <c r="A40" s="508"/>
      <c r="B40" s="1324"/>
      <c r="C40" s="1325"/>
      <c r="D40" s="1325"/>
      <c r="E40" s="1325"/>
      <c r="F40" s="1325"/>
      <c r="G40" s="1325"/>
      <c r="H40" s="1325"/>
      <c r="I40" s="1325"/>
      <c r="J40" s="1325"/>
      <c r="K40" s="1325"/>
      <c r="L40" s="1325"/>
      <c r="M40" s="1325"/>
      <c r="N40" s="1325"/>
      <c r="O40" s="1325"/>
      <c r="P40" s="1325"/>
      <c r="Q40" s="1325"/>
      <c r="R40" s="1325"/>
      <c r="S40" s="1325"/>
      <c r="T40" s="1325"/>
      <c r="U40" s="1326"/>
      <c r="V40" s="1325"/>
      <c r="W40" s="1325"/>
      <c r="X40" s="1325"/>
      <c r="Y40" s="1325"/>
      <c r="Z40" s="1325"/>
      <c r="AA40" s="1325"/>
      <c r="AB40" s="1325"/>
      <c r="AC40" s="1324"/>
      <c r="AD40" s="1324"/>
      <c r="AE40" s="1327"/>
    </row>
    <row r="41" spans="1:32" ht="14.25" x14ac:dyDescent="0.2">
      <c r="A41" s="508"/>
      <c r="B41" s="1324"/>
      <c r="C41" s="751"/>
      <c r="D41" s="751"/>
      <c r="E41" s="751"/>
      <c r="F41" s="751"/>
      <c r="G41" s="751"/>
      <c r="H41" s="751"/>
      <c r="I41" s="751"/>
      <c r="J41" s="751"/>
      <c r="K41" s="751"/>
      <c r="L41" s="751"/>
      <c r="M41" s="751"/>
      <c r="N41" s="751"/>
      <c r="O41" s="751"/>
      <c r="P41" s="751"/>
      <c r="Q41" s="751"/>
      <c r="R41" s="751"/>
      <c r="S41" s="751"/>
      <c r="T41" s="751"/>
      <c r="U41" s="751"/>
      <c r="V41" s="751"/>
      <c r="W41" s="751"/>
      <c r="X41" s="751"/>
      <c r="Y41" s="751"/>
      <c r="Z41" s="751"/>
      <c r="AA41" s="751"/>
      <c r="AB41" s="751"/>
      <c r="AC41" s="751"/>
      <c r="AD41" s="751"/>
      <c r="AE41" s="751"/>
    </row>
    <row r="42" spans="1:32" ht="14.25" x14ac:dyDescent="0.2">
      <c r="A42" s="508"/>
      <c r="B42" s="1324"/>
      <c r="C42" s="751"/>
      <c r="D42" s="751"/>
      <c r="E42" s="751"/>
      <c r="F42" s="751"/>
      <c r="G42" s="751"/>
      <c r="H42" s="751"/>
      <c r="I42" s="751"/>
      <c r="J42" s="751"/>
      <c r="K42" s="751"/>
      <c r="L42" s="751"/>
      <c r="M42" s="751"/>
      <c r="N42" s="751"/>
      <c r="O42" s="751"/>
      <c r="P42" s="751"/>
      <c r="Q42" s="751"/>
      <c r="R42" s="751"/>
      <c r="S42" s="751"/>
      <c r="T42" s="751"/>
      <c r="U42" s="751"/>
      <c r="V42" s="751"/>
      <c r="W42" s="751"/>
      <c r="X42" s="751"/>
      <c r="Y42" s="751"/>
      <c r="Z42" s="751"/>
      <c r="AA42" s="999"/>
      <c r="AB42" s="751"/>
      <c r="AC42" s="751"/>
      <c r="AD42" s="751"/>
      <c r="AE42" s="751"/>
    </row>
    <row r="43" spans="1:32" ht="14.25" x14ac:dyDescent="0.2">
      <c r="A43" s="508"/>
      <c r="B43" s="1324"/>
      <c r="C43" s="751"/>
      <c r="D43" s="751"/>
      <c r="E43" s="751"/>
      <c r="F43" s="751"/>
      <c r="G43" s="751"/>
      <c r="H43" s="751"/>
      <c r="I43" s="751"/>
      <c r="J43" s="751"/>
      <c r="K43" s="751"/>
      <c r="L43" s="751"/>
      <c r="M43" s="751"/>
      <c r="N43" s="751"/>
      <c r="O43" s="751"/>
      <c r="P43" s="751"/>
      <c r="Q43" s="751"/>
      <c r="R43" s="751"/>
      <c r="S43" s="751"/>
      <c r="T43" s="751"/>
      <c r="U43" s="751"/>
      <c r="V43" s="751"/>
      <c r="W43" s="751"/>
      <c r="X43" s="751"/>
      <c r="Y43" s="751"/>
      <c r="Z43" s="751"/>
      <c r="AA43" s="999"/>
      <c r="AB43" s="751"/>
      <c r="AC43" s="751"/>
      <c r="AD43" s="751"/>
      <c r="AE43" s="751"/>
    </row>
    <row r="44" spans="1:32" ht="14.25" x14ac:dyDescent="0.2">
      <c r="A44" s="508"/>
      <c r="B44" s="1324"/>
      <c r="C44" s="751"/>
      <c r="D44" s="751"/>
      <c r="E44" s="751"/>
      <c r="F44" s="751"/>
      <c r="G44" s="751"/>
      <c r="H44" s="751"/>
      <c r="I44" s="751"/>
      <c r="J44" s="751"/>
      <c r="K44" s="751"/>
      <c r="L44" s="751"/>
      <c r="M44" s="751"/>
      <c r="N44" s="751"/>
      <c r="O44" s="751"/>
      <c r="P44" s="751"/>
      <c r="Q44" s="751"/>
      <c r="R44" s="751"/>
      <c r="S44" s="751"/>
      <c r="T44" s="751"/>
      <c r="U44" s="751"/>
      <c r="V44" s="751"/>
      <c r="W44" s="751"/>
      <c r="X44" s="751"/>
      <c r="Y44" s="751"/>
      <c r="Z44" s="751"/>
      <c r="AA44" s="999"/>
      <c r="AB44" s="751"/>
      <c r="AC44" s="751"/>
      <c r="AD44" s="751"/>
      <c r="AE44" s="751"/>
    </row>
    <row r="45" spans="1:32" ht="14.25" x14ac:dyDescent="0.2">
      <c r="A45" s="508"/>
      <c r="B45" s="1324"/>
      <c r="C45" s="751"/>
      <c r="D45" s="751"/>
      <c r="E45" s="751"/>
      <c r="F45" s="751"/>
      <c r="G45" s="751"/>
      <c r="H45" s="751"/>
      <c r="I45" s="751"/>
      <c r="J45" s="751"/>
      <c r="K45" s="751"/>
      <c r="L45" s="751"/>
      <c r="M45" s="751"/>
      <c r="N45" s="751"/>
      <c r="O45" s="751"/>
      <c r="P45" s="751"/>
      <c r="Q45" s="751"/>
      <c r="R45" s="751"/>
      <c r="S45" s="751"/>
      <c r="T45" s="751"/>
      <c r="U45" s="751"/>
      <c r="V45" s="751"/>
      <c r="W45" s="751"/>
      <c r="X45" s="751"/>
      <c r="Y45" s="751"/>
      <c r="Z45" s="751"/>
      <c r="AA45" s="999"/>
      <c r="AB45" s="751"/>
      <c r="AC45" s="999"/>
      <c r="AD45" s="751"/>
      <c r="AE45" s="751"/>
    </row>
    <row r="46" spans="1:32" ht="14.25" x14ac:dyDescent="0.2">
      <c r="A46" s="508"/>
      <c r="B46" s="1324"/>
      <c r="C46" s="751"/>
      <c r="D46" s="751"/>
      <c r="E46" s="751"/>
      <c r="F46" s="751"/>
      <c r="G46" s="751"/>
      <c r="H46" s="751"/>
      <c r="I46" s="751"/>
      <c r="J46" s="751"/>
      <c r="K46" s="751"/>
      <c r="L46" s="751"/>
      <c r="M46" s="751"/>
      <c r="N46" s="751"/>
      <c r="O46" s="751"/>
      <c r="P46" s="751"/>
      <c r="Q46" s="751"/>
      <c r="R46" s="751"/>
      <c r="S46" s="751"/>
      <c r="T46" s="751"/>
      <c r="U46" s="751"/>
      <c r="V46" s="751"/>
      <c r="W46" s="751"/>
      <c r="X46" s="751"/>
      <c r="Y46" s="751"/>
      <c r="Z46" s="751"/>
      <c r="AA46" s="751"/>
      <c r="AB46" s="751"/>
      <c r="AC46" s="999"/>
      <c r="AD46" s="751"/>
      <c r="AE46" s="751"/>
    </row>
    <row r="47" spans="1:32" ht="14.25" x14ac:dyDescent="0.2">
      <c r="A47" s="508"/>
      <c r="B47" s="1324"/>
      <c r="C47" s="751"/>
      <c r="D47" s="751"/>
      <c r="E47" s="751"/>
      <c r="F47" s="751"/>
      <c r="G47" s="751"/>
      <c r="H47" s="751"/>
      <c r="I47" s="751"/>
      <c r="J47" s="751"/>
      <c r="K47" s="751"/>
      <c r="L47" s="751"/>
      <c r="M47" s="751"/>
      <c r="N47" s="751"/>
      <c r="O47" s="751"/>
      <c r="P47" s="751"/>
      <c r="Q47" s="751"/>
      <c r="R47" s="751"/>
      <c r="S47" s="751"/>
      <c r="T47" s="751"/>
      <c r="U47" s="751"/>
      <c r="V47" s="751"/>
      <c r="W47" s="751"/>
      <c r="X47" s="751"/>
      <c r="Y47" s="751"/>
      <c r="Z47" s="751"/>
      <c r="AA47" s="999"/>
      <c r="AB47" s="751"/>
      <c r="AC47" s="999"/>
      <c r="AD47" s="751"/>
      <c r="AE47" s="751"/>
    </row>
    <row r="48" spans="1:32" ht="14.25" x14ac:dyDescent="0.2">
      <c r="A48" s="508"/>
      <c r="B48" s="1324"/>
      <c r="C48" s="751"/>
      <c r="D48" s="751"/>
      <c r="E48" s="751"/>
      <c r="F48" s="751"/>
      <c r="G48" s="751"/>
      <c r="H48" s="751"/>
      <c r="I48" s="751"/>
      <c r="J48" s="751"/>
      <c r="K48" s="751"/>
      <c r="L48" s="751"/>
      <c r="M48" s="751"/>
      <c r="N48" s="751"/>
      <c r="O48" s="751"/>
      <c r="P48" s="751"/>
      <c r="Q48" s="751"/>
      <c r="R48" s="751"/>
      <c r="S48" s="751"/>
      <c r="T48" s="751"/>
      <c r="U48" s="751"/>
      <c r="V48" s="751"/>
      <c r="W48" s="751"/>
      <c r="X48" s="751"/>
      <c r="Y48" s="751"/>
      <c r="Z48" s="751"/>
      <c r="AA48" s="751"/>
      <c r="AB48" s="751"/>
      <c r="AC48" s="751"/>
      <c r="AD48" s="751"/>
      <c r="AE48" s="751"/>
    </row>
    <row r="49" spans="1:32" ht="14.25" x14ac:dyDescent="0.2">
      <c r="A49" s="508"/>
      <c r="B49" s="1324"/>
      <c r="C49" s="751"/>
      <c r="D49" s="751"/>
      <c r="E49" s="751"/>
      <c r="F49" s="751"/>
      <c r="G49" s="751"/>
      <c r="H49" s="751"/>
      <c r="I49" s="751"/>
      <c r="J49" s="751"/>
      <c r="K49" s="751"/>
      <c r="L49" s="751"/>
      <c r="M49" s="751"/>
      <c r="N49" s="751"/>
      <c r="O49" s="751"/>
      <c r="P49" s="751"/>
      <c r="Q49" s="751"/>
      <c r="R49" s="751"/>
      <c r="S49" s="751"/>
      <c r="T49" s="751"/>
      <c r="U49" s="751"/>
      <c r="V49" s="751"/>
      <c r="W49" s="751"/>
      <c r="X49" s="751"/>
      <c r="Y49" s="751"/>
      <c r="Z49" s="751"/>
      <c r="AA49" s="751"/>
      <c r="AB49" s="751"/>
      <c r="AC49" s="751"/>
      <c r="AD49" s="751"/>
      <c r="AE49" s="751"/>
    </row>
    <row r="51" spans="1:32" x14ac:dyDescent="0.25">
      <c r="A51" s="508"/>
      <c r="B51" s="1328"/>
      <c r="C51" s="1328"/>
      <c r="D51" s="1328"/>
      <c r="E51" s="1328"/>
      <c r="F51" s="1329"/>
      <c r="G51" s="1329"/>
      <c r="H51" s="1329"/>
      <c r="I51" s="1329"/>
      <c r="J51" s="1329"/>
      <c r="K51" s="1329"/>
      <c r="L51" s="1329"/>
      <c r="M51" s="1329"/>
      <c r="N51" s="1329"/>
      <c r="O51" s="1329"/>
      <c r="P51" s="1329"/>
      <c r="Q51" s="1329"/>
      <c r="R51" s="1329"/>
      <c r="S51" s="1329"/>
      <c r="T51" s="1329"/>
      <c r="U51" s="1329"/>
      <c r="V51" s="1329"/>
      <c r="W51" s="1329"/>
      <c r="X51" s="1329"/>
      <c r="Y51" s="1329"/>
      <c r="Z51" s="1329"/>
      <c r="AA51" s="1329"/>
      <c r="AB51" s="1329"/>
      <c r="AC51" s="1329"/>
      <c r="AD51" s="1329"/>
      <c r="AE51" s="1329"/>
      <c r="AF51" s="1329"/>
    </row>
    <row r="52" spans="1:32" ht="14.25" x14ac:dyDescent="0.2">
      <c r="A52" s="508"/>
      <c r="B52" s="999"/>
      <c r="C52" s="1330"/>
      <c r="D52" s="1330"/>
      <c r="E52" s="1330"/>
      <c r="F52" s="1330"/>
      <c r="G52" s="1330"/>
      <c r="H52" s="1330"/>
      <c r="I52" s="1330"/>
      <c r="J52" s="1330"/>
      <c r="K52" s="1330"/>
      <c r="L52" s="1330"/>
      <c r="M52" s="1330"/>
      <c r="N52" s="1330"/>
      <c r="O52" s="1330"/>
      <c r="P52" s="1330"/>
      <c r="Q52" s="1330"/>
      <c r="R52" s="1330"/>
      <c r="S52" s="1330"/>
      <c r="T52" s="1330"/>
      <c r="U52" s="1330"/>
      <c r="V52" s="1330"/>
      <c r="W52" s="1330"/>
      <c r="X52" s="1330"/>
      <c r="Y52" s="1330"/>
      <c r="Z52" s="1330"/>
      <c r="AA52" s="1330"/>
      <c r="AB52" s="1330"/>
      <c r="AC52" s="999"/>
      <c r="AD52" s="999"/>
      <c r="AE52" s="999"/>
    </row>
    <row r="53" spans="1:32" ht="14.25" x14ac:dyDescent="0.2">
      <c r="A53" s="508"/>
      <c r="B53" s="999"/>
      <c r="C53" s="999"/>
      <c r="D53" s="999"/>
      <c r="E53" s="999"/>
      <c r="F53" s="999"/>
      <c r="G53" s="999"/>
      <c r="H53" s="999"/>
      <c r="I53" s="999"/>
      <c r="J53" s="999"/>
      <c r="K53" s="999"/>
      <c r="L53" s="999"/>
      <c r="M53" s="999"/>
      <c r="N53" s="999"/>
      <c r="O53" s="999"/>
      <c r="P53" s="999"/>
      <c r="Q53" s="999"/>
      <c r="R53" s="999"/>
      <c r="S53" s="999"/>
      <c r="T53" s="999"/>
      <c r="U53" s="999"/>
      <c r="V53" s="999"/>
      <c r="W53" s="999"/>
      <c r="X53" s="999"/>
      <c r="Y53" s="999"/>
      <c r="Z53" s="999"/>
      <c r="AA53" s="999"/>
      <c r="AB53" s="999"/>
      <c r="AC53" s="999"/>
      <c r="AD53" s="999"/>
      <c r="AE53" s="999"/>
    </row>
    <row r="54" spans="1:32" ht="14.25" x14ac:dyDescent="0.2">
      <c r="A54" s="508"/>
      <c r="B54" s="999"/>
      <c r="C54" s="751"/>
      <c r="D54" s="751"/>
      <c r="E54" s="751"/>
      <c r="F54" s="751"/>
      <c r="G54" s="751"/>
      <c r="H54" s="751"/>
      <c r="I54" s="751"/>
      <c r="J54" s="751"/>
      <c r="K54" s="751"/>
      <c r="L54" s="751"/>
      <c r="M54" s="751"/>
      <c r="N54" s="751"/>
      <c r="O54" s="751"/>
      <c r="P54" s="751"/>
      <c r="Q54" s="751"/>
      <c r="R54" s="751"/>
      <c r="S54" s="751"/>
      <c r="T54" s="751"/>
      <c r="U54" s="751"/>
      <c r="V54" s="751"/>
      <c r="W54" s="751"/>
      <c r="X54" s="751"/>
      <c r="Y54" s="751"/>
      <c r="Z54" s="751"/>
      <c r="AA54" s="751"/>
      <c r="AB54" s="751"/>
      <c r="AC54" s="751"/>
      <c r="AD54" s="751"/>
      <c r="AE54" s="751"/>
    </row>
    <row r="55" spans="1:32" ht="14.25" x14ac:dyDescent="0.2">
      <c r="A55" s="508"/>
      <c r="B55" s="999"/>
      <c r="C55" s="751"/>
      <c r="D55" s="751"/>
      <c r="E55" s="751"/>
      <c r="F55" s="751"/>
      <c r="G55" s="751"/>
      <c r="H55" s="751"/>
      <c r="I55" s="751"/>
      <c r="J55" s="751"/>
      <c r="K55" s="751"/>
      <c r="L55" s="751"/>
      <c r="M55" s="751"/>
      <c r="N55" s="751"/>
      <c r="O55" s="751"/>
      <c r="P55" s="751"/>
      <c r="Q55" s="751"/>
      <c r="R55" s="751"/>
      <c r="S55" s="751"/>
      <c r="T55" s="751"/>
      <c r="U55" s="751"/>
      <c r="V55" s="751"/>
      <c r="W55" s="751"/>
      <c r="X55" s="751"/>
      <c r="Y55" s="751"/>
      <c r="Z55" s="751"/>
      <c r="AA55" s="751"/>
      <c r="AB55" s="751"/>
      <c r="AC55" s="751"/>
      <c r="AD55" s="751"/>
      <c r="AE55" s="751"/>
    </row>
    <row r="56" spans="1:32" ht="14.25" x14ac:dyDescent="0.2">
      <c r="A56" s="508"/>
      <c r="B56" s="999"/>
      <c r="C56" s="751"/>
      <c r="D56" s="751"/>
      <c r="E56" s="751"/>
      <c r="F56" s="751"/>
      <c r="G56" s="751"/>
      <c r="H56" s="751"/>
      <c r="I56" s="751"/>
      <c r="J56" s="751"/>
      <c r="K56" s="751"/>
      <c r="L56" s="751"/>
      <c r="M56" s="751"/>
      <c r="N56" s="751"/>
      <c r="O56" s="751"/>
      <c r="P56" s="751"/>
      <c r="Q56" s="751"/>
      <c r="R56" s="751"/>
      <c r="S56" s="751"/>
      <c r="T56" s="751"/>
      <c r="U56" s="751"/>
      <c r="V56" s="751"/>
      <c r="W56" s="751"/>
      <c r="X56" s="751"/>
      <c r="Y56" s="751"/>
      <c r="Z56" s="751"/>
      <c r="AA56" s="751"/>
      <c r="AB56" s="751"/>
      <c r="AC56" s="751"/>
      <c r="AD56" s="751"/>
      <c r="AE56" s="751"/>
    </row>
    <row r="57" spans="1:32" ht="14.25" x14ac:dyDescent="0.2">
      <c r="A57" s="508"/>
      <c r="B57" s="999"/>
      <c r="C57" s="751"/>
      <c r="D57" s="751"/>
      <c r="E57" s="751"/>
      <c r="F57" s="751"/>
      <c r="G57" s="751"/>
      <c r="H57" s="751"/>
      <c r="I57" s="751"/>
      <c r="J57" s="751"/>
      <c r="K57" s="751"/>
      <c r="L57" s="751"/>
      <c r="M57" s="751"/>
      <c r="N57" s="751"/>
      <c r="O57" s="751"/>
      <c r="P57" s="751"/>
      <c r="Q57" s="751"/>
      <c r="R57" s="751"/>
      <c r="S57" s="751"/>
      <c r="T57" s="751"/>
      <c r="U57" s="751"/>
      <c r="V57" s="751"/>
      <c r="W57" s="751"/>
      <c r="X57" s="751"/>
      <c r="Y57" s="751"/>
      <c r="Z57" s="751"/>
      <c r="AA57" s="751"/>
      <c r="AB57" s="751"/>
      <c r="AC57" s="751"/>
      <c r="AD57" s="751"/>
      <c r="AE57" s="751"/>
    </row>
    <row r="58" spans="1:32" ht="14.25" x14ac:dyDescent="0.2">
      <c r="A58" s="508"/>
      <c r="B58" s="999"/>
      <c r="C58" s="751"/>
      <c r="D58" s="751"/>
      <c r="E58" s="751"/>
      <c r="F58" s="751"/>
      <c r="G58" s="751"/>
      <c r="H58" s="751"/>
      <c r="I58" s="751"/>
      <c r="J58" s="751"/>
      <c r="K58" s="751"/>
      <c r="L58" s="751"/>
      <c r="M58" s="751"/>
      <c r="N58" s="751"/>
      <c r="O58" s="1331"/>
      <c r="P58" s="1331"/>
      <c r="Q58" s="1331"/>
      <c r="R58" s="751"/>
      <c r="S58" s="751"/>
      <c r="T58" s="751"/>
      <c r="U58" s="751"/>
      <c r="V58" s="751"/>
      <c r="W58" s="751"/>
      <c r="X58" s="751"/>
      <c r="Y58" s="751"/>
      <c r="Z58" s="751"/>
      <c r="AA58" s="751"/>
      <c r="AB58" s="751"/>
      <c r="AC58" s="751"/>
      <c r="AD58" s="751"/>
      <c r="AE58" s="751"/>
    </row>
    <row r="59" spans="1:32" ht="14.25" x14ac:dyDescent="0.2">
      <c r="A59" s="508"/>
      <c r="B59" s="999"/>
      <c r="C59" s="751"/>
      <c r="D59" s="751"/>
      <c r="E59" s="751"/>
      <c r="F59" s="751"/>
      <c r="G59" s="751"/>
      <c r="H59" s="751"/>
      <c r="I59" s="751"/>
      <c r="J59" s="751"/>
      <c r="K59" s="751"/>
      <c r="L59" s="751"/>
      <c r="M59" s="751"/>
      <c r="N59" s="751"/>
      <c r="O59" s="751"/>
      <c r="P59" s="751"/>
      <c r="Q59" s="751"/>
      <c r="R59" s="751"/>
      <c r="S59" s="751"/>
      <c r="T59" s="751"/>
      <c r="U59" s="751"/>
      <c r="V59" s="751"/>
      <c r="W59" s="751"/>
      <c r="X59" s="751"/>
      <c r="Y59" s="751"/>
      <c r="Z59" s="751"/>
      <c r="AA59" s="751"/>
      <c r="AB59" s="751"/>
      <c r="AC59" s="751"/>
      <c r="AD59" s="751"/>
      <c r="AE59" s="751"/>
    </row>
    <row r="60" spans="1:32" ht="14.25" x14ac:dyDescent="0.2">
      <c r="A60" s="508"/>
      <c r="B60" s="999"/>
      <c r="C60" s="751"/>
      <c r="D60" s="751"/>
      <c r="E60" s="751"/>
      <c r="F60" s="751"/>
      <c r="G60" s="751"/>
      <c r="H60" s="751"/>
      <c r="I60" s="751"/>
      <c r="J60" s="751"/>
      <c r="K60" s="751"/>
      <c r="L60" s="751"/>
      <c r="M60" s="751"/>
      <c r="N60" s="751"/>
      <c r="O60" s="751"/>
      <c r="P60" s="751"/>
      <c r="Q60" s="751"/>
      <c r="R60" s="751"/>
      <c r="S60" s="751"/>
      <c r="T60" s="751"/>
      <c r="U60" s="751"/>
      <c r="V60" s="751"/>
      <c r="W60" s="751"/>
      <c r="X60" s="751"/>
      <c r="Y60" s="751"/>
      <c r="Z60" s="751"/>
      <c r="AA60" s="751"/>
      <c r="AB60" s="751"/>
      <c r="AC60" s="751"/>
      <c r="AD60" s="751"/>
      <c r="AE60" s="751"/>
    </row>
    <row r="61" spans="1:32" ht="14.25" x14ac:dyDescent="0.2">
      <c r="A61" s="508"/>
      <c r="B61" s="999"/>
      <c r="C61" s="751"/>
      <c r="D61" s="751"/>
      <c r="E61" s="751"/>
      <c r="F61" s="751"/>
      <c r="G61" s="751"/>
      <c r="H61" s="751"/>
      <c r="I61" s="751"/>
      <c r="J61" s="751"/>
      <c r="K61" s="751"/>
      <c r="L61" s="751"/>
      <c r="M61" s="751"/>
      <c r="N61" s="751"/>
      <c r="O61" s="751"/>
      <c r="P61" s="751"/>
      <c r="Q61" s="751"/>
      <c r="R61" s="751"/>
      <c r="S61" s="751"/>
      <c r="T61" s="751"/>
      <c r="U61" s="751"/>
      <c r="V61" s="751"/>
      <c r="W61" s="751"/>
      <c r="X61" s="751"/>
      <c r="Y61" s="751"/>
      <c r="Z61" s="751"/>
      <c r="AA61" s="751"/>
      <c r="AB61" s="751"/>
      <c r="AC61" s="751"/>
      <c r="AD61" s="751"/>
      <c r="AE61" s="751"/>
    </row>
    <row r="62" spans="1:32" ht="14.25" x14ac:dyDescent="0.2">
      <c r="A62" s="508"/>
      <c r="B62" s="999"/>
      <c r="C62" s="751"/>
      <c r="D62" s="751"/>
      <c r="E62" s="751"/>
      <c r="F62" s="751"/>
      <c r="G62" s="751"/>
      <c r="H62" s="751"/>
      <c r="I62" s="751"/>
      <c r="J62" s="751"/>
      <c r="K62" s="751"/>
      <c r="L62" s="751"/>
      <c r="M62" s="751"/>
      <c r="N62" s="751"/>
      <c r="O62" s="751"/>
      <c r="P62" s="751"/>
      <c r="Q62" s="751"/>
      <c r="R62" s="751"/>
      <c r="S62" s="751"/>
      <c r="T62" s="751"/>
      <c r="U62" s="751"/>
      <c r="V62" s="751"/>
      <c r="W62" s="751"/>
      <c r="X62" s="751"/>
      <c r="Y62" s="751"/>
      <c r="Z62" s="751"/>
      <c r="AA62" s="751"/>
      <c r="AB62" s="751"/>
      <c r="AC62" s="751"/>
      <c r="AD62" s="751"/>
      <c r="AE62" s="751"/>
    </row>
    <row r="63" spans="1:32" ht="14.25" x14ac:dyDescent="0.2">
      <c r="A63" s="508"/>
      <c r="B63" s="999"/>
      <c r="C63" s="751"/>
      <c r="D63" s="751"/>
      <c r="E63" s="751"/>
      <c r="F63" s="751"/>
      <c r="G63" s="751"/>
      <c r="H63" s="751"/>
      <c r="I63" s="751"/>
      <c r="J63" s="751"/>
      <c r="K63" s="751"/>
      <c r="L63" s="751"/>
      <c r="M63" s="751"/>
      <c r="N63" s="751"/>
      <c r="O63" s="751"/>
      <c r="P63" s="751"/>
      <c r="Q63" s="751"/>
      <c r="R63" s="751"/>
      <c r="S63" s="751"/>
      <c r="T63" s="751"/>
      <c r="U63" s="751"/>
      <c r="V63" s="751"/>
      <c r="W63" s="751"/>
      <c r="X63" s="751"/>
      <c r="Y63" s="751"/>
      <c r="Z63" s="751"/>
      <c r="AA63" s="751"/>
      <c r="AB63" s="751"/>
      <c r="AC63" s="751"/>
      <c r="AD63" s="751"/>
      <c r="AE63" s="751"/>
    </row>
    <row r="64" spans="1:32" ht="14.25" x14ac:dyDescent="0.2">
      <c r="A64" s="508"/>
      <c r="B64" s="999"/>
      <c r="C64" s="751"/>
      <c r="D64" s="751"/>
      <c r="E64" s="751"/>
      <c r="F64" s="751"/>
      <c r="G64" s="751"/>
      <c r="H64" s="751"/>
      <c r="I64" s="751"/>
      <c r="J64" s="751"/>
      <c r="K64" s="751"/>
      <c r="L64" s="751"/>
      <c r="M64" s="751"/>
      <c r="N64" s="751"/>
      <c r="O64" s="751"/>
      <c r="P64" s="751"/>
      <c r="Q64" s="751"/>
      <c r="R64" s="751"/>
      <c r="S64" s="751"/>
      <c r="T64" s="751"/>
      <c r="U64" s="751"/>
      <c r="V64" s="751"/>
      <c r="W64" s="751"/>
      <c r="X64" s="751"/>
      <c r="Y64" s="751"/>
      <c r="Z64" s="751"/>
      <c r="AA64" s="751"/>
      <c r="AB64" s="751"/>
      <c r="AC64" s="751"/>
      <c r="AD64" s="751"/>
      <c r="AE64" s="751"/>
    </row>
    <row r="66" spans="1:32" x14ac:dyDescent="0.25">
      <c r="A66" s="508"/>
      <c r="B66" s="1328"/>
      <c r="C66" s="1328"/>
      <c r="D66" s="1328"/>
      <c r="E66" s="1328"/>
      <c r="F66" s="1329"/>
      <c r="G66" s="1329"/>
      <c r="H66" s="1329"/>
      <c r="I66" s="1329"/>
      <c r="J66" s="1329"/>
      <c r="K66" s="1329"/>
      <c r="L66" s="1329"/>
      <c r="M66" s="1329"/>
      <c r="N66" s="1329"/>
      <c r="O66" s="1329"/>
      <c r="P66" s="1329"/>
      <c r="Q66" s="1329"/>
      <c r="R66" s="1329"/>
      <c r="S66" s="1329"/>
      <c r="T66" s="1329"/>
      <c r="U66" s="1329"/>
      <c r="V66" s="1329"/>
      <c r="W66" s="1329"/>
      <c r="X66" s="1329"/>
      <c r="Y66" s="1329"/>
      <c r="Z66" s="1329"/>
      <c r="AA66" s="1329"/>
      <c r="AB66" s="1329"/>
      <c r="AC66" s="1329"/>
      <c r="AD66" s="1329"/>
      <c r="AE66" s="1329"/>
      <c r="AF66" s="1329"/>
    </row>
    <row r="67" spans="1:32" ht="14.25" x14ac:dyDescent="0.2">
      <c r="A67" s="508"/>
      <c r="B67" s="999"/>
      <c r="C67" s="1330"/>
      <c r="D67" s="1330"/>
      <c r="E67" s="1330"/>
      <c r="F67" s="1330"/>
      <c r="G67" s="1330"/>
      <c r="H67" s="1330"/>
      <c r="I67" s="1330"/>
      <c r="J67" s="1330"/>
      <c r="K67" s="1330"/>
      <c r="L67" s="1330"/>
      <c r="M67" s="1330"/>
      <c r="N67" s="1330"/>
      <c r="O67" s="1330"/>
      <c r="P67" s="1330"/>
      <c r="Q67" s="1330"/>
      <c r="R67" s="1330"/>
      <c r="S67" s="1330"/>
      <c r="T67" s="1330"/>
      <c r="U67" s="1330"/>
      <c r="V67" s="1330"/>
      <c r="W67" s="1330"/>
      <c r="X67" s="1330"/>
      <c r="Y67" s="1330"/>
      <c r="Z67" s="1330"/>
      <c r="AA67" s="1330"/>
      <c r="AB67" s="1330"/>
      <c r="AC67" s="999"/>
      <c r="AD67" s="999"/>
      <c r="AE67" s="999"/>
    </row>
    <row r="68" spans="1:32" ht="14.25" x14ac:dyDescent="0.2">
      <c r="A68" s="508"/>
      <c r="B68" s="999"/>
      <c r="C68" s="999"/>
      <c r="D68" s="999"/>
      <c r="E68" s="999"/>
      <c r="F68" s="999"/>
      <c r="G68" s="999"/>
      <c r="H68" s="999"/>
      <c r="I68" s="999"/>
      <c r="J68" s="999"/>
      <c r="K68" s="999"/>
      <c r="L68" s="999"/>
      <c r="M68" s="999"/>
      <c r="N68" s="999"/>
      <c r="O68" s="999"/>
      <c r="P68" s="999"/>
      <c r="Q68" s="999"/>
      <c r="R68" s="999"/>
      <c r="S68" s="999"/>
      <c r="T68" s="999"/>
      <c r="U68" s="999"/>
      <c r="V68" s="999"/>
      <c r="W68" s="999"/>
      <c r="X68" s="999"/>
      <c r="Y68" s="999"/>
      <c r="Z68" s="999"/>
      <c r="AA68" s="999"/>
      <c r="AB68" s="999"/>
      <c r="AC68" s="999"/>
      <c r="AD68" s="999"/>
      <c r="AE68" s="999"/>
    </row>
    <row r="69" spans="1:32" ht="14.25" x14ac:dyDescent="0.2">
      <c r="A69" s="508"/>
      <c r="B69" s="999"/>
      <c r="C69" s="1332"/>
      <c r="D69" s="1332"/>
      <c r="E69" s="1332"/>
      <c r="F69" s="1332"/>
      <c r="G69" s="1332"/>
      <c r="H69" s="1332"/>
      <c r="I69" s="1332"/>
      <c r="J69" s="1332"/>
      <c r="K69" s="1332"/>
      <c r="L69" s="1332"/>
      <c r="M69" s="1332"/>
      <c r="N69" s="1332"/>
      <c r="O69" s="1332"/>
      <c r="P69" s="1332"/>
      <c r="Q69" s="1332"/>
      <c r="R69" s="1332"/>
      <c r="S69" s="1332"/>
      <c r="T69" s="1332"/>
      <c r="U69" s="1332"/>
      <c r="V69" s="1332"/>
      <c r="W69" s="1332"/>
      <c r="X69" s="1332"/>
      <c r="Y69" s="1332"/>
      <c r="Z69" s="1332"/>
      <c r="AA69" s="1332"/>
      <c r="AB69" s="1332"/>
      <c r="AC69" s="1332"/>
      <c r="AD69" s="1332"/>
      <c r="AE69" s="1332"/>
    </row>
    <row r="70" spans="1:32" ht="14.25" x14ac:dyDescent="0.2">
      <c r="A70" s="508"/>
      <c r="B70" s="999"/>
      <c r="C70" s="1332"/>
      <c r="D70" s="1332"/>
      <c r="E70" s="1332"/>
      <c r="F70" s="1332"/>
      <c r="G70" s="1332"/>
      <c r="H70" s="1332"/>
      <c r="I70" s="1332"/>
      <c r="J70" s="1332"/>
      <c r="K70" s="1332"/>
      <c r="L70" s="1332"/>
      <c r="M70" s="1332"/>
      <c r="N70" s="1332"/>
      <c r="O70" s="1332"/>
      <c r="P70" s="1332"/>
      <c r="Q70" s="1332"/>
      <c r="R70" s="1332"/>
      <c r="S70" s="1332"/>
      <c r="T70" s="1332"/>
      <c r="U70" s="1332"/>
      <c r="V70" s="1332"/>
      <c r="W70" s="1332"/>
      <c r="X70" s="1332"/>
      <c r="Y70" s="1332"/>
      <c r="Z70" s="1332"/>
      <c r="AA70" s="1332"/>
      <c r="AB70" s="1332"/>
      <c r="AC70" s="1332"/>
      <c r="AD70" s="1332"/>
      <c r="AE70" s="1332"/>
    </row>
    <row r="71" spans="1:32" ht="14.25" x14ac:dyDescent="0.2">
      <c r="A71" s="508"/>
      <c r="B71" s="999"/>
      <c r="C71" s="1332"/>
      <c r="D71" s="1332"/>
      <c r="E71" s="1332"/>
      <c r="F71" s="1332"/>
      <c r="G71" s="1332"/>
      <c r="H71" s="1332"/>
      <c r="I71" s="751"/>
      <c r="J71" s="751"/>
      <c r="K71" s="751"/>
      <c r="L71" s="751"/>
      <c r="M71" s="751"/>
      <c r="N71" s="751"/>
      <c r="O71" s="1332"/>
      <c r="P71" s="1332"/>
      <c r="Q71" s="1332"/>
      <c r="R71" s="1332"/>
      <c r="S71" s="1332"/>
      <c r="T71" s="1332"/>
      <c r="U71" s="1332"/>
      <c r="V71" s="1332"/>
      <c r="W71" s="1332"/>
      <c r="X71" s="1332"/>
      <c r="Y71" s="1332"/>
      <c r="Z71" s="1332"/>
      <c r="AA71" s="1332"/>
      <c r="AB71" s="1332"/>
      <c r="AC71" s="1332"/>
      <c r="AD71" s="1332"/>
      <c r="AE71" s="1332"/>
    </row>
    <row r="72" spans="1:32" ht="14.25" x14ac:dyDescent="0.2">
      <c r="A72" s="508"/>
      <c r="B72" s="999"/>
      <c r="C72" s="1332"/>
      <c r="D72" s="1332"/>
      <c r="E72" s="1332"/>
      <c r="F72" s="1332"/>
      <c r="G72" s="1332"/>
      <c r="H72" s="1332"/>
      <c r="I72" s="1332"/>
      <c r="J72" s="1332"/>
      <c r="K72" s="1332"/>
      <c r="L72" s="1332"/>
      <c r="M72" s="1332"/>
      <c r="N72" s="1332"/>
      <c r="O72" s="1332"/>
      <c r="P72" s="1332"/>
      <c r="Q72" s="1332"/>
      <c r="R72" s="1332"/>
      <c r="S72" s="1332"/>
      <c r="T72" s="1332"/>
      <c r="U72" s="1332"/>
      <c r="V72" s="1332"/>
      <c r="W72" s="1332"/>
      <c r="X72" s="1332"/>
      <c r="Y72" s="1332"/>
      <c r="Z72" s="1332"/>
      <c r="AA72" s="1332"/>
      <c r="AB72" s="1332"/>
      <c r="AC72" s="1332"/>
      <c r="AD72" s="1332"/>
      <c r="AE72" s="1332"/>
    </row>
    <row r="73" spans="1:32" ht="14.25" x14ac:dyDescent="0.2">
      <c r="A73" s="508"/>
      <c r="B73" s="999"/>
      <c r="C73" s="1332"/>
      <c r="D73" s="1332"/>
      <c r="E73" s="1332"/>
      <c r="F73" s="1332"/>
      <c r="G73" s="1332"/>
      <c r="H73" s="1332"/>
      <c r="I73" s="1332"/>
      <c r="J73" s="1332"/>
      <c r="K73" s="1332"/>
      <c r="L73" s="1332"/>
      <c r="M73" s="1332"/>
      <c r="N73" s="1332"/>
      <c r="O73" s="1332"/>
      <c r="P73" s="1332"/>
      <c r="Q73" s="1332"/>
      <c r="R73" s="1332"/>
      <c r="S73" s="1332"/>
      <c r="T73" s="1332"/>
      <c r="U73" s="1332"/>
      <c r="V73" s="1332"/>
      <c r="W73" s="1332"/>
      <c r="X73" s="1332"/>
      <c r="Y73" s="1332"/>
      <c r="Z73" s="1332"/>
      <c r="AA73" s="1332"/>
      <c r="AB73" s="1332"/>
      <c r="AC73" s="1332"/>
      <c r="AD73" s="1332"/>
      <c r="AE73" s="1332"/>
    </row>
    <row r="74" spans="1:32" ht="14.25" x14ac:dyDescent="0.2">
      <c r="A74" s="508"/>
      <c r="B74" s="999"/>
      <c r="C74" s="1332"/>
      <c r="D74" s="1332"/>
      <c r="E74" s="1332"/>
      <c r="F74" s="1332"/>
      <c r="G74" s="1332"/>
      <c r="H74" s="1332"/>
      <c r="I74" s="1332"/>
      <c r="J74" s="1332"/>
      <c r="K74" s="1332"/>
      <c r="L74" s="1332"/>
      <c r="M74" s="1332"/>
      <c r="N74" s="1332"/>
      <c r="O74" s="1332"/>
      <c r="P74" s="1332"/>
      <c r="Q74" s="1332"/>
      <c r="R74" s="1332"/>
      <c r="S74" s="1332"/>
      <c r="T74" s="1332"/>
      <c r="U74" s="1332"/>
      <c r="V74" s="1332"/>
      <c r="W74" s="1332"/>
      <c r="X74" s="1332"/>
      <c r="Y74" s="1332"/>
      <c r="Z74" s="1332"/>
      <c r="AA74" s="1332"/>
      <c r="AB74" s="1332"/>
      <c r="AC74" s="1332"/>
      <c r="AD74" s="1332"/>
      <c r="AE74" s="1332"/>
    </row>
    <row r="75" spans="1:32" ht="14.25" x14ac:dyDescent="0.2">
      <c r="A75" s="508"/>
      <c r="B75" s="999"/>
      <c r="C75" s="1332"/>
      <c r="D75" s="1332"/>
      <c r="E75" s="1332"/>
      <c r="F75" s="1332"/>
      <c r="G75" s="1332"/>
      <c r="H75" s="1332"/>
      <c r="I75" s="1332"/>
      <c r="J75" s="1332"/>
      <c r="K75" s="1332"/>
      <c r="L75" s="1332"/>
      <c r="M75" s="1332"/>
      <c r="N75" s="1332"/>
      <c r="O75" s="1332"/>
      <c r="P75" s="1332"/>
      <c r="Q75" s="1332"/>
      <c r="R75" s="1332"/>
      <c r="S75" s="1332"/>
      <c r="T75" s="1332"/>
      <c r="U75" s="1332"/>
      <c r="V75" s="1332"/>
      <c r="W75" s="1332"/>
      <c r="X75" s="1332"/>
      <c r="Y75" s="1332"/>
      <c r="Z75" s="1332"/>
      <c r="AA75" s="1332"/>
      <c r="AB75" s="1332"/>
      <c r="AC75" s="1332"/>
      <c r="AD75" s="1332"/>
      <c r="AE75" s="1332"/>
    </row>
    <row r="76" spans="1:32" ht="14.25" x14ac:dyDescent="0.2">
      <c r="A76" s="508"/>
      <c r="B76" s="999"/>
      <c r="C76" s="751"/>
      <c r="D76" s="751"/>
      <c r="E76" s="751"/>
      <c r="F76" s="751"/>
      <c r="G76" s="751"/>
      <c r="H76" s="751"/>
      <c r="I76" s="751"/>
      <c r="J76" s="751"/>
      <c r="K76" s="751"/>
      <c r="L76" s="751"/>
      <c r="M76" s="751"/>
      <c r="N76" s="751"/>
      <c r="O76" s="751"/>
      <c r="P76" s="751"/>
      <c r="Q76" s="751"/>
      <c r="R76" s="751"/>
      <c r="S76" s="751"/>
      <c r="T76" s="751"/>
      <c r="U76" s="751"/>
      <c r="V76" s="751"/>
      <c r="W76" s="751"/>
      <c r="X76" s="751"/>
      <c r="Y76" s="751"/>
      <c r="Z76" s="751"/>
      <c r="AA76" s="751"/>
      <c r="AB76" s="751"/>
      <c r="AC76" s="1332"/>
      <c r="AD76" s="1332"/>
      <c r="AE76" s="751"/>
    </row>
    <row r="77" spans="1:32" ht="14.25" x14ac:dyDescent="0.2">
      <c r="A77" s="508"/>
      <c r="B77" s="999"/>
      <c r="C77" s="1332"/>
      <c r="D77" s="1332"/>
      <c r="E77" s="1332"/>
      <c r="F77" s="1332"/>
      <c r="G77" s="1332"/>
      <c r="H77" s="1332"/>
      <c r="I77" s="1332"/>
      <c r="J77" s="1332"/>
      <c r="K77" s="1332"/>
      <c r="L77" s="1332"/>
      <c r="M77" s="1332"/>
      <c r="N77" s="1332"/>
      <c r="O77" s="1332"/>
      <c r="P77" s="1332"/>
      <c r="Q77" s="1332"/>
      <c r="R77" s="1332"/>
      <c r="S77" s="1332"/>
      <c r="T77" s="1332"/>
      <c r="U77" s="1332"/>
      <c r="V77" s="1332"/>
      <c r="W77" s="1332"/>
      <c r="X77" s="1332"/>
      <c r="Y77" s="1332"/>
      <c r="Z77" s="1332"/>
      <c r="AA77" s="1332"/>
      <c r="AB77" s="1332"/>
      <c r="AC77" s="1332"/>
      <c r="AD77" s="1332"/>
      <c r="AE77" s="1332"/>
    </row>
    <row r="78" spans="1:32" ht="14.25" x14ac:dyDescent="0.2">
      <c r="A78" s="508"/>
      <c r="B78" s="999"/>
      <c r="C78" s="1332"/>
      <c r="D78" s="1332"/>
      <c r="E78" s="1332"/>
      <c r="F78" s="1332"/>
      <c r="G78" s="1332"/>
      <c r="H78" s="1332"/>
      <c r="I78" s="1332"/>
      <c r="J78" s="1332"/>
      <c r="K78" s="1332"/>
      <c r="L78" s="1332"/>
      <c r="M78" s="1332"/>
      <c r="N78" s="1332"/>
      <c r="O78" s="1332"/>
      <c r="P78" s="1332"/>
      <c r="Q78" s="1332"/>
      <c r="R78" s="1332"/>
      <c r="S78" s="1332"/>
      <c r="T78" s="1332"/>
      <c r="U78" s="1332"/>
      <c r="V78" s="1332"/>
      <c r="W78" s="1332"/>
      <c r="X78" s="1332"/>
      <c r="Y78" s="1332"/>
      <c r="Z78" s="1332"/>
      <c r="AA78" s="1332"/>
      <c r="AB78" s="1332"/>
      <c r="AC78" s="1332"/>
      <c r="AD78" s="1332"/>
      <c r="AE78" s="1332"/>
    </row>
  </sheetData>
  <mergeCells count="20">
    <mergeCell ref="U39:V39"/>
    <mergeCell ref="W39:X39"/>
    <mergeCell ref="Y39:Z39"/>
    <mergeCell ref="AA39:AB39"/>
    <mergeCell ref="D31:V31"/>
    <mergeCell ref="D32:V32"/>
    <mergeCell ref="C39:D39"/>
    <mergeCell ref="E39:F39"/>
    <mergeCell ref="G39:H39"/>
    <mergeCell ref="I39:J39"/>
    <mergeCell ref="K39:L39"/>
    <mergeCell ref="M39:N39"/>
    <mergeCell ref="O39:R39"/>
    <mergeCell ref="S39:T39"/>
    <mergeCell ref="D30:V30"/>
    <mergeCell ref="D2:V2"/>
    <mergeCell ref="D3:V3"/>
    <mergeCell ref="D4:V4"/>
    <mergeCell ref="D5:V5"/>
    <mergeCell ref="D29:V29"/>
  </mergeCells>
  <pageMargins left="0.74803149606299202" right="0.74803149606299202" top="0.98425196850393704" bottom="0.98425196850393704" header="0.511811023622047" footer="0.511811023622047"/>
  <pageSetup paperSize="9" scale="63"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11AF-39B8-464D-990A-628EFCE76B1D}">
  <sheetPr>
    <tabColor theme="9"/>
    <pageSetUpPr fitToPage="1"/>
  </sheetPr>
  <dimension ref="A2:AF51"/>
  <sheetViews>
    <sheetView showGridLines="0" view="pageBreakPreview" topLeftCell="A13" zoomScaleNormal="100" zoomScaleSheetLayoutView="100" workbookViewId="0">
      <selection activeCell="D35" sqref="D35:AC35"/>
    </sheetView>
  </sheetViews>
  <sheetFormatPr defaultColWidth="9.140625" defaultRowHeight="15" x14ac:dyDescent="0.2"/>
  <cols>
    <col min="1" max="1" width="3.85546875" style="506" customWidth="1"/>
    <col min="2" max="2" width="11.85546875" style="507" customWidth="1"/>
    <col min="3" max="3" width="3.85546875" style="507" customWidth="1"/>
    <col min="4" max="4" width="21.42578125" style="508" customWidth="1"/>
    <col min="5" max="17" width="7.140625" style="508" customWidth="1"/>
    <col min="18" max="19" width="8" style="508" customWidth="1"/>
    <col min="20" max="20" width="9.140625" style="508" customWidth="1"/>
    <col min="21" max="24" width="9.42578125" style="508" customWidth="1"/>
    <col min="25" max="261" width="9.140625" style="508"/>
    <col min="262" max="262" width="3.85546875" style="508" customWidth="1"/>
    <col min="263" max="263" width="14.42578125" style="508" customWidth="1"/>
    <col min="264" max="264" width="3.85546875" style="508" customWidth="1"/>
    <col min="265" max="265" width="21.42578125" style="508" customWidth="1"/>
    <col min="266" max="278" width="7.140625" style="508" customWidth="1"/>
    <col min="279" max="280" width="8" style="508" customWidth="1"/>
    <col min="281" max="281" width="9.140625" style="508" customWidth="1"/>
    <col min="282" max="282" width="9.42578125" style="508" customWidth="1"/>
    <col min="283" max="517" width="9.140625" style="508"/>
    <col min="518" max="518" width="3.85546875" style="508" customWidth="1"/>
    <col min="519" max="519" width="14.42578125" style="508" customWidth="1"/>
    <col min="520" max="520" width="3.85546875" style="508" customWidth="1"/>
    <col min="521" max="521" width="21.42578125" style="508" customWidth="1"/>
    <col min="522" max="534" width="7.140625" style="508" customWidth="1"/>
    <col min="535" max="536" width="8" style="508" customWidth="1"/>
    <col min="537" max="537" width="9.140625" style="508" customWidth="1"/>
    <col min="538" max="538" width="9.42578125" style="508" customWidth="1"/>
    <col min="539" max="773" width="9.140625" style="508"/>
    <col min="774" max="774" width="3.85546875" style="508" customWidth="1"/>
    <col min="775" max="775" width="14.42578125" style="508" customWidth="1"/>
    <col min="776" max="776" width="3.85546875" style="508" customWidth="1"/>
    <col min="777" max="777" width="21.42578125" style="508" customWidth="1"/>
    <col min="778" max="790" width="7.140625" style="508" customWidth="1"/>
    <col min="791" max="792" width="8" style="508" customWidth="1"/>
    <col min="793" max="793" width="9.140625" style="508" customWidth="1"/>
    <col min="794" max="794" width="9.42578125" style="508" customWidth="1"/>
    <col min="795" max="1029" width="9.140625" style="508"/>
    <col min="1030" max="1030" width="3.85546875" style="508" customWidth="1"/>
    <col min="1031" max="1031" width="14.42578125" style="508" customWidth="1"/>
    <col min="1032" max="1032" width="3.85546875" style="508" customWidth="1"/>
    <col min="1033" max="1033" width="21.42578125" style="508" customWidth="1"/>
    <col min="1034" max="1046" width="7.140625" style="508" customWidth="1"/>
    <col min="1047" max="1048" width="8" style="508" customWidth="1"/>
    <col min="1049" max="1049" width="9.140625" style="508" customWidth="1"/>
    <col min="1050" max="1050" width="9.42578125" style="508" customWidth="1"/>
    <col min="1051" max="1285" width="9.140625" style="508"/>
    <col min="1286" max="1286" width="3.85546875" style="508" customWidth="1"/>
    <col min="1287" max="1287" width="14.42578125" style="508" customWidth="1"/>
    <col min="1288" max="1288" width="3.85546875" style="508" customWidth="1"/>
    <col min="1289" max="1289" width="21.42578125" style="508" customWidth="1"/>
    <col min="1290" max="1302" width="7.140625" style="508" customWidth="1"/>
    <col min="1303" max="1304" width="8" style="508" customWidth="1"/>
    <col min="1305" max="1305" width="9.140625" style="508" customWidth="1"/>
    <col min="1306" max="1306" width="9.42578125" style="508" customWidth="1"/>
    <col min="1307" max="1541" width="9.140625" style="508"/>
    <col min="1542" max="1542" width="3.85546875" style="508" customWidth="1"/>
    <col min="1543" max="1543" width="14.42578125" style="508" customWidth="1"/>
    <col min="1544" max="1544" width="3.85546875" style="508" customWidth="1"/>
    <col min="1545" max="1545" width="21.42578125" style="508" customWidth="1"/>
    <col min="1546" max="1558" width="7.140625" style="508" customWidth="1"/>
    <col min="1559" max="1560" width="8" style="508" customWidth="1"/>
    <col min="1561" max="1561" width="9.140625" style="508" customWidth="1"/>
    <col min="1562" max="1562" width="9.42578125" style="508" customWidth="1"/>
    <col min="1563" max="1797" width="9.140625" style="508"/>
    <col min="1798" max="1798" width="3.85546875" style="508" customWidth="1"/>
    <col min="1799" max="1799" width="14.42578125" style="508" customWidth="1"/>
    <col min="1800" max="1800" width="3.85546875" style="508" customWidth="1"/>
    <col min="1801" max="1801" width="21.42578125" style="508" customWidth="1"/>
    <col min="1802" max="1814" width="7.140625" style="508" customWidth="1"/>
    <col min="1815" max="1816" width="8" style="508" customWidth="1"/>
    <col min="1817" max="1817" width="9.140625" style="508" customWidth="1"/>
    <col min="1818" max="1818" width="9.42578125" style="508" customWidth="1"/>
    <col min="1819" max="2053" width="9.140625" style="508"/>
    <col min="2054" max="2054" width="3.85546875" style="508" customWidth="1"/>
    <col min="2055" max="2055" width="14.42578125" style="508" customWidth="1"/>
    <col min="2056" max="2056" width="3.85546875" style="508" customWidth="1"/>
    <col min="2057" max="2057" width="21.42578125" style="508" customWidth="1"/>
    <col min="2058" max="2070" width="7.140625" style="508" customWidth="1"/>
    <col min="2071" max="2072" width="8" style="508" customWidth="1"/>
    <col min="2073" max="2073" width="9.140625" style="508" customWidth="1"/>
    <col min="2074" max="2074" width="9.42578125" style="508" customWidth="1"/>
    <col min="2075" max="2309" width="9.140625" style="508"/>
    <col min="2310" max="2310" width="3.85546875" style="508" customWidth="1"/>
    <col min="2311" max="2311" width="14.42578125" style="508" customWidth="1"/>
    <col min="2312" max="2312" width="3.85546875" style="508" customWidth="1"/>
    <col min="2313" max="2313" width="21.42578125" style="508" customWidth="1"/>
    <col min="2314" max="2326" width="7.140625" style="508" customWidth="1"/>
    <col min="2327" max="2328" width="8" style="508" customWidth="1"/>
    <col min="2329" max="2329" width="9.140625" style="508" customWidth="1"/>
    <col min="2330" max="2330" width="9.42578125" style="508" customWidth="1"/>
    <col min="2331" max="2565" width="9.140625" style="508"/>
    <col min="2566" max="2566" width="3.85546875" style="508" customWidth="1"/>
    <col min="2567" max="2567" width="14.42578125" style="508" customWidth="1"/>
    <col min="2568" max="2568" width="3.85546875" style="508" customWidth="1"/>
    <col min="2569" max="2569" width="21.42578125" style="508" customWidth="1"/>
    <col min="2570" max="2582" width="7.140625" style="508" customWidth="1"/>
    <col min="2583" max="2584" width="8" style="508" customWidth="1"/>
    <col min="2585" max="2585" width="9.140625" style="508" customWidth="1"/>
    <col min="2586" max="2586" width="9.42578125" style="508" customWidth="1"/>
    <col min="2587" max="2821" width="9.140625" style="508"/>
    <col min="2822" max="2822" width="3.85546875" style="508" customWidth="1"/>
    <col min="2823" max="2823" width="14.42578125" style="508" customWidth="1"/>
    <col min="2824" max="2824" width="3.85546875" style="508" customWidth="1"/>
    <col min="2825" max="2825" width="21.42578125" style="508" customWidth="1"/>
    <col min="2826" max="2838" width="7.140625" style="508" customWidth="1"/>
    <col min="2839" max="2840" width="8" style="508" customWidth="1"/>
    <col min="2841" max="2841" width="9.140625" style="508" customWidth="1"/>
    <col min="2842" max="2842" width="9.42578125" style="508" customWidth="1"/>
    <col min="2843" max="3077" width="9.140625" style="508"/>
    <col min="3078" max="3078" width="3.85546875" style="508" customWidth="1"/>
    <col min="3079" max="3079" width="14.42578125" style="508" customWidth="1"/>
    <col min="3080" max="3080" width="3.85546875" style="508" customWidth="1"/>
    <col min="3081" max="3081" width="21.42578125" style="508" customWidth="1"/>
    <col min="3082" max="3094" width="7.140625" style="508" customWidth="1"/>
    <col min="3095" max="3096" width="8" style="508" customWidth="1"/>
    <col min="3097" max="3097" width="9.140625" style="508" customWidth="1"/>
    <col min="3098" max="3098" width="9.42578125" style="508" customWidth="1"/>
    <col min="3099" max="3333" width="9.140625" style="508"/>
    <col min="3334" max="3334" width="3.85546875" style="508" customWidth="1"/>
    <col min="3335" max="3335" width="14.42578125" style="508" customWidth="1"/>
    <col min="3336" max="3336" width="3.85546875" style="508" customWidth="1"/>
    <col min="3337" max="3337" width="21.42578125" style="508" customWidth="1"/>
    <col min="3338" max="3350" width="7.140625" style="508" customWidth="1"/>
    <col min="3351" max="3352" width="8" style="508" customWidth="1"/>
    <col min="3353" max="3353" width="9.140625" style="508" customWidth="1"/>
    <col min="3354" max="3354" width="9.42578125" style="508" customWidth="1"/>
    <col min="3355" max="3589" width="9.140625" style="508"/>
    <col min="3590" max="3590" width="3.85546875" style="508" customWidth="1"/>
    <col min="3591" max="3591" width="14.42578125" style="508" customWidth="1"/>
    <col min="3592" max="3592" width="3.85546875" style="508" customWidth="1"/>
    <col min="3593" max="3593" width="21.42578125" style="508" customWidth="1"/>
    <col min="3594" max="3606" width="7.140625" style="508" customWidth="1"/>
    <col min="3607" max="3608" width="8" style="508" customWidth="1"/>
    <col min="3609" max="3609" width="9.140625" style="508" customWidth="1"/>
    <col min="3610" max="3610" width="9.42578125" style="508" customWidth="1"/>
    <col min="3611" max="3845" width="9.140625" style="508"/>
    <col min="3846" max="3846" width="3.85546875" style="508" customWidth="1"/>
    <col min="3847" max="3847" width="14.42578125" style="508" customWidth="1"/>
    <col min="3848" max="3848" width="3.85546875" style="508" customWidth="1"/>
    <col min="3849" max="3849" width="21.42578125" style="508" customWidth="1"/>
    <col min="3850" max="3862" width="7.140625" style="508" customWidth="1"/>
    <col min="3863" max="3864" width="8" style="508" customWidth="1"/>
    <col min="3865" max="3865" width="9.140625" style="508" customWidth="1"/>
    <col min="3866" max="3866" width="9.42578125" style="508" customWidth="1"/>
    <col min="3867" max="4101" width="9.140625" style="508"/>
    <col min="4102" max="4102" width="3.85546875" style="508" customWidth="1"/>
    <col min="4103" max="4103" width="14.42578125" style="508" customWidth="1"/>
    <col min="4104" max="4104" width="3.85546875" style="508" customWidth="1"/>
    <col min="4105" max="4105" width="21.42578125" style="508" customWidth="1"/>
    <col min="4106" max="4118" width="7.140625" style="508" customWidth="1"/>
    <col min="4119" max="4120" width="8" style="508" customWidth="1"/>
    <col min="4121" max="4121" width="9.140625" style="508" customWidth="1"/>
    <col min="4122" max="4122" width="9.42578125" style="508" customWidth="1"/>
    <col min="4123" max="4357" width="9.140625" style="508"/>
    <col min="4358" max="4358" width="3.85546875" style="508" customWidth="1"/>
    <col min="4359" max="4359" width="14.42578125" style="508" customWidth="1"/>
    <col min="4360" max="4360" width="3.85546875" style="508" customWidth="1"/>
    <col min="4361" max="4361" width="21.42578125" style="508" customWidth="1"/>
    <col min="4362" max="4374" width="7.140625" style="508" customWidth="1"/>
    <col min="4375" max="4376" width="8" style="508" customWidth="1"/>
    <col min="4377" max="4377" width="9.140625" style="508" customWidth="1"/>
    <col min="4378" max="4378" width="9.42578125" style="508" customWidth="1"/>
    <col min="4379" max="4613" width="9.140625" style="508"/>
    <col min="4614" max="4614" width="3.85546875" style="508" customWidth="1"/>
    <col min="4615" max="4615" width="14.42578125" style="508" customWidth="1"/>
    <col min="4616" max="4616" width="3.85546875" style="508" customWidth="1"/>
    <col min="4617" max="4617" width="21.42578125" style="508" customWidth="1"/>
    <col min="4618" max="4630" width="7.140625" style="508" customWidth="1"/>
    <col min="4631" max="4632" width="8" style="508" customWidth="1"/>
    <col min="4633" max="4633" width="9.140625" style="508" customWidth="1"/>
    <col min="4634" max="4634" width="9.42578125" style="508" customWidth="1"/>
    <col min="4635" max="4869" width="9.140625" style="508"/>
    <col min="4870" max="4870" width="3.85546875" style="508" customWidth="1"/>
    <col min="4871" max="4871" width="14.42578125" style="508" customWidth="1"/>
    <col min="4872" max="4872" width="3.85546875" style="508" customWidth="1"/>
    <col min="4873" max="4873" width="21.42578125" style="508" customWidth="1"/>
    <col min="4874" max="4886" width="7.140625" style="508" customWidth="1"/>
    <col min="4887" max="4888" width="8" style="508" customWidth="1"/>
    <col min="4889" max="4889" width="9.140625" style="508" customWidth="1"/>
    <col min="4890" max="4890" width="9.42578125" style="508" customWidth="1"/>
    <col min="4891" max="5125" width="9.140625" style="508"/>
    <col min="5126" max="5126" width="3.85546875" style="508" customWidth="1"/>
    <col min="5127" max="5127" width="14.42578125" style="508" customWidth="1"/>
    <col min="5128" max="5128" width="3.85546875" style="508" customWidth="1"/>
    <col min="5129" max="5129" width="21.42578125" style="508" customWidth="1"/>
    <col min="5130" max="5142" width="7.140625" style="508" customWidth="1"/>
    <col min="5143" max="5144" width="8" style="508" customWidth="1"/>
    <col min="5145" max="5145" width="9.140625" style="508" customWidth="1"/>
    <col min="5146" max="5146" width="9.42578125" style="508" customWidth="1"/>
    <col min="5147" max="5381" width="9.140625" style="508"/>
    <col min="5382" max="5382" width="3.85546875" style="508" customWidth="1"/>
    <col min="5383" max="5383" width="14.42578125" style="508" customWidth="1"/>
    <col min="5384" max="5384" width="3.85546875" style="508" customWidth="1"/>
    <col min="5385" max="5385" width="21.42578125" style="508" customWidth="1"/>
    <col min="5386" max="5398" width="7.140625" style="508" customWidth="1"/>
    <col min="5399" max="5400" width="8" style="508" customWidth="1"/>
    <col min="5401" max="5401" width="9.140625" style="508" customWidth="1"/>
    <col min="5402" max="5402" width="9.42578125" style="508" customWidth="1"/>
    <col min="5403" max="5637" width="9.140625" style="508"/>
    <col min="5638" max="5638" width="3.85546875" style="508" customWidth="1"/>
    <col min="5639" max="5639" width="14.42578125" style="508" customWidth="1"/>
    <col min="5640" max="5640" width="3.85546875" style="508" customWidth="1"/>
    <col min="5641" max="5641" width="21.42578125" style="508" customWidth="1"/>
    <col min="5642" max="5654" width="7.140625" style="508" customWidth="1"/>
    <col min="5655" max="5656" width="8" style="508" customWidth="1"/>
    <col min="5657" max="5657" width="9.140625" style="508" customWidth="1"/>
    <col min="5658" max="5658" width="9.42578125" style="508" customWidth="1"/>
    <col min="5659" max="5893" width="9.140625" style="508"/>
    <col min="5894" max="5894" width="3.85546875" style="508" customWidth="1"/>
    <col min="5895" max="5895" width="14.42578125" style="508" customWidth="1"/>
    <col min="5896" max="5896" width="3.85546875" style="508" customWidth="1"/>
    <col min="5897" max="5897" width="21.42578125" style="508" customWidth="1"/>
    <col min="5898" max="5910" width="7.140625" style="508" customWidth="1"/>
    <col min="5911" max="5912" width="8" style="508" customWidth="1"/>
    <col min="5913" max="5913" width="9.140625" style="508" customWidth="1"/>
    <col min="5914" max="5914" width="9.42578125" style="508" customWidth="1"/>
    <col min="5915" max="6149" width="9.140625" style="508"/>
    <col min="6150" max="6150" width="3.85546875" style="508" customWidth="1"/>
    <col min="6151" max="6151" width="14.42578125" style="508" customWidth="1"/>
    <col min="6152" max="6152" width="3.85546875" style="508" customWidth="1"/>
    <col min="6153" max="6153" width="21.42578125" style="508" customWidth="1"/>
    <col min="6154" max="6166" width="7.140625" style="508" customWidth="1"/>
    <col min="6167" max="6168" width="8" style="508" customWidth="1"/>
    <col min="6169" max="6169" width="9.140625" style="508" customWidth="1"/>
    <col min="6170" max="6170" width="9.42578125" style="508" customWidth="1"/>
    <col min="6171" max="6405" width="9.140625" style="508"/>
    <col min="6406" max="6406" width="3.85546875" style="508" customWidth="1"/>
    <col min="6407" max="6407" width="14.42578125" style="508" customWidth="1"/>
    <col min="6408" max="6408" width="3.85546875" style="508" customWidth="1"/>
    <col min="6409" max="6409" width="21.42578125" style="508" customWidth="1"/>
    <col min="6410" max="6422" width="7.140625" style="508" customWidth="1"/>
    <col min="6423" max="6424" width="8" style="508" customWidth="1"/>
    <col min="6425" max="6425" width="9.140625" style="508" customWidth="1"/>
    <col min="6426" max="6426" width="9.42578125" style="508" customWidth="1"/>
    <col min="6427" max="6661" width="9.140625" style="508"/>
    <col min="6662" max="6662" width="3.85546875" style="508" customWidth="1"/>
    <col min="6663" max="6663" width="14.42578125" style="508" customWidth="1"/>
    <col min="6664" max="6664" width="3.85546875" style="508" customWidth="1"/>
    <col min="6665" max="6665" width="21.42578125" style="508" customWidth="1"/>
    <col min="6666" max="6678" width="7.140625" style="508" customWidth="1"/>
    <col min="6679" max="6680" width="8" style="508" customWidth="1"/>
    <col min="6681" max="6681" width="9.140625" style="508" customWidth="1"/>
    <col min="6682" max="6682" width="9.42578125" style="508" customWidth="1"/>
    <col min="6683" max="6917" width="9.140625" style="508"/>
    <col min="6918" max="6918" width="3.85546875" style="508" customWidth="1"/>
    <col min="6919" max="6919" width="14.42578125" style="508" customWidth="1"/>
    <col min="6920" max="6920" width="3.85546875" style="508" customWidth="1"/>
    <col min="6921" max="6921" width="21.42578125" style="508" customWidth="1"/>
    <col min="6922" max="6934" width="7.140625" style="508" customWidth="1"/>
    <col min="6935" max="6936" width="8" style="508" customWidth="1"/>
    <col min="6937" max="6937" width="9.140625" style="508" customWidth="1"/>
    <col min="6938" max="6938" width="9.42578125" style="508" customWidth="1"/>
    <col min="6939" max="7173" width="9.140625" style="508"/>
    <col min="7174" max="7174" width="3.85546875" style="508" customWidth="1"/>
    <col min="7175" max="7175" width="14.42578125" style="508" customWidth="1"/>
    <col min="7176" max="7176" width="3.85546875" style="508" customWidth="1"/>
    <col min="7177" max="7177" width="21.42578125" style="508" customWidth="1"/>
    <col min="7178" max="7190" width="7.140625" style="508" customWidth="1"/>
    <col min="7191" max="7192" width="8" style="508" customWidth="1"/>
    <col min="7193" max="7193" width="9.140625" style="508" customWidth="1"/>
    <col min="7194" max="7194" width="9.42578125" style="508" customWidth="1"/>
    <col min="7195" max="7429" width="9.140625" style="508"/>
    <col min="7430" max="7430" width="3.85546875" style="508" customWidth="1"/>
    <col min="7431" max="7431" width="14.42578125" style="508" customWidth="1"/>
    <col min="7432" max="7432" width="3.85546875" style="508" customWidth="1"/>
    <col min="7433" max="7433" width="21.42578125" style="508" customWidth="1"/>
    <col min="7434" max="7446" width="7.140625" style="508" customWidth="1"/>
    <col min="7447" max="7448" width="8" style="508" customWidth="1"/>
    <col min="7449" max="7449" width="9.140625" style="508" customWidth="1"/>
    <col min="7450" max="7450" width="9.42578125" style="508" customWidth="1"/>
    <col min="7451" max="7685" width="9.140625" style="508"/>
    <col min="7686" max="7686" width="3.85546875" style="508" customWidth="1"/>
    <col min="7687" max="7687" width="14.42578125" style="508" customWidth="1"/>
    <col min="7688" max="7688" width="3.85546875" style="508" customWidth="1"/>
    <col min="7689" max="7689" width="21.42578125" style="508" customWidth="1"/>
    <col min="7690" max="7702" width="7.140625" style="508" customWidth="1"/>
    <col min="7703" max="7704" width="8" style="508" customWidth="1"/>
    <col min="7705" max="7705" width="9.140625" style="508" customWidth="1"/>
    <col min="7706" max="7706" width="9.42578125" style="508" customWidth="1"/>
    <col min="7707" max="7941" width="9.140625" style="508"/>
    <col min="7942" max="7942" width="3.85546875" style="508" customWidth="1"/>
    <col min="7943" max="7943" width="14.42578125" style="508" customWidth="1"/>
    <col min="7944" max="7944" width="3.85546875" style="508" customWidth="1"/>
    <col min="7945" max="7945" width="21.42578125" style="508" customWidth="1"/>
    <col min="7946" max="7958" width="7.140625" style="508" customWidth="1"/>
    <col min="7959" max="7960" width="8" style="508" customWidth="1"/>
    <col min="7961" max="7961" width="9.140625" style="508" customWidth="1"/>
    <col min="7962" max="7962" width="9.42578125" style="508" customWidth="1"/>
    <col min="7963" max="8197" width="9.140625" style="508"/>
    <col min="8198" max="8198" width="3.85546875" style="508" customWidth="1"/>
    <col min="8199" max="8199" width="14.42578125" style="508" customWidth="1"/>
    <col min="8200" max="8200" width="3.85546875" style="508" customWidth="1"/>
    <col min="8201" max="8201" width="21.42578125" style="508" customWidth="1"/>
    <col min="8202" max="8214" width="7.140625" style="508" customWidth="1"/>
    <col min="8215" max="8216" width="8" style="508" customWidth="1"/>
    <col min="8217" max="8217" width="9.140625" style="508" customWidth="1"/>
    <col min="8218" max="8218" width="9.42578125" style="508" customWidth="1"/>
    <col min="8219" max="8453" width="9.140625" style="508"/>
    <col min="8454" max="8454" width="3.85546875" style="508" customWidth="1"/>
    <col min="8455" max="8455" width="14.42578125" style="508" customWidth="1"/>
    <col min="8456" max="8456" width="3.85546875" style="508" customWidth="1"/>
    <col min="8457" max="8457" width="21.42578125" style="508" customWidth="1"/>
    <col min="8458" max="8470" width="7.140625" style="508" customWidth="1"/>
    <col min="8471" max="8472" width="8" style="508" customWidth="1"/>
    <col min="8473" max="8473" width="9.140625" style="508" customWidth="1"/>
    <col min="8474" max="8474" width="9.42578125" style="508" customWidth="1"/>
    <col min="8475" max="8709" width="9.140625" style="508"/>
    <col min="8710" max="8710" width="3.85546875" style="508" customWidth="1"/>
    <col min="8711" max="8711" width="14.42578125" style="508" customWidth="1"/>
    <col min="8712" max="8712" width="3.85546875" style="508" customWidth="1"/>
    <col min="8713" max="8713" width="21.42578125" style="508" customWidth="1"/>
    <col min="8714" max="8726" width="7.140625" style="508" customWidth="1"/>
    <col min="8727" max="8728" width="8" style="508" customWidth="1"/>
    <col min="8729" max="8729" width="9.140625" style="508" customWidth="1"/>
    <col min="8730" max="8730" width="9.42578125" style="508" customWidth="1"/>
    <col min="8731" max="8965" width="9.140625" style="508"/>
    <col min="8966" max="8966" width="3.85546875" style="508" customWidth="1"/>
    <col min="8967" max="8967" width="14.42578125" style="508" customWidth="1"/>
    <col min="8968" max="8968" width="3.85546875" style="508" customWidth="1"/>
    <col min="8969" max="8969" width="21.42578125" style="508" customWidth="1"/>
    <col min="8970" max="8982" width="7.140625" style="508" customWidth="1"/>
    <col min="8983" max="8984" width="8" style="508" customWidth="1"/>
    <col min="8985" max="8985" width="9.140625" style="508" customWidth="1"/>
    <col min="8986" max="8986" width="9.42578125" style="508" customWidth="1"/>
    <col min="8987" max="9221" width="9.140625" style="508"/>
    <col min="9222" max="9222" width="3.85546875" style="508" customWidth="1"/>
    <col min="9223" max="9223" width="14.42578125" style="508" customWidth="1"/>
    <col min="9224" max="9224" width="3.85546875" style="508" customWidth="1"/>
    <col min="9225" max="9225" width="21.42578125" style="508" customWidth="1"/>
    <col min="9226" max="9238" width="7.140625" style="508" customWidth="1"/>
    <col min="9239" max="9240" width="8" style="508" customWidth="1"/>
    <col min="9241" max="9241" width="9.140625" style="508" customWidth="1"/>
    <col min="9242" max="9242" width="9.42578125" style="508" customWidth="1"/>
    <col min="9243" max="9477" width="9.140625" style="508"/>
    <col min="9478" max="9478" width="3.85546875" style="508" customWidth="1"/>
    <col min="9479" max="9479" width="14.42578125" style="508" customWidth="1"/>
    <col min="9480" max="9480" width="3.85546875" style="508" customWidth="1"/>
    <col min="9481" max="9481" width="21.42578125" style="508" customWidth="1"/>
    <col min="9482" max="9494" width="7.140625" style="508" customWidth="1"/>
    <col min="9495" max="9496" width="8" style="508" customWidth="1"/>
    <col min="9497" max="9497" width="9.140625" style="508" customWidth="1"/>
    <col min="9498" max="9498" width="9.42578125" style="508" customWidth="1"/>
    <col min="9499" max="9733" width="9.140625" style="508"/>
    <col min="9734" max="9734" width="3.85546875" style="508" customWidth="1"/>
    <col min="9735" max="9735" width="14.42578125" style="508" customWidth="1"/>
    <col min="9736" max="9736" width="3.85546875" style="508" customWidth="1"/>
    <col min="9737" max="9737" width="21.42578125" style="508" customWidth="1"/>
    <col min="9738" max="9750" width="7.140625" style="508" customWidth="1"/>
    <col min="9751" max="9752" width="8" style="508" customWidth="1"/>
    <col min="9753" max="9753" width="9.140625" style="508" customWidth="1"/>
    <col min="9754" max="9754" width="9.42578125" style="508" customWidth="1"/>
    <col min="9755" max="9989" width="9.140625" style="508"/>
    <col min="9990" max="9990" width="3.85546875" style="508" customWidth="1"/>
    <col min="9991" max="9991" width="14.42578125" style="508" customWidth="1"/>
    <col min="9992" max="9992" width="3.85546875" style="508" customWidth="1"/>
    <col min="9993" max="9993" width="21.42578125" style="508" customWidth="1"/>
    <col min="9994" max="10006" width="7.140625" style="508" customWidth="1"/>
    <col min="10007" max="10008" width="8" style="508" customWidth="1"/>
    <col min="10009" max="10009" width="9.140625" style="508" customWidth="1"/>
    <col min="10010" max="10010" width="9.42578125" style="508" customWidth="1"/>
    <col min="10011" max="10245" width="9.140625" style="508"/>
    <col min="10246" max="10246" width="3.85546875" style="508" customWidth="1"/>
    <col min="10247" max="10247" width="14.42578125" style="508" customWidth="1"/>
    <col min="10248" max="10248" width="3.85546875" style="508" customWidth="1"/>
    <col min="10249" max="10249" width="21.42578125" style="508" customWidth="1"/>
    <col min="10250" max="10262" width="7.140625" style="508" customWidth="1"/>
    <col min="10263" max="10264" width="8" style="508" customWidth="1"/>
    <col min="10265" max="10265" width="9.140625" style="508" customWidth="1"/>
    <col min="10266" max="10266" width="9.42578125" style="508" customWidth="1"/>
    <col min="10267" max="10501" width="9.140625" style="508"/>
    <col min="10502" max="10502" width="3.85546875" style="508" customWidth="1"/>
    <col min="10503" max="10503" width="14.42578125" style="508" customWidth="1"/>
    <col min="10504" max="10504" width="3.85546875" style="508" customWidth="1"/>
    <col min="10505" max="10505" width="21.42578125" style="508" customWidth="1"/>
    <col min="10506" max="10518" width="7.140625" style="508" customWidth="1"/>
    <col min="10519" max="10520" width="8" style="508" customWidth="1"/>
    <col min="10521" max="10521" width="9.140625" style="508" customWidth="1"/>
    <col min="10522" max="10522" width="9.42578125" style="508" customWidth="1"/>
    <col min="10523" max="10757" width="9.140625" style="508"/>
    <col min="10758" max="10758" width="3.85546875" style="508" customWidth="1"/>
    <col min="10759" max="10759" width="14.42578125" style="508" customWidth="1"/>
    <col min="10760" max="10760" width="3.85546875" style="508" customWidth="1"/>
    <col min="10761" max="10761" width="21.42578125" style="508" customWidth="1"/>
    <col min="10762" max="10774" width="7.140625" style="508" customWidth="1"/>
    <col min="10775" max="10776" width="8" style="508" customWidth="1"/>
    <col min="10777" max="10777" width="9.140625" style="508" customWidth="1"/>
    <col min="10778" max="10778" width="9.42578125" style="508" customWidth="1"/>
    <col min="10779" max="11013" width="9.140625" style="508"/>
    <col min="11014" max="11014" width="3.85546875" style="508" customWidth="1"/>
    <col min="11015" max="11015" width="14.42578125" style="508" customWidth="1"/>
    <col min="11016" max="11016" width="3.85546875" style="508" customWidth="1"/>
    <col min="11017" max="11017" width="21.42578125" style="508" customWidth="1"/>
    <col min="11018" max="11030" width="7.140625" style="508" customWidth="1"/>
    <col min="11031" max="11032" width="8" style="508" customWidth="1"/>
    <col min="11033" max="11033" width="9.140625" style="508" customWidth="1"/>
    <col min="11034" max="11034" width="9.42578125" style="508" customWidth="1"/>
    <col min="11035" max="11269" width="9.140625" style="508"/>
    <col min="11270" max="11270" width="3.85546875" style="508" customWidth="1"/>
    <col min="11271" max="11271" width="14.42578125" style="508" customWidth="1"/>
    <col min="11272" max="11272" width="3.85546875" style="508" customWidth="1"/>
    <col min="11273" max="11273" width="21.42578125" style="508" customWidth="1"/>
    <col min="11274" max="11286" width="7.140625" style="508" customWidth="1"/>
    <col min="11287" max="11288" width="8" style="508" customWidth="1"/>
    <col min="11289" max="11289" width="9.140625" style="508" customWidth="1"/>
    <col min="11290" max="11290" width="9.42578125" style="508" customWidth="1"/>
    <col min="11291" max="11525" width="9.140625" style="508"/>
    <col min="11526" max="11526" width="3.85546875" style="508" customWidth="1"/>
    <col min="11527" max="11527" width="14.42578125" style="508" customWidth="1"/>
    <col min="11528" max="11528" width="3.85546875" style="508" customWidth="1"/>
    <col min="11529" max="11529" width="21.42578125" style="508" customWidth="1"/>
    <col min="11530" max="11542" width="7.140625" style="508" customWidth="1"/>
    <col min="11543" max="11544" width="8" style="508" customWidth="1"/>
    <col min="11545" max="11545" width="9.140625" style="508" customWidth="1"/>
    <col min="11546" max="11546" width="9.42578125" style="508" customWidth="1"/>
    <col min="11547" max="11781" width="9.140625" style="508"/>
    <col min="11782" max="11782" width="3.85546875" style="508" customWidth="1"/>
    <col min="11783" max="11783" width="14.42578125" style="508" customWidth="1"/>
    <col min="11784" max="11784" width="3.85546875" style="508" customWidth="1"/>
    <col min="11785" max="11785" width="21.42578125" style="508" customWidth="1"/>
    <col min="11786" max="11798" width="7.140625" style="508" customWidth="1"/>
    <col min="11799" max="11800" width="8" style="508" customWidth="1"/>
    <col min="11801" max="11801" width="9.140625" style="508" customWidth="1"/>
    <col min="11802" max="11802" width="9.42578125" style="508" customWidth="1"/>
    <col min="11803" max="12037" width="9.140625" style="508"/>
    <col min="12038" max="12038" width="3.85546875" style="508" customWidth="1"/>
    <col min="12039" max="12039" width="14.42578125" style="508" customWidth="1"/>
    <col min="12040" max="12040" width="3.85546875" style="508" customWidth="1"/>
    <col min="12041" max="12041" width="21.42578125" style="508" customWidth="1"/>
    <col min="12042" max="12054" width="7.140625" style="508" customWidth="1"/>
    <col min="12055" max="12056" width="8" style="508" customWidth="1"/>
    <col min="12057" max="12057" width="9.140625" style="508" customWidth="1"/>
    <col min="12058" max="12058" width="9.42578125" style="508" customWidth="1"/>
    <col min="12059" max="12293" width="9.140625" style="508"/>
    <col min="12294" max="12294" width="3.85546875" style="508" customWidth="1"/>
    <col min="12295" max="12295" width="14.42578125" style="508" customWidth="1"/>
    <col min="12296" max="12296" width="3.85546875" style="508" customWidth="1"/>
    <col min="12297" max="12297" width="21.42578125" style="508" customWidth="1"/>
    <col min="12298" max="12310" width="7.140625" style="508" customWidth="1"/>
    <col min="12311" max="12312" width="8" style="508" customWidth="1"/>
    <col min="12313" max="12313" width="9.140625" style="508" customWidth="1"/>
    <col min="12314" max="12314" width="9.42578125" style="508" customWidth="1"/>
    <col min="12315" max="12549" width="9.140625" style="508"/>
    <col min="12550" max="12550" width="3.85546875" style="508" customWidth="1"/>
    <col min="12551" max="12551" width="14.42578125" style="508" customWidth="1"/>
    <col min="12552" max="12552" width="3.85546875" style="508" customWidth="1"/>
    <col min="12553" max="12553" width="21.42578125" style="508" customWidth="1"/>
    <col min="12554" max="12566" width="7.140625" style="508" customWidth="1"/>
    <col min="12567" max="12568" width="8" style="508" customWidth="1"/>
    <col min="12569" max="12569" width="9.140625" style="508" customWidth="1"/>
    <col min="12570" max="12570" width="9.42578125" style="508" customWidth="1"/>
    <col min="12571" max="12805" width="9.140625" style="508"/>
    <col min="12806" max="12806" width="3.85546875" style="508" customWidth="1"/>
    <col min="12807" max="12807" width="14.42578125" style="508" customWidth="1"/>
    <col min="12808" max="12808" width="3.85546875" style="508" customWidth="1"/>
    <col min="12809" max="12809" width="21.42578125" style="508" customWidth="1"/>
    <col min="12810" max="12822" width="7.140625" style="508" customWidth="1"/>
    <col min="12823" max="12824" width="8" style="508" customWidth="1"/>
    <col min="12825" max="12825" width="9.140625" style="508" customWidth="1"/>
    <col min="12826" max="12826" width="9.42578125" style="508" customWidth="1"/>
    <col min="12827" max="13061" width="9.140625" style="508"/>
    <col min="13062" max="13062" width="3.85546875" style="508" customWidth="1"/>
    <col min="13063" max="13063" width="14.42578125" style="508" customWidth="1"/>
    <col min="13064" max="13064" width="3.85546875" style="508" customWidth="1"/>
    <col min="13065" max="13065" width="21.42578125" style="508" customWidth="1"/>
    <col min="13066" max="13078" width="7.140625" style="508" customWidth="1"/>
    <col min="13079" max="13080" width="8" style="508" customWidth="1"/>
    <col min="13081" max="13081" width="9.140625" style="508" customWidth="1"/>
    <col min="13082" max="13082" width="9.42578125" style="508" customWidth="1"/>
    <col min="13083" max="13317" width="9.140625" style="508"/>
    <col min="13318" max="13318" width="3.85546875" style="508" customWidth="1"/>
    <col min="13319" max="13319" width="14.42578125" style="508" customWidth="1"/>
    <col min="13320" max="13320" width="3.85546875" style="508" customWidth="1"/>
    <col min="13321" max="13321" width="21.42578125" style="508" customWidth="1"/>
    <col min="13322" max="13334" width="7.140625" style="508" customWidth="1"/>
    <col min="13335" max="13336" width="8" style="508" customWidth="1"/>
    <col min="13337" max="13337" width="9.140625" style="508" customWidth="1"/>
    <col min="13338" max="13338" width="9.42578125" style="508" customWidth="1"/>
    <col min="13339" max="13573" width="9.140625" style="508"/>
    <col min="13574" max="13574" width="3.85546875" style="508" customWidth="1"/>
    <col min="13575" max="13575" width="14.42578125" style="508" customWidth="1"/>
    <col min="13576" max="13576" width="3.85546875" style="508" customWidth="1"/>
    <col min="13577" max="13577" width="21.42578125" style="508" customWidth="1"/>
    <col min="13578" max="13590" width="7.140625" style="508" customWidth="1"/>
    <col min="13591" max="13592" width="8" style="508" customWidth="1"/>
    <col min="13593" max="13593" width="9.140625" style="508" customWidth="1"/>
    <col min="13594" max="13594" width="9.42578125" style="508" customWidth="1"/>
    <col min="13595" max="13829" width="9.140625" style="508"/>
    <col min="13830" max="13830" width="3.85546875" style="508" customWidth="1"/>
    <col min="13831" max="13831" width="14.42578125" style="508" customWidth="1"/>
    <col min="13832" max="13832" width="3.85546875" style="508" customWidth="1"/>
    <col min="13833" max="13833" width="21.42578125" style="508" customWidth="1"/>
    <col min="13834" max="13846" width="7.140625" style="508" customWidth="1"/>
    <col min="13847" max="13848" width="8" style="508" customWidth="1"/>
    <col min="13849" max="13849" width="9.140625" style="508" customWidth="1"/>
    <col min="13850" max="13850" width="9.42578125" style="508" customWidth="1"/>
    <col min="13851" max="14085" width="9.140625" style="508"/>
    <col min="14086" max="14086" width="3.85546875" style="508" customWidth="1"/>
    <col min="14087" max="14087" width="14.42578125" style="508" customWidth="1"/>
    <col min="14088" max="14088" width="3.85546875" style="508" customWidth="1"/>
    <col min="14089" max="14089" width="21.42578125" style="508" customWidth="1"/>
    <col min="14090" max="14102" width="7.140625" style="508" customWidth="1"/>
    <col min="14103" max="14104" width="8" style="508" customWidth="1"/>
    <col min="14105" max="14105" width="9.140625" style="508" customWidth="1"/>
    <col min="14106" max="14106" width="9.42578125" style="508" customWidth="1"/>
    <col min="14107" max="14341" width="9.140625" style="508"/>
    <col min="14342" max="14342" width="3.85546875" style="508" customWidth="1"/>
    <col min="14343" max="14343" width="14.42578125" style="508" customWidth="1"/>
    <col min="14344" max="14344" width="3.85546875" style="508" customWidth="1"/>
    <col min="14345" max="14345" width="21.42578125" style="508" customWidth="1"/>
    <col min="14346" max="14358" width="7.140625" style="508" customWidth="1"/>
    <col min="14359" max="14360" width="8" style="508" customWidth="1"/>
    <col min="14361" max="14361" width="9.140625" style="508" customWidth="1"/>
    <col min="14362" max="14362" width="9.42578125" style="508" customWidth="1"/>
    <col min="14363" max="14597" width="9.140625" style="508"/>
    <col min="14598" max="14598" width="3.85546875" style="508" customWidth="1"/>
    <col min="14599" max="14599" width="14.42578125" style="508" customWidth="1"/>
    <col min="14600" max="14600" width="3.85546875" style="508" customWidth="1"/>
    <col min="14601" max="14601" width="21.42578125" style="508" customWidth="1"/>
    <col min="14602" max="14614" width="7.140625" style="508" customWidth="1"/>
    <col min="14615" max="14616" width="8" style="508" customWidth="1"/>
    <col min="14617" max="14617" width="9.140625" style="508" customWidth="1"/>
    <col min="14618" max="14618" width="9.42578125" style="508" customWidth="1"/>
    <col min="14619" max="14853" width="9.140625" style="508"/>
    <col min="14854" max="14854" width="3.85546875" style="508" customWidth="1"/>
    <col min="14855" max="14855" width="14.42578125" style="508" customWidth="1"/>
    <col min="14856" max="14856" width="3.85546875" style="508" customWidth="1"/>
    <col min="14857" max="14857" width="21.42578125" style="508" customWidth="1"/>
    <col min="14858" max="14870" width="7.140625" style="508" customWidth="1"/>
    <col min="14871" max="14872" width="8" style="508" customWidth="1"/>
    <col min="14873" max="14873" width="9.140625" style="508" customWidth="1"/>
    <col min="14874" max="14874" width="9.42578125" style="508" customWidth="1"/>
    <col min="14875" max="15109" width="9.140625" style="508"/>
    <col min="15110" max="15110" width="3.85546875" style="508" customWidth="1"/>
    <col min="15111" max="15111" width="14.42578125" style="508" customWidth="1"/>
    <col min="15112" max="15112" width="3.85546875" style="508" customWidth="1"/>
    <col min="15113" max="15113" width="21.42578125" style="508" customWidth="1"/>
    <col min="15114" max="15126" width="7.140625" style="508" customWidth="1"/>
    <col min="15127" max="15128" width="8" style="508" customWidth="1"/>
    <col min="15129" max="15129" width="9.140625" style="508" customWidth="1"/>
    <col min="15130" max="15130" width="9.42578125" style="508" customWidth="1"/>
    <col min="15131" max="15365" width="9.140625" style="508"/>
    <col min="15366" max="15366" width="3.85546875" style="508" customWidth="1"/>
    <col min="15367" max="15367" width="14.42578125" style="508" customWidth="1"/>
    <col min="15368" max="15368" width="3.85546875" style="508" customWidth="1"/>
    <col min="15369" max="15369" width="21.42578125" style="508" customWidth="1"/>
    <col min="15370" max="15382" width="7.140625" style="508" customWidth="1"/>
    <col min="15383" max="15384" width="8" style="508" customWidth="1"/>
    <col min="15385" max="15385" width="9.140625" style="508" customWidth="1"/>
    <col min="15386" max="15386" width="9.42578125" style="508" customWidth="1"/>
    <col min="15387" max="15621" width="9.140625" style="508"/>
    <col min="15622" max="15622" width="3.85546875" style="508" customWidth="1"/>
    <col min="15623" max="15623" width="14.42578125" style="508" customWidth="1"/>
    <col min="15624" max="15624" width="3.85546875" style="508" customWidth="1"/>
    <col min="15625" max="15625" width="21.42578125" style="508" customWidth="1"/>
    <col min="15626" max="15638" width="7.140625" style="508" customWidth="1"/>
    <col min="15639" max="15640" width="8" style="508" customWidth="1"/>
    <col min="15641" max="15641" width="9.140625" style="508" customWidth="1"/>
    <col min="15642" max="15642" width="9.42578125" style="508" customWidth="1"/>
    <col min="15643" max="15877" width="9.140625" style="508"/>
    <col min="15878" max="15878" width="3.85546875" style="508" customWidth="1"/>
    <col min="15879" max="15879" width="14.42578125" style="508" customWidth="1"/>
    <col min="15880" max="15880" width="3.85546875" style="508" customWidth="1"/>
    <col min="15881" max="15881" width="21.42578125" style="508" customWidth="1"/>
    <col min="15882" max="15894" width="7.140625" style="508" customWidth="1"/>
    <col min="15895" max="15896" width="8" style="508" customWidth="1"/>
    <col min="15897" max="15897" width="9.140625" style="508" customWidth="1"/>
    <col min="15898" max="15898" width="9.42578125" style="508" customWidth="1"/>
    <col min="15899" max="16133" width="9.140625" style="508"/>
    <col min="16134" max="16134" width="3.85546875" style="508" customWidth="1"/>
    <col min="16135" max="16135" width="14.42578125" style="508" customWidth="1"/>
    <col min="16136" max="16136" width="3.85546875" style="508" customWidth="1"/>
    <col min="16137" max="16137" width="21.42578125" style="508" customWidth="1"/>
    <col min="16138" max="16150" width="7.140625" style="508" customWidth="1"/>
    <col min="16151" max="16152" width="8" style="508" customWidth="1"/>
    <col min="16153" max="16153" width="9.140625" style="508" customWidth="1"/>
    <col min="16154" max="16154" width="9.42578125" style="508" customWidth="1"/>
    <col min="16155" max="16384" width="9.140625" style="508"/>
  </cols>
  <sheetData>
    <row r="2" spans="1:32" ht="12" customHeight="1" x14ac:dyDescent="0.2">
      <c r="A2" s="509">
        <v>1</v>
      </c>
      <c r="B2" s="509" t="s">
        <v>0</v>
      </c>
      <c r="C2" s="509">
        <v>43</v>
      </c>
      <c r="D2" s="4734" t="s">
        <v>1178</v>
      </c>
      <c r="E2" s="4735"/>
      <c r="F2" s="4735"/>
      <c r="G2" s="4735"/>
      <c r="H2" s="4735"/>
      <c r="I2" s="4735"/>
      <c r="J2" s="4735"/>
      <c r="K2" s="4735"/>
      <c r="L2" s="4735"/>
      <c r="M2" s="4735"/>
      <c r="N2" s="4735"/>
      <c r="O2" s="4735"/>
      <c r="P2" s="4735"/>
      <c r="Q2" s="4735"/>
      <c r="R2" s="4735"/>
      <c r="S2" s="4735"/>
      <c r="T2" s="4735"/>
      <c r="U2" s="4735"/>
      <c r="V2" s="4735"/>
      <c r="W2" s="4735"/>
      <c r="X2" s="4735"/>
      <c r="Y2" s="4735"/>
      <c r="Z2" s="4735"/>
      <c r="AA2" s="4735"/>
      <c r="AB2" s="4735"/>
      <c r="AC2" s="4736"/>
    </row>
    <row r="3" spans="1:32" ht="14.1" customHeight="1" x14ac:dyDescent="0.2">
      <c r="A3" s="509">
        <v>2</v>
      </c>
      <c r="B3" s="509" t="s">
        <v>2</v>
      </c>
      <c r="C3" s="509"/>
      <c r="D3" s="4734" t="s">
        <v>1041</v>
      </c>
      <c r="E3" s="4735"/>
      <c r="F3" s="4735"/>
      <c r="G3" s="4735"/>
      <c r="H3" s="4735"/>
      <c r="I3" s="4735"/>
      <c r="J3" s="4735"/>
      <c r="K3" s="4735"/>
      <c r="L3" s="4735"/>
      <c r="M3" s="4735"/>
      <c r="N3" s="4735"/>
      <c r="O3" s="4735"/>
      <c r="P3" s="4735"/>
      <c r="Q3" s="4735"/>
      <c r="R3" s="4735"/>
      <c r="S3" s="4735"/>
      <c r="T3" s="4735"/>
      <c r="U3" s="4735"/>
      <c r="V3" s="4735"/>
      <c r="W3" s="4735"/>
      <c r="X3" s="4735"/>
      <c r="Y3" s="4735"/>
      <c r="Z3" s="4735"/>
      <c r="AA3" s="4735"/>
      <c r="AB3" s="4735"/>
      <c r="AC3" s="4736"/>
    </row>
    <row r="4" spans="1:32" ht="14.1" customHeight="1" x14ac:dyDescent="0.2">
      <c r="A4" s="509">
        <v>3</v>
      </c>
      <c r="B4" s="509" t="s">
        <v>4</v>
      </c>
      <c r="C4" s="509"/>
      <c r="D4" s="4734" t="s">
        <v>1042</v>
      </c>
      <c r="E4" s="4735"/>
      <c r="F4" s="4735"/>
      <c r="G4" s="4735"/>
      <c r="H4" s="4735"/>
      <c r="I4" s="4735"/>
      <c r="J4" s="4735"/>
      <c r="K4" s="4735"/>
      <c r="L4" s="4735"/>
      <c r="M4" s="4735"/>
      <c r="N4" s="4735"/>
      <c r="O4" s="4735"/>
      <c r="P4" s="4735"/>
      <c r="Q4" s="4735"/>
      <c r="R4" s="4735"/>
      <c r="S4" s="4735"/>
      <c r="T4" s="4735"/>
      <c r="U4" s="4735"/>
      <c r="V4" s="4735"/>
      <c r="W4" s="4735"/>
      <c r="X4" s="4735"/>
      <c r="Y4" s="4735"/>
      <c r="Z4" s="4735"/>
      <c r="AA4" s="4735"/>
      <c r="AB4" s="4735"/>
      <c r="AC4" s="4736"/>
    </row>
    <row r="5" spans="1:32" ht="14.1" customHeight="1" x14ac:dyDescent="0.2">
      <c r="A5" s="509">
        <v>4</v>
      </c>
      <c r="B5" s="509" t="s">
        <v>1043</v>
      </c>
      <c r="C5" s="509"/>
      <c r="D5" s="4734" t="s">
        <v>1179</v>
      </c>
      <c r="E5" s="4735"/>
      <c r="F5" s="4735"/>
      <c r="G5" s="4735"/>
      <c r="H5" s="4735"/>
      <c r="I5" s="4735"/>
      <c r="J5" s="4735"/>
      <c r="K5" s="4735"/>
      <c r="L5" s="4735"/>
      <c r="M5" s="4735"/>
      <c r="N5" s="4735"/>
      <c r="O5" s="4735"/>
      <c r="P5" s="4735"/>
      <c r="Q5" s="4735"/>
      <c r="R5" s="4735"/>
      <c r="S5" s="4735"/>
      <c r="T5" s="4735"/>
      <c r="U5" s="4735"/>
      <c r="V5" s="4735"/>
      <c r="W5" s="4735"/>
      <c r="X5" s="4735"/>
      <c r="Y5" s="4735"/>
      <c r="Z5" s="4735"/>
      <c r="AA5" s="4735"/>
      <c r="AB5" s="4735"/>
      <c r="AC5" s="4736"/>
    </row>
    <row r="6" spans="1:32" ht="24.75" customHeight="1" x14ac:dyDescent="0.2">
      <c r="A6" s="509"/>
      <c r="B6" s="509"/>
      <c r="D6" s="507"/>
      <c r="E6" s="507"/>
      <c r="F6" s="507"/>
      <c r="G6" s="507"/>
      <c r="H6" s="507"/>
      <c r="I6" s="507"/>
      <c r="J6" s="507"/>
      <c r="K6" s="507"/>
      <c r="L6" s="507"/>
      <c r="M6" s="507"/>
      <c r="N6" s="507"/>
      <c r="O6" s="507"/>
      <c r="P6" s="507"/>
      <c r="Q6" s="507"/>
      <c r="R6" s="507"/>
      <c r="S6" s="507"/>
      <c r="T6" s="507"/>
      <c r="U6" s="507"/>
      <c r="V6" s="507"/>
      <c r="W6" s="507"/>
      <c r="X6" s="507"/>
      <c r="Y6" s="507"/>
      <c r="Z6" s="895"/>
      <c r="AA6" s="895"/>
    </row>
    <row r="7" spans="1:32" ht="24.75" customHeight="1" x14ac:dyDescent="0.2">
      <c r="A7" s="509">
        <v>5</v>
      </c>
      <c r="B7" s="509" t="s">
        <v>6</v>
      </c>
      <c r="C7" s="506"/>
      <c r="D7" s="71" t="s">
        <v>365</v>
      </c>
      <c r="E7" s="71" t="s">
        <v>1180</v>
      </c>
      <c r="F7" s="71"/>
      <c r="G7" s="71"/>
      <c r="H7" s="71"/>
      <c r="I7" s="71"/>
      <c r="J7" s="71"/>
      <c r="K7" s="71"/>
      <c r="L7" s="71"/>
      <c r="M7" s="88"/>
      <c r="N7" s="88"/>
      <c r="O7" s="1188"/>
      <c r="P7" s="88"/>
      <c r="Q7" s="88"/>
    </row>
    <row r="8" spans="1:32" x14ac:dyDescent="0.2">
      <c r="B8" s="506"/>
      <c r="C8" s="506"/>
      <c r="D8" s="3445"/>
      <c r="E8" s="1333">
        <v>1994</v>
      </c>
      <c r="F8" s="1193">
        <v>1995</v>
      </c>
      <c r="G8" s="1193">
        <v>1996</v>
      </c>
      <c r="H8" s="1193">
        <v>1997</v>
      </c>
      <c r="I8" s="1193">
        <v>1998</v>
      </c>
      <c r="J8" s="1193">
        <v>1999</v>
      </c>
      <c r="K8" s="1193">
        <v>2000</v>
      </c>
      <c r="L8" s="1193">
        <v>2001</v>
      </c>
      <c r="M8" s="1193">
        <v>2002</v>
      </c>
      <c r="N8" s="1193">
        <v>2003</v>
      </c>
      <c r="O8" s="1193">
        <v>2004</v>
      </c>
      <c r="P8" s="1193">
        <v>2005</v>
      </c>
      <c r="Q8" s="1193">
        <v>2006</v>
      </c>
      <c r="R8" s="1193">
        <v>2007</v>
      </c>
      <c r="S8" s="1193">
        <v>2008</v>
      </c>
      <c r="T8" s="1193">
        <v>2009</v>
      </c>
      <c r="U8" s="1193">
        <v>2010</v>
      </c>
      <c r="V8" s="1193">
        <v>2011</v>
      </c>
      <c r="W8" s="1193">
        <v>2012</v>
      </c>
      <c r="X8" s="1193" t="s">
        <v>1181</v>
      </c>
      <c r="Y8" s="1237" t="s">
        <v>1182</v>
      </c>
      <c r="Z8" s="1334">
        <v>2015</v>
      </c>
      <c r="AA8" s="1334">
        <v>2016</v>
      </c>
      <c r="AB8" s="1334">
        <v>2017</v>
      </c>
      <c r="AC8" s="1334">
        <v>2018</v>
      </c>
      <c r="AD8" s="1334">
        <v>2019</v>
      </c>
      <c r="AE8" s="1334">
        <v>2020</v>
      </c>
      <c r="AF8" s="1334">
        <v>2021</v>
      </c>
    </row>
    <row r="9" spans="1:32" s="831" customFormat="1" ht="24.75" customHeight="1" x14ac:dyDescent="0.2">
      <c r="A9" s="913"/>
      <c r="B9" s="913"/>
      <c r="C9" s="1335">
        <v>1</v>
      </c>
      <c r="D9" s="994" t="s">
        <v>1183</v>
      </c>
      <c r="E9" s="1336">
        <v>90292</v>
      </c>
      <c r="F9" s="1337">
        <v>73917</v>
      </c>
      <c r="G9" s="1337">
        <v>109328</v>
      </c>
      <c r="H9" s="1337">
        <v>125913</v>
      </c>
      <c r="I9" s="1337">
        <v>142281</v>
      </c>
      <c r="J9" s="1337">
        <v>148164</v>
      </c>
      <c r="K9" s="1337">
        <v>151239</v>
      </c>
      <c r="L9" s="1337">
        <v>188695</v>
      </c>
      <c r="M9" s="1337">
        <v>224420</v>
      </c>
      <c r="N9" s="1337">
        <v>255422</v>
      </c>
      <c r="O9" s="1337">
        <v>279260</v>
      </c>
      <c r="P9" s="1337">
        <v>302467</v>
      </c>
      <c r="Q9" s="1337">
        <v>341165</v>
      </c>
      <c r="R9" s="1337">
        <v>353879</v>
      </c>
      <c r="S9" s="1337">
        <v>388882</v>
      </c>
      <c r="T9" s="1337">
        <v>406082</v>
      </c>
      <c r="U9" s="1337">
        <v>401048</v>
      </c>
      <c r="V9" s="1337">
        <v>389974</v>
      </c>
      <c r="W9" s="1337">
        <v>349582</v>
      </c>
      <c r="X9" s="1337">
        <v>328896</v>
      </c>
      <c r="Y9" s="1337">
        <v>318193</v>
      </c>
      <c r="Z9" s="3544">
        <v>235778</v>
      </c>
      <c r="AA9" s="3544">
        <v>266105</v>
      </c>
      <c r="AB9" s="1338">
        <v>227224</v>
      </c>
      <c r="AC9" s="1339">
        <v>235652</v>
      </c>
      <c r="AD9" s="1338">
        <v>168157</v>
      </c>
      <c r="AE9" s="1338">
        <v>134747</v>
      </c>
      <c r="AF9" s="1338">
        <v>181864</v>
      </c>
    </row>
    <row r="10" spans="1:32" x14ac:dyDescent="0.2">
      <c r="C10" s="1340">
        <v>2</v>
      </c>
      <c r="D10" s="1341" t="s">
        <v>1184</v>
      </c>
      <c r="E10" s="1342">
        <v>73</v>
      </c>
      <c r="F10" s="1343">
        <v>73</v>
      </c>
      <c r="G10" s="1343">
        <v>73</v>
      </c>
      <c r="H10" s="1343">
        <v>73</v>
      </c>
      <c r="I10" s="1343">
        <v>73</v>
      </c>
      <c r="J10" s="1343">
        <v>72</v>
      </c>
      <c r="K10" s="1343">
        <v>63</v>
      </c>
      <c r="L10" s="1343">
        <v>61</v>
      </c>
      <c r="M10" s="1343">
        <v>63</v>
      </c>
      <c r="N10" s="1343">
        <v>63</v>
      </c>
      <c r="O10" s="1343">
        <v>66</v>
      </c>
      <c r="P10" s="1343">
        <v>71</v>
      </c>
      <c r="Q10" s="1343">
        <v>74</v>
      </c>
      <c r="R10" s="1343">
        <v>74</v>
      </c>
      <c r="S10" s="1343">
        <v>76</v>
      </c>
      <c r="T10" s="1343">
        <v>77</v>
      </c>
      <c r="U10" s="1343">
        <v>79</v>
      </c>
      <c r="V10" s="1343">
        <v>80</v>
      </c>
      <c r="W10" s="1343">
        <v>81</v>
      </c>
      <c r="X10" s="1343">
        <v>82</v>
      </c>
      <c r="Y10" s="1343">
        <v>77.900000000000006</v>
      </c>
      <c r="Z10" s="3574">
        <v>77.5</v>
      </c>
      <c r="AA10" s="3574">
        <v>82.2</v>
      </c>
      <c r="AB10" s="1344">
        <v>81.7</v>
      </c>
      <c r="AC10" s="1344">
        <v>76</v>
      </c>
      <c r="AD10" s="2205">
        <v>80.599999999999994</v>
      </c>
      <c r="AE10" s="2205">
        <v>81</v>
      </c>
      <c r="AF10" s="2205">
        <v>78</v>
      </c>
    </row>
    <row r="11" spans="1:32" x14ac:dyDescent="0.2">
      <c r="C11" s="1340">
        <v>3</v>
      </c>
      <c r="D11" s="994" t="s">
        <v>1185</v>
      </c>
      <c r="E11" s="2210">
        <v>18</v>
      </c>
      <c r="F11" s="2209">
        <v>19</v>
      </c>
      <c r="G11" s="2209">
        <v>18</v>
      </c>
      <c r="H11" s="2209">
        <v>19</v>
      </c>
      <c r="I11" s="2209">
        <v>19</v>
      </c>
      <c r="J11" s="2209">
        <v>17</v>
      </c>
      <c r="K11" s="2209">
        <v>13</v>
      </c>
      <c r="L11" s="2209">
        <v>11</v>
      </c>
      <c r="M11" s="2209">
        <v>12</v>
      </c>
      <c r="N11" s="2209">
        <v>11</v>
      </c>
      <c r="O11" s="2209">
        <v>10</v>
      </c>
      <c r="P11" s="2209">
        <v>10</v>
      </c>
      <c r="Q11" s="2209">
        <v>9</v>
      </c>
      <c r="R11" s="2209">
        <v>9</v>
      </c>
      <c r="S11" s="2209">
        <v>8</v>
      </c>
      <c r="T11" s="2209">
        <v>7</v>
      </c>
      <c r="U11" s="2209">
        <v>7</v>
      </c>
      <c r="V11" s="2209">
        <v>6</v>
      </c>
      <c r="W11" s="2209">
        <v>6</v>
      </c>
      <c r="X11" s="2209">
        <v>5.8</v>
      </c>
      <c r="Y11" s="2209">
        <v>6.3</v>
      </c>
      <c r="Z11" s="3575">
        <v>6</v>
      </c>
      <c r="AA11" s="3575">
        <v>6.5</v>
      </c>
      <c r="AB11" s="2205">
        <v>6.9</v>
      </c>
      <c r="AC11" s="2205">
        <v>8</v>
      </c>
      <c r="AD11" s="2205">
        <v>12.5</v>
      </c>
      <c r="AE11" s="1344"/>
    </row>
    <row r="12" spans="1:32" s="88" customFormat="1" ht="13.5" customHeight="1" x14ac:dyDescent="0.2">
      <c r="A12" s="836"/>
      <c r="B12" s="836"/>
      <c r="C12" s="1340">
        <v>4</v>
      </c>
      <c r="D12" s="994" t="s">
        <v>1186</v>
      </c>
      <c r="E12" s="2211"/>
      <c r="F12" s="2206"/>
      <c r="G12" s="1345"/>
      <c r="H12" s="1345"/>
      <c r="I12" s="1345"/>
      <c r="J12" s="1345"/>
      <c r="K12" s="1345"/>
      <c r="L12" s="1345"/>
      <c r="M12" s="1345"/>
      <c r="N12" s="1345"/>
      <c r="O12" s="1345"/>
      <c r="P12" s="1345"/>
      <c r="Q12" s="1345"/>
      <c r="R12" s="1345"/>
      <c r="S12" s="1345"/>
      <c r="T12" s="1345"/>
      <c r="U12" s="1345"/>
      <c r="V12" s="1345"/>
      <c r="W12" s="1345"/>
      <c r="X12" s="1345"/>
      <c r="Y12" s="2206">
        <v>7.4</v>
      </c>
      <c r="Z12" s="2207">
        <v>6.7</v>
      </c>
      <c r="AA12" s="2207">
        <v>6.7</v>
      </c>
      <c r="AB12" s="2208">
        <v>6.6</v>
      </c>
      <c r="AC12" s="2205">
        <v>7</v>
      </c>
      <c r="AD12" s="2205">
        <v>7.4</v>
      </c>
      <c r="AE12" s="1344"/>
    </row>
    <row r="13" spans="1:32" s="88" customFormat="1" ht="13.5" customHeight="1" x14ac:dyDescent="0.2">
      <c r="A13" s="836"/>
      <c r="B13" s="836"/>
      <c r="C13" s="1340"/>
      <c r="D13" s="994"/>
      <c r="E13" s="1143"/>
      <c r="F13" s="1143"/>
      <c r="G13" s="1143"/>
      <c r="H13" s="1143"/>
      <c r="I13" s="1143"/>
      <c r="J13" s="1143"/>
      <c r="K13" s="1143"/>
      <c r="L13" s="1143"/>
      <c r="M13" s="1143"/>
      <c r="N13" s="1143"/>
      <c r="O13" s="1143"/>
      <c r="P13" s="1143"/>
      <c r="Q13" s="1143"/>
      <c r="R13" s="1143"/>
      <c r="S13" s="1143"/>
      <c r="T13" s="1143"/>
      <c r="U13" s="1143"/>
      <c r="V13" s="1143"/>
      <c r="W13" s="1143"/>
      <c r="X13" s="1143"/>
      <c r="Y13" s="1143"/>
      <c r="Z13" s="1143"/>
      <c r="AA13" s="1143"/>
      <c r="AB13" s="1143"/>
      <c r="AC13" s="1143"/>
    </row>
    <row r="14" spans="1:32" s="88" customFormat="1" ht="13.5" customHeight="1" x14ac:dyDescent="0.2">
      <c r="A14" s="836"/>
      <c r="B14" s="836"/>
      <c r="C14" s="1340"/>
      <c r="D14" s="994"/>
      <c r="E14" s="1143"/>
      <c r="F14" s="1143"/>
      <c r="G14" s="1143"/>
      <c r="H14" s="1143"/>
      <c r="I14" s="1143"/>
      <c r="J14" s="1143"/>
      <c r="K14" s="1143"/>
      <c r="L14" s="1143"/>
      <c r="M14" s="1143"/>
      <c r="N14" s="1143"/>
      <c r="O14" s="1143"/>
      <c r="P14" s="1143"/>
      <c r="Q14" s="1143"/>
      <c r="R14" s="1143"/>
      <c r="S14" s="1143"/>
      <c r="T14" s="1143"/>
      <c r="U14" s="1143"/>
      <c r="V14" s="1143"/>
      <c r="W14" s="1143"/>
      <c r="X14" s="1143"/>
      <c r="Y14" s="1143"/>
      <c r="Z14" s="1143"/>
      <c r="AA14" s="1143"/>
      <c r="AB14" s="1143"/>
      <c r="AC14" s="1143"/>
    </row>
    <row r="15" spans="1:32" s="88" customFormat="1" ht="13.5" customHeight="1" x14ac:dyDescent="0.2">
      <c r="A15" s="836"/>
      <c r="B15" s="836"/>
      <c r="C15" s="1340"/>
      <c r="D15" s="994"/>
      <c r="E15" s="955"/>
      <c r="F15" s="955"/>
      <c r="G15" s="955"/>
      <c r="H15" s="955"/>
      <c r="I15" s="955"/>
      <c r="J15" s="955"/>
      <c r="K15" s="955"/>
      <c r="L15" s="955"/>
      <c r="M15" s="955"/>
      <c r="N15" s="955"/>
      <c r="O15" s="955"/>
      <c r="P15" s="955"/>
      <c r="Q15" s="955"/>
      <c r="R15" s="955"/>
      <c r="S15" s="955"/>
      <c r="T15" s="1346"/>
      <c r="U15" s="1346"/>
      <c r="V15" s="1346"/>
      <c r="W15" s="1346"/>
      <c r="X15" s="1346"/>
      <c r="Y15" s="1346"/>
      <c r="Z15" s="1346"/>
      <c r="AA15" s="1346"/>
    </row>
    <row r="17" spans="1:3" ht="14.25" x14ac:dyDescent="0.2">
      <c r="A17" s="509">
        <v>6</v>
      </c>
      <c r="B17" s="509" t="s">
        <v>51</v>
      </c>
      <c r="C17" s="509"/>
    </row>
    <row r="35" spans="1:29" ht="15" customHeight="1" x14ac:dyDescent="0.2">
      <c r="A35" s="509">
        <v>7</v>
      </c>
      <c r="B35" s="509" t="s">
        <v>52</v>
      </c>
      <c r="C35" s="509"/>
      <c r="D35" s="4734" t="s">
        <v>1187</v>
      </c>
      <c r="E35" s="4735"/>
      <c r="F35" s="4735"/>
      <c r="G35" s="4735"/>
      <c r="H35" s="4735"/>
      <c r="I35" s="4735"/>
      <c r="J35" s="4735"/>
      <c r="K35" s="4735"/>
      <c r="L35" s="4735"/>
      <c r="M35" s="4735"/>
      <c r="N35" s="4735"/>
      <c r="O35" s="4735"/>
      <c r="P35" s="4735"/>
      <c r="Q35" s="4735"/>
      <c r="R35" s="4735"/>
      <c r="S35" s="4735"/>
      <c r="T35" s="4735"/>
      <c r="U35" s="4735"/>
      <c r="V35" s="4735"/>
      <c r="W35" s="4735"/>
      <c r="X35" s="4735"/>
      <c r="Y35" s="4735"/>
      <c r="Z35" s="4735"/>
      <c r="AA35" s="4735"/>
      <c r="AB35" s="4735"/>
      <c r="AC35" s="4736"/>
    </row>
    <row r="36" spans="1:29" ht="60.75" customHeight="1" x14ac:dyDescent="0.2">
      <c r="A36" s="546">
        <v>8</v>
      </c>
      <c r="B36" s="546" t="s">
        <v>54</v>
      </c>
      <c r="C36" s="509"/>
      <c r="D36" s="4734" t="s">
        <v>1188</v>
      </c>
      <c r="E36" s="4735"/>
      <c r="F36" s="4735"/>
      <c r="G36" s="4735"/>
      <c r="H36" s="4735"/>
      <c r="I36" s="4735"/>
      <c r="J36" s="4735"/>
      <c r="K36" s="4735"/>
      <c r="L36" s="4735"/>
      <c r="M36" s="4735"/>
      <c r="N36" s="4735"/>
      <c r="O36" s="4735"/>
      <c r="P36" s="4735"/>
      <c r="Q36" s="4735"/>
      <c r="R36" s="4735"/>
      <c r="S36" s="4735"/>
      <c r="T36" s="4735"/>
      <c r="U36" s="4735"/>
      <c r="V36" s="4735"/>
      <c r="W36" s="4735"/>
      <c r="X36" s="4735"/>
      <c r="Y36" s="4735"/>
      <c r="Z36" s="4735"/>
      <c r="AA36" s="4735"/>
      <c r="AB36" s="4735"/>
      <c r="AC36" s="4736"/>
    </row>
    <row r="37" spans="1:29" ht="14.1" customHeight="1" x14ac:dyDescent="0.2">
      <c r="A37" s="509">
        <v>9</v>
      </c>
      <c r="B37" s="509" t="s">
        <v>56</v>
      </c>
      <c r="C37" s="509"/>
      <c r="D37" s="4734" t="s">
        <v>1189</v>
      </c>
      <c r="E37" s="4735"/>
      <c r="F37" s="4735"/>
      <c r="G37" s="4735"/>
      <c r="H37" s="4735"/>
      <c r="I37" s="4735"/>
      <c r="J37" s="4735"/>
      <c r="K37" s="4735"/>
      <c r="L37" s="4735"/>
      <c r="M37" s="4735"/>
      <c r="N37" s="4735"/>
      <c r="O37" s="4735"/>
      <c r="P37" s="4735"/>
      <c r="Q37" s="4735"/>
      <c r="R37" s="4735"/>
      <c r="S37" s="4735"/>
      <c r="T37" s="4735"/>
      <c r="U37" s="4735"/>
      <c r="V37" s="4735"/>
      <c r="W37" s="4735"/>
      <c r="X37" s="4735"/>
      <c r="Y37" s="4735"/>
      <c r="Z37" s="4735"/>
      <c r="AA37" s="4735"/>
      <c r="AB37" s="4735"/>
      <c r="AC37" s="4736"/>
    </row>
    <row r="38" spans="1:29" x14ac:dyDescent="0.2">
      <c r="D38" s="4861"/>
      <c r="E38" s="4861"/>
      <c r="F38" s="4861"/>
      <c r="G38" s="4861"/>
      <c r="H38" s="4861"/>
      <c r="I38" s="4861"/>
      <c r="J38" s="4861"/>
      <c r="K38" s="4861"/>
      <c r="L38" s="4861"/>
      <c r="M38" s="4861"/>
      <c r="N38" s="4861"/>
      <c r="O38" s="4861"/>
      <c r="P38" s="4861"/>
    </row>
    <row r="39" spans="1:29" x14ac:dyDescent="0.2">
      <c r="D39" s="4861"/>
      <c r="E39" s="4861"/>
      <c r="F39" s="4861"/>
      <c r="G39" s="4861"/>
      <c r="H39" s="4861"/>
      <c r="I39" s="4861"/>
      <c r="J39" s="4861"/>
      <c r="K39" s="4861"/>
      <c r="L39" s="4861"/>
      <c r="M39" s="4861"/>
      <c r="N39" s="4861"/>
      <c r="O39" s="4861"/>
      <c r="P39" s="4861"/>
    </row>
    <row r="41" spans="1:29" x14ac:dyDescent="0.2">
      <c r="D41" s="1347" t="s">
        <v>656</v>
      </c>
      <c r="E41" s="1082" t="s">
        <v>1190</v>
      </c>
      <c r="F41" s="1348"/>
      <c r="G41" s="1348"/>
      <c r="H41" s="955"/>
      <c r="I41" s="955"/>
      <c r="J41" s="955"/>
      <c r="K41" s="955"/>
      <c r="L41" s="955"/>
      <c r="M41" s="955"/>
      <c r="N41" s="955"/>
      <c r="O41" s="955"/>
      <c r="P41" s="955"/>
      <c r="Q41" s="955"/>
      <c r="R41" s="955"/>
      <c r="S41" s="955"/>
      <c r="T41" s="1346"/>
      <c r="U41" s="1346"/>
      <c r="V41" s="1346"/>
      <c r="W41" s="1346"/>
      <c r="X41" s="1346"/>
    </row>
    <row r="42" spans="1:29" x14ac:dyDescent="0.2">
      <c r="D42" s="1349" t="s">
        <v>1191</v>
      </c>
      <c r="E42" s="1350"/>
      <c r="F42" s="1350"/>
      <c r="G42" s="1350"/>
      <c r="H42" s="1350"/>
      <c r="I42" s="1350"/>
      <c r="J42" s="1350"/>
      <c r="K42" s="1350"/>
      <c r="L42" s="1350"/>
      <c r="M42" s="1350"/>
      <c r="N42" s="1350"/>
      <c r="O42" s="1350"/>
      <c r="P42" s="1350">
        <v>10312</v>
      </c>
      <c r="Q42" s="1350">
        <v>10553</v>
      </c>
      <c r="R42" s="1350">
        <v>10708</v>
      </c>
      <c r="S42" s="1350">
        <v>10035</v>
      </c>
      <c r="T42" s="1350">
        <v>10537</v>
      </c>
      <c r="U42" s="1350">
        <v>10106</v>
      </c>
      <c r="V42" s="1350"/>
      <c r="W42" s="1350"/>
      <c r="X42" s="1350"/>
      <c r="Y42" s="1202"/>
      <c r="Z42" s="1202"/>
      <c r="AA42" s="1202"/>
      <c r="AB42" s="1202"/>
      <c r="AC42" s="1202"/>
    </row>
    <row r="43" spans="1:29" x14ac:dyDescent="0.2">
      <c r="D43" s="994" t="s">
        <v>1192</v>
      </c>
      <c r="E43" s="955"/>
      <c r="F43" s="955"/>
      <c r="G43" s="955"/>
      <c r="H43" s="955"/>
      <c r="I43" s="955"/>
      <c r="J43" s="955"/>
      <c r="K43" s="955"/>
      <c r="L43" s="955"/>
      <c r="M43" s="955"/>
      <c r="N43" s="955"/>
      <c r="O43" s="955"/>
      <c r="P43" s="955">
        <v>2000</v>
      </c>
      <c r="Q43" s="955">
        <v>6716</v>
      </c>
      <c r="R43" s="955">
        <v>7350</v>
      </c>
      <c r="S43" s="955">
        <v>8198</v>
      </c>
      <c r="T43" s="1351">
        <v>9070</v>
      </c>
      <c r="U43" s="1351">
        <v>7386</v>
      </c>
      <c r="V43" s="1351"/>
      <c r="W43" s="1351"/>
      <c r="X43" s="1351"/>
    </row>
    <row r="44" spans="1:29" x14ac:dyDescent="0.2">
      <c r="D44" s="1352" t="s">
        <v>389</v>
      </c>
      <c r="E44" s="1353"/>
      <c r="F44" s="1353"/>
      <c r="G44" s="1353"/>
      <c r="H44" s="1353"/>
      <c r="I44" s="1353"/>
      <c r="J44" s="1353"/>
      <c r="K44" s="1353"/>
      <c r="L44" s="1353"/>
      <c r="M44" s="1353"/>
      <c r="N44" s="1353"/>
      <c r="O44" s="1353"/>
      <c r="P44" s="1353">
        <v>19</v>
      </c>
      <c r="Q44" s="1353">
        <v>64</v>
      </c>
      <c r="R44" s="1353">
        <v>69</v>
      </c>
      <c r="S44" s="1353">
        <v>82</v>
      </c>
      <c r="T44" s="1354">
        <v>86</v>
      </c>
      <c r="U44" s="1354">
        <v>73</v>
      </c>
      <c r="V44" s="1354"/>
      <c r="W44" s="1354"/>
      <c r="X44" s="1354"/>
    </row>
    <row r="45" spans="1:29" x14ac:dyDescent="0.2">
      <c r="D45" s="994" t="s">
        <v>1193</v>
      </c>
      <c r="E45" s="955"/>
      <c r="F45" s="955"/>
      <c r="G45" s="955"/>
      <c r="H45" s="955"/>
      <c r="I45" s="955"/>
      <c r="J45" s="955"/>
      <c r="K45" s="955"/>
      <c r="L45" s="955"/>
      <c r="M45" s="955"/>
      <c r="N45" s="955"/>
      <c r="O45" s="955"/>
      <c r="P45" s="1355" t="s">
        <v>1194</v>
      </c>
      <c r="Q45" s="1355" t="s">
        <v>1195</v>
      </c>
      <c r="R45" s="1355" t="s">
        <v>1195</v>
      </c>
      <c r="S45" s="1356" t="s">
        <v>1196</v>
      </c>
      <c r="T45" s="1356" t="s">
        <v>1197</v>
      </c>
      <c r="U45" s="1356" t="s">
        <v>1198</v>
      </c>
      <c r="V45" s="1356"/>
      <c r="W45" s="1356"/>
      <c r="X45" s="1356"/>
    </row>
    <row r="46" spans="1:29" x14ac:dyDescent="0.2">
      <c r="D46" s="1357" t="s">
        <v>1199</v>
      </c>
      <c r="E46" s="955"/>
      <c r="F46" s="955"/>
      <c r="G46" s="955"/>
      <c r="H46" s="955"/>
      <c r="I46" s="955"/>
      <c r="J46" s="955"/>
      <c r="K46" s="955"/>
      <c r="L46" s="955"/>
      <c r="M46" s="955"/>
      <c r="N46" s="3678"/>
      <c r="O46" s="955"/>
      <c r="P46" s="1358">
        <v>0</v>
      </c>
      <c r="Q46" s="1358">
        <v>0</v>
      </c>
      <c r="R46" s="1358">
        <v>0</v>
      </c>
      <c r="S46" s="1358">
        <v>0</v>
      </c>
      <c r="T46" s="1351">
        <v>0</v>
      </c>
      <c r="U46" s="1351">
        <v>0</v>
      </c>
      <c r="V46" s="1351"/>
      <c r="W46" s="1351"/>
      <c r="X46" s="1351"/>
    </row>
    <row r="47" spans="1:29" x14ac:dyDescent="0.2">
      <c r="D47" s="1359" t="s">
        <v>1200</v>
      </c>
      <c r="E47" s="1360"/>
      <c r="F47" s="1360"/>
      <c r="G47" s="1360"/>
      <c r="H47" s="1360"/>
      <c r="I47" s="1360"/>
      <c r="J47" s="1360"/>
      <c r="K47" s="1360"/>
      <c r="L47" s="1360"/>
      <c r="M47" s="1360"/>
      <c r="N47" s="1360"/>
      <c r="O47" s="1360"/>
      <c r="P47" s="1361">
        <v>0</v>
      </c>
      <c r="Q47" s="1361">
        <v>0</v>
      </c>
      <c r="R47" s="1361">
        <v>0</v>
      </c>
      <c r="S47" s="1362" t="s">
        <v>1196</v>
      </c>
      <c r="T47" s="1362" t="s">
        <v>1197</v>
      </c>
      <c r="U47" s="1362" t="s">
        <v>1198</v>
      </c>
      <c r="V47" s="1362"/>
      <c r="W47" s="1362"/>
      <c r="X47" s="1362"/>
      <c r="Y47" s="1363"/>
      <c r="Z47" s="1363"/>
      <c r="AA47" s="1363"/>
      <c r="AB47" s="1363"/>
      <c r="AC47" s="1363"/>
    </row>
    <row r="51" spans="18:18" x14ac:dyDescent="0.2">
      <c r="R51" s="3433"/>
    </row>
  </sheetData>
  <mergeCells count="9">
    <mergeCell ref="D37:AC37"/>
    <mergeCell ref="D38:P38"/>
    <mergeCell ref="D39:P39"/>
    <mergeCell ref="D2:AC2"/>
    <mergeCell ref="D3:AC3"/>
    <mergeCell ref="D4:AC4"/>
    <mergeCell ref="D5:AC5"/>
    <mergeCell ref="D35:AC35"/>
    <mergeCell ref="D36:AC36"/>
  </mergeCells>
  <pageMargins left="0.74803149606299202" right="0.74803149606299202" top="0.98425196850393704" bottom="0.98425196850393704" header="0.511811023622047" footer="0.511811023622047"/>
  <pageSetup paperSize="9" scale="46"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A7051-3A61-4F49-B9D2-A642991D76B4}">
  <sheetPr>
    <tabColor theme="9"/>
    <pageSetUpPr fitToPage="1"/>
  </sheetPr>
  <dimension ref="A2:AF107"/>
  <sheetViews>
    <sheetView showGridLines="0" view="pageBreakPreview" zoomScale="110" zoomScaleNormal="100" zoomScaleSheetLayoutView="110" workbookViewId="0">
      <selection activeCell="AB10" sqref="AB10"/>
    </sheetView>
  </sheetViews>
  <sheetFormatPr defaultColWidth="9.140625" defaultRowHeight="15" x14ac:dyDescent="0.2"/>
  <cols>
    <col min="1" max="1" width="3.85546875" style="506" customWidth="1"/>
    <col min="2" max="2" width="12" style="507" customWidth="1"/>
    <col min="3" max="3" width="6.42578125" style="507" customWidth="1"/>
    <col min="4" max="4" width="12" style="508" customWidth="1"/>
    <col min="5" max="8" width="6.85546875" style="508" customWidth="1"/>
    <col min="9" max="9" width="6.140625" style="508" customWidth="1"/>
    <col min="10" max="10" width="5.85546875" style="508" customWidth="1"/>
    <col min="11" max="11" width="5.5703125" style="508" customWidth="1"/>
    <col min="12" max="13" width="5.85546875" style="508" customWidth="1"/>
    <col min="14" max="14" width="5" style="508" customWidth="1"/>
    <col min="15" max="15" width="5.5703125" style="508" customWidth="1"/>
    <col min="16" max="16" width="5.85546875" style="508" customWidth="1"/>
    <col min="17" max="18" width="5.140625" style="508" customWidth="1"/>
    <col min="19" max="19" width="5.5703125" style="508" customWidth="1"/>
    <col min="20" max="20" width="5.42578125" style="508" customWidth="1"/>
    <col min="21" max="21" width="5.140625" style="508" customWidth="1"/>
    <col min="22" max="23" width="5.42578125" style="508" customWidth="1"/>
    <col min="24" max="24" width="6.5703125" style="508" customWidth="1"/>
    <col min="25" max="25" width="5.140625" style="508" customWidth="1"/>
    <col min="26" max="26" width="5.85546875" style="508" customWidth="1"/>
    <col min="27" max="27" width="5.42578125" style="508" customWidth="1"/>
    <col min="28" max="28" width="6.42578125" style="508" customWidth="1"/>
    <col min="29" max="29" width="5.42578125" style="508" customWidth="1"/>
    <col min="30" max="30" width="6.5703125" style="508" customWidth="1"/>
    <col min="31" max="259" width="9.140625" style="508"/>
    <col min="260" max="260" width="3.85546875" style="508" customWidth="1"/>
    <col min="261" max="261" width="14.42578125" style="508" customWidth="1"/>
    <col min="262" max="262" width="3.85546875" style="508" customWidth="1"/>
    <col min="263" max="263" width="14.140625" style="508" customWidth="1"/>
    <col min="264" max="278" width="6.85546875" style="508" customWidth="1"/>
    <col min="279" max="515" width="9.140625" style="508"/>
    <col min="516" max="516" width="3.85546875" style="508" customWidth="1"/>
    <col min="517" max="517" width="14.42578125" style="508" customWidth="1"/>
    <col min="518" max="518" width="3.85546875" style="508" customWidth="1"/>
    <col min="519" max="519" width="14.140625" style="508" customWidth="1"/>
    <col min="520" max="534" width="6.85546875" style="508" customWidth="1"/>
    <col min="535" max="771" width="9.140625" style="508"/>
    <col min="772" max="772" width="3.85546875" style="508" customWidth="1"/>
    <col min="773" max="773" width="14.42578125" style="508" customWidth="1"/>
    <col min="774" max="774" width="3.85546875" style="508" customWidth="1"/>
    <col min="775" max="775" width="14.140625" style="508" customWidth="1"/>
    <col min="776" max="790" width="6.85546875" style="508" customWidth="1"/>
    <col min="791" max="1027" width="9.140625" style="508"/>
    <col min="1028" max="1028" width="3.85546875" style="508" customWidth="1"/>
    <col min="1029" max="1029" width="14.42578125" style="508" customWidth="1"/>
    <col min="1030" max="1030" width="3.85546875" style="508" customWidth="1"/>
    <col min="1031" max="1031" width="14.140625" style="508" customWidth="1"/>
    <col min="1032" max="1046" width="6.85546875" style="508" customWidth="1"/>
    <col min="1047" max="1283" width="9.140625" style="508"/>
    <col min="1284" max="1284" width="3.85546875" style="508" customWidth="1"/>
    <col min="1285" max="1285" width="14.42578125" style="508" customWidth="1"/>
    <col min="1286" max="1286" width="3.85546875" style="508" customWidth="1"/>
    <col min="1287" max="1287" width="14.140625" style="508" customWidth="1"/>
    <col min="1288" max="1302" width="6.85546875" style="508" customWidth="1"/>
    <col min="1303" max="1539" width="9.140625" style="508"/>
    <col min="1540" max="1540" width="3.85546875" style="508" customWidth="1"/>
    <col min="1541" max="1541" width="14.42578125" style="508" customWidth="1"/>
    <col min="1542" max="1542" width="3.85546875" style="508" customWidth="1"/>
    <col min="1543" max="1543" width="14.140625" style="508" customWidth="1"/>
    <col min="1544" max="1558" width="6.85546875" style="508" customWidth="1"/>
    <col min="1559" max="1795" width="9.140625" style="508"/>
    <col min="1796" max="1796" width="3.85546875" style="508" customWidth="1"/>
    <col min="1797" max="1797" width="14.42578125" style="508" customWidth="1"/>
    <col min="1798" max="1798" width="3.85546875" style="508" customWidth="1"/>
    <col min="1799" max="1799" width="14.140625" style="508" customWidth="1"/>
    <col min="1800" max="1814" width="6.85546875" style="508" customWidth="1"/>
    <col min="1815" max="2051" width="9.140625" style="508"/>
    <col min="2052" max="2052" width="3.85546875" style="508" customWidth="1"/>
    <col min="2053" max="2053" width="14.42578125" style="508" customWidth="1"/>
    <col min="2054" max="2054" width="3.85546875" style="508" customWidth="1"/>
    <col min="2055" max="2055" width="14.140625" style="508" customWidth="1"/>
    <col min="2056" max="2070" width="6.85546875" style="508" customWidth="1"/>
    <col min="2071" max="2307" width="9.140625" style="508"/>
    <col min="2308" max="2308" width="3.85546875" style="508" customWidth="1"/>
    <col min="2309" max="2309" width="14.42578125" style="508" customWidth="1"/>
    <col min="2310" max="2310" width="3.85546875" style="508" customWidth="1"/>
    <col min="2311" max="2311" width="14.140625" style="508" customWidth="1"/>
    <col min="2312" max="2326" width="6.85546875" style="508" customWidth="1"/>
    <col min="2327" max="2563" width="9.140625" style="508"/>
    <col min="2564" max="2564" width="3.85546875" style="508" customWidth="1"/>
    <col min="2565" max="2565" width="14.42578125" style="508" customWidth="1"/>
    <col min="2566" max="2566" width="3.85546875" style="508" customWidth="1"/>
    <col min="2567" max="2567" width="14.140625" style="508" customWidth="1"/>
    <col min="2568" max="2582" width="6.85546875" style="508" customWidth="1"/>
    <col min="2583" max="2819" width="9.140625" style="508"/>
    <col min="2820" max="2820" width="3.85546875" style="508" customWidth="1"/>
    <col min="2821" max="2821" width="14.42578125" style="508" customWidth="1"/>
    <col min="2822" max="2822" width="3.85546875" style="508" customWidth="1"/>
    <col min="2823" max="2823" width="14.140625" style="508" customWidth="1"/>
    <col min="2824" max="2838" width="6.85546875" style="508" customWidth="1"/>
    <col min="2839" max="3075" width="9.140625" style="508"/>
    <col min="3076" max="3076" width="3.85546875" style="508" customWidth="1"/>
    <col min="3077" max="3077" width="14.42578125" style="508" customWidth="1"/>
    <col min="3078" max="3078" width="3.85546875" style="508" customWidth="1"/>
    <col min="3079" max="3079" width="14.140625" style="508" customWidth="1"/>
    <col min="3080" max="3094" width="6.85546875" style="508" customWidth="1"/>
    <col min="3095" max="3331" width="9.140625" style="508"/>
    <col min="3332" max="3332" width="3.85546875" style="508" customWidth="1"/>
    <col min="3333" max="3333" width="14.42578125" style="508" customWidth="1"/>
    <col min="3334" max="3334" width="3.85546875" style="508" customWidth="1"/>
    <col min="3335" max="3335" width="14.140625" style="508" customWidth="1"/>
    <col min="3336" max="3350" width="6.85546875" style="508" customWidth="1"/>
    <col min="3351" max="3587" width="9.140625" style="508"/>
    <col min="3588" max="3588" width="3.85546875" style="508" customWidth="1"/>
    <col min="3589" max="3589" width="14.42578125" style="508" customWidth="1"/>
    <col min="3590" max="3590" width="3.85546875" style="508" customWidth="1"/>
    <col min="3591" max="3591" width="14.140625" style="508" customWidth="1"/>
    <col min="3592" max="3606" width="6.85546875" style="508" customWidth="1"/>
    <col min="3607" max="3843" width="9.140625" style="508"/>
    <col min="3844" max="3844" width="3.85546875" style="508" customWidth="1"/>
    <col min="3845" max="3845" width="14.42578125" style="508" customWidth="1"/>
    <col min="3846" max="3846" width="3.85546875" style="508" customWidth="1"/>
    <col min="3847" max="3847" width="14.140625" style="508" customWidth="1"/>
    <col min="3848" max="3862" width="6.85546875" style="508" customWidth="1"/>
    <col min="3863" max="4099" width="9.140625" style="508"/>
    <col min="4100" max="4100" width="3.85546875" style="508" customWidth="1"/>
    <col min="4101" max="4101" width="14.42578125" style="508" customWidth="1"/>
    <col min="4102" max="4102" width="3.85546875" style="508" customWidth="1"/>
    <col min="4103" max="4103" width="14.140625" style="508" customWidth="1"/>
    <col min="4104" max="4118" width="6.85546875" style="508" customWidth="1"/>
    <col min="4119" max="4355" width="9.140625" style="508"/>
    <col min="4356" max="4356" width="3.85546875" style="508" customWidth="1"/>
    <col min="4357" max="4357" width="14.42578125" style="508" customWidth="1"/>
    <col min="4358" max="4358" width="3.85546875" style="508" customWidth="1"/>
    <col min="4359" max="4359" width="14.140625" style="508" customWidth="1"/>
    <col min="4360" max="4374" width="6.85546875" style="508" customWidth="1"/>
    <col min="4375" max="4611" width="9.140625" style="508"/>
    <col min="4612" max="4612" width="3.85546875" style="508" customWidth="1"/>
    <col min="4613" max="4613" width="14.42578125" style="508" customWidth="1"/>
    <col min="4614" max="4614" width="3.85546875" style="508" customWidth="1"/>
    <col min="4615" max="4615" width="14.140625" style="508" customWidth="1"/>
    <col min="4616" max="4630" width="6.85546875" style="508" customWidth="1"/>
    <col min="4631" max="4867" width="9.140625" style="508"/>
    <col min="4868" max="4868" width="3.85546875" style="508" customWidth="1"/>
    <col min="4869" max="4869" width="14.42578125" style="508" customWidth="1"/>
    <col min="4870" max="4870" width="3.85546875" style="508" customWidth="1"/>
    <col min="4871" max="4871" width="14.140625" style="508" customWidth="1"/>
    <col min="4872" max="4886" width="6.85546875" style="508" customWidth="1"/>
    <col min="4887" max="5123" width="9.140625" style="508"/>
    <col min="5124" max="5124" width="3.85546875" style="508" customWidth="1"/>
    <col min="5125" max="5125" width="14.42578125" style="508" customWidth="1"/>
    <col min="5126" max="5126" width="3.85546875" style="508" customWidth="1"/>
    <col min="5127" max="5127" width="14.140625" style="508" customWidth="1"/>
    <col min="5128" max="5142" width="6.85546875" style="508" customWidth="1"/>
    <col min="5143" max="5379" width="9.140625" style="508"/>
    <col min="5380" max="5380" width="3.85546875" style="508" customWidth="1"/>
    <col min="5381" max="5381" width="14.42578125" style="508" customWidth="1"/>
    <col min="5382" max="5382" width="3.85546875" style="508" customWidth="1"/>
    <col min="5383" max="5383" width="14.140625" style="508" customWidth="1"/>
    <col min="5384" max="5398" width="6.85546875" style="508" customWidth="1"/>
    <col min="5399" max="5635" width="9.140625" style="508"/>
    <col min="5636" max="5636" width="3.85546875" style="508" customWidth="1"/>
    <col min="5637" max="5637" width="14.42578125" style="508" customWidth="1"/>
    <col min="5638" max="5638" width="3.85546875" style="508" customWidth="1"/>
    <col min="5639" max="5639" width="14.140625" style="508" customWidth="1"/>
    <col min="5640" max="5654" width="6.85546875" style="508" customWidth="1"/>
    <col min="5655" max="5891" width="9.140625" style="508"/>
    <col min="5892" max="5892" width="3.85546875" style="508" customWidth="1"/>
    <col min="5893" max="5893" width="14.42578125" style="508" customWidth="1"/>
    <col min="5894" max="5894" width="3.85546875" style="508" customWidth="1"/>
    <col min="5895" max="5895" width="14.140625" style="508" customWidth="1"/>
    <col min="5896" max="5910" width="6.85546875" style="508" customWidth="1"/>
    <col min="5911" max="6147" width="9.140625" style="508"/>
    <col min="6148" max="6148" width="3.85546875" style="508" customWidth="1"/>
    <col min="6149" max="6149" width="14.42578125" style="508" customWidth="1"/>
    <col min="6150" max="6150" width="3.85546875" style="508" customWidth="1"/>
    <col min="6151" max="6151" width="14.140625" style="508" customWidth="1"/>
    <col min="6152" max="6166" width="6.85546875" style="508" customWidth="1"/>
    <col min="6167" max="6403" width="9.140625" style="508"/>
    <col min="6404" max="6404" width="3.85546875" style="508" customWidth="1"/>
    <col min="6405" max="6405" width="14.42578125" style="508" customWidth="1"/>
    <col min="6406" max="6406" width="3.85546875" style="508" customWidth="1"/>
    <col min="6407" max="6407" width="14.140625" style="508" customWidth="1"/>
    <col min="6408" max="6422" width="6.85546875" style="508" customWidth="1"/>
    <col min="6423" max="6659" width="9.140625" style="508"/>
    <col min="6660" max="6660" width="3.85546875" style="508" customWidth="1"/>
    <col min="6661" max="6661" width="14.42578125" style="508" customWidth="1"/>
    <col min="6662" max="6662" width="3.85546875" style="508" customWidth="1"/>
    <col min="6663" max="6663" width="14.140625" style="508" customWidth="1"/>
    <col min="6664" max="6678" width="6.85546875" style="508" customWidth="1"/>
    <col min="6679" max="6915" width="9.140625" style="508"/>
    <col min="6916" max="6916" width="3.85546875" style="508" customWidth="1"/>
    <col min="6917" max="6917" width="14.42578125" style="508" customWidth="1"/>
    <col min="6918" max="6918" width="3.85546875" style="508" customWidth="1"/>
    <col min="6919" max="6919" width="14.140625" style="508" customWidth="1"/>
    <col min="6920" max="6934" width="6.85546875" style="508" customWidth="1"/>
    <col min="6935" max="7171" width="9.140625" style="508"/>
    <col min="7172" max="7172" width="3.85546875" style="508" customWidth="1"/>
    <col min="7173" max="7173" width="14.42578125" style="508" customWidth="1"/>
    <col min="7174" max="7174" width="3.85546875" style="508" customWidth="1"/>
    <col min="7175" max="7175" width="14.140625" style="508" customWidth="1"/>
    <col min="7176" max="7190" width="6.85546875" style="508" customWidth="1"/>
    <col min="7191" max="7427" width="9.140625" style="508"/>
    <col min="7428" max="7428" width="3.85546875" style="508" customWidth="1"/>
    <col min="7429" max="7429" width="14.42578125" style="508" customWidth="1"/>
    <col min="7430" max="7430" width="3.85546875" style="508" customWidth="1"/>
    <col min="7431" max="7431" width="14.140625" style="508" customWidth="1"/>
    <col min="7432" max="7446" width="6.85546875" style="508" customWidth="1"/>
    <col min="7447" max="7683" width="9.140625" style="508"/>
    <col min="7684" max="7684" width="3.85546875" style="508" customWidth="1"/>
    <col min="7685" max="7685" width="14.42578125" style="508" customWidth="1"/>
    <col min="7686" max="7686" width="3.85546875" style="508" customWidth="1"/>
    <col min="7687" max="7687" width="14.140625" style="508" customWidth="1"/>
    <col min="7688" max="7702" width="6.85546875" style="508" customWidth="1"/>
    <col min="7703" max="7939" width="9.140625" style="508"/>
    <col min="7940" max="7940" width="3.85546875" style="508" customWidth="1"/>
    <col min="7941" max="7941" width="14.42578125" style="508" customWidth="1"/>
    <col min="7942" max="7942" width="3.85546875" style="508" customWidth="1"/>
    <col min="7943" max="7943" width="14.140625" style="508" customWidth="1"/>
    <col min="7944" max="7958" width="6.85546875" style="508" customWidth="1"/>
    <col min="7959" max="8195" width="9.140625" style="508"/>
    <col min="8196" max="8196" width="3.85546875" style="508" customWidth="1"/>
    <col min="8197" max="8197" width="14.42578125" style="508" customWidth="1"/>
    <col min="8198" max="8198" width="3.85546875" style="508" customWidth="1"/>
    <col min="8199" max="8199" width="14.140625" style="508" customWidth="1"/>
    <col min="8200" max="8214" width="6.85546875" style="508" customWidth="1"/>
    <col min="8215" max="8451" width="9.140625" style="508"/>
    <col min="8452" max="8452" width="3.85546875" style="508" customWidth="1"/>
    <col min="8453" max="8453" width="14.42578125" style="508" customWidth="1"/>
    <col min="8454" max="8454" width="3.85546875" style="508" customWidth="1"/>
    <col min="8455" max="8455" width="14.140625" style="508" customWidth="1"/>
    <col min="8456" max="8470" width="6.85546875" style="508" customWidth="1"/>
    <col min="8471" max="8707" width="9.140625" style="508"/>
    <col min="8708" max="8708" width="3.85546875" style="508" customWidth="1"/>
    <col min="8709" max="8709" width="14.42578125" style="508" customWidth="1"/>
    <col min="8710" max="8710" width="3.85546875" style="508" customWidth="1"/>
    <col min="8711" max="8711" width="14.140625" style="508" customWidth="1"/>
    <col min="8712" max="8726" width="6.85546875" style="508" customWidth="1"/>
    <col min="8727" max="8963" width="9.140625" style="508"/>
    <col min="8964" max="8964" width="3.85546875" style="508" customWidth="1"/>
    <col min="8965" max="8965" width="14.42578125" style="508" customWidth="1"/>
    <col min="8966" max="8966" width="3.85546875" style="508" customWidth="1"/>
    <col min="8967" max="8967" width="14.140625" style="508" customWidth="1"/>
    <col min="8968" max="8982" width="6.85546875" style="508" customWidth="1"/>
    <col min="8983" max="9219" width="9.140625" style="508"/>
    <col min="9220" max="9220" width="3.85546875" style="508" customWidth="1"/>
    <col min="9221" max="9221" width="14.42578125" style="508" customWidth="1"/>
    <col min="9222" max="9222" width="3.85546875" style="508" customWidth="1"/>
    <col min="9223" max="9223" width="14.140625" style="508" customWidth="1"/>
    <col min="9224" max="9238" width="6.85546875" style="508" customWidth="1"/>
    <col min="9239" max="9475" width="9.140625" style="508"/>
    <col min="9476" max="9476" width="3.85546875" style="508" customWidth="1"/>
    <col min="9477" max="9477" width="14.42578125" style="508" customWidth="1"/>
    <col min="9478" max="9478" width="3.85546875" style="508" customWidth="1"/>
    <col min="9479" max="9479" width="14.140625" style="508" customWidth="1"/>
    <col min="9480" max="9494" width="6.85546875" style="508" customWidth="1"/>
    <col min="9495" max="9731" width="9.140625" style="508"/>
    <col min="9732" max="9732" width="3.85546875" style="508" customWidth="1"/>
    <col min="9733" max="9733" width="14.42578125" style="508" customWidth="1"/>
    <col min="9734" max="9734" width="3.85546875" style="508" customWidth="1"/>
    <col min="9735" max="9735" width="14.140625" style="508" customWidth="1"/>
    <col min="9736" max="9750" width="6.85546875" style="508" customWidth="1"/>
    <col min="9751" max="9987" width="9.140625" style="508"/>
    <col min="9988" max="9988" width="3.85546875" style="508" customWidth="1"/>
    <col min="9989" max="9989" width="14.42578125" style="508" customWidth="1"/>
    <col min="9990" max="9990" width="3.85546875" style="508" customWidth="1"/>
    <col min="9991" max="9991" width="14.140625" style="508" customWidth="1"/>
    <col min="9992" max="10006" width="6.85546875" style="508" customWidth="1"/>
    <col min="10007" max="10243" width="9.140625" style="508"/>
    <col min="10244" max="10244" width="3.85546875" style="508" customWidth="1"/>
    <col min="10245" max="10245" width="14.42578125" style="508" customWidth="1"/>
    <col min="10246" max="10246" width="3.85546875" style="508" customWidth="1"/>
    <col min="10247" max="10247" width="14.140625" style="508" customWidth="1"/>
    <col min="10248" max="10262" width="6.85546875" style="508" customWidth="1"/>
    <col min="10263" max="10499" width="9.140625" style="508"/>
    <col min="10500" max="10500" width="3.85546875" style="508" customWidth="1"/>
    <col min="10501" max="10501" width="14.42578125" style="508" customWidth="1"/>
    <col min="10502" max="10502" width="3.85546875" style="508" customWidth="1"/>
    <col min="10503" max="10503" width="14.140625" style="508" customWidth="1"/>
    <col min="10504" max="10518" width="6.85546875" style="508" customWidth="1"/>
    <col min="10519" max="10755" width="9.140625" style="508"/>
    <col min="10756" max="10756" width="3.85546875" style="508" customWidth="1"/>
    <col min="10757" max="10757" width="14.42578125" style="508" customWidth="1"/>
    <col min="10758" max="10758" width="3.85546875" style="508" customWidth="1"/>
    <col min="10759" max="10759" width="14.140625" style="508" customWidth="1"/>
    <col min="10760" max="10774" width="6.85546875" style="508" customWidth="1"/>
    <col min="10775" max="11011" width="9.140625" style="508"/>
    <col min="11012" max="11012" width="3.85546875" style="508" customWidth="1"/>
    <col min="11013" max="11013" width="14.42578125" style="508" customWidth="1"/>
    <col min="11014" max="11014" width="3.85546875" style="508" customWidth="1"/>
    <col min="11015" max="11015" width="14.140625" style="508" customWidth="1"/>
    <col min="11016" max="11030" width="6.85546875" style="508" customWidth="1"/>
    <col min="11031" max="11267" width="9.140625" style="508"/>
    <col min="11268" max="11268" width="3.85546875" style="508" customWidth="1"/>
    <col min="11269" max="11269" width="14.42578125" style="508" customWidth="1"/>
    <col min="11270" max="11270" width="3.85546875" style="508" customWidth="1"/>
    <col min="11271" max="11271" width="14.140625" style="508" customWidth="1"/>
    <col min="11272" max="11286" width="6.85546875" style="508" customWidth="1"/>
    <col min="11287" max="11523" width="9.140625" style="508"/>
    <col min="11524" max="11524" width="3.85546875" style="508" customWidth="1"/>
    <col min="11525" max="11525" width="14.42578125" style="508" customWidth="1"/>
    <col min="11526" max="11526" width="3.85546875" style="508" customWidth="1"/>
    <col min="11527" max="11527" width="14.140625" style="508" customWidth="1"/>
    <col min="11528" max="11542" width="6.85546875" style="508" customWidth="1"/>
    <col min="11543" max="11779" width="9.140625" style="508"/>
    <col min="11780" max="11780" width="3.85546875" style="508" customWidth="1"/>
    <col min="11781" max="11781" width="14.42578125" style="508" customWidth="1"/>
    <col min="11782" max="11782" width="3.85546875" style="508" customWidth="1"/>
    <col min="11783" max="11783" width="14.140625" style="508" customWidth="1"/>
    <col min="11784" max="11798" width="6.85546875" style="508" customWidth="1"/>
    <col min="11799" max="12035" width="9.140625" style="508"/>
    <col min="12036" max="12036" width="3.85546875" style="508" customWidth="1"/>
    <col min="12037" max="12037" width="14.42578125" style="508" customWidth="1"/>
    <col min="12038" max="12038" width="3.85546875" style="508" customWidth="1"/>
    <col min="12039" max="12039" width="14.140625" style="508" customWidth="1"/>
    <col min="12040" max="12054" width="6.85546875" style="508" customWidth="1"/>
    <col min="12055" max="12291" width="9.140625" style="508"/>
    <col min="12292" max="12292" width="3.85546875" style="508" customWidth="1"/>
    <col min="12293" max="12293" width="14.42578125" style="508" customWidth="1"/>
    <col min="12294" max="12294" width="3.85546875" style="508" customWidth="1"/>
    <col min="12295" max="12295" width="14.140625" style="508" customWidth="1"/>
    <col min="12296" max="12310" width="6.85546875" style="508" customWidth="1"/>
    <col min="12311" max="12547" width="9.140625" style="508"/>
    <col min="12548" max="12548" width="3.85546875" style="508" customWidth="1"/>
    <col min="12549" max="12549" width="14.42578125" style="508" customWidth="1"/>
    <col min="12550" max="12550" width="3.85546875" style="508" customWidth="1"/>
    <col min="12551" max="12551" width="14.140625" style="508" customWidth="1"/>
    <col min="12552" max="12566" width="6.85546875" style="508" customWidth="1"/>
    <col min="12567" max="12803" width="9.140625" style="508"/>
    <col min="12804" max="12804" width="3.85546875" style="508" customWidth="1"/>
    <col min="12805" max="12805" width="14.42578125" style="508" customWidth="1"/>
    <col min="12806" max="12806" width="3.85546875" style="508" customWidth="1"/>
    <col min="12807" max="12807" width="14.140625" style="508" customWidth="1"/>
    <col min="12808" max="12822" width="6.85546875" style="508" customWidth="1"/>
    <col min="12823" max="13059" width="9.140625" style="508"/>
    <col min="13060" max="13060" width="3.85546875" style="508" customWidth="1"/>
    <col min="13061" max="13061" width="14.42578125" style="508" customWidth="1"/>
    <col min="13062" max="13062" width="3.85546875" style="508" customWidth="1"/>
    <col min="13063" max="13063" width="14.140625" style="508" customWidth="1"/>
    <col min="13064" max="13078" width="6.85546875" style="508" customWidth="1"/>
    <col min="13079" max="13315" width="9.140625" style="508"/>
    <col min="13316" max="13316" width="3.85546875" style="508" customWidth="1"/>
    <col min="13317" max="13317" width="14.42578125" style="508" customWidth="1"/>
    <col min="13318" max="13318" width="3.85546875" style="508" customWidth="1"/>
    <col min="13319" max="13319" width="14.140625" style="508" customWidth="1"/>
    <col min="13320" max="13334" width="6.85546875" style="508" customWidth="1"/>
    <col min="13335" max="13571" width="9.140625" style="508"/>
    <col min="13572" max="13572" width="3.85546875" style="508" customWidth="1"/>
    <col min="13573" max="13573" width="14.42578125" style="508" customWidth="1"/>
    <col min="13574" max="13574" width="3.85546875" style="508" customWidth="1"/>
    <col min="13575" max="13575" width="14.140625" style="508" customWidth="1"/>
    <col min="13576" max="13590" width="6.85546875" style="508" customWidth="1"/>
    <col min="13591" max="13827" width="9.140625" style="508"/>
    <col min="13828" max="13828" width="3.85546875" style="508" customWidth="1"/>
    <col min="13829" max="13829" width="14.42578125" style="508" customWidth="1"/>
    <col min="13830" max="13830" width="3.85546875" style="508" customWidth="1"/>
    <col min="13831" max="13831" width="14.140625" style="508" customWidth="1"/>
    <col min="13832" max="13846" width="6.85546875" style="508" customWidth="1"/>
    <col min="13847" max="14083" width="9.140625" style="508"/>
    <col min="14084" max="14084" width="3.85546875" style="508" customWidth="1"/>
    <col min="14085" max="14085" width="14.42578125" style="508" customWidth="1"/>
    <col min="14086" max="14086" width="3.85546875" style="508" customWidth="1"/>
    <col min="14087" max="14087" width="14.140625" style="508" customWidth="1"/>
    <col min="14088" max="14102" width="6.85546875" style="508" customWidth="1"/>
    <col min="14103" max="14339" width="9.140625" style="508"/>
    <col min="14340" max="14340" width="3.85546875" style="508" customWidth="1"/>
    <col min="14341" max="14341" width="14.42578125" style="508" customWidth="1"/>
    <col min="14342" max="14342" width="3.85546875" style="508" customWidth="1"/>
    <col min="14343" max="14343" width="14.140625" style="508" customWidth="1"/>
    <col min="14344" max="14358" width="6.85546875" style="508" customWidth="1"/>
    <col min="14359" max="14595" width="9.140625" style="508"/>
    <col min="14596" max="14596" width="3.85546875" style="508" customWidth="1"/>
    <col min="14597" max="14597" width="14.42578125" style="508" customWidth="1"/>
    <col min="14598" max="14598" width="3.85546875" style="508" customWidth="1"/>
    <col min="14599" max="14599" width="14.140625" style="508" customWidth="1"/>
    <col min="14600" max="14614" width="6.85546875" style="508" customWidth="1"/>
    <col min="14615" max="14851" width="9.140625" style="508"/>
    <col min="14852" max="14852" width="3.85546875" style="508" customWidth="1"/>
    <col min="14853" max="14853" width="14.42578125" style="508" customWidth="1"/>
    <col min="14854" max="14854" width="3.85546875" style="508" customWidth="1"/>
    <col min="14855" max="14855" width="14.140625" style="508" customWidth="1"/>
    <col min="14856" max="14870" width="6.85546875" style="508" customWidth="1"/>
    <col min="14871" max="15107" width="9.140625" style="508"/>
    <col min="15108" max="15108" width="3.85546875" style="508" customWidth="1"/>
    <col min="15109" max="15109" width="14.42578125" style="508" customWidth="1"/>
    <col min="15110" max="15110" width="3.85546875" style="508" customWidth="1"/>
    <col min="15111" max="15111" width="14.140625" style="508" customWidth="1"/>
    <col min="15112" max="15126" width="6.85546875" style="508" customWidth="1"/>
    <col min="15127" max="15363" width="9.140625" style="508"/>
    <col min="15364" max="15364" width="3.85546875" style="508" customWidth="1"/>
    <col min="15365" max="15365" width="14.42578125" style="508" customWidth="1"/>
    <col min="15366" max="15366" width="3.85546875" style="508" customWidth="1"/>
    <col min="15367" max="15367" width="14.140625" style="508" customWidth="1"/>
    <col min="15368" max="15382" width="6.85546875" style="508" customWidth="1"/>
    <col min="15383" max="15619" width="9.140625" style="508"/>
    <col min="15620" max="15620" width="3.85546875" style="508" customWidth="1"/>
    <col min="15621" max="15621" width="14.42578125" style="508" customWidth="1"/>
    <col min="15622" max="15622" width="3.85546875" style="508" customWidth="1"/>
    <col min="15623" max="15623" width="14.140625" style="508" customWidth="1"/>
    <col min="15624" max="15638" width="6.85546875" style="508" customWidth="1"/>
    <col min="15639" max="15875" width="9.140625" style="508"/>
    <col min="15876" max="15876" width="3.85546875" style="508" customWidth="1"/>
    <col min="15877" max="15877" width="14.42578125" style="508" customWidth="1"/>
    <col min="15878" max="15878" width="3.85546875" style="508" customWidth="1"/>
    <col min="15879" max="15879" width="14.140625" style="508" customWidth="1"/>
    <col min="15880" max="15894" width="6.85546875" style="508" customWidth="1"/>
    <col min="15895" max="16131" width="9.140625" style="508"/>
    <col min="16132" max="16132" width="3.85546875" style="508" customWidth="1"/>
    <col min="16133" max="16133" width="14.42578125" style="508" customWidth="1"/>
    <col min="16134" max="16134" width="3.85546875" style="508" customWidth="1"/>
    <col min="16135" max="16135" width="14.140625" style="508" customWidth="1"/>
    <col min="16136" max="16150" width="6.85546875" style="508" customWidth="1"/>
    <col min="16151" max="16384" width="9.140625" style="508"/>
  </cols>
  <sheetData>
    <row r="2" spans="1:30" ht="15" customHeight="1" x14ac:dyDescent="0.2">
      <c r="A2" s="509">
        <v>1</v>
      </c>
      <c r="B2" s="509" t="s">
        <v>0</v>
      </c>
      <c r="C2" s="509">
        <v>44</v>
      </c>
      <c r="D2" s="4734" t="s">
        <v>1201</v>
      </c>
      <c r="E2" s="4735"/>
      <c r="F2" s="4735"/>
      <c r="G2" s="4735"/>
      <c r="H2" s="4735"/>
      <c r="I2" s="4735"/>
      <c r="J2" s="4735"/>
      <c r="K2" s="4735"/>
      <c r="L2" s="4735"/>
      <c r="M2" s="4735"/>
      <c r="N2" s="4735"/>
      <c r="O2" s="4735"/>
      <c r="P2" s="4735"/>
      <c r="Q2" s="4735"/>
      <c r="R2" s="4735"/>
      <c r="S2" s="4735"/>
      <c r="T2" s="4735"/>
      <c r="U2" s="4735"/>
      <c r="V2" s="4735"/>
      <c r="W2" s="4735"/>
      <c r="X2" s="4735"/>
      <c r="Y2" s="4735"/>
      <c r="Z2" s="4735"/>
      <c r="AA2" s="4736"/>
    </row>
    <row r="3" spans="1:30" ht="14.1" customHeight="1" x14ac:dyDescent="0.2">
      <c r="A3" s="509">
        <v>2</v>
      </c>
      <c r="B3" s="509" t="s">
        <v>2</v>
      </c>
      <c r="C3" s="509"/>
      <c r="D3" s="4734" t="s">
        <v>1041</v>
      </c>
      <c r="E3" s="4735"/>
      <c r="F3" s="4735"/>
      <c r="G3" s="4735"/>
      <c r="H3" s="4735"/>
      <c r="I3" s="4735"/>
      <c r="J3" s="4735"/>
      <c r="K3" s="4735"/>
      <c r="L3" s="4735"/>
      <c r="M3" s="4735"/>
      <c r="N3" s="4735"/>
      <c r="O3" s="4735"/>
      <c r="P3" s="4735"/>
      <c r="Q3" s="4735"/>
      <c r="R3" s="4735"/>
      <c r="S3" s="4735"/>
      <c r="T3" s="4735"/>
      <c r="U3" s="4735"/>
      <c r="V3" s="4735"/>
      <c r="W3" s="4735"/>
      <c r="X3" s="4735"/>
      <c r="Y3" s="4735"/>
      <c r="Z3" s="4735"/>
      <c r="AA3" s="4736"/>
    </row>
    <row r="4" spans="1:30" ht="15" customHeight="1" x14ac:dyDescent="0.2">
      <c r="A4" s="509">
        <v>3</v>
      </c>
      <c r="B4" s="509" t="s">
        <v>4</v>
      </c>
      <c r="C4" s="509"/>
      <c r="D4" s="4734" t="s">
        <v>1202</v>
      </c>
      <c r="E4" s="4735"/>
      <c r="F4" s="4735"/>
      <c r="G4" s="4735"/>
      <c r="H4" s="4735"/>
      <c r="I4" s="4735"/>
      <c r="J4" s="4735"/>
      <c r="K4" s="4735"/>
      <c r="L4" s="4735"/>
      <c r="M4" s="4735"/>
      <c r="N4" s="4735"/>
      <c r="O4" s="4735"/>
      <c r="P4" s="4735"/>
      <c r="Q4" s="4735"/>
      <c r="R4" s="4735"/>
      <c r="S4" s="4735"/>
      <c r="T4" s="4735"/>
      <c r="U4" s="4735"/>
      <c r="V4" s="4735"/>
      <c r="W4" s="4735"/>
      <c r="X4" s="4735"/>
      <c r="Y4" s="4735"/>
      <c r="Z4" s="4735"/>
      <c r="AA4" s="4736"/>
    </row>
    <row r="5" spans="1:30" ht="15" customHeight="1" x14ac:dyDescent="0.2">
      <c r="B5" s="509"/>
      <c r="C5" s="509"/>
      <c r="D5" s="867"/>
      <c r="E5" s="867"/>
      <c r="F5" s="867"/>
      <c r="G5" s="867"/>
      <c r="H5" s="867"/>
      <c r="I5" s="867"/>
      <c r="J5" s="867"/>
      <c r="K5" s="867"/>
      <c r="L5" s="867"/>
      <c r="M5" s="867"/>
      <c r="N5" s="867"/>
      <c r="O5" s="867"/>
      <c r="P5" s="867"/>
      <c r="Q5" s="867"/>
      <c r="R5" s="867"/>
      <c r="S5" s="867"/>
      <c r="T5" s="867"/>
      <c r="U5" s="867"/>
      <c r="V5" s="867"/>
      <c r="W5" s="867"/>
      <c r="X5" s="867"/>
      <c r="Y5" s="867"/>
      <c r="Z5" s="867"/>
    </row>
    <row r="6" spans="1:30" s="88" customFormat="1" ht="12.75" x14ac:dyDescent="0.2">
      <c r="A6" s="509">
        <v>4</v>
      </c>
      <c r="B6" s="509" t="s">
        <v>6</v>
      </c>
      <c r="C6" s="836"/>
      <c r="D6" s="72" t="s">
        <v>7</v>
      </c>
      <c r="E6" s="72" t="s">
        <v>1203</v>
      </c>
      <c r="F6" s="72"/>
      <c r="G6" s="72"/>
      <c r="H6" s="72"/>
      <c r="I6" s="72"/>
      <c r="J6" s="72"/>
      <c r="K6" s="72"/>
      <c r="L6" s="72"/>
      <c r="M6" s="95"/>
      <c r="N6" s="95"/>
      <c r="O6" s="95"/>
      <c r="P6" s="95"/>
      <c r="Q6" s="95"/>
      <c r="R6" s="95"/>
      <c r="S6" s="95"/>
      <c r="T6" s="95"/>
      <c r="U6" s="95"/>
      <c r="V6" s="95"/>
    </row>
    <row r="7" spans="1:30" s="88" customFormat="1" ht="14.25" customHeight="1" x14ac:dyDescent="0.25">
      <c r="A7" s="860"/>
      <c r="B7" s="836"/>
      <c r="C7" s="836"/>
      <c r="D7" s="99"/>
      <c r="E7" s="4226">
        <v>1996</v>
      </c>
      <c r="F7" s="4226">
        <v>1997</v>
      </c>
      <c r="G7" s="4226">
        <v>1998</v>
      </c>
      <c r="H7" s="4226">
        <v>1999</v>
      </c>
      <c r="I7" s="4227">
        <v>2000</v>
      </c>
      <c r="J7" s="4227">
        <v>2001</v>
      </c>
      <c r="K7" s="4227">
        <v>2002</v>
      </c>
      <c r="L7" s="4227">
        <v>2003</v>
      </c>
      <c r="M7" s="4227">
        <v>2004</v>
      </c>
      <c r="N7" s="4227">
        <v>2005</v>
      </c>
      <c r="O7" s="4227">
        <v>2006</v>
      </c>
      <c r="P7" s="4227">
        <v>2007</v>
      </c>
      <c r="Q7" s="4227">
        <v>2008</v>
      </c>
      <c r="R7" s="4227">
        <v>2009</v>
      </c>
      <c r="S7" s="4227">
        <v>2010</v>
      </c>
      <c r="T7" s="4227">
        <v>2011</v>
      </c>
      <c r="U7" s="4227">
        <v>2012</v>
      </c>
      <c r="V7" s="4227">
        <v>2013</v>
      </c>
      <c r="W7" s="4227">
        <v>2014</v>
      </c>
      <c r="X7" s="4228">
        <v>2015</v>
      </c>
      <c r="Y7" s="4229">
        <v>2016</v>
      </c>
      <c r="Z7" s="4228">
        <v>2017</v>
      </c>
      <c r="AA7" s="4228">
        <v>2018</v>
      </c>
      <c r="AB7" s="4228">
        <v>2019</v>
      </c>
      <c r="AC7" s="4230">
        <v>2020</v>
      </c>
      <c r="AD7" s="4230">
        <v>2021</v>
      </c>
    </row>
    <row r="8" spans="1:30" s="831" customFormat="1" ht="23.25" customHeight="1" x14ac:dyDescent="0.25">
      <c r="A8" s="1364"/>
      <c r="B8" s="913"/>
      <c r="C8" s="913"/>
      <c r="D8" s="1365" t="s">
        <v>1204</v>
      </c>
      <c r="E8" s="1366">
        <v>27035</v>
      </c>
      <c r="F8" s="1366">
        <v>23121</v>
      </c>
      <c r="G8" s="1366">
        <v>26445</v>
      </c>
      <c r="H8" s="1366">
        <v>51444</v>
      </c>
      <c r="I8" s="1367">
        <v>64622</v>
      </c>
      <c r="J8" s="1367">
        <v>26506</v>
      </c>
      <c r="K8" s="1367">
        <v>15649</v>
      </c>
      <c r="L8" s="1367">
        <v>13459</v>
      </c>
      <c r="M8" s="1367">
        <v>13399</v>
      </c>
      <c r="N8" s="1367">
        <v>7755</v>
      </c>
      <c r="O8" s="1368">
        <v>12163</v>
      </c>
      <c r="P8" s="1367">
        <v>5210</v>
      </c>
      <c r="Q8" s="1367">
        <v>7727</v>
      </c>
      <c r="R8" s="1367">
        <v>5586</v>
      </c>
      <c r="S8" s="1367">
        <v>8066</v>
      </c>
      <c r="T8" s="1367">
        <v>9866</v>
      </c>
      <c r="U8" s="1367">
        <v>6646</v>
      </c>
      <c r="V8" s="1367">
        <v>8851</v>
      </c>
      <c r="W8" s="1367">
        <v>13988</v>
      </c>
      <c r="X8" s="1369">
        <v>11276</v>
      </c>
      <c r="Y8" s="1370">
        <v>5846</v>
      </c>
      <c r="Z8" s="1371">
        <v>30450</v>
      </c>
      <c r="AA8" s="1372">
        <v>18638</v>
      </c>
      <c r="AB8" s="1372">
        <v>13833</v>
      </c>
      <c r="AC8" s="2395">
        <v>8126</v>
      </c>
      <c r="AD8" s="2395">
        <v>5894</v>
      </c>
    </row>
    <row r="9" spans="1:30" s="88" customFormat="1" ht="16.5" customHeight="1" x14ac:dyDescent="0.25">
      <c r="A9" s="860"/>
      <c r="B9" s="836"/>
      <c r="C9" s="836"/>
      <c r="D9" s="181" t="s">
        <v>1205</v>
      </c>
      <c r="E9" s="1373">
        <v>163</v>
      </c>
      <c r="F9" s="1373">
        <v>104</v>
      </c>
      <c r="G9" s="1373">
        <v>198</v>
      </c>
      <c r="H9" s="1373">
        <v>406</v>
      </c>
      <c r="I9" s="1374">
        <v>458</v>
      </c>
      <c r="J9" s="1374">
        <v>119</v>
      </c>
      <c r="K9" s="1374">
        <v>96</v>
      </c>
      <c r="L9" s="1374">
        <v>142</v>
      </c>
      <c r="M9" s="1374">
        <v>89</v>
      </c>
      <c r="N9" s="1374">
        <v>64</v>
      </c>
      <c r="O9" s="1374">
        <v>89</v>
      </c>
      <c r="P9" s="1374">
        <v>48</v>
      </c>
      <c r="Q9" s="1374">
        <v>44</v>
      </c>
      <c r="R9" s="1374">
        <v>43</v>
      </c>
      <c r="S9" s="1374">
        <v>87</v>
      </c>
      <c r="T9" s="1374">
        <v>89</v>
      </c>
      <c r="U9" s="1374">
        <v>72</v>
      </c>
      <c r="V9" s="1374">
        <v>104</v>
      </c>
      <c r="W9" s="1374">
        <v>174</v>
      </c>
      <c r="X9" s="1375">
        <v>141</v>
      </c>
      <c r="Y9" s="1376">
        <v>54</v>
      </c>
      <c r="Z9" s="1377">
        <v>331</v>
      </c>
      <c r="AA9" s="1378">
        <v>120</v>
      </c>
      <c r="AB9" s="1372">
        <v>79</v>
      </c>
      <c r="AC9" s="2396">
        <v>43</v>
      </c>
      <c r="AD9" s="2396">
        <v>77</v>
      </c>
    </row>
    <row r="10" spans="1:30" x14ac:dyDescent="0.25">
      <c r="D10" s="1314" t="s">
        <v>1206</v>
      </c>
      <c r="E10" s="1379">
        <v>6.029221379692991E-3</v>
      </c>
      <c r="F10" s="1379">
        <v>4.4980753427619913E-3</v>
      </c>
      <c r="G10" s="1379">
        <v>7.4872376630743054E-3</v>
      </c>
      <c r="H10" s="1379">
        <v>7.8920768213980256E-3</v>
      </c>
      <c r="I10" s="1380">
        <v>7.0873696264430073E-3</v>
      </c>
      <c r="J10" s="1380">
        <v>4.4895495359541238E-3</v>
      </c>
      <c r="K10" s="1380">
        <v>6.13457728928366E-3</v>
      </c>
      <c r="L10" s="1380">
        <v>1.0550560962924437E-2</v>
      </c>
      <c r="M10" s="1380">
        <v>6.642286737816255E-3</v>
      </c>
      <c r="N10" s="1380">
        <v>8.2527401676337851E-3</v>
      </c>
      <c r="O10" s="1380">
        <v>7.3172736989229629E-3</v>
      </c>
      <c r="P10" s="1380">
        <v>9.2130518234165067E-3</v>
      </c>
      <c r="Q10" s="1380">
        <v>5.6943186230102236E-3</v>
      </c>
      <c r="R10" s="1380">
        <v>7.6978150000000002E-3</v>
      </c>
      <c r="S10" s="1380">
        <v>1.0786014999999999E-2</v>
      </c>
      <c r="T10" s="1380">
        <v>9.0208797891749449E-3</v>
      </c>
      <c r="U10" s="1380">
        <v>1.0500000000000001E-2</v>
      </c>
      <c r="V10" s="1380">
        <v>1.18E-2</v>
      </c>
      <c r="W10" s="1380">
        <v>1.24E-2</v>
      </c>
      <c r="X10" s="1381">
        <v>1.2500000000000001E-2</v>
      </c>
      <c r="Y10" s="1382">
        <f>Y9/Y8</f>
        <v>9.2370851864522745E-3</v>
      </c>
      <c r="Z10" s="1383">
        <f>Z9/Z8</f>
        <v>1.0870279146141216E-2</v>
      </c>
      <c r="AA10" s="1383">
        <f>AA9/AA8</f>
        <v>6.4384590621311298E-3</v>
      </c>
      <c r="AB10" s="2397">
        <f t="shared" ref="AB10" si="0">AB9/AB8</f>
        <v>5.7109809874936746E-3</v>
      </c>
      <c r="AC10" s="2397">
        <v>5.1999999999999998E-3</v>
      </c>
      <c r="AD10" s="2397">
        <v>1.3100000000000001E-2</v>
      </c>
    </row>
    <row r="11" spans="1:30" x14ac:dyDescent="0.25">
      <c r="D11" s="994"/>
      <c r="E11" s="1384"/>
      <c r="F11" s="1384"/>
      <c r="G11" s="1384"/>
      <c r="H11" s="1384"/>
      <c r="I11" s="1313"/>
      <c r="J11" s="1313"/>
      <c r="K11" s="1313"/>
      <c r="L11" s="1313"/>
      <c r="M11" s="1313"/>
      <c r="N11" s="1313"/>
      <c r="O11" s="1313"/>
      <c r="P11" s="1313"/>
      <c r="Q11" s="1313"/>
      <c r="R11" s="1313"/>
      <c r="S11" s="1313"/>
      <c r="T11" s="1313"/>
      <c r="U11" s="1313"/>
      <c r="V11" s="1313"/>
      <c r="W11" s="1313"/>
      <c r="X11" s="1313"/>
      <c r="Y11" s="1385"/>
      <c r="Z11" s="1385"/>
      <c r="AA11" s="1313"/>
      <c r="AB11" s="1313"/>
    </row>
    <row r="12" spans="1:30" ht="14.25" x14ac:dyDescent="0.2">
      <c r="A12" s="509">
        <v>5</v>
      </c>
      <c r="B12" s="509" t="s">
        <v>51</v>
      </c>
      <c r="C12" s="509"/>
      <c r="E12" s="1319"/>
    </row>
    <row r="16" spans="1:30" x14ac:dyDescent="0.2">
      <c r="B16" s="1187"/>
      <c r="C16" s="1187"/>
    </row>
    <row r="19" spans="1:27" x14ac:dyDescent="0.2">
      <c r="AA19" s="1320"/>
    </row>
    <row r="22" spans="1:27" x14ac:dyDescent="0.2">
      <c r="AA22" s="1321"/>
    </row>
    <row r="24" spans="1:27" x14ac:dyDescent="0.2">
      <c r="X24" s="1322"/>
      <c r="Y24" s="1322"/>
      <c r="Z24" s="1322"/>
    </row>
    <row r="29" spans="1:27" ht="15" customHeight="1" x14ac:dyDescent="0.2">
      <c r="A29" s="509">
        <v>6</v>
      </c>
      <c r="B29" s="509" t="s">
        <v>52</v>
      </c>
      <c r="C29" s="509"/>
      <c r="D29" s="4734" t="s">
        <v>1207</v>
      </c>
      <c r="E29" s="4735"/>
      <c r="F29" s="4735"/>
      <c r="G29" s="4735"/>
      <c r="H29" s="4735"/>
      <c r="I29" s="4735"/>
      <c r="J29" s="4735"/>
      <c r="K29" s="4735"/>
      <c r="L29" s="4735"/>
      <c r="M29" s="4735"/>
      <c r="N29" s="4735"/>
      <c r="O29" s="4735"/>
      <c r="P29" s="4735"/>
      <c r="Q29" s="4735"/>
      <c r="R29" s="4735"/>
      <c r="S29" s="4735"/>
      <c r="T29" s="4735"/>
      <c r="U29" s="4735"/>
      <c r="V29" s="4735"/>
      <c r="W29" s="4735"/>
      <c r="X29" s="4735"/>
      <c r="Y29" s="4735"/>
      <c r="Z29" s="4735"/>
      <c r="AA29" s="4736"/>
    </row>
    <row r="30" spans="1:27" ht="14.25" customHeight="1" x14ac:dyDescent="0.2">
      <c r="A30" s="546">
        <v>7</v>
      </c>
      <c r="B30" s="546" t="s">
        <v>54</v>
      </c>
      <c r="C30" s="546"/>
      <c r="D30" s="4734" t="s">
        <v>1208</v>
      </c>
      <c r="E30" s="4735"/>
      <c r="F30" s="4735"/>
      <c r="G30" s="4735"/>
      <c r="H30" s="4735"/>
      <c r="I30" s="4735"/>
      <c r="J30" s="4735"/>
      <c r="K30" s="4735"/>
      <c r="L30" s="4735"/>
      <c r="M30" s="4735"/>
      <c r="N30" s="4735"/>
      <c r="O30" s="4735"/>
      <c r="P30" s="4735"/>
      <c r="Q30" s="4735"/>
      <c r="R30" s="4735"/>
      <c r="S30" s="4735"/>
      <c r="T30" s="4735"/>
      <c r="U30" s="4735"/>
      <c r="V30" s="4735"/>
      <c r="W30" s="4735"/>
      <c r="X30" s="4735"/>
      <c r="Y30" s="4735"/>
      <c r="Z30" s="4735"/>
      <c r="AA30" s="4736"/>
    </row>
    <row r="31" spans="1:27" ht="16.5" customHeight="1" x14ac:dyDescent="0.2">
      <c r="A31" s="509">
        <v>8</v>
      </c>
      <c r="B31" s="509" t="s">
        <v>56</v>
      </c>
      <c r="C31" s="509"/>
      <c r="D31" s="4734" t="s">
        <v>1209</v>
      </c>
      <c r="E31" s="4735"/>
      <c r="F31" s="4735"/>
      <c r="G31" s="4735"/>
      <c r="H31" s="4735"/>
      <c r="I31" s="4735"/>
      <c r="J31" s="4735"/>
      <c r="K31" s="4735"/>
      <c r="L31" s="4735"/>
      <c r="M31" s="4735"/>
      <c r="N31" s="4735"/>
      <c r="O31" s="4735"/>
      <c r="P31" s="4735"/>
      <c r="Q31" s="4735"/>
      <c r="R31" s="4735"/>
      <c r="S31" s="4735"/>
      <c r="T31" s="4735"/>
      <c r="U31" s="4735"/>
      <c r="V31" s="4735"/>
      <c r="W31" s="4735"/>
      <c r="X31" s="4735"/>
      <c r="Y31" s="4735"/>
      <c r="Z31" s="4735"/>
      <c r="AA31" s="4736"/>
    </row>
    <row r="32" spans="1:27" ht="14.25" x14ac:dyDescent="0.2">
      <c r="A32" s="508"/>
    </row>
    <row r="33" spans="1:32" ht="14.25" x14ac:dyDescent="0.2">
      <c r="A33" s="508"/>
    </row>
    <row r="35" spans="1:32" x14ac:dyDescent="0.2">
      <c r="B35" s="1386"/>
      <c r="C35" s="1386"/>
      <c r="D35" s="1387"/>
      <c r="E35" s="1387"/>
      <c r="F35" s="1387"/>
      <c r="G35" s="1387"/>
      <c r="H35" s="1387"/>
      <c r="I35" s="1387"/>
      <c r="J35" s="1387"/>
      <c r="K35" s="1387"/>
      <c r="L35" s="1387"/>
      <c r="M35" s="1387"/>
      <c r="N35" s="1387"/>
      <c r="O35" s="1387"/>
      <c r="P35" s="1387"/>
      <c r="Q35" s="1387"/>
      <c r="R35" s="1387"/>
      <c r="S35" s="1387"/>
      <c r="T35" s="1387"/>
      <c r="U35" s="1387"/>
      <c r="V35" s="1387"/>
      <c r="W35" s="1387"/>
      <c r="X35" s="1387"/>
      <c r="Y35" s="1387"/>
      <c r="Z35" s="1387"/>
      <c r="AA35" s="1387"/>
      <c r="AB35" s="1387"/>
      <c r="AC35" s="1387"/>
      <c r="AD35" s="1387"/>
      <c r="AE35" s="1387"/>
    </row>
    <row r="36" spans="1:32" ht="14.25" x14ac:dyDescent="0.2">
      <c r="A36" s="508"/>
      <c r="B36" s="1388" t="s">
        <v>1210</v>
      </c>
      <c r="C36" s="1389"/>
      <c r="D36" s="1389"/>
      <c r="E36" s="1389"/>
      <c r="F36" s="1389"/>
      <c r="G36" s="1389"/>
      <c r="H36" s="1389"/>
      <c r="I36" s="1389"/>
      <c r="J36" s="1389"/>
      <c r="K36" s="1389"/>
      <c r="L36" s="1389"/>
      <c r="M36" s="1389"/>
      <c r="N36" s="1389"/>
      <c r="O36" s="1389"/>
      <c r="P36" s="1389"/>
      <c r="Q36" s="1389"/>
      <c r="R36" s="1389"/>
      <c r="S36" s="1389"/>
      <c r="T36" s="1389"/>
      <c r="U36" s="1389"/>
      <c r="V36" s="1389"/>
      <c r="W36" s="1389"/>
      <c r="X36" s="1389"/>
      <c r="Y36" s="1389"/>
      <c r="Z36" s="1389"/>
      <c r="AA36" s="1389"/>
      <c r="AB36" s="1389"/>
      <c r="AC36" s="1389"/>
      <c r="AD36" s="1389"/>
      <c r="AE36" s="1389"/>
      <c r="AF36" s="751"/>
    </row>
    <row r="37" spans="1:32" ht="14.25" x14ac:dyDescent="0.2">
      <c r="A37" s="508"/>
      <c r="B37" s="1389"/>
      <c r="C37" s="1389"/>
      <c r="D37" s="1389"/>
      <c r="E37" s="1389"/>
      <c r="F37" s="1389"/>
      <c r="G37" s="1389"/>
      <c r="H37" s="1389"/>
      <c r="I37" s="1389"/>
      <c r="J37" s="1389"/>
      <c r="K37" s="1389"/>
      <c r="L37" s="1389"/>
      <c r="M37" s="1389"/>
      <c r="N37" s="1389"/>
      <c r="O37" s="1389"/>
      <c r="P37" s="1389"/>
      <c r="Q37" s="1389"/>
      <c r="R37" s="1389"/>
      <c r="S37" s="1389"/>
      <c r="T37" s="1389"/>
      <c r="U37" s="1389"/>
      <c r="V37" s="1389"/>
      <c r="W37" s="1389"/>
      <c r="X37" s="1389"/>
      <c r="Y37" s="1389"/>
      <c r="Z37" s="1389"/>
      <c r="AA37" s="1389"/>
      <c r="AB37" s="1389"/>
      <c r="AC37" s="1389"/>
      <c r="AD37" s="1389"/>
      <c r="AE37" s="1389"/>
      <c r="AF37" s="751"/>
    </row>
    <row r="38" spans="1:32" ht="14.25" x14ac:dyDescent="0.2">
      <c r="A38" s="508"/>
      <c r="B38" s="1390" t="s">
        <v>1211</v>
      </c>
      <c r="C38" s="4864" t="s">
        <v>1212</v>
      </c>
      <c r="D38" s="4864"/>
      <c r="E38" s="4864" t="s">
        <v>1213</v>
      </c>
      <c r="F38" s="4864"/>
      <c r="G38" s="4864" t="s">
        <v>1214</v>
      </c>
      <c r="H38" s="4864"/>
      <c r="I38" s="4864" t="s">
        <v>1215</v>
      </c>
      <c r="J38" s="4864"/>
      <c r="K38" s="4864" t="s">
        <v>256</v>
      </c>
      <c r="L38" s="4864"/>
      <c r="M38" s="4864" t="s">
        <v>1216</v>
      </c>
      <c r="N38" s="4864"/>
      <c r="O38" s="4864" t="s">
        <v>1217</v>
      </c>
      <c r="P38" s="4864"/>
      <c r="Q38" s="4864" t="s">
        <v>1218</v>
      </c>
      <c r="R38" s="4864"/>
      <c r="S38" s="4862" t="s">
        <v>650</v>
      </c>
      <c r="T38" s="4863"/>
      <c r="U38" s="4864" t="s">
        <v>1219</v>
      </c>
      <c r="V38" s="4864"/>
      <c r="W38" s="4864" t="s">
        <v>257</v>
      </c>
      <c r="X38" s="4864"/>
      <c r="Y38" s="4862" t="s">
        <v>1220</v>
      </c>
      <c r="Z38" s="4863"/>
      <c r="AA38" s="1391" t="s">
        <v>50</v>
      </c>
      <c r="AB38" s="1391" t="s">
        <v>50</v>
      </c>
      <c r="AC38" s="1391" t="s">
        <v>1221</v>
      </c>
      <c r="AD38" s="1387"/>
      <c r="AE38" s="1387"/>
    </row>
    <row r="39" spans="1:32" ht="14.25" x14ac:dyDescent="0.2">
      <c r="A39" s="508"/>
      <c r="B39" s="1391" t="s">
        <v>275</v>
      </c>
      <c r="C39" s="1392" t="s">
        <v>1222</v>
      </c>
      <c r="D39" s="1392" t="s">
        <v>360</v>
      </c>
      <c r="E39" s="1392" t="s">
        <v>1222</v>
      </c>
      <c r="F39" s="1392" t="s">
        <v>360</v>
      </c>
      <c r="G39" s="1392" t="s">
        <v>1222</v>
      </c>
      <c r="H39" s="1392" t="s">
        <v>360</v>
      </c>
      <c r="I39" s="1392" t="s">
        <v>1222</v>
      </c>
      <c r="J39" s="1392" t="s">
        <v>360</v>
      </c>
      <c r="K39" s="1392" t="s">
        <v>1222</v>
      </c>
      <c r="L39" s="1392" t="s">
        <v>360</v>
      </c>
      <c r="M39" s="1392" t="s">
        <v>1222</v>
      </c>
      <c r="N39" s="1392" t="s">
        <v>360</v>
      </c>
      <c r="O39" s="1392" t="s">
        <v>1222</v>
      </c>
      <c r="P39" s="1392" t="s">
        <v>360</v>
      </c>
      <c r="Q39" s="1392" t="s">
        <v>1222</v>
      </c>
      <c r="R39" s="1392" t="s">
        <v>360</v>
      </c>
      <c r="S39" s="1392" t="s">
        <v>360</v>
      </c>
      <c r="T39" s="1392" t="s">
        <v>360</v>
      </c>
      <c r="U39" s="1392" t="s">
        <v>1222</v>
      </c>
      <c r="V39" s="1392" t="s">
        <v>360</v>
      </c>
      <c r="W39" s="1392" t="s">
        <v>1222</v>
      </c>
      <c r="X39" s="1392" t="s">
        <v>360</v>
      </c>
      <c r="Y39" s="1392" t="s">
        <v>1222</v>
      </c>
      <c r="Z39" s="1392" t="s">
        <v>360</v>
      </c>
      <c r="AA39" s="1391" t="s">
        <v>1223</v>
      </c>
      <c r="AB39" s="1391" t="s">
        <v>1224</v>
      </c>
      <c r="AC39" s="1393"/>
      <c r="AD39" s="1387"/>
      <c r="AE39" s="1387"/>
    </row>
    <row r="40" spans="1:32" ht="14.25" x14ac:dyDescent="0.2">
      <c r="A40" s="508"/>
      <c r="B40" s="1391" t="s">
        <v>280</v>
      </c>
      <c r="C40" s="1394">
        <v>452</v>
      </c>
      <c r="D40" s="1394">
        <v>4</v>
      </c>
      <c r="E40" s="1394">
        <v>455</v>
      </c>
      <c r="F40" s="1394">
        <v>3</v>
      </c>
      <c r="G40" s="1394">
        <v>1529</v>
      </c>
      <c r="H40" s="1394">
        <v>11</v>
      </c>
      <c r="I40" s="1394">
        <v>650</v>
      </c>
      <c r="J40" s="1394">
        <v>3</v>
      </c>
      <c r="K40" s="1394">
        <v>364</v>
      </c>
      <c r="L40" s="1394">
        <v>1</v>
      </c>
      <c r="M40" s="1394">
        <v>92</v>
      </c>
      <c r="N40" s="1394">
        <v>2</v>
      </c>
      <c r="O40" s="1394">
        <v>47</v>
      </c>
      <c r="P40" s="1394">
        <v>0</v>
      </c>
      <c r="Q40" s="1394">
        <v>26</v>
      </c>
      <c r="R40" s="1394">
        <v>0</v>
      </c>
      <c r="S40" s="1394">
        <v>0</v>
      </c>
      <c r="T40" s="1394">
        <v>5</v>
      </c>
      <c r="U40" s="1394">
        <v>195</v>
      </c>
      <c r="V40" s="1394">
        <v>1</v>
      </c>
      <c r="W40" s="1394">
        <v>183</v>
      </c>
      <c r="X40" s="1394">
        <v>0</v>
      </c>
      <c r="Y40" s="1394">
        <v>128</v>
      </c>
      <c r="Z40" s="1394">
        <v>1</v>
      </c>
      <c r="AA40" s="1394">
        <f t="shared" ref="AA40:AB43" si="1">SUM(C40,E40,G40,I40,K40,M40,O40,Q40,S40,U40,W40,Y40)</f>
        <v>4121</v>
      </c>
      <c r="AB40" s="1394">
        <f t="shared" si="1"/>
        <v>31</v>
      </c>
      <c r="AC40" s="1394">
        <f>AB40/AA40*100</f>
        <v>0.75224460082504252</v>
      </c>
      <c r="AD40" s="1387"/>
      <c r="AE40" s="1387"/>
    </row>
    <row r="41" spans="1:32" ht="14.25" x14ac:dyDescent="0.2">
      <c r="A41" s="508"/>
      <c r="B41" s="1391" t="s">
        <v>281</v>
      </c>
      <c r="C41" s="1394">
        <v>707</v>
      </c>
      <c r="D41" s="1394">
        <v>2</v>
      </c>
      <c r="E41" s="1394">
        <v>165</v>
      </c>
      <c r="F41" s="1394">
        <v>2</v>
      </c>
      <c r="G41" s="1394">
        <v>93</v>
      </c>
      <c r="H41" s="1394">
        <v>0</v>
      </c>
      <c r="I41" s="1394">
        <v>114</v>
      </c>
      <c r="J41" s="1394">
        <v>1</v>
      </c>
      <c r="K41" s="1394">
        <v>91</v>
      </c>
      <c r="L41" s="1394">
        <v>0</v>
      </c>
      <c r="M41" s="1394">
        <v>45</v>
      </c>
      <c r="N41" s="1394">
        <v>0</v>
      </c>
      <c r="O41" s="1394">
        <v>88</v>
      </c>
      <c r="P41" s="1394">
        <v>0</v>
      </c>
      <c r="Q41" s="1394">
        <v>65</v>
      </c>
      <c r="R41" s="1394">
        <v>0</v>
      </c>
      <c r="S41" s="1394">
        <v>0</v>
      </c>
      <c r="T41" s="1394">
        <v>0</v>
      </c>
      <c r="U41" s="1394">
        <v>82</v>
      </c>
      <c r="V41" s="1394">
        <v>1</v>
      </c>
      <c r="W41" s="1394">
        <v>84</v>
      </c>
      <c r="X41" s="1394">
        <v>1</v>
      </c>
      <c r="Y41" s="1395">
        <v>68</v>
      </c>
      <c r="Z41" s="1394">
        <v>1</v>
      </c>
      <c r="AA41" s="1394">
        <f t="shared" si="1"/>
        <v>1602</v>
      </c>
      <c r="AB41" s="1394">
        <f t="shared" si="1"/>
        <v>8</v>
      </c>
      <c r="AC41" s="1394">
        <f>AB41/AA41*100</f>
        <v>0.49937578027465668</v>
      </c>
      <c r="AD41" s="1387"/>
      <c r="AE41" s="1387"/>
    </row>
    <row r="42" spans="1:32" ht="14.25" x14ac:dyDescent="0.2">
      <c r="A42" s="508"/>
      <c r="B42" s="1391" t="s">
        <v>641</v>
      </c>
      <c r="C42" s="1394">
        <v>167</v>
      </c>
      <c r="D42" s="1394">
        <v>2</v>
      </c>
      <c r="E42" s="1394">
        <v>91</v>
      </c>
      <c r="F42" s="1394">
        <v>0</v>
      </c>
      <c r="G42" s="1394">
        <v>91</v>
      </c>
      <c r="H42" s="1394">
        <v>0</v>
      </c>
      <c r="I42" s="1394">
        <v>50</v>
      </c>
      <c r="J42" s="1394">
        <v>0</v>
      </c>
      <c r="K42" s="1394">
        <v>23</v>
      </c>
      <c r="L42" s="1394">
        <v>0</v>
      </c>
      <c r="M42" s="1394">
        <v>19</v>
      </c>
      <c r="N42" s="1394">
        <v>0</v>
      </c>
      <c r="O42" s="1394">
        <v>31</v>
      </c>
      <c r="P42" s="1394">
        <v>0</v>
      </c>
      <c r="Q42" s="1394">
        <v>21</v>
      </c>
      <c r="R42" s="1394">
        <v>0</v>
      </c>
      <c r="S42" s="1394">
        <v>0</v>
      </c>
      <c r="T42" s="1394">
        <v>0</v>
      </c>
      <c r="U42" s="1394">
        <v>25</v>
      </c>
      <c r="V42" s="1394">
        <v>1</v>
      </c>
      <c r="W42" s="1394">
        <v>21</v>
      </c>
      <c r="X42" s="1394">
        <v>0</v>
      </c>
      <c r="Y42" s="1395">
        <v>23</v>
      </c>
      <c r="Z42" s="1394">
        <v>0</v>
      </c>
      <c r="AA42" s="1394">
        <f t="shared" si="1"/>
        <v>562</v>
      </c>
      <c r="AB42" s="1394">
        <f t="shared" si="1"/>
        <v>3</v>
      </c>
      <c r="AC42" s="1394">
        <f>AB42/AA42*100</f>
        <v>0.53380782918149472</v>
      </c>
      <c r="AD42" s="1387"/>
      <c r="AE42" s="1387"/>
    </row>
    <row r="43" spans="1:32" ht="14.25" x14ac:dyDescent="0.2">
      <c r="A43" s="508"/>
      <c r="B43" s="1391" t="s">
        <v>282</v>
      </c>
      <c r="C43" s="1394">
        <v>48</v>
      </c>
      <c r="D43" s="1394">
        <v>0</v>
      </c>
      <c r="E43" s="1394">
        <v>24</v>
      </c>
      <c r="F43" s="1394">
        <v>0</v>
      </c>
      <c r="G43" s="1394">
        <v>17</v>
      </c>
      <c r="H43" s="1394">
        <v>0</v>
      </c>
      <c r="I43" s="1394">
        <v>19</v>
      </c>
      <c r="J43" s="1394">
        <v>0</v>
      </c>
      <c r="K43" s="1394">
        <v>8</v>
      </c>
      <c r="L43" s="1394">
        <v>0</v>
      </c>
      <c r="M43" s="1394">
        <v>8</v>
      </c>
      <c r="N43" s="1394">
        <v>0</v>
      </c>
      <c r="O43" s="1394">
        <v>2</v>
      </c>
      <c r="P43" s="1394">
        <v>0</v>
      </c>
      <c r="Q43" s="1394">
        <v>3</v>
      </c>
      <c r="R43" s="1394">
        <v>0</v>
      </c>
      <c r="S43" s="1394">
        <v>0</v>
      </c>
      <c r="T43" s="1394">
        <v>0</v>
      </c>
      <c r="U43" s="1394">
        <v>1</v>
      </c>
      <c r="V43" s="1394">
        <v>0</v>
      </c>
      <c r="W43" s="1394">
        <v>1</v>
      </c>
      <c r="X43" s="1394">
        <v>0</v>
      </c>
      <c r="Y43" s="1395">
        <v>1</v>
      </c>
      <c r="Z43" s="1394">
        <v>1</v>
      </c>
      <c r="AA43" s="1394">
        <f t="shared" si="1"/>
        <v>132</v>
      </c>
      <c r="AB43" s="1394">
        <f t="shared" si="1"/>
        <v>1</v>
      </c>
      <c r="AC43" s="1394">
        <f>AB43/AA43*100</f>
        <v>0.75757575757575757</v>
      </c>
      <c r="AD43" s="1387"/>
      <c r="AE43" s="1387"/>
    </row>
    <row r="44" spans="1:32" ht="14.25" x14ac:dyDescent="0.2">
      <c r="A44" s="508"/>
      <c r="B44" s="1391" t="s">
        <v>278</v>
      </c>
      <c r="C44" s="1394" t="s">
        <v>1225</v>
      </c>
      <c r="D44" s="1394" t="s">
        <v>1225</v>
      </c>
      <c r="E44" s="1394" t="s">
        <v>1225</v>
      </c>
      <c r="F44" s="1394" t="s">
        <v>1225</v>
      </c>
      <c r="G44" s="1394" t="s">
        <v>1225</v>
      </c>
      <c r="H44" s="1394" t="s">
        <v>1225</v>
      </c>
      <c r="I44" s="1394" t="s">
        <v>1225</v>
      </c>
      <c r="J44" s="1394" t="s">
        <v>1225</v>
      </c>
      <c r="K44" s="1394" t="s">
        <v>1225</v>
      </c>
      <c r="L44" s="1394" t="s">
        <v>1225</v>
      </c>
      <c r="M44" s="1394" t="s">
        <v>1225</v>
      </c>
      <c r="N44" s="1394" t="s">
        <v>1225</v>
      </c>
      <c r="O44" s="1396">
        <v>34</v>
      </c>
      <c r="P44" s="1397">
        <v>0</v>
      </c>
      <c r="Q44" s="1396">
        <v>28</v>
      </c>
      <c r="R44" s="1397">
        <v>0</v>
      </c>
      <c r="S44" s="1397">
        <v>0</v>
      </c>
      <c r="T44" s="1397">
        <v>0</v>
      </c>
      <c r="U44" s="1396">
        <v>24</v>
      </c>
      <c r="V44" s="1398">
        <v>0</v>
      </c>
      <c r="W44" s="1396">
        <v>14</v>
      </c>
      <c r="X44" s="1389">
        <v>0</v>
      </c>
      <c r="Y44" s="1396">
        <v>19</v>
      </c>
      <c r="Z44" s="1389">
        <v>0</v>
      </c>
      <c r="AA44" s="1389">
        <v>957</v>
      </c>
      <c r="AB44" s="1389">
        <v>0</v>
      </c>
      <c r="AC44" s="1389">
        <v>64</v>
      </c>
      <c r="AD44" s="1387"/>
      <c r="AE44" s="1387"/>
    </row>
    <row r="45" spans="1:32" ht="14.25" x14ac:dyDescent="0.2">
      <c r="A45" s="508"/>
      <c r="B45" s="1391" t="s">
        <v>283</v>
      </c>
      <c r="C45" s="1394" t="s">
        <v>1225</v>
      </c>
      <c r="D45" s="1394" t="s">
        <v>1225</v>
      </c>
      <c r="E45" s="1394" t="s">
        <v>1225</v>
      </c>
      <c r="F45" s="1394" t="s">
        <v>1225</v>
      </c>
      <c r="G45" s="1394" t="s">
        <v>1225</v>
      </c>
      <c r="H45" s="1394" t="s">
        <v>1225</v>
      </c>
      <c r="I45" s="1394" t="s">
        <v>1225</v>
      </c>
      <c r="J45" s="1394" t="s">
        <v>1225</v>
      </c>
      <c r="K45" s="1394" t="s">
        <v>1225</v>
      </c>
      <c r="L45" s="1394" t="s">
        <v>1225</v>
      </c>
      <c r="M45" s="1394" t="s">
        <v>1225</v>
      </c>
      <c r="N45" s="1394" t="s">
        <v>1225</v>
      </c>
      <c r="O45" s="1394" t="s">
        <v>1225</v>
      </c>
      <c r="P45" s="1394" t="s">
        <v>1225</v>
      </c>
      <c r="Q45" s="1394" t="s">
        <v>1225</v>
      </c>
      <c r="R45" s="1394" t="s">
        <v>1225</v>
      </c>
      <c r="S45" s="1394" t="s">
        <v>1225</v>
      </c>
      <c r="T45" s="1394" t="s">
        <v>1225</v>
      </c>
      <c r="U45" s="1394" t="s">
        <v>1225</v>
      </c>
      <c r="V45" s="1394" t="s">
        <v>1225</v>
      </c>
      <c r="W45" s="1394" t="s">
        <v>1225</v>
      </c>
      <c r="X45" s="1394" t="s">
        <v>1225</v>
      </c>
      <c r="Y45" s="1394" t="s">
        <v>1225</v>
      </c>
      <c r="Z45" s="1394" t="s">
        <v>1225</v>
      </c>
      <c r="AA45" s="1394">
        <v>4</v>
      </c>
      <c r="AB45" s="1394">
        <v>0</v>
      </c>
      <c r="AC45" s="1394">
        <f>AB45/AA45*100</f>
        <v>0</v>
      </c>
      <c r="AD45" s="1387"/>
      <c r="AE45" s="1387"/>
    </row>
    <row r="46" spans="1:32" x14ac:dyDescent="0.2">
      <c r="A46" s="508"/>
      <c r="B46" s="1391" t="s">
        <v>276</v>
      </c>
      <c r="C46" s="1394" t="s">
        <v>1225</v>
      </c>
      <c r="D46" s="1394" t="s">
        <v>1225</v>
      </c>
      <c r="E46" s="1394" t="s">
        <v>1225</v>
      </c>
      <c r="F46" s="1394" t="s">
        <v>1225</v>
      </c>
      <c r="G46" s="1394" t="s">
        <v>1225</v>
      </c>
      <c r="H46" s="1394" t="s">
        <v>1225</v>
      </c>
      <c r="I46" s="1394" t="s">
        <v>1225</v>
      </c>
      <c r="J46" s="1394" t="s">
        <v>1225</v>
      </c>
      <c r="K46" s="1394" t="s">
        <v>1225</v>
      </c>
      <c r="L46" s="1394" t="s">
        <v>1225</v>
      </c>
      <c r="M46" s="1394" t="s">
        <v>1225</v>
      </c>
      <c r="N46" s="1394" t="s">
        <v>1225</v>
      </c>
      <c r="O46" s="1394" t="s">
        <v>1225</v>
      </c>
      <c r="P46" s="1394" t="s">
        <v>1225</v>
      </c>
      <c r="Q46" s="1394" t="s">
        <v>1225</v>
      </c>
      <c r="R46" s="1394" t="s">
        <v>1225</v>
      </c>
      <c r="S46" s="1394" t="s">
        <v>1225</v>
      </c>
      <c r="T46" s="1394" t="s">
        <v>1225</v>
      </c>
      <c r="U46" s="1394" t="s">
        <v>1225</v>
      </c>
      <c r="V46" s="1394" t="s">
        <v>1225</v>
      </c>
      <c r="W46" s="1394" t="s">
        <v>1225</v>
      </c>
      <c r="X46" s="1394" t="s">
        <v>1225</v>
      </c>
      <c r="Y46" s="1394" t="s">
        <v>1225</v>
      </c>
      <c r="Z46" s="1394" t="s">
        <v>1225</v>
      </c>
      <c r="AA46" s="1399">
        <v>15</v>
      </c>
      <c r="AB46" s="1394">
        <v>0</v>
      </c>
      <c r="AC46" s="1394">
        <f>AB46/AA46*100</f>
        <v>0</v>
      </c>
      <c r="AD46" s="1387"/>
      <c r="AE46" s="1387"/>
    </row>
    <row r="47" spans="1:32" ht="14.25" x14ac:dyDescent="0.2">
      <c r="A47" s="508"/>
      <c r="B47" s="1391" t="s">
        <v>50</v>
      </c>
      <c r="C47" s="1394">
        <f>SUM(C40:C45)</f>
        <v>1374</v>
      </c>
      <c r="D47" s="1394">
        <f t="shared" ref="D47:AB47" si="2">SUM(D40:D45)</f>
        <v>8</v>
      </c>
      <c r="E47" s="1394">
        <f t="shared" si="2"/>
        <v>735</v>
      </c>
      <c r="F47" s="1394">
        <f t="shared" si="2"/>
        <v>5</v>
      </c>
      <c r="G47" s="1394">
        <f t="shared" si="2"/>
        <v>1730</v>
      </c>
      <c r="H47" s="1394">
        <f t="shared" si="2"/>
        <v>11</v>
      </c>
      <c r="I47" s="1394">
        <f t="shared" si="2"/>
        <v>833</v>
      </c>
      <c r="J47" s="1394">
        <f t="shared" si="2"/>
        <v>4</v>
      </c>
      <c r="K47" s="1394">
        <f t="shared" si="2"/>
        <v>486</v>
      </c>
      <c r="L47" s="1394">
        <f t="shared" si="2"/>
        <v>1</v>
      </c>
      <c r="M47" s="1394">
        <f t="shared" si="2"/>
        <v>164</v>
      </c>
      <c r="N47" s="1394">
        <f t="shared" si="2"/>
        <v>2</v>
      </c>
      <c r="O47" s="1394">
        <f t="shared" si="2"/>
        <v>202</v>
      </c>
      <c r="P47" s="1394">
        <f t="shared" si="2"/>
        <v>0</v>
      </c>
      <c r="Q47" s="1394">
        <f t="shared" si="2"/>
        <v>143</v>
      </c>
      <c r="R47" s="1394">
        <f t="shared" si="2"/>
        <v>0</v>
      </c>
      <c r="S47" s="1394">
        <f>SUM(S40:S45)</f>
        <v>0</v>
      </c>
      <c r="T47" s="1394">
        <f t="shared" ref="T47:Z47" si="3">SUM(T40:T45)</f>
        <v>5</v>
      </c>
      <c r="U47" s="1394">
        <f t="shared" si="3"/>
        <v>327</v>
      </c>
      <c r="V47" s="1394">
        <f t="shared" si="3"/>
        <v>3</v>
      </c>
      <c r="W47" s="1394">
        <f t="shared" si="3"/>
        <v>303</v>
      </c>
      <c r="X47" s="1394">
        <f t="shared" si="3"/>
        <v>1</v>
      </c>
      <c r="Y47" s="1394">
        <f t="shared" si="3"/>
        <v>239</v>
      </c>
      <c r="Z47" s="1394">
        <f t="shared" si="3"/>
        <v>3</v>
      </c>
      <c r="AA47" s="1394">
        <f>SUM(AA40:AA46)</f>
        <v>7393</v>
      </c>
      <c r="AB47" s="1394">
        <f t="shared" si="2"/>
        <v>43</v>
      </c>
      <c r="AC47" s="1394">
        <f>AB47/AA47*100</f>
        <v>0.58163127282564586</v>
      </c>
      <c r="AD47" s="1387"/>
      <c r="AE47" s="1387"/>
    </row>
    <row r="48" spans="1:32" ht="14.25" x14ac:dyDescent="0.2">
      <c r="A48" s="508"/>
      <c r="B48" s="1391"/>
      <c r="C48" s="1394"/>
      <c r="D48" s="1394"/>
      <c r="E48" s="1394"/>
      <c r="F48" s="1394"/>
      <c r="G48" s="1394"/>
      <c r="H48" s="1394"/>
      <c r="I48" s="1394"/>
      <c r="J48" s="1394"/>
      <c r="K48" s="1394"/>
      <c r="L48" s="1394"/>
      <c r="M48" s="1394"/>
      <c r="N48" s="1394"/>
      <c r="O48" s="1394"/>
      <c r="P48" s="1394"/>
      <c r="Q48" s="1394"/>
      <c r="R48" s="1394"/>
      <c r="S48" s="1394"/>
      <c r="T48" s="1394"/>
      <c r="U48" s="1394"/>
      <c r="V48" s="1394"/>
      <c r="W48" s="1394"/>
      <c r="X48" s="1394"/>
      <c r="Y48" s="1394"/>
      <c r="Z48" s="1394"/>
      <c r="AA48" s="1394"/>
      <c r="AB48" s="1394"/>
      <c r="AC48" s="1394"/>
      <c r="AD48" s="1387"/>
      <c r="AE48" s="1387"/>
    </row>
    <row r="49" spans="1:32" ht="14.25" x14ac:dyDescent="0.2">
      <c r="A49" s="508"/>
      <c r="B49" s="1389"/>
      <c r="C49" s="1389"/>
      <c r="D49" s="1389"/>
      <c r="E49" s="1389"/>
      <c r="F49" s="1389"/>
      <c r="G49" s="1389"/>
      <c r="H49" s="1389"/>
      <c r="I49" s="1389"/>
      <c r="J49" s="1389"/>
      <c r="K49" s="1389"/>
      <c r="L49" s="1389"/>
      <c r="M49" s="1389"/>
      <c r="N49" s="1389"/>
      <c r="O49" s="1389"/>
      <c r="P49" s="1389"/>
      <c r="Q49" s="1389"/>
      <c r="R49" s="1389"/>
      <c r="S49" s="1389"/>
      <c r="T49" s="1389"/>
      <c r="U49" s="1389"/>
      <c r="V49" s="1389"/>
      <c r="W49" s="1389"/>
      <c r="X49" s="1389"/>
      <c r="Y49" s="1389"/>
      <c r="Z49" s="1389"/>
      <c r="AA49" s="1389"/>
      <c r="AB49" s="1389"/>
      <c r="AC49" s="1389"/>
      <c r="AD49" s="1389"/>
      <c r="AE49" s="1389"/>
      <c r="AF49" s="751"/>
    </row>
    <row r="50" spans="1:32" ht="14.25" x14ac:dyDescent="0.2">
      <c r="A50" s="508"/>
      <c r="B50" s="1389"/>
      <c r="C50" s="1389"/>
      <c r="D50" s="1389"/>
      <c r="E50" s="1389"/>
      <c r="F50" s="1389"/>
      <c r="G50" s="1389"/>
      <c r="H50" s="1389"/>
      <c r="I50" s="1389"/>
      <c r="J50" s="1389"/>
      <c r="K50" s="1389"/>
      <c r="L50" s="1389"/>
      <c r="M50" s="1389"/>
      <c r="N50" s="1389"/>
      <c r="O50" s="1389"/>
      <c r="P50" s="1389"/>
      <c r="Q50" s="1389"/>
      <c r="R50" s="1389"/>
      <c r="S50" s="1389"/>
      <c r="T50" s="1389"/>
      <c r="U50" s="1389"/>
      <c r="V50" s="1389"/>
      <c r="W50" s="1389"/>
      <c r="X50" s="1389"/>
      <c r="Y50" s="1389"/>
      <c r="Z50" s="1389"/>
      <c r="AA50" s="1389"/>
      <c r="AB50" s="1389"/>
      <c r="AC50" s="1389"/>
      <c r="AD50" s="1389"/>
      <c r="AE50" s="1389"/>
      <c r="AF50" s="751"/>
    </row>
    <row r="51" spans="1:32" ht="14.25" x14ac:dyDescent="0.2">
      <c r="A51" s="508"/>
      <c r="B51" s="1388" t="s">
        <v>1226</v>
      </c>
      <c r="C51" s="1389"/>
      <c r="D51" s="1389"/>
      <c r="E51" s="1389"/>
      <c r="F51" s="1389"/>
      <c r="G51" s="1388">
        <v>2009</v>
      </c>
      <c r="H51" s="1389"/>
      <c r="I51" s="1389"/>
      <c r="J51" s="1389"/>
      <c r="K51" s="1389"/>
      <c r="L51" s="1389"/>
      <c r="M51" s="1389"/>
      <c r="N51" s="1389"/>
      <c r="O51" s="1389"/>
      <c r="P51" s="1389"/>
      <c r="Q51" s="1389"/>
      <c r="R51" s="1389"/>
      <c r="S51" s="1389"/>
      <c r="T51" s="1389"/>
      <c r="U51" s="1389"/>
      <c r="V51" s="1389"/>
      <c r="W51" s="1389"/>
      <c r="X51" s="1389"/>
      <c r="Y51" s="1389"/>
      <c r="Z51" s="1389"/>
      <c r="AA51" s="1389"/>
      <c r="AB51" s="1389"/>
      <c r="AC51" s="1389"/>
      <c r="AD51" s="1389"/>
      <c r="AE51" s="1389"/>
      <c r="AF51" s="751"/>
    </row>
    <row r="52" spans="1:32" ht="14.25" x14ac:dyDescent="0.2">
      <c r="A52" s="508"/>
      <c r="B52" s="1389"/>
      <c r="C52" s="1389"/>
      <c r="D52" s="1389"/>
      <c r="E52" s="1389"/>
      <c r="F52" s="1389"/>
      <c r="G52" s="1389"/>
      <c r="H52" s="1389"/>
      <c r="I52" s="1389"/>
      <c r="J52" s="1389"/>
      <c r="K52" s="1389"/>
      <c r="L52" s="1389"/>
      <c r="M52" s="1389"/>
      <c r="N52" s="1389"/>
      <c r="O52" s="1389"/>
      <c r="P52" s="1389"/>
      <c r="Q52" s="1389"/>
      <c r="R52" s="1389"/>
      <c r="S52" s="1389"/>
      <c r="T52" s="1389"/>
      <c r="U52" s="1389"/>
      <c r="V52" s="1389"/>
      <c r="W52" s="1389"/>
      <c r="X52" s="1389"/>
      <c r="Y52" s="1389"/>
      <c r="Z52" s="1389"/>
      <c r="AA52" s="1389"/>
      <c r="AB52" s="1389"/>
      <c r="AC52" s="1389"/>
      <c r="AD52" s="1389"/>
      <c r="AE52" s="1389"/>
      <c r="AF52" s="751"/>
    </row>
    <row r="53" spans="1:32" ht="14.25" x14ac:dyDescent="0.2">
      <c r="A53" s="508"/>
      <c r="B53" s="1390" t="s">
        <v>1211</v>
      </c>
      <c r="C53" s="4864" t="s">
        <v>1212</v>
      </c>
      <c r="D53" s="4864"/>
      <c r="E53" s="4864" t="s">
        <v>1213</v>
      </c>
      <c r="F53" s="4864"/>
      <c r="G53" s="4864" t="s">
        <v>1214</v>
      </c>
      <c r="H53" s="4864"/>
      <c r="I53" s="4864" t="s">
        <v>1215</v>
      </c>
      <c r="J53" s="4864"/>
      <c r="K53" s="4864" t="s">
        <v>256</v>
      </c>
      <c r="L53" s="4864"/>
      <c r="M53" s="4864" t="s">
        <v>1216</v>
      </c>
      <c r="N53" s="4864"/>
      <c r="O53" s="4864" t="s">
        <v>1217</v>
      </c>
      <c r="P53" s="4864"/>
      <c r="Q53" s="4864" t="s">
        <v>1218</v>
      </c>
      <c r="R53" s="4864"/>
      <c r="S53" s="4862" t="s">
        <v>650</v>
      </c>
      <c r="T53" s="4863"/>
      <c r="U53" s="4864" t="s">
        <v>1219</v>
      </c>
      <c r="V53" s="4864"/>
      <c r="W53" s="4864" t="s">
        <v>257</v>
      </c>
      <c r="X53" s="4864"/>
      <c r="Y53" s="4862" t="s">
        <v>1220</v>
      </c>
      <c r="Z53" s="4863"/>
      <c r="AA53" s="1391" t="s">
        <v>50</v>
      </c>
      <c r="AB53" s="1391" t="s">
        <v>50</v>
      </c>
      <c r="AC53" s="1391" t="s">
        <v>1221</v>
      </c>
      <c r="AD53" s="1387"/>
      <c r="AE53" s="1387"/>
    </row>
    <row r="54" spans="1:32" ht="14.25" x14ac:dyDescent="0.2">
      <c r="A54" s="508"/>
      <c r="B54" s="1391" t="s">
        <v>275</v>
      </c>
      <c r="C54" s="1392" t="s">
        <v>1222</v>
      </c>
      <c r="D54" s="1392" t="s">
        <v>360</v>
      </c>
      <c r="E54" s="1392" t="s">
        <v>1222</v>
      </c>
      <c r="F54" s="1392" t="s">
        <v>360</v>
      </c>
      <c r="G54" s="1392" t="s">
        <v>1222</v>
      </c>
      <c r="H54" s="1392" t="s">
        <v>360</v>
      </c>
      <c r="I54" s="1392" t="s">
        <v>1222</v>
      </c>
      <c r="J54" s="1392" t="s">
        <v>360</v>
      </c>
      <c r="K54" s="1392" t="s">
        <v>1222</v>
      </c>
      <c r="L54" s="1392" t="s">
        <v>360</v>
      </c>
      <c r="M54" s="1392" t="s">
        <v>1222</v>
      </c>
      <c r="N54" s="1392" t="s">
        <v>360</v>
      </c>
      <c r="O54" s="1392" t="s">
        <v>1222</v>
      </c>
      <c r="P54" s="1392" t="s">
        <v>360</v>
      </c>
      <c r="Q54" s="1392" t="s">
        <v>1222</v>
      </c>
      <c r="R54" s="1392" t="s">
        <v>360</v>
      </c>
      <c r="S54" s="1392" t="s">
        <v>360</v>
      </c>
      <c r="T54" s="1392" t="s">
        <v>360</v>
      </c>
      <c r="U54" s="1392" t="s">
        <v>1222</v>
      </c>
      <c r="V54" s="1392" t="s">
        <v>360</v>
      </c>
      <c r="W54" s="1392" t="s">
        <v>1222</v>
      </c>
      <c r="X54" s="1392" t="s">
        <v>360</v>
      </c>
      <c r="Y54" s="1392" t="s">
        <v>1222</v>
      </c>
      <c r="Z54" s="1392" t="s">
        <v>360</v>
      </c>
      <c r="AA54" s="1391" t="s">
        <v>1223</v>
      </c>
      <c r="AB54" s="1391" t="s">
        <v>1224</v>
      </c>
      <c r="AC54" s="1393"/>
      <c r="AD54" s="1387"/>
      <c r="AE54" s="1387"/>
    </row>
    <row r="55" spans="1:32" ht="14.25" x14ac:dyDescent="0.2">
      <c r="A55" s="508"/>
      <c r="B55" s="1391" t="s">
        <v>280</v>
      </c>
      <c r="C55" s="1394">
        <v>329</v>
      </c>
      <c r="D55" s="1394">
        <v>5</v>
      </c>
      <c r="E55" s="1394">
        <v>370</v>
      </c>
      <c r="F55" s="1394">
        <v>2</v>
      </c>
      <c r="G55" s="1394">
        <v>865</v>
      </c>
      <c r="H55" s="1394">
        <v>6</v>
      </c>
      <c r="I55" s="1394">
        <v>199</v>
      </c>
      <c r="J55" s="1394">
        <v>1</v>
      </c>
      <c r="K55" s="1389">
        <v>180</v>
      </c>
      <c r="L55" s="1389">
        <v>2</v>
      </c>
      <c r="M55" s="1394">
        <v>86</v>
      </c>
      <c r="N55" s="1394">
        <v>1</v>
      </c>
      <c r="O55" s="1394">
        <v>37</v>
      </c>
      <c r="P55" s="1394">
        <v>0</v>
      </c>
      <c r="Q55" s="1394">
        <v>14</v>
      </c>
      <c r="R55" s="1394">
        <v>0</v>
      </c>
      <c r="S55" s="1394">
        <v>0</v>
      </c>
      <c r="T55" s="1394">
        <v>0</v>
      </c>
      <c r="U55" s="1394">
        <v>274</v>
      </c>
      <c r="V55" s="1394">
        <v>2</v>
      </c>
      <c r="W55" s="1394">
        <v>154</v>
      </c>
      <c r="X55" s="1394">
        <v>2</v>
      </c>
      <c r="Y55" s="1394">
        <v>383</v>
      </c>
      <c r="Z55" s="1394">
        <v>7</v>
      </c>
      <c r="AA55" s="1394">
        <f t="shared" ref="AA55:AB58" si="4">SUM(C55,E55,G55,I55,K55,M55,O55,Q55,S55,U55,W55,Y55)</f>
        <v>2891</v>
      </c>
      <c r="AB55" s="1394">
        <f t="shared" si="4"/>
        <v>28</v>
      </c>
      <c r="AC55" s="1394">
        <f>AB55/AA55*100</f>
        <v>0.96852300242130751</v>
      </c>
      <c r="AD55" s="1387"/>
      <c r="AE55" s="1387"/>
    </row>
    <row r="56" spans="1:32" ht="14.25" x14ac:dyDescent="0.2">
      <c r="A56" s="508"/>
      <c r="B56" s="1391" t="s">
        <v>281</v>
      </c>
      <c r="C56" s="1394">
        <v>357</v>
      </c>
      <c r="D56" s="1394">
        <v>0</v>
      </c>
      <c r="E56" s="1394">
        <v>214</v>
      </c>
      <c r="F56" s="1394">
        <v>0</v>
      </c>
      <c r="G56" s="1394">
        <v>249</v>
      </c>
      <c r="H56" s="1394">
        <v>2</v>
      </c>
      <c r="I56" s="1394">
        <v>177</v>
      </c>
      <c r="J56" s="1394">
        <v>0</v>
      </c>
      <c r="K56" s="1389">
        <v>129</v>
      </c>
      <c r="L56" s="1389">
        <v>1</v>
      </c>
      <c r="M56" s="1394">
        <v>73</v>
      </c>
      <c r="N56" s="1394">
        <v>1</v>
      </c>
      <c r="O56" s="1394">
        <v>69</v>
      </c>
      <c r="P56" s="1394">
        <v>0</v>
      </c>
      <c r="Q56" s="1394">
        <v>51</v>
      </c>
      <c r="R56" s="1394">
        <v>0</v>
      </c>
      <c r="S56" s="1394">
        <v>0</v>
      </c>
      <c r="T56" s="1394">
        <v>2</v>
      </c>
      <c r="U56" s="1394">
        <v>148</v>
      </c>
      <c r="V56" s="1394">
        <v>1</v>
      </c>
      <c r="W56" s="1394">
        <v>106</v>
      </c>
      <c r="X56" s="1394">
        <v>1</v>
      </c>
      <c r="Y56" s="1395">
        <v>146</v>
      </c>
      <c r="Z56" s="1394">
        <v>0</v>
      </c>
      <c r="AA56" s="1394">
        <f t="shared" si="4"/>
        <v>1719</v>
      </c>
      <c r="AB56" s="1394">
        <f t="shared" si="4"/>
        <v>8</v>
      </c>
      <c r="AC56" s="1394">
        <f>AB56/AA56*100</f>
        <v>0.46538685282140779</v>
      </c>
      <c r="AD56" s="1387"/>
      <c r="AE56" s="1387"/>
    </row>
    <row r="57" spans="1:32" ht="14.25" x14ac:dyDescent="0.2">
      <c r="A57" s="508"/>
      <c r="B57" s="1391" t="s">
        <v>641</v>
      </c>
      <c r="C57" s="1394">
        <v>80</v>
      </c>
      <c r="D57" s="1394">
        <v>1</v>
      </c>
      <c r="E57" s="1394">
        <v>53</v>
      </c>
      <c r="F57" s="1394">
        <v>0</v>
      </c>
      <c r="G57" s="1394">
        <v>55</v>
      </c>
      <c r="H57" s="1394">
        <v>2</v>
      </c>
      <c r="I57" s="1394">
        <v>29</v>
      </c>
      <c r="J57" s="1394">
        <v>0</v>
      </c>
      <c r="K57" s="1389">
        <v>48</v>
      </c>
      <c r="L57" s="1389">
        <v>0</v>
      </c>
      <c r="M57" s="1394">
        <v>22</v>
      </c>
      <c r="N57" s="1394">
        <v>0</v>
      </c>
      <c r="O57" s="1394">
        <v>22</v>
      </c>
      <c r="P57" s="1394">
        <v>0</v>
      </c>
      <c r="Q57" s="1394">
        <v>20</v>
      </c>
      <c r="R57" s="1394">
        <v>0</v>
      </c>
      <c r="S57" s="1394">
        <v>0</v>
      </c>
      <c r="T57" s="1394">
        <v>0</v>
      </c>
      <c r="U57" s="1394">
        <v>25</v>
      </c>
      <c r="V57" s="1394">
        <v>0</v>
      </c>
      <c r="W57" s="1394">
        <v>35</v>
      </c>
      <c r="X57" s="1394">
        <v>1</v>
      </c>
      <c r="Y57" s="1395">
        <v>26</v>
      </c>
      <c r="Z57" s="1394">
        <v>0</v>
      </c>
      <c r="AA57" s="1394">
        <f t="shared" si="4"/>
        <v>415</v>
      </c>
      <c r="AB57" s="1394">
        <f t="shared" si="4"/>
        <v>4</v>
      </c>
      <c r="AC57" s="1394">
        <f>AB57/AA57*100</f>
        <v>0.96385542168674709</v>
      </c>
      <c r="AD57" s="1387"/>
      <c r="AE57" s="1387"/>
    </row>
    <row r="58" spans="1:32" ht="14.25" x14ac:dyDescent="0.2">
      <c r="A58" s="508"/>
      <c r="B58" s="1391" t="s">
        <v>282</v>
      </c>
      <c r="C58" s="1394">
        <v>22</v>
      </c>
      <c r="D58" s="1394">
        <v>1</v>
      </c>
      <c r="E58" s="1394">
        <v>14</v>
      </c>
      <c r="F58" s="1394">
        <v>1</v>
      </c>
      <c r="G58" s="1394">
        <v>9</v>
      </c>
      <c r="H58" s="1394">
        <v>0</v>
      </c>
      <c r="I58" s="1394">
        <v>8</v>
      </c>
      <c r="J58" s="1394">
        <v>1</v>
      </c>
      <c r="K58" s="1394">
        <v>4</v>
      </c>
      <c r="L58" s="1394">
        <v>0</v>
      </c>
      <c r="M58" s="1394">
        <v>1</v>
      </c>
      <c r="N58" s="1394">
        <v>0</v>
      </c>
      <c r="O58" s="1394">
        <v>2</v>
      </c>
      <c r="P58" s="1394">
        <v>0</v>
      </c>
      <c r="Q58" s="1394">
        <v>3</v>
      </c>
      <c r="R58" s="1394">
        <v>0</v>
      </c>
      <c r="S58" s="1394">
        <v>0</v>
      </c>
      <c r="T58" s="1394">
        <v>0</v>
      </c>
      <c r="U58" s="1394">
        <v>4</v>
      </c>
      <c r="V58" s="1394">
        <v>0</v>
      </c>
      <c r="W58" s="1394">
        <v>5</v>
      </c>
      <c r="X58" s="1394">
        <v>0</v>
      </c>
      <c r="Y58" s="1395">
        <v>2</v>
      </c>
      <c r="Z58" s="1394">
        <v>0</v>
      </c>
      <c r="AA58" s="1394">
        <f t="shared" si="4"/>
        <v>74</v>
      </c>
      <c r="AB58" s="1394">
        <f t="shared" si="4"/>
        <v>3</v>
      </c>
      <c r="AC58" s="1394">
        <f>AB58/AA58*100</f>
        <v>4.0540540540540544</v>
      </c>
      <c r="AD58" s="1387"/>
      <c r="AE58" s="1387"/>
    </row>
    <row r="59" spans="1:32" ht="14.25" x14ac:dyDescent="0.2">
      <c r="A59" s="508"/>
      <c r="B59" s="1391" t="s">
        <v>278</v>
      </c>
      <c r="C59" s="1394">
        <v>217</v>
      </c>
      <c r="D59" s="1394" t="s">
        <v>1225</v>
      </c>
      <c r="E59" s="1394">
        <v>64</v>
      </c>
      <c r="F59" s="1394" t="s">
        <v>1225</v>
      </c>
      <c r="G59" s="1394">
        <v>37</v>
      </c>
      <c r="H59" s="1394" t="s">
        <v>1225</v>
      </c>
      <c r="I59" s="1394">
        <v>3</v>
      </c>
      <c r="J59" s="1394" t="s">
        <v>1225</v>
      </c>
      <c r="K59" s="1394">
        <v>32</v>
      </c>
      <c r="L59" s="1394">
        <v>0</v>
      </c>
      <c r="M59" s="1394">
        <v>19</v>
      </c>
      <c r="N59" s="1394">
        <v>0</v>
      </c>
      <c r="O59" s="1394">
        <v>5</v>
      </c>
      <c r="P59" s="1394">
        <v>0</v>
      </c>
      <c r="Q59" s="1394">
        <v>2</v>
      </c>
      <c r="R59" s="1394">
        <v>0</v>
      </c>
      <c r="S59" s="1394">
        <v>0</v>
      </c>
      <c r="T59" s="1394">
        <v>0</v>
      </c>
      <c r="U59" s="1394">
        <v>0</v>
      </c>
      <c r="V59" s="1394">
        <v>0</v>
      </c>
      <c r="W59" s="1394">
        <v>0</v>
      </c>
      <c r="X59" s="1394">
        <v>0</v>
      </c>
      <c r="Y59" s="1395">
        <v>4</v>
      </c>
      <c r="Z59" s="1394">
        <v>0</v>
      </c>
      <c r="AA59" s="1395">
        <v>298</v>
      </c>
      <c r="AB59" s="1394">
        <v>0</v>
      </c>
      <c r="AC59" s="1394">
        <v>0</v>
      </c>
      <c r="AD59" s="1387"/>
      <c r="AE59" s="1387"/>
    </row>
    <row r="60" spans="1:32" ht="14.25" x14ac:dyDescent="0.2">
      <c r="A60" s="508"/>
      <c r="B60" s="1391" t="s">
        <v>283</v>
      </c>
      <c r="C60" s="1394"/>
      <c r="D60" s="1394"/>
      <c r="E60" s="1394"/>
      <c r="F60" s="1394"/>
      <c r="G60" s="1394"/>
      <c r="H60" s="1394"/>
      <c r="I60" s="1394"/>
      <c r="J60" s="1394"/>
      <c r="K60" s="1394"/>
      <c r="L60" s="1394"/>
      <c r="M60" s="1394"/>
      <c r="N60" s="1394"/>
      <c r="O60" s="1394"/>
      <c r="P60" s="1394"/>
      <c r="Q60" s="1394"/>
      <c r="R60" s="1394"/>
      <c r="S60" s="1394"/>
      <c r="T60" s="1394"/>
      <c r="U60" s="1394"/>
      <c r="V60" s="1394"/>
      <c r="W60" s="1394"/>
      <c r="X60" s="1394"/>
      <c r="Y60" s="1394"/>
      <c r="Z60" s="1394"/>
      <c r="AA60" s="1395"/>
      <c r="AB60" s="1394"/>
      <c r="AC60" s="1394"/>
      <c r="AD60" s="1387"/>
      <c r="AE60" s="1387"/>
    </row>
    <row r="61" spans="1:32" ht="14.25" x14ac:dyDescent="0.2">
      <c r="A61" s="508"/>
      <c r="B61" s="1391" t="s">
        <v>276</v>
      </c>
      <c r="C61" s="1394"/>
      <c r="D61" s="1394"/>
      <c r="E61" s="1394"/>
      <c r="F61" s="1394"/>
      <c r="G61" s="1394"/>
      <c r="H61" s="1394"/>
      <c r="I61" s="1394"/>
      <c r="J61" s="1394"/>
      <c r="K61" s="1394"/>
      <c r="L61" s="1394"/>
      <c r="M61" s="1394"/>
      <c r="N61" s="1394"/>
      <c r="O61" s="1394"/>
      <c r="P61" s="1394"/>
      <c r="Q61" s="1394"/>
      <c r="R61" s="1394"/>
      <c r="S61" s="1394"/>
      <c r="T61" s="1394"/>
      <c r="U61" s="1394"/>
      <c r="V61" s="1394"/>
      <c r="W61" s="1394"/>
      <c r="X61" s="1394"/>
      <c r="Y61" s="1395"/>
      <c r="Z61" s="1394"/>
      <c r="AA61" s="1395"/>
      <c r="AB61" s="1394"/>
      <c r="AC61" s="1394"/>
      <c r="AD61" s="1387"/>
      <c r="AE61" s="1387"/>
    </row>
    <row r="62" spans="1:32" ht="14.25" x14ac:dyDescent="0.2">
      <c r="A62" s="508"/>
      <c r="B62" s="1391" t="s">
        <v>50</v>
      </c>
      <c r="C62" s="1394">
        <f t="shared" ref="C62:AB62" si="5">SUM(C55:C59)</f>
        <v>1005</v>
      </c>
      <c r="D62" s="1394">
        <f t="shared" si="5"/>
        <v>7</v>
      </c>
      <c r="E62" s="1394">
        <f t="shared" si="5"/>
        <v>715</v>
      </c>
      <c r="F62" s="1394">
        <f t="shared" si="5"/>
        <v>3</v>
      </c>
      <c r="G62" s="1394">
        <f t="shared" si="5"/>
        <v>1215</v>
      </c>
      <c r="H62" s="1394">
        <f t="shared" si="5"/>
        <v>10</v>
      </c>
      <c r="I62" s="1394">
        <f t="shared" si="5"/>
        <v>416</v>
      </c>
      <c r="J62" s="1394">
        <f t="shared" si="5"/>
        <v>2</v>
      </c>
      <c r="K62" s="1394">
        <f t="shared" si="5"/>
        <v>393</v>
      </c>
      <c r="L62" s="1394">
        <f t="shared" si="5"/>
        <v>3</v>
      </c>
      <c r="M62" s="1394">
        <f t="shared" si="5"/>
        <v>201</v>
      </c>
      <c r="N62" s="1394">
        <f t="shared" si="5"/>
        <v>2</v>
      </c>
      <c r="O62" s="1394">
        <f t="shared" si="5"/>
        <v>135</v>
      </c>
      <c r="P62" s="1394">
        <f t="shared" si="5"/>
        <v>0</v>
      </c>
      <c r="Q62" s="1394">
        <f t="shared" si="5"/>
        <v>90</v>
      </c>
      <c r="R62" s="1394">
        <f t="shared" si="5"/>
        <v>0</v>
      </c>
      <c r="S62" s="1394">
        <f>SUM(S55:S59)</f>
        <v>0</v>
      </c>
      <c r="T62" s="1394">
        <f t="shared" si="5"/>
        <v>2</v>
      </c>
      <c r="U62" s="1394">
        <f t="shared" si="5"/>
        <v>451</v>
      </c>
      <c r="V62" s="1394">
        <f t="shared" si="5"/>
        <v>3</v>
      </c>
      <c r="W62" s="1394">
        <f t="shared" si="5"/>
        <v>300</v>
      </c>
      <c r="X62" s="1394">
        <f t="shared" si="5"/>
        <v>4</v>
      </c>
      <c r="Y62" s="1394">
        <f t="shared" si="5"/>
        <v>561</v>
      </c>
      <c r="Z62" s="1394">
        <f t="shared" si="5"/>
        <v>7</v>
      </c>
      <c r="AA62" s="1394">
        <f t="shared" si="5"/>
        <v>5397</v>
      </c>
      <c r="AB62" s="1394">
        <f t="shared" si="5"/>
        <v>43</v>
      </c>
      <c r="AC62" s="1394">
        <f>AB62/AA62*100</f>
        <v>0.79673892903464882</v>
      </c>
      <c r="AD62" s="1387"/>
      <c r="AE62" s="1387"/>
    </row>
    <row r="63" spans="1:32" ht="14.25" x14ac:dyDescent="0.2">
      <c r="A63" s="508"/>
      <c r="B63" s="1391"/>
      <c r="C63" s="1394"/>
      <c r="D63" s="1394"/>
      <c r="E63" s="1394"/>
      <c r="F63" s="1394"/>
      <c r="G63" s="1394"/>
      <c r="H63" s="1394"/>
      <c r="I63" s="1394"/>
      <c r="J63" s="1394"/>
      <c r="K63" s="1394"/>
      <c r="L63" s="1394"/>
      <c r="M63" s="1394"/>
      <c r="N63" s="1394"/>
      <c r="O63" s="1394"/>
      <c r="P63" s="1394"/>
      <c r="Q63" s="1394"/>
      <c r="R63" s="1394"/>
      <c r="S63" s="1394"/>
      <c r="T63" s="1394"/>
      <c r="U63" s="1394"/>
      <c r="V63" s="1394"/>
      <c r="W63" s="1394"/>
      <c r="X63" s="1394"/>
      <c r="Y63" s="1394"/>
      <c r="Z63" s="1394"/>
      <c r="AA63" s="1394"/>
      <c r="AB63" s="1394"/>
      <c r="AC63" s="1394"/>
      <c r="AD63" s="1387"/>
      <c r="AE63" s="1387"/>
    </row>
    <row r="64" spans="1:32" x14ac:dyDescent="0.2">
      <c r="B64" s="1386"/>
      <c r="C64" s="1386"/>
      <c r="D64" s="1387"/>
      <c r="E64" s="1387"/>
      <c r="F64" s="1387"/>
      <c r="G64" s="1387"/>
      <c r="H64" s="1387"/>
      <c r="I64" s="1387"/>
      <c r="J64" s="1387"/>
      <c r="K64" s="1387"/>
      <c r="L64" s="1387"/>
      <c r="M64" s="1387"/>
      <c r="N64" s="1387"/>
      <c r="O64" s="1387"/>
      <c r="P64" s="1387"/>
      <c r="Q64" s="1387"/>
      <c r="R64" s="1387"/>
      <c r="S64" s="1387"/>
      <c r="T64" s="1387"/>
      <c r="U64" s="1387"/>
      <c r="V64" s="1387"/>
      <c r="W64" s="1387"/>
      <c r="X64" s="1387"/>
      <c r="Y64" s="1387"/>
      <c r="Z64" s="1387"/>
      <c r="AA64" s="1387"/>
      <c r="AB64" s="1387"/>
      <c r="AC64" s="1387"/>
      <c r="AD64" s="1387"/>
      <c r="AE64" s="1387"/>
    </row>
    <row r="65" spans="1:32" x14ac:dyDescent="0.25">
      <c r="A65" s="508"/>
      <c r="B65" s="1400" t="s">
        <v>1227</v>
      </c>
      <c r="C65" s="1400"/>
      <c r="D65" s="1400"/>
      <c r="E65" s="1400"/>
      <c r="F65" s="1401"/>
      <c r="G65" s="1401"/>
      <c r="H65" s="1401"/>
      <c r="I65" s="1401"/>
      <c r="J65" s="1401"/>
      <c r="K65" s="1401"/>
      <c r="L65" s="1401"/>
      <c r="M65" s="1401"/>
      <c r="N65" s="1401"/>
      <c r="O65" s="1401"/>
      <c r="P65" s="1401"/>
      <c r="Q65" s="1401"/>
      <c r="R65" s="1401"/>
      <c r="S65" s="1401"/>
      <c r="T65" s="1401"/>
      <c r="U65" s="1401"/>
      <c r="V65" s="1401"/>
      <c r="W65" s="1401"/>
      <c r="X65" s="1401"/>
      <c r="Y65" s="1401"/>
      <c r="Z65" s="1401"/>
      <c r="AA65" s="1401"/>
      <c r="AB65" s="1401"/>
      <c r="AC65" s="1401"/>
      <c r="AD65" s="1401"/>
      <c r="AE65" s="1401"/>
      <c r="AF65" s="1329"/>
    </row>
    <row r="66" spans="1:32" ht="14.25" x14ac:dyDescent="0.2">
      <c r="A66" s="508"/>
      <c r="B66" s="1395" t="s">
        <v>1211</v>
      </c>
      <c r="C66" s="1402" t="s">
        <v>1212</v>
      </c>
      <c r="D66" s="1403"/>
      <c r="E66" s="1402" t="s">
        <v>1213</v>
      </c>
      <c r="F66" s="1403"/>
      <c r="G66" s="1402" t="s">
        <v>1214</v>
      </c>
      <c r="H66" s="1403"/>
      <c r="I66" s="1402" t="s">
        <v>1215</v>
      </c>
      <c r="J66" s="1403"/>
      <c r="K66" s="1402" t="s">
        <v>256</v>
      </c>
      <c r="L66" s="1403"/>
      <c r="M66" s="1402" t="s">
        <v>1216</v>
      </c>
      <c r="N66" s="1403"/>
      <c r="O66" s="1402" t="s">
        <v>1217</v>
      </c>
      <c r="P66" s="1403"/>
      <c r="Q66" s="4865" t="s">
        <v>1218</v>
      </c>
      <c r="R66" s="4866"/>
      <c r="S66" s="4865" t="s">
        <v>650</v>
      </c>
      <c r="T66" s="4866"/>
      <c r="U66" s="4865" t="s">
        <v>1219</v>
      </c>
      <c r="V66" s="4866"/>
      <c r="W66" s="4865" t="s">
        <v>257</v>
      </c>
      <c r="X66" s="4866"/>
      <c r="Y66" s="4865" t="s">
        <v>1220</v>
      </c>
      <c r="Z66" s="4866"/>
      <c r="AA66" s="1404" t="s">
        <v>50</v>
      </c>
      <c r="AB66" s="1395" t="s">
        <v>50</v>
      </c>
      <c r="AC66" s="1395" t="s">
        <v>1221</v>
      </c>
      <c r="AD66" s="1387"/>
      <c r="AE66" s="1387"/>
    </row>
    <row r="67" spans="1:32" ht="14.25" x14ac:dyDescent="0.2">
      <c r="A67" s="508"/>
      <c r="B67" s="1395" t="s">
        <v>275</v>
      </c>
      <c r="C67" s="1395" t="s">
        <v>50</v>
      </c>
      <c r="D67" s="1405" t="s">
        <v>1205</v>
      </c>
      <c r="E67" s="1406" t="s">
        <v>50</v>
      </c>
      <c r="F67" s="1407" t="s">
        <v>1205</v>
      </c>
      <c r="G67" s="1395" t="s">
        <v>50</v>
      </c>
      <c r="H67" s="1405" t="s">
        <v>1205</v>
      </c>
      <c r="I67" s="1395" t="s">
        <v>50</v>
      </c>
      <c r="J67" s="1405" t="s">
        <v>1205</v>
      </c>
      <c r="K67" s="1395" t="s">
        <v>50</v>
      </c>
      <c r="L67" s="1405" t="s">
        <v>1205</v>
      </c>
      <c r="M67" s="1395" t="s">
        <v>50</v>
      </c>
      <c r="N67" s="1405" t="s">
        <v>1205</v>
      </c>
      <c r="O67" s="1395" t="s">
        <v>50</v>
      </c>
      <c r="P67" s="1405" t="s">
        <v>1205</v>
      </c>
      <c r="Q67" s="1395" t="s">
        <v>50</v>
      </c>
      <c r="R67" s="1405" t="s">
        <v>1205</v>
      </c>
      <c r="S67" s="1395" t="s">
        <v>50</v>
      </c>
      <c r="T67" s="1405" t="s">
        <v>1205</v>
      </c>
      <c r="U67" s="1395" t="s">
        <v>50</v>
      </c>
      <c r="V67" s="1405" t="s">
        <v>1205</v>
      </c>
      <c r="W67" s="1395" t="s">
        <v>50</v>
      </c>
      <c r="X67" s="1405" t="s">
        <v>1205</v>
      </c>
      <c r="Y67" s="1395" t="s">
        <v>50</v>
      </c>
      <c r="Z67" s="1405" t="s">
        <v>1205</v>
      </c>
      <c r="AA67" s="1404" t="s">
        <v>1223</v>
      </c>
      <c r="AB67" s="1395" t="s">
        <v>1224</v>
      </c>
      <c r="AC67" s="1395"/>
      <c r="AD67" s="1387"/>
      <c r="AE67" s="1387"/>
    </row>
    <row r="68" spans="1:32" ht="14.25" x14ac:dyDescent="0.2">
      <c r="A68" s="508"/>
      <c r="B68" s="1395" t="s">
        <v>280</v>
      </c>
      <c r="C68" s="1394">
        <v>677</v>
      </c>
      <c r="D68" s="1394">
        <v>4</v>
      </c>
      <c r="E68" s="1394">
        <v>381</v>
      </c>
      <c r="F68" s="1394">
        <v>2</v>
      </c>
      <c r="G68" s="1394">
        <v>312</v>
      </c>
      <c r="H68" s="1394">
        <v>3</v>
      </c>
      <c r="I68" s="1394">
        <v>650</v>
      </c>
      <c r="J68" s="1394">
        <v>3</v>
      </c>
      <c r="K68" s="1394">
        <v>182</v>
      </c>
      <c r="L68" s="1394">
        <v>3</v>
      </c>
      <c r="M68" s="1394">
        <v>65</v>
      </c>
      <c r="N68" s="1394">
        <v>0</v>
      </c>
      <c r="O68" s="1394">
        <v>33</v>
      </c>
      <c r="P68" s="1394">
        <v>1</v>
      </c>
      <c r="Q68" s="1394">
        <v>11</v>
      </c>
      <c r="R68" s="1394">
        <v>0</v>
      </c>
      <c r="S68" s="1394">
        <v>162</v>
      </c>
      <c r="T68" s="1394">
        <v>2</v>
      </c>
      <c r="U68" s="1394">
        <v>722</v>
      </c>
      <c r="V68" s="1394">
        <v>9</v>
      </c>
      <c r="W68" s="1394">
        <v>217</v>
      </c>
      <c r="X68" s="1394">
        <v>2</v>
      </c>
      <c r="Y68" s="1394">
        <v>803</v>
      </c>
      <c r="Z68" s="1394">
        <v>11</v>
      </c>
      <c r="AA68" s="1394">
        <v>4215</v>
      </c>
      <c r="AB68" s="1394">
        <v>40</v>
      </c>
      <c r="AC68" s="1394">
        <v>0.94899169632265723</v>
      </c>
      <c r="AD68" s="1387"/>
      <c r="AE68" s="1387"/>
    </row>
    <row r="69" spans="1:32" ht="14.25" x14ac:dyDescent="0.2">
      <c r="A69" s="508"/>
      <c r="B69" s="1395" t="s">
        <v>281</v>
      </c>
      <c r="C69" s="1394">
        <v>460</v>
      </c>
      <c r="D69" s="1394">
        <v>13</v>
      </c>
      <c r="E69" s="1394">
        <v>156</v>
      </c>
      <c r="F69" s="1394">
        <v>0</v>
      </c>
      <c r="G69" s="1394">
        <v>176</v>
      </c>
      <c r="H69" s="1394">
        <v>1</v>
      </c>
      <c r="I69" s="1394">
        <v>275</v>
      </c>
      <c r="J69" s="1394">
        <v>1</v>
      </c>
      <c r="K69" s="1394">
        <v>150</v>
      </c>
      <c r="L69" s="1394">
        <v>2</v>
      </c>
      <c r="M69" s="1394">
        <v>124</v>
      </c>
      <c r="N69" s="1394">
        <v>1</v>
      </c>
      <c r="O69" s="1394">
        <v>99</v>
      </c>
      <c r="P69" s="1394">
        <v>1</v>
      </c>
      <c r="Q69" s="1394">
        <v>51</v>
      </c>
      <c r="R69" s="1394">
        <v>1</v>
      </c>
      <c r="S69" s="1394">
        <v>83</v>
      </c>
      <c r="T69" s="1394">
        <v>0</v>
      </c>
      <c r="U69" s="1394">
        <v>325</v>
      </c>
      <c r="V69" s="1394">
        <v>3</v>
      </c>
      <c r="W69" s="1394">
        <v>137</v>
      </c>
      <c r="X69" s="1394">
        <v>1</v>
      </c>
      <c r="Y69" s="1394">
        <v>159</v>
      </c>
      <c r="Z69" s="1394">
        <v>2</v>
      </c>
      <c r="AA69" s="1394">
        <v>2195</v>
      </c>
      <c r="AB69" s="1394">
        <v>26</v>
      </c>
      <c r="AC69" s="1394">
        <v>1.184510250569476</v>
      </c>
      <c r="AD69" s="1387"/>
      <c r="AE69" s="1387"/>
    </row>
    <row r="70" spans="1:32" ht="14.25" x14ac:dyDescent="0.2">
      <c r="A70" s="508"/>
      <c r="B70" s="1395" t="s">
        <v>641</v>
      </c>
      <c r="C70" s="1394">
        <v>56</v>
      </c>
      <c r="D70" s="1394">
        <v>0</v>
      </c>
      <c r="E70" s="1394">
        <v>36</v>
      </c>
      <c r="F70" s="1394">
        <v>0</v>
      </c>
      <c r="G70" s="1394">
        <v>16</v>
      </c>
      <c r="H70" s="1394">
        <v>0</v>
      </c>
      <c r="I70" s="1394">
        <v>60</v>
      </c>
      <c r="J70" s="1394">
        <v>0</v>
      </c>
      <c r="K70" s="1394">
        <v>46</v>
      </c>
      <c r="L70" s="1394">
        <v>0</v>
      </c>
      <c r="M70" s="1394">
        <v>30</v>
      </c>
      <c r="N70" s="1394">
        <v>1</v>
      </c>
      <c r="O70" s="1394">
        <v>21</v>
      </c>
      <c r="P70" s="1394">
        <v>0</v>
      </c>
      <c r="Q70" s="1394">
        <v>10</v>
      </c>
      <c r="R70" s="1394">
        <v>0</v>
      </c>
      <c r="S70" s="1394">
        <v>13</v>
      </c>
      <c r="T70" s="1394">
        <v>0</v>
      </c>
      <c r="U70" s="1394">
        <v>31</v>
      </c>
      <c r="V70" s="1394">
        <v>1</v>
      </c>
      <c r="W70" s="1394">
        <v>32</v>
      </c>
      <c r="X70" s="1394">
        <v>3</v>
      </c>
      <c r="Y70" s="1394">
        <v>29</v>
      </c>
      <c r="Z70" s="1394">
        <v>0</v>
      </c>
      <c r="AA70" s="1394">
        <v>380</v>
      </c>
      <c r="AB70" s="1394">
        <v>5</v>
      </c>
      <c r="AC70" s="1394">
        <v>1.3157894736842104</v>
      </c>
      <c r="AD70" s="1387"/>
      <c r="AE70" s="1387"/>
    </row>
    <row r="71" spans="1:32" ht="14.25" x14ac:dyDescent="0.2">
      <c r="A71" s="508"/>
      <c r="B71" s="1395" t="s">
        <v>282</v>
      </c>
      <c r="C71" s="1394">
        <v>36</v>
      </c>
      <c r="D71" s="1394">
        <v>3</v>
      </c>
      <c r="E71" s="1394">
        <v>14</v>
      </c>
      <c r="F71" s="1394">
        <v>0</v>
      </c>
      <c r="G71" s="1394">
        <v>10</v>
      </c>
      <c r="H71" s="1394">
        <v>0</v>
      </c>
      <c r="I71" s="1394">
        <v>27</v>
      </c>
      <c r="J71" s="1394">
        <v>1</v>
      </c>
      <c r="K71" s="1394">
        <v>25</v>
      </c>
      <c r="L71" s="1394">
        <v>0</v>
      </c>
      <c r="M71" s="1394">
        <v>28</v>
      </c>
      <c r="N71" s="1394">
        <v>0</v>
      </c>
      <c r="O71" s="1394">
        <v>14</v>
      </c>
      <c r="P71" s="1394">
        <v>0</v>
      </c>
      <c r="Q71" s="1394">
        <v>6</v>
      </c>
      <c r="R71" s="1394">
        <v>0</v>
      </c>
      <c r="S71" s="1394">
        <v>9</v>
      </c>
      <c r="T71" s="1394">
        <v>0</v>
      </c>
      <c r="U71" s="1394">
        <v>6</v>
      </c>
      <c r="V71" s="1394">
        <v>0</v>
      </c>
      <c r="W71" s="1394">
        <v>8</v>
      </c>
      <c r="X71" s="1394">
        <v>0</v>
      </c>
      <c r="Y71" s="1394">
        <v>3</v>
      </c>
      <c r="Z71" s="1394">
        <v>0</v>
      </c>
      <c r="AA71" s="1394">
        <v>186</v>
      </c>
      <c r="AB71" s="1394">
        <v>4</v>
      </c>
      <c r="AC71" s="1394">
        <v>2.1505376344086025</v>
      </c>
      <c r="AD71" s="1387"/>
      <c r="AE71" s="1387"/>
    </row>
    <row r="72" spans="1:32" ht="14.25" x14ac:dyDescent="0.2">
      <c r="A72" s="508"/>
      <c r="B72" s="1395" t="s">
        <v>278</v>
      </c>
      <c r="C72" s="1394">
        <v>174</v>
      </c>
      <c r="D72" s="1394">
        <v>2</v>
      </c>
      <c r="E72" s="1394">
        <v>80</v>
      </c>
      <c r="F72" s="1394">
        <v>2</v>
      </c>
      <c r="G72" s="1394">
        <v>53</v>
      </c>
      <c r="H72" s="1394">
        <v>0</v>
      </c>
      <c r="I72" s="1394">
        <v>121</v>
      </c>
      <c r="J72" s="1394">
        <v>2</v>
      </c>
      <c r="K72" s="1394">
        <v>181</v>
      </c>
      <c r="L72" s="1394">
        <v>1</v>
      </c>
      <c r="M72" s="1394">
        <v>109</v>
      </c>
      <c r="N72" s="1394">
        <v>0</v>
      </c>
      <c r="O72" s="1408">
        <v>62</v>
      </c>
      <c r="P72" s="1394">
        <v>0</v>
      </c>
      <c r="Q72" s="1394">
        <v>36</v>
      </c>
      <c r="R72" s="1394">
        <v>1</v>
      </c>
      <c r="S72" s="1394">
        <v>33</v>
      </c>
      <c r="T72" s="1394">
        <v>1</v>
      </c>
      <c r="U72" s="1394">
        <v>42</v>
      </c>
      <c r="V72" s="1394">
        <v>0</v>
      </c>
      <c r="W72" s="1394">
        <v>38</v>
      </c>
      <c r="X72" s="1394">
        <v>0</v>
      </c>
      <c r="Y72" s="1394">
        <v>31</v>
      </c>
      <c r="Z72" s="1394">
        <v>2</v>
      </c>
      <c r="AA72" s="1394">
        <v>960</v>
      </c>
      <c r="AB72" s="1394">
        <v>11</v>
      </c>
      <c r="AC72" s="1394">
        <v>1.1458333333333333</v>
      </c>
      <c r="AD72" s="1387"/>
      <c r="AE72" s="1387"/>
    </row>
    <row r="73" spans="1:32" ht="14.25" x14ac:dyDescent="0.2">
      <c r="A73" s="508"/>
      <c r="B73" s="1395" t="s">
        <v>283</v>
      </c>
      <c r="C73" s="1394"/>
      <c r="D73" s="1394"/>
      <c r="E73" s="1394"/>
      <c r="F73" s="1394"/>
      <c r="G73" s="1394">
        <v>1</v>
      </c>
      <c r="H73" s="1394">
        <v>0</v>
      </c>
      <c r="I73" s="1394">
        <v>2</v>
      </c>
      <c r="J73" s="1394">
        <v>0</v>
      </c>
      <c r="K73" s="1394">
        <v>2</v>
      </c>
      <c r="L73" s="1394">
        <v>0</v>
      </c>
      <c r="M73" s="1394">
        <v>0</v>
      </c>
      <c r="N73" s="1394">
        <v>0</v>
      </c>
      <c r="O73" s="1394">
        <v>1</v>
      </c>
      <c r="P73" s="1394">
        <v>0</v>
      </c>
      <c r="Q73" s="1394">
        <v>2</v>
      </c>
      <c r="R73" s="1394">
        <v>0</v>
      </c>
      <c r="S73" s="1394">
        <v>2</v>
      </c>
      <c r="T73" s="1394">
        <v>1</v>
      </c>
      <c r="U73" s="1394">
        <v>0</v>
      </c>
      <c r="V73" s="1394">
        <v>0</v>
      </c>
      <c r="W73" s="1394">
        <v>1</v>
      </c>
      <c r="X73" s="1394">
        <v>0</v>
      </c>
      <c r="Y73" s="1394">
        <v>1</v>
      </c>
      <c r="Z73" s="1394">
        <v>0</v>
      </c>
      <c r="AA73" s="1394">
        <v>12</v>
      </c>
      <c r="AB73" s="1394">
        <v>1</v>
      </c>
      <c r="AC73" s="1394">
        <v>8.3333333333333321</v>
      </c>
      <c r="AD73" s="1387"/>
      <c r="AE73" s="1387"/>
    </row>
    <row r="74" spans="1:32" ht="14.25" x14ac:dyDescent="0.2">
      <c r="A74" s="508"/>
      <c r="B74" s="1395" t="s">
        <v>276</v>
      </c>
      <c r="C74" s="1394">
        <v>1</v>
      </c>
      <c r="D74" s="1394">
        <v>0</v>
      </c>
      <c r="E74" s="1394"/>
      <c r="F74" s="1394"/>
      <c r="G74" s="1394"/>
      <c r="H74" s="1394"/>
      <c r="I74" s="1394"/>
      <c r="J74" s="1394"/>
      <c r="K74" s="1394">
        <v>1</v>
      </c>
      <c r="L74" s="1394">
        <v>0</v>
      </c>
      <c r="M74" s="1394">
        <v>3</v>
      </c>
      <c r="N74" s="1394">
        <v>0</v>
      </c>
      <c r="O74" s="1394">
        <v>4</v>
      </c>
      <c r="P74" s="1394">
        <v>0</v>
      </c>
      <c r="Q74" s="1394"/>
      <c r="R74" s="1394"/>
      <c r="S74" s="1394"/>
      <c r="T74" s="1394"/>
      <c r="U74" s="1394"/>
      <c r="V74" s="1394"/>
      <c r="W74" s="1394"/>
      <c r="X74" s="1394"/>
      <c r="Y74" s="1394"/>
      <c r="Z74" s="1394"/>
      <c r="AA74" s="1394">
        <v>9</v>
      </c>
      <c r="AB74" s="1394">
        <v>0</v>
      </c>
      <c r="AC74" s="1394">
        <v>0</v>
      </c>
      <c r="AD74" s="1387"/>
      <c r="AE74" s="1387"/>
    </row>
    <row r="75" spans="1:32" ht="14.25" x14ac:dyDescent="0.2">
      <c r="A75" s="508"/>
      <c r="B75" s="1395" t="s">
        <v>284</v>
      </c>
      <c r="C75" s="1394">
        <v>16</v>
      </c>
      <c r="D75" s="1394">
        <v>0</v>
      </c>
      <c r="E75" s="1394">
        <v>6</v>
      </c>
      <c r="F75" s="1394">
        <v>0</v>
      </c>
      <c r="G75" s="1394">
        <v>14</v>
      </c>
      <c r="H75" s="1394">
        <v>0</v>
      </c>
      <c r="I75" s="1394">
        <v>5</v>
      </c>
      <c r="J75" s="1394">
        <v>0</v>
      </c>
      <c r="K75" s="1394">
        <v>11</v>
      </c>
      <c r="L75" s="1394">
        <v>0</v>
      </c>
      <c r="M75" s="1394">
        <v>2</v>
      </c>
      <c r="N75" s="1394">
        <v>0</v>
      </c>
      <c r="O75" s="1394">
        <v>4</v>
      </c>
      <c r="P75" s="1394">
        <v>0</v>
      </c>
      <c r="Q75" s="1394">
        <v>2</v>
      </c>
      <c r="R75" s="1394">
        <v>0</v>
      </c>
      <c r="S75" s="1394">
        <v>6</v>
      </c>
      <c r="T75" s="1394">
        <v>0</v>
      </c>
      <c r="U75" s="1394">
        <v>3</v>
      </c>
      <c r="V75" s="1394">
        <v>0</v>
      </c>
      <c r="W75" s="1394">
        <v>1</v>
      </c>
      <c r="X75" s="1394">
        <v>0</v>
      </c>
      <c r="Y75" s="1394">
        <v>5</v>
      </c>
      <c r="Z75" s="1394">
        <v>0</v>
      </c>
      <c r="AA75" s="1394">
        <v>75</v>
      </c>
      <c r="AB75" s="1394">
        <v>0</v>
      </c>
      <c r="AC75" s="1394">
        <v>0</v>
      </c>
      <c r="AD75" s="1387"/>
      <c r="AE75" s="1387"/>
    </row>
    <row r="76" spans="1:32" ht="14.25" x14ac:dyDescent="0.2">
      <c r="A76" s="508"/>
      <c r="B76" s="1395" t="s">
        <v>277</v>
      </c>
      <c r="C76" s="1394">
        <v>3</v>
      </c>
      <c r="D76" s="1394">
        <v>0</v>
      </c>
      <c r="E76" s="1394">
        <v>1</v>
      </c>
      <c r="F76" s="1394">
        <v>0</v>
      </c>
      <c r="G76" s="1394">
        <v>3</v>
      </c>
      <c r="H76" s="1394">
        <v>0</v>
      </c>
      <c r="I76" s="1394">
        <v>6</v>
      </c>
      <c r="J76" s="1394">
        <v>0</v>
      </c>
      <c r="K76" s="1394">
        <v>3</v>
      </c>
      <c r="L76" s="1394">
        <v>0</v>
      </c>
      <c r="M76" s="1394">
        <v>2</v>
      </c>
      <c r="N76" s="1394">
        <v>0</v>
      </c>
      <c r="O76" s="1394">
        <v>2</v>
      </c>
      <c r="P76" s="1394">
        <v>0</v>
      </c>
      <c r="Q76" s="1394">
        <v>1</v>
      </c>
      <c r="R76" s="1394">
        <v>0</v>
      </c>
      <c r="S76" s="1394">
        <v>3</v>
      </c>
      <c r="T76" s="1394">
        <v>0</v>
      </c>
      <c r="U76" s="1394">
        <v>2</v>
      </c>
      <c r="V76" s="1394">
        <v>0</v>
      </c>
      <c r="W76" s="1394">
        <v>6</v>
      </c>
      <c r="X76" s="1394">
        <v>0</v>
      </c>
      <c r="Y76" s="1394">
        <v>2</v>
      </c>
      <c r="Z76" s="1394">
        <v>0</v>
      </c>
      <c r="AA76" s="1394">
        <v>34</v>
      </c>
      <c r="AB76" s="1394">
        <v>0</v>
      </c>
      <c r="AC76" s="1394">
        <v>0</v>
      </c>
      <c r="AD76" s="1387"/>
      <c r="AE76" s="1387"/>
    </row>
    <row r="77" spans="1:32" ht="14.25" x14ac:dyDescent="0.2">
      <c r="A77" s="508"/>
      <c r="B77" s="1395" t="s">
        <v>50</v>
      </c>
      <c r="C77" s="1394">
        <v>1423</v>
      </c>
      <c r="D77" s="1394">
        <v>22</v>
      </c>
      <c r="E77" s="1394">
        <v>674</v>
      </c>
      <c r="F77" s="1394">
        <v>4</v>
      </c>
      <c r="G77" s="1394">
        <v>585</v>
      </c>
      <c r="H77" s="1394">
        <v>4</v>
      </c>
      <c r="I77" s="1394">
        <v>1146</v>
      </c>
      <c r="J77" s="1394">
        <v>7</v>
      </c>
      <c r="K77" s="1394">
        <v>601</v>
      </c>
      <c r="L77" s="1394">
        <v>6</v>
      </c>
      <c r="M77" s="1394">
        <v>363</v>
      </c>
      <c r="N77" s="1394">
        <v>2</v>
      </c>
      <c r="O77" s="1394">
        <v>240</v>
      </c>
      <c r="P77" s="1394">
        <v>2</v>
      </c>
      <c r="Q77" s="1394">
        <v>119</v>
      </c>
      <c r="R77" s="1394">
        <v>2</v>
      </c>
      <c r="S77" s="1394">
        <v>311</v>
      </c>
      <c r="T77" s="1394">
        <v>4</v>
      </c>
      <c r="U77" s="1394">
        <v>1131</v>
      </c>
      <c r="V77" s="1394">
        <v>13</v>
      </c>
      <c r="W77" s="1394">
        <v>440</v>
      </c>
      <c r="X77" s="1394">
        <v>6</v>
      </c>
      <c r="Y77" s="1394">
        <v>1033</v>
      </c>
      <c r="Z77" s="1394">
        <v>15</v>
      </c>
      <c r="AA77" s="1394">
        <v>8066</v>
      </c>
      <c r="AB77" s="1394">
        <v>87</v>
      </c>
      <c r="AC77" s="1394">
        <v>1.0786015373171338</v>
      </c>
      <c r="AD77" s="1387"/>
      <c r="AE77" s="1387"/>
    </row>
    <row r="78" spans="1:32" ht="14.25" x14ac:dyDescent="0.2">
      <c r="A78" s="508"/>
      <c r="B78" s="1395" t="s">
        <v>50</v>
      </c>
      <c r="C78" s="1394">
        <v>1423</v>
      </c>
      <c r="D78" s="1394">
        <v>22</v>
      </c>
      <c r="E78" s="1394">
        <v>674</v>
      </c>
      <c r="F78" s="1394">
        <v>4</v>
      </c>
      <c r="G78" s="1394">
        <v>585</v>
      </c>
      <c r="H78" s="1394">
        <v>4</v>
      </c>
      <c r="I78" s="1394">
        <v>1146</v>
      </c>
      <c r="J78" s="1394">
        <v>7</v>
      </c>
      <c r="K78" s="1394">
        <v>601</v>
      </c>
      <c r="L78" s="1394">
        <v>6</v>
      </c>
      <c r="M78" s="1394">
        <v>363</v>
      </c>
      <c r="N78" s="1394">
        <v>2</v>
      </c>
      <c r="O78" s="1394">
        <v>240</v>
      </c>
      <c r="P78" s="1394">
        <v>2</v>
      </c>
      <c r="Q78" s="1394">
        <v>119</v>
      </c>
      <c r="R78" s="1394"/>
      <c r="S78" s="1394">
        <v>2</v>
      </c>
      <c r="T78" s="1394">
        <v>4</v>
      </c>
      <c r="U78" s="1394">
        <v>1131</v>
      </c>
      <c r="V78" s="1394">
        <v>13</v>
      </c>
      <c r="W78" s="1394">
        <v>440</v>
      </c>
      <c r="X78" s="1394">
        <v>6</v>
      </c>
      <c r="Y78" s="1394">
        <v>1033</v>
      </c>
      <c r="Z78" s="1394">
        <v>15</v>
      </c>
      <c r="AA78" s="1394">
        <v>8066</v>
      </c>
      <c r="AB78" s="1394">
        <v>87</v>
      </c>
      <c r="AC78" s="1394">
        <v>1.0786015373171338</v>
      </c>
      <c r="AD78" s="1387">
        <f>+AB78/AA78*100</f>
        <v>1.0786015373171338</v>
      </c>
      <c r="AE78" s="1387"/>
    </row>
    <row r="79" spans="1:32" x14ac:dyDescent="0.2">
      <c r="B79" s="1386"/>
      <c r="C79" s="1386"/>
      <c r="D79" s="1387"/>
      <c r="E79" s="1387"/>
      <c r="F79" s="1387"/>
      <c r="G79" s="1387"/>
      <c r="H79" s="1387"/>
      <c r="I79" s="1387"/>
      <c r="J79" s="1387"/>
      <c r="K79" s="1387"/>
      <c r="L79" s="1387"/>
      <c r="M79" s="1387"/>
      <c r="N79" s="1387"/>
      <c r="O79" s="1387"/>
      <c r="P79" s="1387"/>
      <c r="Q79" s="1387"/>
      <c r="R79" s="1387"/>
      <c r="S79" s="1387"/>
      <c r="T79" s="1387"/>
      <c r="U79" s="1387"/>
      <c r="V79" s="1387"/>
      <c r="W79" s="1387"/>
      <c r="X79" s="1387"/>
      <c r="Y79" s="1387"/>
      <c r="Z79" s="1387"/>
      <c r="AA79" s="1387"/>
      <c r="AB79" s="1387"/>
      <c r="AC79" s="1387"/>
      <c r="AD79" s="1387"/>
      <c r="AE79" s="1387"/>
    </row>
    <row r="80" spans="1:32" x14ac:dyDescent="0.25">
      <c r="A80" s="508"/>
      <c r="B80" s="1400" t="s">
        <v>1228</v>
      </c>
      <c r="C80" s="1400"/>
      <c r="D80" s="1400"/>
      <c r="E80" s="1400"/>
      <c r="F80" s="1401"/>
      <c r="G80" s="1401"/>
      <c r="H80" s="1401"/>
      <c r="I80" s="1401"/>
      <c r="J80" s="1401"/>
      <c r="K80" s="1401"/>
      <c r="L80" s="1401"/>
      <c r="M80" s="1401"/>
      <c r="N80" s="1401"/>
      <c r="O80" s="1401"/>
      <c r="P80" s="1401"/>
      <c r="Q80" s="1401"/>
      <c r="R80" s="1401"/>
      <c r="S80" s="1401"/>
      <c r="T80" s="1401"/>
      <c r="U80" s="1401"/>
      <c r="V80" s="1401"/>
      <c r="W80" s="1401"/>
      <c r="X80" s="1401"/>
      <c r="Y80" s="1401"/>
      <c r="Z80" s="1401"/>
      <c r="AA80" s="1401"/>
      <c r="AB80" s="1401"/>
      <c r="AC80" s="1401"/>
      <c r="AD80" s="1401"/>
      <c r="AE80" s="1401"/>
      <c r="AF80" s="1329"/>
    </row>
    <row r="81" spans="1:32" ht="14.25" x14ac:dyDescent="0.2">
      <c r="A81" s="508"/>
      <c r="B81" s="1395" t="s">
        <v>1211</v>
      </c>
      <c r="C81" s="1402" t="s">
        <v>1212</v>
      </c>
      <c r="D81" s="1403"/>
      <c r="E81" s="1402" t="s">
        <v>1213</v>
      </c>
      <c r="F81" s="1403"/>
      <c r="G81" s="1402" t="s">
        <v>1214</v>
      </c>
      <c r="H81" s="1403"/>
      <c r="I81" s="1402" t="s">
        <v>1215</v>
      </c>
      <c r="J81" s="1403"/>
      <c r="K81" s="1402" t="s">
        <v>256</v>
      </c>
      <c r="L81" s="1403"/>
      <c r="M81" s="1402" t="s">
        <v>1216</v>
      </c>
      <c r="N81" s="1403"/>
      <c r="O81" s="1402" t="s">
        <v>1217</v>
      </c>
      <c r="P81" s="1403"/>
      <c r="Q81" s="1402" t="s">
        <v>1218</v>
      </c>
      <c r="R81" s="1403"/>
      <c r="S81" s="1402" t="s">
        <v>650</v>
      </c>
      <c r="T81" s="1403"/>
      <c r="U81" s="1402" t="s">
        <v>1219</v>
      </c>
      <c r="V81" s="1403"/>
      <c r="W81" s="1402" t="s">
        <v>257</v>
      </c>
      <c r="X81" s="1403"/>
      <c r="Y81" s="1402" t="s">
        <v>1220</v>
      </c>
      <c r="Z81" s="1403"/>
      <c r="AA81" s="1404" t="s">
        <v>50</v>
      </c>
      <c r="AB81" s="1395" t="s">
        <v>50</v>
      </c>
      <c r="AC81" s="1395" t="s">
        <v>1221</v>
      </c>
      <c r="AD81" s="1387"/>
      <c r="AE81" s="1387"/>
    </row>
    <row r="82" spans="1:32" ht="14.25" x14ac:dyDescent="0.2">
      <c r="A82" s="508"/>
      <c r="B82" s="1395" t="s">
        <v>275</v>
      </c>
      <c r="C82" s="1395" t="s">
        <v>50</v>
      </c>
      <c r="D82" s="1405" t="s">
        <v>1205</v>
      </c>
      <c r="E82" s="1406" t="s">
        <v>50</v>
      </c>
      <c r="F82" s="1407" t="s">
        <v>1205</v>
      </c>
      <c r="G82" s="1395" t="s">
        <v>50</v>
      </c>
      <c r="H82" s="1405" t="s">
        <v>1205</v>
      </c>
      <c r="I82" s="1395" t="s">
        <v>50</v>
      </c>
      <c r="J82" s="1405" t="s">
        <v>1205</v>
      </c>
      <c r="K82" s="1395" t="s">
        <v>50</v>
      </c>
      <c r="L82" s="1405" t="s">
        <v>1205</v>
      </c>
      <c r="M82" s="1395" t="s">
        <v>50</v>
      </c>
      <c r="N82" s="1405" t="s">
        <v>1205</v>
      </c>
      <c r="O82" s="1395" t="s">
        <v>50</v>
      </c>
      <c r="P82" s="1405" t="s">
        <v>1205</v>
      </c>
      <c r="Q82" s="1395" t="s">
        <v>50</v>
      </c>
      <c r="R82" s="1405" t="s">
        <v>1205</v>
      </c>
      <c r="S82" s="1395" t="s">
        <v>50</v>
      </c>
      <c r="T82" s="1405" t="s">
        <v>1205</v>
      </c>
      <c r="U82" s="1395" t="s">
        <v>50</v>
      </c>
      <c r="V82" s="1405" t="s">
        <v>1205</v>
      </c>
      <c r="W82" s="1395" t="s">
        <v>50</v>
      </c>
      <c r="X82" s="1405" t="s">
        <v>1205</v>
      </c>
      <c r="Y82" s="1395" t="s">
        <v>50</v>
      </c>
      <c r="Z82" s="1405" t="s">
        <v>1205</v>
      </c>
      <c r="AA82" s="1404" t="s">
        <v>1223</v>
      </c>
      <c r="AB82" s="1395" t="s">
        <v>1224</v>
      </c>
      <c r="AC82" s="1395"/>
      <c r="AD82" s="1387"/>
      <c r="AE82" s="1387"/>
    </row>
    <row r="83" spans="1:32" ht="14.25" x14ac:dyDescent="0.2">
      <c r="A83" s="508"/>
      <c r="B83" s="1395" t="s">
        <v>280</v>
      </c>
      <c r="C83" s="1409">
        <v>872</v>
      </c>
      <c r="D83" s="1410">
        <v>12</v>
      </c>
      <c r="E83" s="1411">
        <v>338</v>
      </c>
      <c r="F83" s="1410">
        <v>6</v>
      </c>
      <c r="G83" s="1411">
        <v>482</v>
      </c>
      <c r="H83" s="1410">
        <v>0</v>
      </c>
      <c r="I83" s="1411">
        <v>847</v>
      </c>
      <c r="J83" s="1410">
        <v>8</v>
      </c>
      <c r="K83" s="1411">
        <v>182</v>
      </c>
      <c r="L83" s="1410">
        <v>0</v>
      </c>
      <c r="M83" s="1411">
        <v>82</v>
      </c>
      <c r="N83" s="1410">
        <v>1</v>
      </c>
      <c r="O83" s="1411">
        <v>31</v>
      </c>
      <c r="P83" s="1410">
        <v>0</v>
      </c>
      <c r="Q83" s="1411">
        <v>23</v>
      </c>
      <c r="R83" s="1410">
        <v>0</v>
      </c>
      <c r="S83" s="1411">
        <v>90</v>
      </c>
      <c r="T83" s="1410">
        <v>0</v>
      </c>
      <c r="U83" s="1411">
        <v>168</v>
      </c>
      <c r="V83" s="1410">
        <v>0</v>
      </c>
      <c r="W83" s="1411">
        <v>161</v>
      </c>
      <c r="X83" s="1410">
        <v>1</v>
      </c>
      <c r="Y83" s="1411">
        <v>175</v>
      </c>
      <c r="Z83" s="1410">
        <v>3</v>
      </c>
      <c r="AA83" s="1411">
        <v>3451</v>
      </c>
      <c r="AB83" s="1409">
        <v>31</v>
      </c>
      <c r="AC83" s="1409">
        <v>0.89829035062300788</v>
      </c>
      <c r="AD83" s="1387"/>
      <c r="AE83" s="1387"/>
    </row>
    <row r="84" spans="1:32" ht="14.25" x14ac:dyDescent="0.2">
      <c r="A84" s="508"/>
      <c r="B84" s="1395" t="s">
        <v>281</v>
      </c>
      <c r="C84" s="1409">
        <v>837</v>
      </c>
      <c r="D84" s="1410">
        <v>8</v>
      </c>
      <c r="E84" s="1411">
        <v>410</v>
      </c>
      <c r="F84" s="1410">
        <v>1</v>
      </c>
      <c r="G84" s="1411">
        <v>456</v>
      </c>
      <c r="H84" s="1410">
        <v>1</v>
      </c>
      <c r="I84" s="1411">
        <v>322</v>
      </c>
      <c r="J84" s="1410">
        <v>2</v>
      </c>
      <c r="K84" s="1411">
        <v>291</v>
      </c>
      <c r="L84" s="1410">
        <v>2</v>
      </c>
      <c r="M84" s="1411">
        <v>179</v>
      </c>
      <c r="N84" s="1410">
        <v>0</v>
      </c>
      <c r="O84" s="1411">
        <v>96</v>
      </c>
      <c r="P84" s="1410">
        <v>0</v>
      </c>
      <c r="Q84" s="1411">
        <v>77</v>
      </c>
      <c r="R84" s="1410">
        <v>0</v>
      </c>
      <c r="S84" s="1411">
        <v>88</v>
      </c>
      <c r="T84" s="1410">
        <v>0</v>
      </c>
      <c r="U84" s="1411">
        <v>192</v>
      </c>
      <c r="V84" s="1410">
        <v>1</v>
      </c>
      <c r="W84" s="1411">
        <v>156</v>
      </c>
      <c r="X84" s="1410">
        <v>1</v>
      </c>
      <c r="Y84" s="1411">
        <v>155</v>
      </c>
      <c r="Z84" s="1410">
        <v>0</v>
      </c>
      <c r="AA84" s="1411">
        <v>3259</v>
      </c>
      <c r="AB84" s="1409">
        <v>16</v>
      </c>
      <c r="AC84" s="1409">
        <v>0.49094814360233202</v>
      </c>
      <c r="AD84" s="1387"/>
      <c r="AE84" s="1387"/>
    </row>
    <row r="85" spans="1:32" ht="14.25" x14ac:dyDescent="0.2">
      <c r="A85" s="508"/>
      <c r="B85" s="1395" t="s">
        <v>641</v>
      </c>
      <c r="C85" s="1409">
        <v>84</v>
      </c>
      <c r="D85" s="1410">
        <v>1</v>
      </c>
      <c r="E85" s="1411">
        <v>78</v>
      </c>
      <c r="F85" s="1410">
        <v>1</v>
      </c>
      <c r="G85" s="1411">
        <v>106</v>
      </c>
      <c r="H85" s="1410">
        <v>1</v>
      </c>
      <c r="I85" s="1412">
        <v>49</v>
      </c>
      <c r="J85" s="1413">
        <v>3</v>
      </c>
      <c r="K85" s="1412">
        <v>58</v>
      </c>
      <c r="L85" s="1413">
        <v>0</v>
      </c>
      <c r="M85" s="1412">
        <v>35</v>
      </c>
      <c r="N85" s="1413">
        <v>0</v>
      </c>
      <c r="O85" s="1411">
        <v>33</v>
      </c>
      <c r="P85" s="1410">
        <v>0</v>
      </c>
      <c r="Q85" s="1411">
        <v>26</v>
      </c>
      <c r="R85" s="1410">
        <v>0</v>
      </c>
      <c r="S85" s="1411">
        <v>20</v>
      </c>
      <c r="T85" s="1410">
        <v>0</v>
      </c>
      <c r="U85" s="1411">
        <v>38</v>
      </c>
      <c r="V85" s="1410">
        <v>0</v>
      </c>
      <c r="W85" s="1411">
        <v>39</v>
      </c>
      <c r="X85" s="1410">
        <v>0</v>
      </c>
      <c r="Y85" s="1411">
        <v>32</v>
      </c>
      <c r="Z85" s="1410">
        <v>0</v>
      </c>
      <c r="AA85" s="1411">
        <v>598</v>
      </c>
      <c r="AB85" s="1409">
        <v>6</v>
      </c>
      <c r="AC85" s="1409">
        <v>1.0033444816053512</v>
      </c>
      <c r="AD85" s="1387"/>
      <c r="AE85" s="1387"/>
    </row>
    <row r="86" spans="1:32" ht="14.25" x14ac:dyDescent="0.2">
      <c r="A86" s="508"/>
      <c r="B86" s="1395" t="s">
        <v>282</v>
      </c>
      <c r="C86" s="1409">
        <v>18</v>
      </c>
      <c r="D86" s="1410">
        <v>0</v>
      </c>
      <c r="E86" s="1411">
        <v>20</v>
      </c>
      <c r="F86" s="1410">
        <v>0</v>
      </c>
      <c r="G86" s="1411">
        <v>20</v>
      </c>
      <c r="H86" s="1410">
        <v>0</v>
      </c>
      <c r="I86" s="1411">
        <v>2</v>
      </c>
      <c r="J86" s="1410">
        <v>0</v>
      </c>
      <c r="K86" s="1411">
        <v>5</v>
      </c>
      <c r="L86" s="1410">
        <v>0</v>
      </c>
      <c r="M86" s="1411">
        <v>7</v>
      </c>
      <c r="N86" s="1410">
        <v>0</v>
      </c>
      <c r="O86" s="1411">
        <v>4</v>
      </c>
      <c r="P86" s="1410">
        <v>1</v>
      </c>
      <c r="Q86" s="1411">
        <v>1</v>
      </c>
      <c r="R86" s="1410">
        <v>0</v>
      </c>
      <c r="S86" s="1411">
        <v>2</v>
      </c>
      <c r="T86" s="1410">
        <v>0</v>
      </c>
      <c r="U86" s="1411">
        <v>2</v>
      </c>
      <c r="V86" s="1410">
        <v>0</v>
      </c>
      <c r="W86" s="1411">
        <v>4</v>
      </c>
      <c r="X86" s="1410">
        <v>0</v>
      </c>
      <c r="Y86" s="1411">
        <v>0</v>
      </c>
      <c r="Z86" s="1410">
        <v>0</v>
      </c>
      <c r="AA86" s="1411">
        <v>85</v>
      </c>
      <c r="AB86" s="1409">
        <v>1</v>
      </c>
      <c r="AC86" s="1409">
        <v>1.1764705882352942</v>
      </c>
      <c r="AD86" s="1387"/>
      <c r="AE86" s="1387"/>
    </row>
    <row r="87" spans="1:32" ht="14.25" x14ac:dyDescent="0.2">
      <c r="A87" s="508"/>
      <c r="B87" s="1395" t="s">
        <v>278</v>
      </c>
      <c r="C87" s="1409">
        <v>629</v>
      </c>
      <c r="D87" s="1410">
        <v>6</v>
      </c>
      <c r="E87" s="1411">
        <v>354</v>
      </c>
      <c r="F87" s="1410">
        <v>5</v>
      </c>
      <c r="G87" s="1411">
        <v>246</v>
      </c>
      <c r="H87" s="1410">
        <v>2</v>
      </c>
      <c r="I87" s="1411">
        <v>195</v>
      </c>
      <c r="J87" s="1410">
        <v>1</v>
      </c>
      <c r="K87" s="1411">
        <v>191</v>
      </c>
      <c r="L87" s="1410">
        <v>9</v>
      </c>
      <c r="M87" s="1411">
        <v>99</v>
      </c>
      <c r="N87" s="1410">
        <v>2</v>
      </c>
      <c r="O87" s="1411">
        <v>79</v>
      </c>
      <c r="P87" s="1410">
        <v>2</v>
      </c>
      <c r="Q87" s="1411">
        <v>36</v>
      </c>
      <c r="R87" s="1410">
        <v>1</v>
      </c>
      <c r="S87" s="1411">
        <v>44</v>
      </c>
      <c r="T87" s="1410">
        <v>1</v>
      </c>
      <c r="U87" s="1411">
        <v>51</v>
      </c>
      <c r="V87" s="1410">
        <v>0</v>
      </c>
      <c r="W87" s="1411">
        <v>81</v>
      </c>
      <c r="X87" s="1410">
        <v>0</v>
      </c>
      <c r="Y87" s="1411">
        <v>75</v>
      </c>
      <c r="Z87" s="1410">
        <v>0</v>
      </c>
      <c r="AA87" s="1411">
        <v>2080</v>
      </c>
      <c r="AB87" s="1409">
        <v>29</v>
      </c>
      <c r="AC87" s="1409">
        <v>1.3942307692307694</v>
      </c>
      <c r="AD87" s="1387"/>
      <c r="AE87" s="1387"/>
    </row>
    <row r="88" spans="1:32" ht="14.25" x14ac:dyDescent="0.2">
      <c r="A88" s="508"/>
      <c r="B88" s="1395" t="s">
        <v>283</v>
      </c>
      <c r="C88" s="1409">
        <v>6</v>
      </c>
      <c r="D88" s="1409">
        <v>0</v>
      </c>
      <c r="E88" s="1409">
        <v>4</v>
      </c>
      <c r="F88" s="1409">
        <v>0</v>
      </c>
      <c r="G88" s="1409">
        <v>15</v>
      </c>
      <c r="H88" s="1409">
        <v>0</v>
      </c>
      <c r="I88" s="1409">
        <v>13</v>
      </c>
      <c r="J88" s="1409">
        <v>1</v>
      </c>
      <c r="K88" s="1409">
        <v>11</v>
      </c>
      <c r="L88" s="1409">
        <v>0</v>
      </c>
      <c r="M88" s="1409">
        <v>5</v>
      </c>
      <c r="N88" s="1409">
        <v>1</v>
      </c>
      <c r="O88" s="1409">
        <v>4</v>
      </c>
      <c r="P88" s="1409">
        <v>1</v>
      </c>
      <c r="Q88" s="1409">
        <v>3</v>
      </c>
      <c r="R88" s="1409">
        <v>0</v>
      </c>
      <c r="S88" s="1409">
        <v>3</v>
      </c>
      <c r="T88" s="1409">
        <v>0</v>
      </c>
      <c r="U88" s="1409">
        <v>0</v>
      </c>
      <c r="V88" s="1409">
        <v>0</v>
      </c>
      <c r="W88" s="1409">
        <v>2</v>
      </c>
      <c r="X88" s="1409">
        <v>0</v>
      </c>
      <c r="Y88" s="1409">
        <v>0</v>
      </c>
      <c r="Z88" s="1409">
        <v>0</v>
      </c>
      <c r="AA88" s="1411">
        <v>66</v>
      </c>
      <c r="AB88" s="1409">
        <v>3</v>
      </c>
      <c r="AC88" s="1409">
        <v>4.5454540000000003</v>
      </c>
      <c r="AD88" s="1387"/>
      <c r="AE88" s="1387"/>
    </row>
    <row r="89" spans="1:32" ht="14.25" x14ac:dyDescent="0.2">
      <c r="A89" s="508"/>
      <c r="B89" s="1395" t="s">
        <v>276</v>
      </c>
      <c r="C89" s="1409">
        <v>11</v>
      </c>
      <c r="D89" s="1410">
        <v>1</v>
      </c>
      <c r="E89" s="1411">
        <v>9</v>
      </c>
      <c r="F89" s="1410">
        <v>0</v>
      </c>
      <c r="G89" s="1411">
        <v>14</v>
      </c>
      <c r="H89" s="1410">
        <v>0</v>
      </c>
      <c r="I89" s="1411">
        <v>23</v>
      </c>
      <c r="J89" s="1410">
        <v>1</v>
      </c>
      <c r="K89" s="1411">
        <v>39</v>
      </c>
      <c r="L89" s="1410">
        <v>0</v>
      </c>
      <c r="M89" s="1411">
        <v>12</v>
      </c>
      <c r="N89" s="1410">
        <v>0</v>
      </c>
      <c r="O89" s="1411">
        <v>14</v>
      </c>
      <c r="P89" s="1410">
        <v>0</v>
      </c>
      <c r="Q89" s="1411">
        <v>22</v>
      </c>
      <c r="R89" s="1410">
        <v>0</v>
      </c>
      <c r="S89" s="1411">
        <v>7</v>
      </c>
      <c r="T89" s="1410">
        <v>0</v>
      </c>
      <c r="U89" s="1411">
        <v>1</v>
      </c>
      <c r="V89" s="1410">
        <v>0</v>
      </c>
      <c r="W89" s="1411">
        <v>3</v>
      </c>
      <c r="X89" s="1410">
        <v>0</v>
      </c>
      <c r="Y89" s="1411">
        <v>1</v>
      </c>
      <c r="Z89" s="1410">
        <v>0</v>
      </c>
      <c r="AA89" s="1411">
        <v>156</v>
      </c>
      <c r="AB89" s="1409">
        <v>2</v>
      </c>
      <c r="AC89" s="1409">
        <v>1.2820512820512819</v>
      </c>
      <c r="AD89" s="1387"/>
      <c r="AE89" s="1387"/>
    </row>
    <row r="90" spans="1:32" ht="14.25" x14ac:dyDescent="0.2">
      <c r="A90" s="508"/>
      <c r="B90" s="1395" t="s">
        <v>284</v>
      </c>
      <c r="C90" s="1394">
        <v>18</v>
      </c>
      <c r="D90" s="1413">
        <v>0</v>
      </c>
      <c r="E90" s="1412">
        <v>14</v>
      </c>
      <c r="F90" s="1413"/>
      <c r="G90" s="1412">
        <v>13</v>
      </c>
      <c r="H90" s="1413">
        <v>1</v>
      </c>
      <c r="I90" s="1412">
        <v>10</v>
      </c>
      <c r="J90" s="1413">
        <v>0</v>
      </c>
      <c r="K90" s="1412">
        <v>10</v>
      </c>
      <c r="L90" s="1413">
        <v>0</v>
      </c>
      <c r="M90" s="1412">
        <v>9</v>
      </c>
      <c r="N90" s="1413">
        <v>0</v>
      </c>
      <c r="O90" s="1412">
        <v>4</v>
      </c>
      <c r="P90" s="1413">
        <v>0</v>
      </c>
      <c r="Q90" s="1412">
        <v>3</v>
      </c>
      <c r="R90" s="1413">
        <v>0</v>
      </c>
      <c r="S90" s="1412">
        <v>3</v>
      </c>
      <c r="T90" s="1413">
        <v>0</v>
      </c>
      <c r="U90" s="1412">
        <v>2</v>
      </c>
      <c r="V90" s="1413">
        <v>0</v>
      </c>
      <c r="W90" s="1412">
        <v>1</v>
      </c>
      <c r="X90" s="1413">
        <v>0</v>
      </c>
      <c r="Y90" s="1412">
        <v>3</v>
      </c>
      <c r="Z90" s="1413">
        <v>0</v>
      </c>
      <c r="AA90" s="1411">
        <v>90</v>
      </c>
      <c r="AB90" s="1409">
        <v>1</v>
      </c>
      <c r="AC90" s="1394">
        <v>1.111</v>
      </c>
      <c r="AD90" s="1387"/>
      <c r="AE90" s="1387"/>
    </row>
    <row r="91" spans="1:32" ht="14.25" x14ac:dyDescent="0.2">
      <c r="A91" s="508"/>
      <c r="B91" s="1395" t="s">
        <v>277</v>
      </c>
      <c r="C91" s="1409">
        <v>22</v>
      </c>
      <c r="D91" s="1410">
        <v>0</v>
      </c>
      <c r="E91" s="1411">
        <v>10</v>
      </c>
      <c r="F91" s="1410">
        <v>0</v>
      </c>
      <c r="G91" s="1411">
        <v>12</v>
      </c>
      <c r="H91" s="1410">
        <v>0</v>
      </c>
      <c r="I91" s="1411">
        <v>7</v>
      </c>
      <c r="J91" s="1410">
        <v>0</v>
      </c>
      <c r="K91" s="1411">
        <v>7</v>
      </c>
      <c r="L91" s="1410">
        <v>0</v>
      </c>
      <c r="M91" s="1411">
        <v>9</v>
      </c>
      <c r="N91" s="1410">
        <v>0</v>
      </c>
      <c r="O91" s="1411">
        <v>2</v>
      </c>
      <c r="P91" s="1410">
        <v>0</v>
      </c>
      <c r="Q91" s="1411">
        <v>2</v>
      </c>
      <c r="R91" s="1410">
        <v>0</v>
      </c>
      <c r="S91" s="1411">
        <v>1</v>
      </c>
      <c r="T91" s="1410">
        <v>0</v>
      </c>
      <c r="U91" s="1411">
        <v>5</v>
      </c>
      <c r="V91" s="1410">
        <v>0</v>
      </c>
      <c r="W91" s="1411">
        <v>4</v>
      </c>
      <c r="X91" s="1410">
        <v>0</v>
      </c>
      <c r="Y91" s="1411">
        <v>0</v>
      </c>
      <c r="Z91" s="1410">
        <v>0</v>
      </c>
      <c r="AA91" s="1411">
        <v>81</v>
      </c>
      <c r="AB91" s="1409">
        <v>0</v>
      </c>
      <c r="AC91" s="1409">
        <v>0</v>
      </c>
      <c r="AD91" s="1387"/>
      <c r="AE91" s="1387"/>
    </row>
    <row r="92" spans="1:32" ht="14.25" x14ac:dyDescent="0.2">
      <c r="A92" s="508"/>
      <c r="B92" s="1395" t="s">
        <v>50</v>
      </c>
      <c r="C92" s="1409">
        <v>2497</v>
      </c>
      <c r="D92" s="1409">
        <v>28</v>
      </c>
      <c r="E92" s="1409">
        <v>1237</v>
      </c>
      <c r="F92" s="1409">
        <v>13</v>
      </c>
      <c r="G92" s="1409">
        <v>1364</v>
      </c>
      <c r="H92" s="1409">
        <v>5</v>
      </c>
      <c r="I92" s="1409">
        <v>1468</v>
      </c>
      <c r="J92" s="1409">
        <v>16</v>
      </c>
      <c r="K92" s="1409">
        <v>794</v>
      </c>
      <c r="L92" s="1409">
        <v>11</v>
      </c>
      <c r="M92" s="1409">
        <v>437</v>
      </c>
      <c r="N92" s="1409">
        <v>4</v>
      </c>
      <c r="O92" s="1409">
        <v>267</v>
      </c>
      <c r="P92" s="1409">
        <v>4</v>
      </c>
      <c r="Q92" s="1409">
        <v>193</v>
      </c>
      <c r="R92" s="1409">
        <v>1</v>
      </c>
      <c r="S92" s="1409">
        <v>258</v>
      </c>
      <c r="T92" s="1409">
        <v>1</v>
      </c>
      <c r="U92" s="1409">
        <v>459</v>
      </c>
      <c r="V92" s="1409">
        <v>1</v>
      </c>
      <c r="W92" s="1409">
        <v>451</v>
      </c>
      <c r="X92" s="1409">
        <v>2</v>
      </c>
      <c r="Y92" s="1409">
        <v>441</v>
      </c>
      <c r="Z92" s="1409">
        <v>3</v>
      </c>
      <c r="AA92" s="1409">
        <v>9866</v>
      </c>
      <c r="AB92" s="1409">
        <v>89</v>
      </c>
      <c r="AC92" s="1409">
        <v>0.90208797891749448</v>
      </c>
      <c r="AD92" s="1387">
        <f>+AB92/AA92</f>
        <v>9.0208797891749449E-3</v>
      </c>
      <c r="AE92" s="1387"/>
    </row>
    <row r="93" spans="1:32" x14ac:dyDescent="0.2">
      <c r="B93" s="1386"/>
      <c r="C93" s="1386"/>
      <c r="D93" s="1387"/>
      <c r="E93" s="1387"/>
      <c r="F93" s="1387"/>
      <c r="G93" s="1387"/>
      <c r="H93" s="1387"/>
      <c r="I93" s="1387"/>
      <c r="J93" s="1387"/>
      <c r="K93" s="1387"/>
      <c r="L93" s="1387"/>
      <c r="M93" s="1387"/>
      <c r="N93" s="1387"/>
      <c r="O93" s="1387"/>
      <c r="P93" s="1387"/>
      <c r="Q93" s="1387"/>
      <c r="R93" s="1387"/>
      <c r="S93" s="1387"/>
      <c r="T93" s="1387"/>
      <c r="U93" s="1387"/>
      <c r="V93" s="1387"/>
      <c r="W93" s="1387"/>
      <c r="X93" s="1387"/>
      <c r="Y93" s="1387"/>
      <c r="Z93" s="1387"/>
      <c r="AA93" s="1387"/>
      <c r="AB93" s="1387"/>
      <c r="AC93" s="1387"/>
      <c r="AD93" s="1387"/>
      <c r="AE93" s="1387"/>
    </row>
    <row r="94" spans="1:32" x14ac:dyDescent="0.2">
      <c r="B94" s="1386"/>
      <c r="C94" s="1386"/>
      <c r="D94" s="1387"/>
      <c r="E94" s="1387"/>
      <c r="F94" s="1387"/>
      <c r="G94" s="1387"/>
      <c r="H94" s="1387"/>
      <c r="I94" s="1387"/>
      <c r="J94" s="1387"/>
      <c r="K94" s="1387"/>
      <c r="L94" s="1387"/>
      <c r="M94" s="1387"/>
      <c r="N94" s="1387"/>
      <c r="O94" s="1387"/>
      <c r="P94" s="1387"/>
      <c r="Q94" s="1387"/>
      <c r="R94" s="1387"/>
      <c r="S94" s="1387"/>
      <c r="T94" s="1387"/>
      <c r="U94" s="1387"/>
      <c r="V94" s="1387"/>
      <c r="W94" s="1387"/>
      <c r="X94" s="1387"/>
      <c r="Y94" s="1387"/>
      <c r="Z94" s="1387"/>
      <c r="AA94" s="1387"/>
      <c r="AB94" s="1387"/>
      <c r="AC94" s="1387"/>
      <c r="AD94" s="1387"/>
      <c r="AE94" s="1387"/>
    </row>
    <row r="95" spans="1:32" x14ac:dyDescent="0.25">
      <c r="A95" s="508"/>
      <c r="B95" s="1414" t="s">
        <v>1229</v>
      </c>
      <c r="C95" s="1414"/>
      <c r="D95" s="1414"/>
      <c r="E95" s="1414"/>
      <c r="F95" s="1415"/>
      <c r="G95" s="1415"/>
      <c r="H95" s="1415"/>
      <c r="I95" s="1415"/>
      <c r="J95" s="1415"/>
      <c r="K95" s="1415"/>
      <c r="L95" s="1415"/>
      <c r="M95" s="1415"/>
      <c r="N95" s="1415"/>
      <c r="O95" s="1415"/>
      <c r="P95" s="1415"/>
      <c r="Q95" s="1415"/>
      <c r="R95" s="1415"/>
      <c r="S95" s="1415"/>
      <c r="T95" s="1415"/>
      <c r="U95" s="1415"/>
      <c r="V95" s="1415"/>
      <c r="W95" s="1415"/>
      <c r="X95" s="1415"/>
      <c r="Y95" s="1415"/>
      <c r="Z95" s="1415"/>
      <c r="AA95" s="1415"/>
      <c r="AB95" s="1415"/>
      <c r="AC95" s="1415"/>
      <c r="AD95" s="1415"/>
      <c r="AE95" s="1401"/>
      <c r="AF95" s="1329"/>
    </row>
    <row r="96" spans="1:32" ht="14.25" x14ac:dyDescent="0.2">
      <c r="A96" s="508"/>
      <c r="B96" s="1416" t="s">
        <v>1211</v>
      </c>
      <c r="C96" s="1417" t="s">
        <v>1212</v>
      </c>
      <c r="D96" s="1418"/>
      <c r="E96" s="1417" t="s">
        <v>1213</v>
      </c>
      <c r="F96" s="1418"/>
      <c r="G96" s="1417" t="s">
        <v>1214</v>
      </c>
      <c r="H96" s="1418"/>
      <c r="I96" s="1417" t="s">
        <v>1215</v>
      </c>
      <c r="J96" s="1418"/>
      <c r="K96" s="1417" t="s">
        <v>256</v>
      </c>
      <c r="L96" s="1418"/>
      <c r="M96" s="1417" t="s">
        <v>1216</v>
      </c>
      <c r="N96" s="1418"/>
      <c r="O96" s="1417" t="s">
        <v>1217</v>
      </c>
      <c r="P96" s="1418"/>
      <c r="Q96" s="1417" t="s">
        <v>1218</v>
      </c>
      <c r="R96" s="1418"/>
      <c r="S96" s="1417" t="s">
        <v>650</v>
      </c>
      <c r="T96" s="1418"/>
      <c r="U96" s="1417" t="s">
        <v>1219</v>
      </c>
      <c r="V96" s="1418"/>
      <c r="W96" s="1417" t="s">
        <v>257</v>
      </c>
      <c r="X96" s="1418"/>
      <c r="Y96" s="1417" t="s">
        <v>1220</v>
      </c>
      <c r="Z96" s="1418"/>
      <c r="AA96" s="1419" t="s">
        <v>50</v>
      </c>
      <c r="AB96" s="1416" t="s">
        <v>50</v>
      </c>
      <c r="AC96" s="1416" t="s">
        <v>1221</v>
      </c>
      <c r="AD96" s="1420"/>
      <c r="AE96" s="1387"/>
    </row>
    <row r="97" spans="1:31" ht="14.25" x14ac:dyDescent="0.2">
      <c r="A97" s="508"/>
      <c r="B97" s="1416" t="s">
        <v>275</v>
      </c>
      <c r="C97" s="1416" t="s">
        <v>50</v>
      </c>
      <c r="D97" s="1421" t="s">
        <v>1205</v>
      </c>
      <c r="E97" s="1422" t="s">
        <v>50</v>
      </c>
      <c r="F97" s="1423" t="s">
        <v>1205</v>
      </c>
      <c r="G97" s="1416" t="s">
        <v>50</v>
      </c>
      <c r="H97" s="1421" t="s">
        <v>1205</v>
      </c>
      <c r="I97" s="1416" t="s">
        <v>50</v>
      </c>
      <c r="J97" s="1421" t="s">
        <v>1205</v>
      </c>
      <c r="K97" s="1416" t="s">
        <v>50</v>
      </c>
      <c r="L97" s="1421" t="s">
        <v>1205</v>
      </c>
      <c r="M97" s="1416" t="s">
        <v>50</v>
      </c>
      <c r="N97" s="1421" t="s">
        <v>1205</v>
      </c>
      <c r="O97" s="1416" t="s">
        <v>50</v>
      </c>
      <c r="P97" s="1421" t="s">
        <v>1205</v>
      </c>
      <c r="Q97" s="1416" t="s">
        <v>50</v>
      </c>
      <c r="R97" s="1421" t="s">
        <v>1205</v>
      </c>
      <c r="S97" s="1416" t="s">
        <v>50</v>
      </c>
      <c r="T97" s="1421" t="s">
        <v>1205</v>
      </c>
      <c r="U97" s="1416" t="s">
        <v>50</v>
      </c>
      <c r="V97" s="1421" t="s">
        <v>1205</v>
      </c>
      <c r="W97" s="1416" t="s">
        <v>50</v>
      </c>
      <c r="X97" s="1421" t="s">
        <v>1205</v>
      </c>
      <c r="Y97" s="1416" t="s">
        <v>50</v>
      </c>
      <c r="Z97" s="1421" t="s">
        <v>1205</v>
      </c>
      <c r="AA97" s="1419" t="s">
        <v>1223</v>
      </c>
      <c r="AB97" s="1416" t="s">
        <v>1224</v>
      </c>
      <c r="AC97" s="1416"/>
      <c r="AD97" s="1420"/>
      <c r="AE97" s="1387"/>
    </row>
    <row r="98" spans="1:31" ht="14.25" x14ac:dyDescent="0.2">
      <c r="A98" s="508"/>
      <c r="B98" s="1416" t="s">
        <v>280</v>
      </c>
      <c r="C98" s="1424">
        <v>872</v>
      </c>
      <c r="D98" s="1425">
        <v>12</v>
      </c>
      <c r="E98" s="1426">
        <v>338</v>
      </c>
      <c r="F98" s="1425">
        <v>6</v>
      </c>
      <c r="G98" s="1426">
        <v>482</v>
      </c>
      <c r="H98" s="1425">
        <v>0</v>
      </c>
      <c r="I98" s="1426">
        <v>847</v>
      </c>
      <c r="J98" s="1425">
        <v>8</v>
      </c>
      <c r="K98" s="1426">
        <v>182</v>
      </c>
      <c r="L98" s="1425">
        <v>0</v>
      </c>
      <c r="M98" s="1426">
        <v>82</v>
      </c>
      <c r="N98" s="1425">
        <v>1</v>
      </c>
      <c r="O98" s="1426">
        <v>31</v>
      </c>
      <c r="P98" s="1425">
        <v>0</v>
      </c>
      <c r="Q98" s="1426">
        <v>23</v>
      </c>
      <c r="R98" s="1425">
        <v>0</v>
      </c>
      <c r="S98" s="1426">
        <v>90</v>
      </c>
      <c r="T98" s="1425">
        <v>0</v>
      </c>
      <c r="U98" s="1426">
        <v>168</v>
      </c>
      <c r="V98" s="1425">
        <v>0</v>
      </c>
      <c r="W98" s="1426">
        <v>161</v>
      </c>
      <c r="X98" s="1425">
        <v>1</v>
      </c>
      <c r="Y98" s="1426">
        <v>175</v>
      </c>
      <c r="Z98" s="1425">
        <v>3</v>
      </c>
      <c r="AA98" s="1426">
        <v>3451</v>
      </c>
      <c r="AB98" s="1424">
        <v>31</v>
      </c>
      <c r="AC98" s="1424">
        <v>0.89829035062300788</v>
      </c>
      <c r="AD98" s="1420"/>
      <c r="AE98" s="1387"/>
    </row>
    <row r="99" spans="1:31" ht="14.25" x14ac:dyDescent="0.2">
      <c r="A99" s="508"/>
      <c r="B99" s="1416" t="s">
        <v>281</v>
      </c>
      <c r="C99" s="1424">
        <v>837</v>
      </c>
      <c r="D99" s="1425">
        <v>8</v>
      </c>
      <c r="E99" s="1426">
        <v>410</v>
      </c>
      <c r="F99" s="1425">
        <v>1</v>
      </c>
      <c r="G99" s="1426">
        <v>456</v>
      </c>
      <c r="H99" s="1425">
        <v>1</v>
      </c>
      <c r="I99" s="1426">
        <v>322</v>
      </c>
      <c r="J99" s="1425">
        <v>2</v>
      </c>
      <c r="K99" s="1426">
        <v>291</v>
      </c>
      <c r="L99" s="1425">
        <v>2</v>
      </c>
      <c r="M99" s="1426">
        <v>179</v>
      </c>
      <c r="N99" s="1425">
        <v>0</v>
      </c>
      <c r="O99" s="1426">
        <v>96</v>
      </c>
      <c r="P99" s="1425">
        <v>0</v>
      </c>
      <c r="Q99" s="1426">
        <v>77</v>
      </c>
      <c r="R99" s="1425">
        <v>0</v>
      </c>
      <c r="S99" s="1426">
        <v>88</v>
      </c>
      <c r="T99" s="1425">
        <v>0</v>
      </c>
      <c r="U99" s="1426">
        <v>192</v>
      </c>
      <c r="V99" s="1425">
        <v>1</v>
      </c>
      <c r="W99" s="1426">
        <v>156</v>
      </c>
      <c r="X99" s="1425">
        <v>1</v>
      </c>
      <c r="Y99" s="1426">
        <v>155</v>
      </c>
      <c r="Z99" s="1425">
        <v>0</v>
      </c>
      <c r="AA99" s="1426">
        <v>3259</v>
      </c>
      <c r="AB99" s="1424">
        <v>16</v>
      </c>
      <c r="AC99" s="1424">
        <v>0.49094814360233202</v>
      </c>
      <c r="AD99" s="1420"/>
      <c r="AE99" s="1387"/>
    </row>
    <row r="100" spans="1:31" ht="14.25" x14ac:dyDescent="0.2">
      <c r="A100" s="508"/>
      <c r="B100" s="1416" t="s">
        <v>641</v>
      </c>
      <c r="C100" s="1424">
        <v>84</v>
      </c>
      <c r="D100" s="1425">
        <v>1</v>
      </c>
      <c r="E100" s="1426">
        <v>78</v>
      </c>
      <c r="F100" s="1425">
        <v>1</v>
      </c>
      <c r="G100" s="1426">
        <v>106</v>
      </c>
      <c r="H100" s="1425">
        <v>1</v>
      </c>
      <c r="I100" s="1427">
        <v>49</v>
      </c>
      <c r="J100" s="1428">
        <v>3</v>
      </c>
      <c r="K100" s="1427">
        <v>58</v>
      </c>
      <c r="L100" s="1428">
        <v>0</v>
      </c>
      <c r="M100" s="1427">
        <v>35</v>
      </c>
      <c r="N100" s="1428">
        <v>0</v>
      </c>
      <c r="O100" s="1426">
        <v>33</v>
      </c>
      <c r="P100" s="1425">
        <v>0</v>
      </c>
      <c r="Q100" s="1426">
        <v>26</v>
      </c>
      <c r="R100" s="1425">
        <v>0</v>
      </c>
      <c r="S100" s="1426">
        <v>20</v>
      </c>
      <c r="T100" s="1425">
        <v>0</v>
      </c>
      <c r="U100" s="1426">
        <v>38</v>
      </c>
      <c r="V100" s="1425">
        <v>0</v>
      </c>
      <c r="W100" s="1426">
        <v>39</v>
      </c>
      <c r="X100" s="1425">
        <v>0</v>
      </c>
      <c r="Y100" s="1426">
        <v>32</v>
      </c>
      <c r="Z100" s="1425">
        <v>0</v>
      </c>
      <c r="AA100" s="1426">
        <v>598</v>
      </c>
      <c r="AB100" s="1424">
        <v>6</v>
      </c>
      <c r="AC100" s="1424">
        <v>1.0033444816053512</v>
      </c>
      <c r="AD100" s="1420"/>
      <c r="AE100" s="1387"/>
    </row>
    <row r="101" spans="1:31" ht="14.25" x14ac:dyDescent="0.2">
      <c r="A101" s="508"/>
      <c r="B101" s="1416" t="s">
        <v>282</v>
      </c>
      <c r="C101" s="1424">
        <v>18</v>
      </c>
      <c r="D101" s="1425">
        <v>0</v>
      </c>
      <c r="E101" s="1426">
        <v>20</v>
      </c>
      <c r="F101" s="1425">
        <v>0</v>
      </c>
      <c r="G101" s="1426">
        <v>20</v>
      </c>
      <c r="H101" s="1425">
        <v>0</v>
      </c>
      <c r="I101" s="1426">
        <v>2</v>
      </c>
      <c r="J101" s="1425">
        <v>0</v>
      </c>
      <c r="K101" s="1426">
        <v>5</v>
      </c>
      <c r="L101" s="1425">
        <v>0</v>
      </c>
      <c r="M101" s="1426">
        <v>7</v>
      </c>
      <c r="N101" s="1425">
        <v>0</v>
      </c>
      <c r="O101" s="1426">
        <v>4</v>
      </c>
      <c r="P101" s="1425">
        <v>1</v>
      </c>
      <c r="Q101" s="1426">
        <v>1</v>
      </c>
      <c r="R101" s="1425">
        <v>0</v>
      </c>
      <c r="S101" s="1426">
        <v>2</v>
      </c>
      <c r="T101" s="1425">
        <v>0</v>
      </c>
      <c r="U101" s="1426">
        <v>2</v>
      </c>
      <c r="V101" s="1425">
        <v>0</v>
      </c>
      <c r="W101" s="1426">
        <v>4</v>
      </c>
      <c r="X101" s="1425">
        <v>0</v>
      </c>
      <c r="Y101" s="1426">
        <v>0</v>
      </c>
      <c r="Z101" s="1425">
        <v>0</v>
      </c>
      <c r="AA101" s="1426">
        <v>85</v>
      </c>
      <c r="AB101" s="1424">
        <v>1</v>
      </c>
      <c r="AC101" s="1424">
        <v>1.1764705882352942</v>
      </c>
      <c r="AD101" s="1420"/>
      <c r="AE101" s="1387"/>
    </row>
    <row r="102" spans="1:31" ht="14.25" x14ac:dyDescent="0.2">
      <c r="A102" s="508"/>
      <c r="B102" s="1416" t="s">
        <v>278</v>
      </c>
      <c r="C102" s="1424">
        <v>629</v>
      </c>
      <c r="D102" s="1425">
        <v>6</v>
      </c>
      <c r="E102" s="1426">
        <v>354</v>
      </c>
      <c r="F102" s="1425">
        <v>5</v>
      </c>
      <c r="G102" s="1426">
        <v>246</v>
      </c>
      <c r="H102" s="1425">
        <v>2</v>
      </c>
      <c r="I102" s="1426">
        <v>195</v>
      </c>
      <c r="J102" s="1425">
        <v>1</v>
      </c>
      <c r="K102" s="1426">
        <v>191</v>
      </c>
      <c r="L102" s="1425">
        <v>9</v>
      </c>
      <c r="M102" s="1426">
        <v>99</v>
      </c>
      <c r="N102" s="1425">
        <v>2</v>
      </c>
      <c r="O102" s="1426">
        <v>79</v>
      </c>
      <c r="P102" s="1425">
        <v>2</v>
      </c>
      <c r="Q102" s="1426">
        <v>36</v>
      </c>
      <c r="R102" s="1425">
        <v>1</v>
      </c>
      <c r="S102" s="1426">
        <v>44</v>
      </c>
      <c r="T102" s="1425">
        <v>1</v>
      </c>
      <c r="U102" s="1426">
        <v>51</v>
      </c>
      <c r="V102" s="1425">
        <v>0</v>
      </c>
      <c r="W102" s="1426">
        <v>81</v>
      </c>
      <c r="X102" s="1425">
        <v>0</v>
      </c>
      <c r="Y102" s="1426">
        <v>75</v>
      </c>
      <c r="Z102" s="1425">
        <v>0</v>
      </c>
      <c r="AA102" s="1426">
        <v>2080</v>
      </c>
      <c r="AB102" s="1424">
        <v>29</v>
      </c>
      <c r="AC102" s="1424">
        <v>1.3942307692307694</v>
      </c>
      <c r="AD102" s="1420"/>
      <c r="AE102" s="1387"/>
    </row>
    <row r="103" spans="1:31" ht="14.25" x14ac:dyDescent="0.2">
      <c r="A103" s="508"/>
      <c r="B103" s="1416" t="s">
        <v>283</v>
      </c>
      <c r="C103" s="1424">
        <v>6</v>
      </c>
      <c r="D103" s="1424">
        <v>0</v>
      </c>
      <c r="E103" s="1424">
        <v>4</v>
      </c>
      <c r="F103" s="1424">
        <v>0</v>
      </c>
      <c r="G103" s="1424">
        <v>15</v>
      </c>
      <c r="H103" s="1424">
        <v>0</v>
      </c>
      <c r="I103" s="1424">
        <v>13</v>
      </c>
      <c r="J103" s="1424">
        <v>1</v>
      </c>
      <c r="K103" s="1424">
        <v>11</v>
      </c>
      <c r="L103" s="1424">
        <v>0</v>
      </c>
      <c r="M103" s="1424">
        <v>5</v>
      </c>
      <c r="N103" s="1424">
        <v>1</v>
      </c>
      <c r="O103" s="1424">
        <v>4</v>
      </c>
      <c r="P103" s="1424">
        <v>1</v>
      </c>
      <c r="Q103" s="1424">
        <v>3</v>
      </c>
      <c r="R103" s="1424">
        <v>0</v>
      </c>
      <c r="S103" s="1424">
        <v>3</v>
      </c>
      <c r="T103" s="1424">
        <v>0</v>
      </c>
      <c r="U103" s="1424">
        <v>0</v>
      </c>
      <c r="V103" s="1424">
        <v>0</v>
      </c>
      <c r="W103" s="1424">
        <v>2</v>
      </c>
      <c r="X103" s="1424">
        <v>0</v>
      </c>
      <c r="Y103" s="1424">
        <v>0</v>
      </c>
      <c r="Z103" s="1424">
        <v>0</v>
      </c>
      <c r="AA103" s="1426">
        <v>66</v>
      </c>
      <c r="AB103" s="1424">
        <v>3</v>
      </c>
      <c r="AC103" s="1424">
        <v>4.5454540000000003</v>
      </c>
      <c r="AD103" s="1420"/>
      <c r="AE103" s="1387"/>
    </row>
    <row r="104" spans="1:31" ht="14.25" x14ac:dyDescent="0.2">
      <c r="A104" s="508"/>
      <c r="B104" s="1416" t="s">
        <v>276</v>
      </c>
      <c r="C104" s="1424">
        <v>11</v>
      </c>
      <c r="D104" s="1425">
        <v>1</v>
      </c>
      <c r="E104" s="1426">
        <v>9</v>
      </c>
      <c r="F104" s="1425">
        <v>0</v>
      </c>
      <c r="G104" s="1426">
        <v>14</v>
      </c>
      <c r="H104" s="1425">
        <v>0</v>
      </c>
      <c r="I104" s="1426">
        <v>23</v>
      </c>
      <c r="J104" s="1425">
        <v>1</v>
      </c>
      <c r="K104" s="1426">
        <v>39</v>
      </c>
      <c r="L104" s="1425">
        <v>0</v>
      </c>
      <c r="M104" s="1426">
        <v>12</v>
      </c>
      <c r="N104" s="1425">
        <v>0</v>
      </c>
      <c r="O104" s="1426">
        <v>14</v>
      </c>
      <c r="P104" s="1425">
        <v>0</v>
      </c>
      <c r="Q104" s="1426">
        <v>22</v>
      </c>
      <c r="R104" s="1425">
        <v>0</v>
      </c>
      <c r="S104" s="1426">
        <v>7</v>
      </c>
      <c r="T104" s="1425">
        <v>0</v>
      </c>
      <c r="U104" s="1426">
        <v>1</v>
      </c>
      <c r="V104" s="1425">
        <v>0</v>
      </c>
      <c r="W104" s="1426">
        <v>3</v>
      </c>
      <c r="X104" s="1425">
        <v>0</v>
      </c>
      <c r="Y104" s="1426">
        <v>1</v>
      </c>
      <c r="Z104" s="1425">
        <v>0</v>
      </c>
      <c r="AA104" s="1426">
        <v>156</v>
      </c>
      <c r="AB104" s="1424">
        <v>2</v>
      </c>
      <c r="AC104" s="1424">
        <v>1.2820512820512819</v>
      </c>
      <c r="AD104" s="1420"/>
      <c r="AE104" s="1387"/>
    </row>
    <row r="105" spans="1:31" ht="14.25" x14ac:dyDescent="0.2">
      <c r="A105" s="508"/>
      <c r="B105" s="1416" t="s">
        <v>284</v>
      </c>
      <c r="C105" s="1429">
        <v>18</v>
      </c>
      <c r="D105" s="1428">
        <v>0</v>
      </c>
      <c r="E105" s="1427">
        <v>14</v>
      </c>
      <c r="F105" s="1428"/>
      <c r="G105" s="1427">
        <v>13</v>
      </c>
      <c r="H105" s="1428">
        <v>1</v>
      </c>
      <c r="I105" s="1427">
        <v>10</v>
      </c>
      <c r="J105" s="1428">
        <v>0</v>
      </c>
      <c r="K105" s="1427">
        <v>10</v>
      </c>
      <c r="L105" s="1428">
        <v>0</v>
      </c>
      <c r="M105" s="1427">
        <v>9</v>
      </c>
      <c r="N105" s="1428">
        <v>0</v>
      </c>
      <c r="O105" s="1427">
        <v>4</v>
      </c>
      <c r="P105" s="1428">
        <v>0</v>
      </c>
      <c r="Q105" s="1427">
        <v>3</v>
      </c>
      <c r="R105" s="1428">
        <v>0</v>
      </c>
      <c r="S105" s="1427">
        <v>3</v>
      </c>
      <c r="T105" s="1428">
        <v>0</v>
      </c>
      <c r="U105" s="1427">
        <v>2</v>
      </c>
      <c r="V105" s="1428">
        <v>0</v>
      </c>
      <c r="W105" s="1427">
        <v>1</v>
      </c>
      <c r="X105" s="1428">
        <v>0</v>
      </c>
      <c r="Y105" s="1427">
        <v>3</v>
      </c>
      <c r="Z105" s="1428">
        <v>0</v>
      </c>
      <c r="AA105" s="1426">
        <v>90</v>
      </c>
      <c r="AB105" s="1424">
        <v>1</v>
      </c>
      <c r="AC105" s="1429">
        <v>1.111</v>
      </c>
      <c r="AD105" s="1420"/>
      <c r="AE105" s="1387"/>
    </row>
    <row r="106" spans="1:31" ht="14.25" x14ac:dyDescent="0.2">
      <c r="A106" s="508"/>
      <c r="B106" s="1416" t="s">
        <v>277</v>
      </c>
      <c r="C106" s="1424">
        <v>22</v>
      </c>
      <c r="D106" s="1425">
        <v>0</v>
      </c>
      <c r="E106" s="1426">
        <v>10</v>
      </c>
      <c r="F106" s="1425">
        <v>0</v>
      </c>
      <c r="G106" s="1426">
        <v>12</v>
      </c>
      <c r="H106" s="1425">
        <v>0</v>
      </c>
      <c r="I106" s="1426">
        <v>7</v>
      </c>
      <c r="J106" s="1425">
        <v>0</v>
      </c>
      <c r="K106" s="1426">
        <v>7</v>
      </c>
      <c r="L106" s="1425">
        <v>0</v>
      </c>
      <c r="M106" s="1426">
        <v>9</v>
      </c>
      <c r="N106" s="1425">
        <v>0</v>
      </c>
      <c r="O106" s="1426">
        <v>2</v>
      </c>
      <c r="P106" s="1425">
        <v>0</v>
      </c>
      <c r="Q106" s="1426">
        <v>2</v>
      </c>
      <c r="R106" s="1425">
        <v>0</v>
      </c>
      <c r="S106" s="1426">
        <v>1</v>
      </c>
      <c r="T106" s="1425">
        <v>0</v>
      </c>
      <c r="U106" s="1426">
        <v>5</v>
      </c>
      <c r="V106" s="1425">
        <v>0</v>
      </c>
      <c r="W106" s="1426">
        <v>4</v>
      </c>
      <c r="X106" s="1425">
        <v>0</v>
      </c>
      <c r="Y106" s="1426">
        <v>0</v>
      </c>
      <c r="Z106" s="1425">
        <v>0</v>
      </c>
      <c r="AA106" s="1426">
        <v>81</v>
      </c>
      <c r="AB106" s="1424">
        <v>0</v>
      </c>
      <c r="AC106" s="1424">
        <v>0</v>
      </c>
      <c r="AD106" s="1420"/>
      <c r="AE106" s="1387"/>
    </row>
    <row r="107" spans="1:31" ht="14.25" x14ac:dyDescent="0.2">
      <c r="A107" s="508"/>
      <c r="B107" s="1416" t="s">
        <v>50</v>
      </c>
      <c r="C107" s="1424">
        <v>2497</v>
      </c>
      <c r="D107" s="1424">
        <v>28</v>
      </c>
      <c r="E107" s="1424">
        <v>1237</v>
      </c>
      <c r="F107" s="1424">
        <v>13</v>
      </c>
      <c r="G107" s="1424">
        <v>1364</v>
      </c>
      <c r="H107" s="1424">
        <v>5</v>
      </c>
      <c r="I107" s="1424">
        <v>1468</v>
      </c>
      <c r="J107" s="1424">
        <v>16</v>
      </c>
      <c r="K107" s="1424">
        <v>794</v>
      </c>
      <c r="L107" s="1424">
        <v>11</v>
      </c>
      <c r="M107" s="1424">
        <v>437</v>
      </c>
      <c r="N107" s="1424">
        <v>4</v>
      </c>
      <c r="O107" s="1424">
        <v>267</v>
      </c>
      <c r="P107" s="1424">
        <v>4</v>
      </c>
      <c r="Q107" s="1424">
        <v>193</v>
      </c>
      <c r="R107" s="1424">
        <v>1</v>
      </c>
      <c r="S107" s="1424">
        <v>258</v>
      </c>
      <c r="T107" s="1424">
        <v>1</v>
      </c>
      <c r="U107" s="1424">
        <v>459</v>
      </c>
      <c r="V107" s="1424">
        <v>1</v>
      </c>
      <c r="W107" s="1424">
        <v>451</v>
      </c>
      <c r="X107" s="1424">
        <v>2</v>
      </c>
      <c r="Y107" s="1424">
        <v>441</v>
      </c>
      <c r="Z107" s="1424">
        <v>3</v>
      </c>
      <c r="AA107" s="1424">
        <v>9866</v>
      </c>
      <c r="AB107" s="1424">
        <v>89</v>
      </c>
      <c r="AC107" s="1424">
        <v>0.90208797891749448</v>
      </c>
      <c r="AD107" s="1420">
        <f>+AB107/AA107</f>
        <v>9.0208797891749449E-3</v>
      </c>
      <c r="AE107" s="1387"/>
    </row>
  </sheetData>
  <mergeCells count="35">
    <mergeCell ref="Q66:R66"/>
    <mergeCell ref="S66:T66"/>
    <mergeCell ref="U66:V66"/>
    <mergeCell ref="W66:X66"/>
    <mergeCell ref="Y66:Z66"/>
    <mergeCell ref="Y53:Z53"/>
    <mergeCell ref="C53:D53"/>
    <mergeCell ref="E53:F53"/>
    <mergeCell ref="G53:H53"/>
    <mergeCell ref="I53:J53"/>
    <mergeCell ref="K53:L53"/>
    <mergeCell ref="M53:N53"/>
    <mergeCell ref="O53:P53"/>
    <mergeCell ref="Q53:R53"/>
    <mergeCell ref="S53:T53"/>
    <mergeCell ref="U53:V53"/>
    <mergeCell ref="W53:X53"/>
    <mergeCell ref="Y38:Z38"/>
    <mergeCell ref="C38:D38"/>
    <mergeCell ref="E38:F38"/>
    <mergeCell ref="G38:H38"/>
    <mergeCell ref="I38:J38"/>
    <mergeCell ref="K38:L38"/>
    <mergeCell ref="M38:N38"/>
    <mergeCell ref="O38:P38"/>
    <mergeCell ref="Q38:R38"/>
    <mergeCell ref="S38:T38"/>
    <mergeCell ref="U38:V38"/>
    <mergeCell ref="W38:X38"/>
    <mergeCell ref="D31:AA31"/>
    <mergeCell ref="D2:AA2"/>
    <mergeCell ref="D3:AA3"/>
    <mergeCell ref="D4:AA4"/>
    <mergeCell ref="D29:AA29"/>
    <mergeCell ref="D30:AA30"/>
  </mergeCells>
  <pageMargins left="0.74803149606299202" right="0.74803149606299202" top="0.98425196850393704" bottom="0.98425196850393704" header="0.511811023622047" footer="0.511811023622047"/>
  <pageSetup paperSize="9" scale="66" orientation="landscape" r:id="rId1"/>
  <headerFooter alignWithMargins="0">
    <oddHeader xml:space="preserve">&amp;C&amp;"-,Bold"DEVELOPMENT INDICATORS 2017
</oddHeader>
    <oddFooter>&amp;LDepartment of Planning, Monitoring and Evaluation (DPME). &amp;CPage &amp;P of &amp;N&amp;R&amp;D</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36C00-E992-428E-AC3F-E4ADDC940141}">
  <sheetPr>
    <tabColor rgb="FF0070C0"/>
    <pageSetUpPr fitToPage="1"/>
  </sheetPr>
  <dimension ref="A1:AB55"/>
  <sheetViews>
    <sheetView showGridLines="0" view="pageBreakPreview" zoomScale="90" zoomScaleNormal="100" zoomScaleSheetLayoutView="90" workbookViewId="0">
      <selection activeCell="D4" sqref="D4:V4"/>
    </sheetView>
  </sheetViews>
  <sheetFormatPr defaultColWidth="9.140625" defaultRowHeight="15" x14ac:dyDescent="0.25"/>
  <cols>
    <col min="1" max="1" width="3.85546875" style="509" customWidth="1"/>
    <col min="2" max="2" width="14.42578125" style="1119" customWidth="1"/>
    <col min="3" max="3" width="3.85546875" style="1119" customWidth="1"/>
    <col min="4" max="4" width="20.5703125" style="113" customWidth="1"/>
    <col min="5" max="5" width="3.140625" style="113" customWidth="1"/>
    <col min="6" max="8" width="9.140625" style="113" customWidth="1"/>
    <col min="9" max="14" width="9.140625" style="113" hidden="1" customWidth="1"/>
    <col min="15" max="17" width="9.140625" style="113" customWidth="1"/>
    <col min="18" max="18" width="9.140625" style="113"/>
    <col min="19" max="19" width="14.42578125" style="113" customWidth="1"/>
    <col min="20" max="16384" width="9.140625" style="113"/>
  </cols>
  <sheetData>
    <row r="1" spans="1:25" x14ac:dyDescent="0.25">
      <c r="D1" s="1137"/>
      <c r="E1" s="1137"/>
      <c r="F1" s="1137"/>
      <c r="G1" s="1137"/>
      <c r="H1" s="1137"/>
      <c r="I1" s="1137"/>
      <c r="J1" s="1137"/>
      <c r="K1" s="1137"/>
      <c r="L1" s="1137"/>
      <c r="M1" s="1137"/>
      <c r="N1" s="1137"/>
      <c r="O1" s="1137"/>
    </row>
    <row r="2" spans="1:25" ht="14.45" customHeight="1" x14ac:dyDescent="0.25">
      <c r="A2" s="509">
        <v>1</v>
      </c>
      <c r="B2" s="509" t="s">
        <v>0</v>
      </c>
      <c r="C2" s="509">
        <v>45</v>
      </c>
      <c r="D2" s="4603" t="s">
        <v>1230</v>
      </c>
      <c r="E2" s="4604"/>
      <c r="F2" s="4604"/>
      <c r="G2" s="4604"/>
      <c r="H2" s="4604"/>
      <c r="I2" s="4604"/>
      <c r="J2" s="4604"/>
      <c r="K2" s="4604"/>
      <c r="L2" s="4604"/>
      <c r="M2" s="4604"/>
      <c r="N2" s="4604"/>
      <c r="O2" s="4604"/>
      <c r="P2" s="4604"/>
      <c r="Q2" s="4604"/>
      <c r="R2" s="4604"/>
      <c r="S2" s="4604"/>
      <c r="T2" s="4604"/>
      <c r="U2" s="4605"/>
    </row>
    <row r="3" spans="1:25" x14ac:dyDescent="0.25">
      <c r="A3" s="509">
        <v>2</v>
      </c>
      <c r="B3" s="509" t="s">
        <v>2</v>
      </c>
      <c r="C3" s="509"/>
      <c r="D3" s="4603" t="s">
        <v>1231</v>
      </c>
      <c r="E3" s="4604"/>
      <c r="F3" s="4604"/>
      <c r="G3" s="4604"/>
      <c r="H3" s="4604"/>
      <c r="I3" s="4604"/>
      <c r="J3" s="4604"/>
      <c r="K3" s="4604"/>
      <c r="L3" s="4604"/>
      <c r="M3" s="4604"/>
      <c r="N3" s="4604"/>
      <c r="O3" s="4604"/>
      <c r="P3" s="4604"/>
      <c r="Q3" s="4604"/>
      <c r="R3" s="4604"/>
      <c r="S3" s="4604"/>
      <c r="T3" s="4604"/>
      <c r="U3" s="4605"/>
    </row>
    <row r="4" spans="1:25" ht="15" customHeight="1" x14ac:dyDescent="0.25">
      <c r="A4" s="509">
        <v>3</v>
      </c>
      <c r="B4" s="509" t="s">
        <v>4</v>
      </c>
      <c r="C4" s="509"/>
      <c r="D4" s="4603" t="s">
        <v>1232</v>
      </c>
      <c r="E4" s="4604"/>
      <c r="F4" s="4604"/>
      <c r="G4" s="4604"/>
      <c r="H4" s="4604"/>
      <c r="I4" s="4604"/>
      <c r="J4" s="4604"/>
      <c r="K4" s="4604"/>
      <c r="L4" s="4604"/>
      <c r="M4" s="4604"/>
      <c r="N4" s="4604"/>
      <c r="O4" s="4604"/>
      <c r="P4" s="4604"/>
      <c r="Q4" s="4604"/>
      <c r="R4" s="4604"/>
      <c r="S4" s="4604"/>
      <c r="T4" s="4604"/>
      <c r="U4" s="4605"/>
    </row>
    <row r="5" spans="1:25" x14ac:dyDescent="0.25">
      <c r="A5" s="113"/>
      <c r="B5" s="113"/>
      <c r="C5" s="509"/>
    </row>
    <row r="6" spans="1:25" x14ac:dyDescent="0.25">
      <c r="A6" s="509">
        <v>5</v>
      </c>
      <c r="B6" s="509" t="s">
        <v>6</v>
      </c>
      <c r="D6" s="72" t="s">
        <v>80</v>
      </c>
      <c r="E6" s="72"/>
      <c r="F6" s="72" t="s">
        <v>1233</v>
      </c>
      <c r="G6" s="72"/>
      <c r="H6" s="72"/>
      <c r="I6" s="72"/>
      <c r="J6" s="72"/>
      <c r="K6" s="72"/>
      <c r="L6" s="72"/>
      <c r="M6" s="71"/>
      <c r="N6" s="71"/>
      <c r="O6" s="71"/>
    </row>
    <row r="7" spans="1:25" x14ac:dyDescent="0.25">
      <c r="D7" s="2186"/>
      <c r="E7" s="1430" t="s">
        <v>389</v>
      </c>
      <c r="F7" s="1138">
        <v>2002</v>
      </c>
      <c r="G7" s="1138">
        <v>2003</v>
      </c>
      <c r="H7" s="1138">
        <v>2004</v>
      </c>
      <c r="I7" s="1138">
        <v>2005</v>
      </c>
      <c r="J7" s="1138">
        <v>2006</v>
      </c>
      <c r="K7" s="1138">
        <v>2007</v>
      </c>
      <c r="L7" s="1165">
        <v>2008</v>
      </c>
      <c r="M7" s="1308">
        <v>2009</v>
      </c>
      <c r="N7" s="1308">
        <v>2010</v>
      </c>
      <c r="O7" s="1308">
        <v>2011</v>
      </c>
      <c r="P7" s="1431">
        <v>2012</v>
      </c>
      <c r="Q7" s="1431">
        <v>2013</v>
      </c>
      <c r="R7" s="1431">
        <v>2014</v>
      </c>
      <c r="S7" s="1431">
        <v>2015</v>
      </c>
      <c r="T7" s="1432">
        <v>2016</v>
      </c>
      <c r="U7" s="1432">
        <v>2017</v>
      </c>
      <c r="V7" s="1432">
        <v>2018</v>
      </c>
      <c r="W7" s="1432">
        <v>2019</v>
      </c>
      <c r="X7" s="1432">
        <v>2020</v>
      </c>
      <c r="Y7" s="1432">
        <v>2021</v>
      </c>
    </row>
    <row r="8" spans="1:25" x14ac:dyDescent="0.25">
      <c r="B8" s="4832"/>
      <c r="C8" s="1245"/>
      <c r="D8" s="173" t="s">
        <v>1234</v>
      </c>
      <c r="E8" s="173"/>
      <c r="F8" s="1145">
        <v>7.3</v>
      </c>
      <c r="G8" s="1145">
        <v>11.6</v>
      </c>
      <c r="H8" s="1145">
        <v>11.5</v>
      </c>
      <c r="I8" s="1145">
        <v>14.3</v>
      </c>
      <c r="J8" s="1145">
        <v>16</v>
      </c>
      <c r="K8" s="1145">
        <v>16.100000000000001</v>
      </c>
      <c r="L8" s="1433">
        <v>16.7</v>
      </c>
      <c r="M8" s="1145">
        <v>3372</v>
      </c>
      <c r="N8" s="1145">
        <v>32.200000000000003</v>
      </c>
      <c r="O8" s="1145"/>
      <c r="P8" s="1434">
        <v>36.5</v>
      </c>
      <c r="Q8" s="1434">
        <v>44.7</v>
      </c>
      <c r="R8" s="1434">
        <v>48.3</v>
      </c>
      <c r="S8" s="1434">
        <v>45.7</v>
      </c>
      <c r="T8" s="1435">
        <v>40.4</v>
      </c>
      <c r="U8" s="1435">
        <v>42.2</v>
      </c>
      <c r="V8" s="1435">
        <v>44.3</v>
      </c>
      <c r="W8" s="1435">
        <v>40.6</v>
      </c>
      <c r="X8" s="1435">
        <v>31.1</v>
      </c>
      <c r="Y8" s="1435">
        <v>34.1</v>
      </c>
    </row>
    <row r="9" spans="1:25" ht="13.5" customHeight="1" x14ac:dyDescent="0.25">
      <c r="B9" s="4832"/>
      <c r="C9" s="1140"/>
      <c r="D9" s="173" t="s">
        <v>1235</v>
      </c>
      <c r="E9" s="173"/>
      <c r="F9" s="1145"/>
      <c r="G9" s="1145"/>
      <c r="H9" s="1145"/>
      <c r="I9" s="1145"/>
      <c r="J9" s="1145"/>
      <c r="K9" s="1145"/>
      <c r="L9" s="1433"/>
      <c r="M9" s="1145">
        <v>60</v>
      </c>
      <c r="N9" s="1436">
        <v>64</v>
      </c>
      <c r="O9" s="1145">
        <v>66</v>
      </c>
      <c r="P9" s="1434">
        <v>67.387887449672405</v>
      </c>
      <c r="Q9" s="1434">
        <v>71.275629761606439</v>
      </c>
      <c r="R9" s="1434">
        <v>72.898589999999999</v>
      </c>
      <c r="S9" s="1434">
        <v>70.582802999999998</v>
      </c>
      <c r="T9" s="1434">
        <v>70.012191000000001</v>
      </c>
      <c r="U9" s="1434">
        <v>70.777987999999993</v>
      </c>
      <c r="V9" s="1434">
        <v>71.555347999999995</v>
      </c>
      <c r="W9" s="1434">
        <v>74.705861999999996</v>
      </c>
      <c r="X9" s="1434">
        <v>57.514927999999998</v>
      </c>
      <c r="Y9" s="1434">
        <v>63.557903000000003</v>
      </c>
    </row>
    <row r="10" spans="1:25" ht="13.5" customHeight="1" x14ac:dyDescent="0.25">
      <c r="B10" s="1144"/>
      <c r="C10" s="1140"/>
      <c r="D10" s="173" t="s">
        <v>1236</v>
      </c>
      <c r="E10" s="173"/>
      <c r="F10" s="1145">
        <v>39.299999999999997</v>
      </c>
      <c r="G10" s="1145">
        <v>48.1</v>
      </c>
      <c r="H10" s="1145">
        <v>51.9</v>
      </c>
      <c r="I10" s="1145">
        <v>59.3</v>
      </c>
      <c r="J10" s="1145">
        <v>61.6</v>
      </c>
      <c r="K10" s="1145">
        <v>60.2</v>
      </c>
      <c r="L10" s="1433">
        <v>63.2</v>
      </c>
      <c r="M10" s="1433">
        <v>9191</v>
      </c>
      <c r="N10" s="1436">
        <v>83.4</v>
      </c>
      <c r="O10" s="1145"/>
      <c r="P10" s="1434">
        <v>84.6</v>
      </c>
      <c r="Q10" s="1434"/>
      <c r="R10" s="1434"/>
      <c r="S10" s="1434"/>
      <c r="T10" s="1434"/>
      <c r="U10" s="1434">
        <v>88</v>
      </c>
      <c r="V10" s="1434">
        <v>85.4</v>
      </c>
      <c r="W10" s="1434">
        <v>89.1</v>
      </c>
      <c r="X10" s="1434">
        <v>62.3</v>
      </c>
      <c r="Y10" s="1434">
        <v>80.7</v>
      </c>
    </row>
    <row r="11" spans="1:25" ht="12.95" customHeight="1" x14ac:dyDescent="0.25">
      <c r="B11" s="1144"/>
      <c r="C11" s="1140"/>
      <c r="D11" s="173" t="s">
        <v>1237</v>
      </c>
      <c r="F11" s="1437"/>
      <c r="G11" s="1437"/>
      <c r="H11" s="1437"/>
      <c r="I11" s="1437"/>
      <c r="J11" s="1437"/>
      <c r="K11" s="1437"/>
      <c r="L11" s="1437"/>
      <c r="M11" s="1145">
        <v>94.791239000000004</v>
      </c>
      <c r="N11" s="1436">
        <v>96.097873000000007</v>
      </c>
      <c r="O11" s="1434">
        <v>95.457340000000002</v>
      </c>
      <c r="P11" s="1434">
        <v>95.849581000000001</v>
      </c>
      <c r="Q11" s="1434"/>
      <c r="R11" s="1434"/>
      <c r="S11" s="1434"/>
      <c r="T11" s="1434"/>
      <c r="U11" s="1434">
        <v>96.6</v>
      </c>
      <c r="V11" s="1434">
        <v>97.3</v>
      </c>
      <c r="W11" s="1434">
        <v>96.5</v>
      </c>
      <c r="X11" s="1434">
        <v>88.2</v>
      </c>
      <c r="Y11" s="1434">
        <v>94.1</v>
      </c>
    </row>
    <row r="12" spans="1:25" ht="15.95" customHeight="1" x14ac:dyDescent="0.25">
      <c r="B12" s="1144"/>
      <c r="C12" s="1140"/>
      <c r="D12" s="71" t="s">
        <v>1238</v>
      </c>
      <c r="E12" s="71"/>
      <c r="F12" s="1438"/>
      <c r="G12" s="1438"/>
      <c r="H12" s="1438"/>
      <c r="I12" s="1438"/>
      <c r="J12" s="1438"/>
      <c r="K12" s="1438"/>
      <c r="L12" s="1438"/>
      <c r="M12" s="1145">
        <v>122.8</v>
      </c>
      <c r="N12" s="1436">
        <v>113.2</v>
      </c>
      <c r="O12" s="1434">
        <v>112.1</v>
      </c>
      <c r="P12" s="1434">
        <v>111.6502232873722</v>
      </c>
      <c r="Q12" s="1434">
        <v>104.64002801243709</v>
      </c>
      <c r="R12" s="1434">
        <v>101.4</v>
      </c>
      <c r="S12" s="1434">
        <v>108.2</v>
      </c>
      <c r="T12" s="1434">
        <v>95.4</v>
      </c>
      <c r="U12" s="1434"/>
      <c r="V12" s="1434"/>
      <c r="W12" s="1434"/>
    </row>
    <row r="13" spans="1:25" ht="30.6" customHeight="1" x14ac:dyDescent="0.25">
      <c r="B13" s="1144"/>
      <c r="C13" s="1140"/>
      <c r="D13" s="1439" t="s">
        <v>1239</v>
      </c>
      <c r="E13" s="72"/>
      <c r="F13" s="188"/>
      <c r="G13" s="188"/>
      <c r="H13" s="188"/>
      <c r="I13" s="188"/>
      <c r="J13" s="188"/>
      <c r="K13" s="188"/>
      <c r="L13" s="188"/>
      <c r="M13" s="1148">
        <v>97.1</v>
      </c>
      <c r="N13" s="1440">
        <v>94.8</v>
      </c>
      <c r="O13" s="1441">
        <v>95</v>
      </c>
      <c r="P13" s="1441">
        <v>92.2</v>
      </c>
      <c r="Q13" s="1441">
        <v>94.9</v>
      </c>
      <c r="R13" s="1441">
        <v>94.8</v>
      </c>
      <c r="S13" s="1441">
        <v>94.8</v>
      </c>
      <c r="T13" s="1441">
        <v>93.9</v>
      </c>
      <c r="U13" s="1441">
        <v>94.4</v>
      </c>
      <c r="V13" s="1441">
        <v>94.1</v>
      </c>
      <c r="W13" s="1441" t="s">
        <v>1240</v>
      </c>
      <c r="X13" s="1441" t="s">
        <v>1240</v>
      </c>
      <c r="Y13" s="1441" t="s">
        <v>1240</v>
      </c>
    </row>
    <row r="14" spans="1:25" hidden="1" x14ac:dyDescent="0.25">
      <c r="B14" s="1144"/>
      <c r="C14" s="1140"/>
      <c r="D14" s="71"/>
      <c r="E14" s="71"/>
      <c r="F14" s="136"/>
      <c r="G14" s="136"/>
      <c r="H14" s="136"/>
      <c r="I14" s="136"/>
      <c r="J14" s="136"/>
      <c r="K14" s="136"/>
      <c r="L14" s="136"/>
      <c r="M14" s="136"/>
      <c r="N14" s="136"/>
      <c r="O14" s="136"/>
      <c r="Q14" s="1152"/>
      <c r="R14" s="1142"/>
    </row>
    <row r="15" spans="1:25" hidden="1" x14ac:dyDescent="0.25">
      <c r="B15" s="1144"/>
      <c r="C15" s="1140"/>
      <c r="D15" s="72" t="s">
        <v>267</v>
      </c>
      <c r="E15" s="72"/>
      <c r="F15" s="72" t="s">
        <v>1241</v>
      </c>
      <c r="G15" s="1153"/>
      <c r="H15" s="1153"/>
      <c r="I15" s="72"/>
      <c r="J15" s="72"/>
      <c r="K15" s="72"/>
      <c r="L15" s="71"/>
      <c r="M15" s="71"/>
      <c r="N15" s="71"/>
      <c r="O15" s="71"/>
      <c r="Q15" s="1152"/>
      <c r="R15" s="1142"/>
    </row>
    <row r="16" spans="1:25" ht="21.75" hidden="1" customHeight="1" x14ac:dyDescent="0.25">
      <c r="B16" s="1144"/>
      <c r="C16" s="1140"/>
      <c r="D16" s="88"/>
      <c r="E16" s="88"/>
      <c r="F16" s="4867" t="s">
        <v>1242</v>
      </c>
      <c r="G16" s="4835"/>
      <c r="H16" s="4868"/>
      <c r="I16" s="4867" t="s">
        <v>1243</v>
      </c>
      <c r="J16" s="4835"/>
      <c r="K16" s="4868"/>
      <c r="L16" s="136"/>
      <c r="M16" s="136"/>
      <c r="N16" s="136"/>
      <c r="O16" s="136"/>
      <c r="Q16" s="1152"/>
      <c r="R16" s="1142"/>
    </row>
    <row r="17" spans="1:28" ht="21.6" hidden="1" customHeight="1" x14ac:dyDescent="0.25">
      <c r="B17" s="1144"/>
      <c r="C17" s="1140"/>
      <c r="D17" s="95"/>
      <c r="E17" s="95"/>
      <c r="F17" s="95">
        <v>2009</v>
      </c>
      <c r="G17" s="1442">
        <v>2010</v>
      </c>
      <c r="H17" s="1442">
        <v>2011</v>
      </c>
      <c r="I17" s="246">
        <v>2009</v>
      </c>
      <c r="J17" s="1443">
        <v>2010</v>
      </c>
      <c r="K17" s="1443">
        <v>2011</v>
      </c>
      <c r="L17" s="136"/>
      <c r="M17" s="136"/>
      <c r="N17" s="136"/>
      <c r="O17" s="136"/>
      <c r="Q17" s="1152"/>
      <c r="R17" s="1142"/>
    </row>
    <row r="18" spans="1:28" hidden="1" x14ac:dyDescent="0.25">
      <c r="B18" s="1144"/>
      <c r="C18" s="1140"/>
      <c r="D18" s="550" t="s">
        <v>276</v>
      </c>
      <c r="E18" s="550"/>
      <c r="F18" s="1444">
        <v>66.2</v>
      </c>
      <c r="G18" s="1445">
        <v>69.8</v>
      </c>
      <c r="H18" s="1445">
        <v>71.400000000000006</v>
      </c>
      <c r="I18" s="1446">
        <v>147.30000000000001</v>
      </c>
      <c r="J18" s="1447">
        <v>134.4</v>
      </c>
      <c r="K18" s="1447">
        <v>111.86137247341033</v>
      </c>
      <c r="L18" s="136"/>
      <c r="M18" s="136"/>
      <c r="N18" s="136"/>
      <c r="O18" s="136"/>
      <c r="Q18" s="1152"/>
      <c r="R18" s="1142"/>
    </row>
    <row r="19" spans="1:28" hidden="1" x14ac:dyDescent="0.25">
      <c r="B19" s="1144"/>
      <c r="C19" s="1140"/>
      <c r="D19" s="550" t="s">
        <v>277</v>
      </c>
      <c r="E19" s="550"/>
      <c r="F19" s="1444">
        <v>7.1</v>
      </c>
      <c r="G19" s="1445">
        <v>63.2</v>
      </c>
      <c r="H19" s="1445">
        <v>70.900000000000006</v>
      </c>
      <c r="I19" s="1446">
        <v>118.7</v>
      </c>
      <c r="J19" s="1447">
        <v>93.1</v>
      </c>
      <c r="K19" s="1447">
        <v>106.52713575706071</v>
      </c>
      <c r="L19" s="136"/>
      <c r="M19" s="136"/>
      <c r="N19" s="136"/>
      <c r="O19" s="136"/>
      <c r="Q19" s="1152"/>
      <c r="R19" s="1142"/>
    </row>
    <row r="20" spans="1:28" hidden="1" x14ac:dyDescent="0.25">
      <c r="B20" s="1144"/>
      <c r="C20" s="1140"/>
      <c r="D20" s="550" t="s">
        <v>278</v>
      </c>
      <c r="E20" s="550"/>
      <c r="F20" s="1444">
        <v>68.3</v>
      </c>
      <c r="G20" s="1445">
        <v>70.099999999999994</v>
      </c>
      <c r="H20" s="1445">
        <v>73.400000000000006</v>
      </c>
      <c r="I20" s="1446">
        <v>121.1</v>
      </c>
      <c r="J20" s="1447">
        <v>112</v>
      </c>
      <c r="K20" s="1447">
        <v>94.110006680386121</v>
      </c>
      <c r="L20" s="136"/>
      <c r="M20" s="136"/>
      <c r="N20" s="136"/>
      <c r="O20" s="136"/>
      <c r="Q20" s="1152"/>
      <c r="R20" s="1142"/>
    </row>
    <row r="21" spans="1:28" hidden="1" x14ac:dyDescent="0.25">
      <c r="D21" s="550" t="s">
        <v>641</v>
      </c>
      <c r="E21" s="550"/>
      <c r="F21" s="1444">
        <v>50</v>
      </c>
      <c r="G21" s="1445">
        <v>59.6</v>
      </c>
      <c r="H21" s="1445">
        <v>53.1</v>
      </c>
      <c r="I21" s="1446">
        <v>134.19999999999999</v>
      </c>
      <c r="J21" s="1447">
        <v>111.7</v>
      </c>
      <c r="K21" s="1447">
        <v>139.75708248778136</v>
      </c>
      <c r="L21" s="88"/>
      <c r="M21" s="88"/>
      <c r="N21" s="88"/>
      <c r="O21" s="88"/>
      <c r="Q21" s="1152"/>
      <c r="R21" s="1142"/>
    </row>
    <row r="22" spans="1:28" hidden="1" x14ac:dyDescent="0.25">
      <c r="D22" s="550" t="s">
        <v>280</v>
      </c>
      <c r="E22" s="550"/>
      <c r="F22" s="1444">
        <v>67.8</v>
      </c>
      <c r="G22" s="1445">
        <v>70.599999999999994</v>
      </c>
      <c r="H22" s="1445">
        <v>75.5</v>
      </c>
      <c r="I22" s="1446">
        <v>106.2</v>
      </c>
      <c r="J22" s="1447">
        <v>120</v>
      </c>
      <c r="K22" s="1447">
        <v>113.68510549561589</v>
      </c>
      <c r="L22" s="88"/>
      <c r="M22" s="88"/>
      <c r="N22" s="88"/>
      <c r="O22" s="88"/>
      <c r="Q22" s="1152"/>
      <c r="R22" s="1142"/>
    </row>
    <row r="23" spans="1:28" hidden="1" x14ac:dyDescent="0.25">
      <c r="D23" s="550" t="s">
        <v>281</v>
      </c>
      <c r="E23" s="550"/>
      <c r="F23" s="1444">
        <v>59.7</v>
      </c>
      <c r="G23" s="1445">
        <v>58.8</v>
      </c>
      <c r="H23" s="1445">
        <v>66.3</v>
      </c>
      <c r="I23" s="1446">
        <v>123.1</v>
      </c>
      <c r="J23" s="1447">
        <v>105.9</v>
      </c>
      <c r="K23" s="1447">
        <v>104.27941598012262</v>
      </c>
      <c r="L23" s="88"/>
      <c r="M23" s="88"/>
      <c r="N23" s="88"/>
      <c r="O23" s="88"/>
      <c r="Q23" s="1152"/>
      <c r="R23" s="1142"/>
    </row>
    <row r="24" spans="1:28" ht="14.45" hidden="1" customHeight="1" x14ac:dyDescent="0.25">
      <c r="D24" s="550" t="s">
        <v>283</v>
      </c>
      <c r="E24" s="550"/>
      <c r="F24" s="1444">
        <v>48.6</v>
      </c>
      <c r="G24" s="1445">
        <v>56</v>
      </c>
      <c r="H24" s="1445">
        <v>62.8</v>
      </c>
      <c r="I24" s="1446">
        <v>98.4</v>
      </c>
      <c r="J24" s="1447">
        <v>90.7</v>
      </c>
      <c r="K24" s="1447">
        <v>109.11354786418659</v>
      </c>
      <c r="L24" s="88"/>
      <c r="M24" s="88"/>
      <c r="N24" s="88"/>
      <c r="O24" s="88"/>
      <c r="Q24" s="1152"/>
      <c r="R24" s="1142"/>
      <c r="AB24" s="1758">
        <v>2020</v>
      </c>
    </row>
    <row r="25" spans="1:28" ht="14.45" hidden="1" customHeight="1" x14ac:dyDescent="0.25">
      <c r="D25" s="550" t="s">
        <v>282</v>
      </c>
      <c r="E25" s="550"/>
      <c r="F25" s="1444">
        <v>55.5</v>
      </c>
      <c r="G25" s="1445">
        <v>51.5</v>
      </c>
      <c r="H25" s="1445">
        <v>54.2</v>
      </c>
      <c r="I25" s="1446">
        <v>106.1</v>
      </c>
      <c r="J25" s="1447">
        <v>161.4</v>
      </c>
      <c r="K25" s="1447">
        <v>130.32400695853869</v>
      </c>
      <c r="L25" s="88"/>
      <c r="M25" s="88"/>
      <c r="N25" s="88"/>
      <c r="O25" s="88"/>
      <c r="Q25" s="1152"/>
      <c r="R25" s="1142"/>
      <c r="AB25" s="1758"/>
    </row>
    <row r="26" spans="1:28" ht="14.45" hidden="1" customHeight="1" x14ac:dyDescent="0.25">
      <c r="D26" s="550" t="s">
        <v>284</v>
      </c>
      <c r="E26" s="550"/>
      <c r="F26" s="1444">
        <v>55.2</v>
      </c>
      <c r="G26" s="1445">
        <v>59.9</v>
      </c>
      <c r="H26" s="1445">
        <v>62.4</v>
      </c>
      <c r="I26" s="1446">
        <v>111.7</v>
      </c>
      <c r="J26" s="1447">
        <v>106.3</v>
      </c>
      <c r="K26" s="1447">
        <v>94.4536169782954</v>
      </c>
      <c r="L26" s="88"/>
      <c r="M26" s="88"/>
      <c r="N26" s="88"/>
      <c r="O26" s="88"/>
      <c r="Q26" s="1152"/>
      <c r="R26" s="1142"/>
      <c r="AB26" s="1758"/>
    </row>
    <row r="27" spans="1:28" hidden="1" x14ac:dyDescent="0.25">
      <c r="C27" s="1140"/>
      <c r="D27" s="551" t="s">
        <v>103</v>
      </c>
      <c r="E27" s="551"/>
      <c r="F27" s="1448">
        <v>60</v>
      </c>
      <c r="G27" s="1449">
        <v>64</v>
      </c>
      <c r="H27" s="1449">
        <v>66</v>
      </c>
      <c r="I27" s="1161">
        <v>122.8</v>
      </c>
      <c r="J27" s="1160">
        <v>113.2</v>
      </c>
      <c r="K27" s="1160">
        <v>112.08118283120878</v>
      </c>
      <c r="L27" s="88"/>
      <c r="M27" s="88"/>
      <c r="N27" s="88"/>
      <c r="O27" s="88"/>
      <c r="Q27" s="1152"/>
      <c r="R27" s="1142"/>
      <c r="AB27" s="1758"/>
    </row>
    <row r="28" spans="1:28" hidden="1" x14ac:dyDescent="0.25">
      <c r="C28" s="1140"/>
      <c r="D28" s="550"/>
      <c r="E28" s="550"/>
      <c r="F28" s="1444"/>
      <c r="G28" s="1444"/>
      <c r="H28" s="1444"/>
      <c r="I28" s="1444"/>
      <c r="J28" s="1444"/>
      <c r="K28" s="1444"/>
      <c r="L28" s="88"/>
      <c r="M28" s="88"/>
      <c r="N28" s="88"/>
      <c r="O28" s="88"/>
      <c r="Q28" s="1152"/>
      <c r="R28" s="1142"/>
      <c r="AB28" s="1758" t="s">
        <v>1244</v>
      </c>
    </row>
    <row r="29" spans="1:28" x14ac:dyDescent="0.25">
      <c r="A29" s="113"/>
      <c r="B29" s="113"/>
      <c r="C29" s="509"/>
      <c r="D29" s="550"/>
      <c r="E29" s="1137"/>
      <c r="F29" s="88"/>
      <c r="G29" s="88"/>
      <c r="H29" s="88"/>
      <c r="I29" s="88"/>
      <c r="J29" s="88"/>
      <c r="K29" s="88"/>
      <c r="L29" s="88"/>
      <c r="M29" s="88"/>
      <c r="N29" s="88"/>
      <c r="O29" s="88"/>
    </row>
    <row r="30" spans="1:28" x14ac:dyDescent="0.25">
      <c r="A30" s="509">
        <v>6</v>
      </c>
      <c r="B30" s="509" t="s">
        <v>51</v>
      </c>
      <c r="D30" s="1137"/>
      <c r="E30" s="1137"/>
      <c r="F30" s="88"/>
      <c r="G30" s="88"/>
      <c r="H30" s="88"/>
      <c r="I30" s="88"/>
      <c r="J30" s="88"/>
      <c r="K30" s="88"/>
      <c r="L30" s="88"/>
      <c r="M30" s="88"/>
      <c r="N30" s="88"/>
      <c r="O30" s="88"/>
      <c r="T30" s="113" t="s">
        <v>1245</v>
      </c>
    </row>
    <row r="31" spans="1:28" x14ac:dyDescent="0.25">
      <c r="B31" s="1144"/>
      <c r="D31" s="1137"/>
      <c r="E31" s="1137"/>
      <c r="F31" s="88"/>
      <c r="G31" s="88"/>
      <c r="H31" s="88"/>
      <c r="I31" s="88"/>
      <c r="J31" s="88"/>
      <c r="K31" s="88"/>
      <c r="L31" s="88"/>
      <c r="M31" s="88"/>
      <c r="N31" s="88"/>
      <c r="O31" s="88"/>
      <c r="T31" s="113" t="s">
        <v>1246</v>
      </c>
    </row>
    <row r="32" spans="1:28" x14ac:dyDescent="0.25">
      <c r="B32" s="1144"/>
      <c r="D32" s="1137"/>
      <c r="E32" s="1137"/>
      <c r="F32" s="88"/>
      <c r="G32" s="88"/>
      <c r="H32" s="88"/>
      <c r="I32" s="88"/>
      <c r="J32" s="88"/>
      <c r="K32" s="88"/>
      <c r="L32" s="88"/>
      <c r="M32" s="88"/>
      <c r="N32" s="88"/>
      <c r="O32" s="88"/>
      <c r="T32" s="113" t="s">
        <v>1247</v>
      </c>
    </row>
    <row r="33" spans="1:21" x14ac:dyDescent="0.25">
      <c r="B33" s="1144"/>
      <c r="D33" s="1137"/>
      <c r="E33" s="1137"/>
      <c r="F33" s="88"/>
      <c r="G33" s="88"/>
      <c r="H33" s="88"/>
      <c r="I33" s="88"/>
      <c r="J33" s="88"/>
      <c r="K33" s="88"/>
      <c r="L33" s="88"/>
      <c r="M33" s="88"/>
      <c r="N33" s="88"/>
      <c r="O33" s="88"/>
      <c r="T33" s="113" t="s">
        <v>1248</v>
      </c>
    </row>
    <row r="34" spans="1:21" x14ac:dyDescent="0.25">
      <c r="B34" s="1144"/>
      <c r="D34" s="1137"/>
      <c r="E34" s="1137"/>
      <c r="F34" s="88"/>
      <c r="G34" s="88"/>
      <c r="H34" s="88"/>
      <c r="I34" s="88"/>
      <c r="J34" s="88"/>
      <c r="K34" s="88"/>
      <c r="L34" s="88"/>
      <c r="M34" s="88"/>
      <c r="N34" s="88"/>
      <c r="O34" s="88"/>
      <c r="T34" s="113" t="s">
        <v>1249</v>
      </c>
    </row>
    <row r="35" spans="1:21" x14ac:dyDescent="0.25">
      <c r="B35" s="1144"/>
      <c r="D35" s="1137"/>
      <c r="E35" s="1137"/>
      <c r="F35" s="88"/>
      <c r="G35" s="88"/>
      <c r="H35" s="88"/>
      <c r="I35" s="88"/>
      <c r="J35" s="88"/>
      <c r="K35" s="88"/>
      <c r="L35" s="88"/>
      <c r="M35" s="88"/>
      <c r="N35" s="88"/>
      <c r="O35" s="88"/>
    </row>
    <row r="36" spans="1:21" x14ac:dyDescent="0.25">
      <c r="B36" s="1144"/>
      <c r="D36" s="1137"/>
      <c r="E36" s="1137"/>
      <c r="F36" s="88"/>
      <c r="G36" s="88"/>
      <c r="H36" s="88"/>
      <c r="I36" s="88"/>
      <c r="J36" s="88"/>
      <c r="K36" s="88"/>
      <c r="L36" s="88"/>
      <c r="M36" s="88"/>
      <c r="N36" s="88"/>
      <c r="O36" s="88"/>
    </row>
    <row r="37" spans="1:21" x14ac:dyDescent="0.25">
      <c r="B37" s="1144"/>
      <c r="D37" s="1137"/>
      <c r="E37" s="1137"/>
      <c r="F37" s="88"/>
      <c r="G37" s="88"/>
      <c r="H37" s="88"/>
      <c r="I37" s="88"/>
      <c r="J37" s="88"/>
      <c r="K37" s="88"/>
      <c r="L37" s="88"/>
      <c r="M37" s="88"/>
      <c r="N37" s="88"/>
      <c r="O37" s="88"/>
    </row>
    <row r="38" spans="1:21" x14ac:dyDescent="0.25">
      <c r="B38" s="1144"/>
      <c r="D38" s="1137"/>
      <c r="E38" s="1137"/>
      <c r="F38" s="88"/>
      <c r="G38" s="88"/>
      <c r="H38" s="88"/>
      <c r="I38" s="88"/>
      <c r="J38" s="88"/>
      <c r="K38" s="88"/>
      <c r="L38" s="88"/>
      <c r="M38" s="88"/>
      <c r="N38" s="88"/>
      <c r="O38" s="88"/>
    </row>
    <row r="39" spans="1:21" x14ac:dyDescent="0.25">
      <c r="B39" s="1144"/>
      <c r="D39" s="1137"/>
      <c r="E39" s="1137"/>
      <c r="F39" s="88"/>
      <c r="G39" s="88"/>
      <c r="H39" s="88"/>
      <c r="I39" s="88"/>
      <c r="J39" s="88"/>
      <c r="K39" s="88"/>
      <c r="L39" s="88"/>
      <c r="M39" s="88"/>
      <c r="N39" s="88"/>
      <c r="O39" s="88"/>
    </row>
    <row r="40" spans="1:21" x14ac:dyDescent="0.25">
      <c r="D40" s="1137"/>
      <c r="E40" s="1137"/>
      <c r="F40" s="88"/>
      <c r="G40" s="88"/>
      <c r="H40" s="88"/>
      <c r="I40" s="88"/>
      <c r="J40" s="88"/>
      <c r="K40" s="88"/>
      <c r="L40" s="88"/>
      <c r="M40" s="88"/>
      <c r="N40" s="88"/>
      <c r="O40" s="88"/>
    </row>
    <row r="41" spans="1:21" x14ac:dyDescent="0.25">
      <c r="D41" s="1137"/>
      <c r="E41" s="1137"/>
      <c r="F41" s="88"/>
      <c r="G41" s="88"/>
      <c r="H41" s="88"/>
      <c r="I41" s="88"/>
      <c r="J41" s="88"/>
      <c r="K41" s="88"/>
      <c r="L41" s="88"/>
      <c r="M41" s="88"/>
      <c r="N41" s="88"/>
      <c r="O41" s="88"/>
    </row>
    <row r="42" spans="1:21" x14ac:dyDescent="0.25">
      <c r="D42" s="1137"/>
      <c r="E42" s="1137"/>
      <c r="F42" s="88"/>
      <c r="G42" s="88"/>
      <c r="H42" s="88"/>
      <c r="I42" s="88"/>
      <c r="J42" s="88"/>
      <c r="K42" s="88"/>
      <c r="L42" s="88"/>
      <c r="M42" s="88"/>
      <c r="N42" s="88"/>
      <c r="O42" s="88"/>
    </row>
    <row r="43" spans="1:21" x14ac:dyDescent="0.25">
      <c r="D43" s="1137"/>
      <c r="E43" s="1137"/>
      <c r="F43" s="88"/>
      <c r="G43" s="88"/>
      <c r="H43" s="88"/>
      <c r="I43" s="88"/>
      <c r="J43" s="88"/>
      <c r="K43" s="88"/>
      <c r="L43" s="88"/>
      <c r="M43" s="88"/>
      <c r="N43" s="88"/>
      <c r="O43" s="88"/>
    </row>
    <row r="44" spans="1:21" x14ac:dyDescent="0.25">
      <c r="D44" s="1137"/>
      <c r="E44" s="1137"/>
      <c r="F44" s="88"/>
      <c r="G44" s="88"/>
      <c r="H44" s="88"/>
      <c r="I44" s="88"/>
      <c r="J44" s="88"/>
      <c r="K44" s="88"/>
      <c r="L44" s="88"/>
      <c r="M44" s="88"/>
      <c r="N44" s="88"/>
      <c r="O44" s="88"/>
    </row>
    <row r="45" spans="1:21" x14ac:dyDescent="0.25">
      <c r="D45" s="1137"/>
      <c r="E45" s="1137"/>
      <c r="F45" s="1137"/>
      <c r="G45" s="1137"/>
      <c r="H45" s="1137"/>
      <c r="I45" s="1137"/>
      <c r="J45" s="1137"/>
      <c r="K45" s="1137"/>
      <c r="L45" s="1137"/>
      <c r="M45" s="1137"/>
      <c r="N45" s="1137"/>
      <c r="O45" s="1137"/>
    </row>
    <row r="46" spans="1:21" x14ac:dyDescent="0.25">
      <c r="D46" s="1137"/>
      <c r="E46" s="1137"/>
      <c r="F46" s="1137"/>
      <c r="G46" s="1137"/>
      <c r="H46" s="1137"/>
      <c r="I46" s="1137"/>
      <c r="J46" s="1137"/>
      <c r="K46" s="1137"/>
      <c r="L46" s="1137"/>
      <c r="M46" s="1137"/>
      <c r="N46" s="1137"/>
      <c r="O46" s="1137"/>
    </row>
    <row r="47" spans="1:21" x14ac:dyDescent="0.25">
      <c r="D47" s="1137"/>
      <c r="E47" s="1137"/>
      <c r="F47" s="1137"/>
      <c r="G47" s="1137"/>
      <c r="H47" s="1137"/>
      <c r="I47" s="1137"/>
      <c r="J47" s="1137"/>
      <c r="K47" s="1137"/>
      <c r="L47" s="1137"/>
      <c r="M47" s="1137"/>
      <c r="N47" s="1137"/>
      <c r="O47" s="1137"/>
    </row>
    <row r="48" spans="1:21" ht="16.5" customHeight="1" x14ac:dyDescent="0.25">
      <c r="A48" s="509">
        <v>7</v>
      </c>
      <c r="B48" s="509" t="s">
        <v>52</v>
      </c>
      <c r="C48" s="509"/>
      <c r="D48" s="4603" t="s">
        <v>533</v>
      </c>
      <c r="E48" s="4604"/>
      <c r="F48" s="4604"/>
      <c r="G48" s="4604"/>
      <c r="H48" s="4604"/>
      <c r="I48" s="4604"/>
      <c r="J48" s="4604"/>
      <c r="K48" s="4604"/>
      <c r="L48" s="4604"/>
      <c r="M48" s="4604"/>
      <c r="N48" s="4604"/>
      <c r="O48" s="4604"/>
      <c r="P48" s="4604"/>
      <c r="Q48" s="4604"/>
      <c r="R48" s="4604"/>
      <c r="S48" s="4604"/>
      <c r="T48" s="4604"/>
      <c r="U48" s="4605"/>
    </row>
    <row r="49" spans="1:21" ht="33.6" customHeight="1" x14ac:dyDescent="0.25">
      <c r="A49" s="546">
        <v>8</v>
      </c>
      <c r="B49" s="546" t="s">
        <v>54</v>
      </c>
      <c r="C49" s="546"/>
      <c r="D49" s="4603" t="s">
        <v>1250</v>
      </c>
      <c r="E49" s="4604"/>
      <c r="F49" s="4604"/>
      <c r="G49" s="4604"/>
      <c r="H49" s="4604"/>
      <c r="I49" s="4604"/>
      <c r="J49" s="4604"/>
      <c r="K49" s="4604"/>
      <c r="L49" s="4604"/>
      <c r="M49" s="4604"/>
      <c r="N49" s="4604"/>
      <c r="O49" s="4604"/>
      <c r="P49" s="4604"/>
      <c r="Q49" s="4604"/>
      <c r="R49" s="4604"/>
      <c r="S49" s="4604"/>
      <c r="T49" s="4604"/>
      <c r="U49" s="4605"/>
    </row>
    <row r="50" spans="1:21" ht="13.5" customHeight="1" x14ac:dyDescent="0.25">
      <c r="A50" s="509">
        <v>9</v>
      </c>
      <c r="B50" s="509" t="s">
        <v>56</v>
      </c>
      <c r="C50" s="509"/>
      <c r="D50" s="4603" t="s">
        <v>1251</v>
      </c>
      <c r="E50" s="4604"/>
      <c r="F50" s="4604"/>
      <c r="G50" s="4604"/>
      <c r="H50" s="4604"/>
      <c r="I50" s="4604"/>
      <c r="J50" s="4604"/>
      <c r="K50" s="4604"/>
      <c r="L50" s="4604"/>
      <c r="M50" s="4604"/>
      <c r="N50" s="4604"/>
      <c r="O50" s="4604"/>
      <c r="P50" s="4604"/>
      <c r="Q50" s="4604"/>
      <c r="R50" s="4604"/>
      <c r="S50" s="4604"/>
      <c r="T50" s="4604"/>
      <c r="U50" s="4605"/>
    </row>
    <row r="51" spans="1:21" x14ac:dyDescent="0.25">
      <c r="B51" s="509"/>
      <c r="D51" s="9"/>
      <c r="E51" s="9"/>
      <c r="F51" s="9"/>
      <c r="G51" s="9"/>
      <c r="H51" s="9"/>
      <c r="I51" s="9"/>
      <c r="J51" s="9"/>
      <c r="K51" s="9"/>
      <c r="L51" s="9"/>
      <c r="M51" s="9"/>
      <c r="N51" s="9"/>
      <c r="O51" s="9"/>
    </row>
    <row r="52" spans="1:21" x14ac:dyDescent="0.25">
      <c r="B52" s="509"/>
      <c r="D52" s="9"/>
      <c r="E52" s="9"/>
      <c r="F52" s="9"/>
      <c r="G52" s="9"/>
      <c r="H52" s="9"/>
      <c r="I52" s="9"/>
      <c r="J52" s="9"/>
      <c r="K52" s="9"/>
      <c r="L52" s="9"/>
      <c r="M52" s="9"/>
      <c r="N52" s="9"/>
      <c r="O52" s="9"/>
    </row>
    <row r="53" spans="1:21" x14ac:dyDescent="0.25">
      <c r="B53" s="509"/>
      <c r="D53" s="9"/>
      <c r="E53" s="9"/>
      <c r="F53" s="9"/>
      <c r="G53" s="9"/>
      <c r="H53" s="9"/>
      <c r="I53" s="9"/>
      <c r="J53" s="9"/>
      <c r="K53" s="9"/>
      <c r="L53" s="9"/>
      <c r="M53" s="9"/>
      <c r="N53" s="9"/>
      <c r="O53" s="9"/>
    </row>
    <row r="54" spans="1:21" x14ac:dyDescent="0.25">
      <c r="B54" s="509"/>
      <c r="D54" s="9"/>
      <c r="E54" s="9"/>
      <c r="F54" s="9"/>
      <c r="G54" s="9"/>
      <c r="H54" s="9"/>
      <c r="I54" s="9"/>
      <c r="J54" s="9"/>
      <c r="K54" s="9"/>
      <c r="L54" s="9"/>
      <c r="M54" s="9"/>
      <c r="N54" s="9"/>
      <c r="O54" s="9"/>
    </row>
    <row r="55" spans="1:21" x14ac:dyDescent="0.25">
      <c r="B55" s="509"/>
      <c r="D55" s="9"/>
      <c r="E55" s="9"/>
      <c r="F55" s="9"/>
      <c r="G55" s="9"/>
      <c r="H55" s="9"/>
      <c r="I55" s="9"/>
      <c r="J55" s="9"/>
      <c r="K55" s="9"/>
      <c r="L55" s="9"/>
      <c r="M55" s="9"/>
      <c r="N55" s="9"/>
      <c r="O55" s="9"/>
    </row>
  </sheetData>
  <mergeCells count="9">
    <mergeCell ref="D50:U50"/>
    <mergeCell ref="D2:U2"/>
    <mergeCell ref="D3:U3"/>
    <mergeCell ref="D4:U4"/>
    <mergeCell ref="B8:B9"/>
    <mergeCell ref="F16:H16"/>
    <mergeCell ref="I16:K16"/>
    <mergeCell ref="D48:U48"/>
    <mergeCell ref="D49:U49"/>
  </mergeCells>
  <pageMargins left="0.74803149606299202" right="0.74803149606299202" top="0.98425196850393704" bottom="0.98425196850393704" header="0.511811023622047" footer="0.511811023622047"/>
  <pageSetup paperSize="9" scale="68"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E54F-195B-42DA-B914-09CA316E9F88}">
  <sheetPr>
    <tabColor rgb="FF0070C0"/>
    <pageSetUpPr fitToPage="1"/>
  </sheetPr>
  <dimension ref="A1:AU47"/>
  <sheetViews>
    <sheetView showGridLines="0" view="pageBreakPreview" topLeftCell="A19" zoomScaleNormal="100" zoomScaleSheetLayoutView="100" workbookViewId="0">
      <selection activeCell="D4" sqref="D4:V4"/>
    </sheetView>
  </sheetViews>
  <sheetFormatPr defaultColWidth="9.140625" defaultRowHeight="15" x14ac:dyDescent="0.25"/>
  <cols>
    <col min="1" max="1" width="3.85546875" style="509" customWidth="1"/>
    <col min="2" max="2" width="12" style="1119" customWidth="1"/>
    <col min="3" max="3" width="5" style="1119" customWidth="1"/>
    <col min="4" max="4" width="21" style="113" customWidth="1"/>
    <col min="5" max="12" width="8.85546875" style="113" customWidth="1"/>
    <col min="13" max="13" width="11.42578125" style="113" customWidth="1"/>
    <col min="14" max="14" width="13.42578125" style="113" customWidth="1"/>
    <col min="15" max="15" width="9.140625" style="113" customWidth="1"/>
    <col min="16" max="18" width="9.140625" style="113"/>
    <col min="19" max="19" width="10.42578125" style="113" customWidth="1"/>
    <col min="20" max="21" width="9.140625" style="113"/>
    <col min="22" max="22" width="13.140625" style="113" customWidth="1"/>
    <col min="23" max="23" width="11.85546875" style="113" customWidth="1"/>
    <col min="24" max="27" width="9.140625" style="113"/>
    <col min="28" max="28" width="9.85546875" style="113" customWidth="1"/>
    <col min="29" max="29" width="9.140625" style="113"/>
    <col min="30" max="30" width="7" style="113" customWidth="1"/>
    <col min="31" max="38" width="9.140625" style="113"/>
    <col min="39" max="39" width="4.85546875" style="113" customWidth="1"/>
    <col min="40" max="268" width="9.140625" style="113"/>
    <col min="269" max="269" width="3.85546875" style="113" customWidth="1"/>
    <col min="270" max="270" width="14.42578125" style="113" customWidth="1"/>
    <col min="271" max="271" width="3.85546875" style="113" customWidth="1"/>
    <col min="272" max="272" width="21.5703125" style="113" customWidth="1"/>
    <col min="273" max="282" width="8.85546875" style="113" customWidth="1"/>
    <col min="283" max="524" width="9.140625" style="113"/>
    <col min="525" max="525" width="3.85546875" style="113" customWidth="1"/>
    <col min="526" max="526" width="14.42578125" style="113" customWidth="1"/>
    <col min="527" max="527" width="3.85546875" style="113" customWidth="1"/>
    <col min="528" max="528" width="21.5703125" style="113" customWidth="1"/>
    <col min="529" max="538" width="8.85546875" style="113" customWidth="1"/>
    <col min="539" max="780" width="9.140625" style="113"/>
    <col min="781" max="781" width="3.85546875" style="113" customWidth="1"/>
    <col min="782" max="782" width="14.42578125" style="113" customWidth="1"/>
    <col min="783" max="783" width="3.85546875" style="113" customWidth="1"/>
    <col min="784" max="784" width="21.5703125" style="113" customWidth="1"/>
    <col min="785" max="794" width="8.85546875" style="113" customWidth="1"/>
    <col min="795" max="1036" width="9.140625" style="113"/>
    <col min="1037" max="1037" width="3.85546875" style="113" customWidth="1"/>
    <col min="1038" max="1038" width="14.42578125" style="113" customWidth="1"/>
    <col min="1039" max="1039" width="3.85546875" style="113" customWidth="1"/>
    <col min="1040" max="1040" width="21.5703125" style="113" customWidth="1"/>
    <col min="1041" max="1050" width="8.85546875" style="113" customWidth="1"/>
    <col min="1051" max="1292" width="9.140625" style="113"/>
    <col min="1293" max="1293" width="3.85546875" style="113" customWidth="1"/>
    <col min="1294" max="1294" width="14.42578125" style="113" customWidth="1"/>
    <col min="1295" max="1295" width="3.85546875" style="113" customWidth="1"/>
    <col min="1296" max="1296" width="21.5703125" style="113" customWidth="1"/>
    <col min="1297" max="1306" width="8.85546875" style="113" customWidth="1"/>
    <col min="1307" max="1548" width="9.140625" style="113"/>
    <col min="1549" max="1549" width="3.85546875" style="113" customWidth="1"/>
    <col min="1550" max="1550" width="14.42578125" style="113" customWidth="1"/>
    <col min="1551" max="1551" width="3.85546875" style="113" customWidth="1"/>
    <col min="1552" max="1552" width="21.5703125" style="113" customWidth="1"/>
    <col min="1553" max="1562" width="8.85546875" style="113" customWidth="1"/>
    <col min="1563" max="1804" width="9.140625" style="113"/>
    <col min="1805" max="1805" width="3.85546875" style="113" customWidth="1"/>
    <col min="1806" max="1806" width="14.42578125" style="113" customWidth="1"/>
    <col min="1807" max="1807" width="3.85546875" style="113" customWidth="1"/>
    <col min="1808" max="1808" width="21.5703125" style="113" customWidth="1"/>
    <col min="1809" max="1818" width="8.85546875" style="113" customWidth="1"/>
    <col min="1819" max="2060" width="9.140625" style="113"/>
    <col min="2061" max="2061" width="3.85546875" style="113" customWidth="1"/>
    <col min="2062" max="2062" width="14.42578125" style="113" customWidth="1"/>
    <col min="2063" max="2063" width="3.85546875" style="113" customWidth="1"/>
    <col min="2064" max="2064" width="21.5703125" style="113" customWidth="1"/>
    <col min="2065" max="2074" width="8.85546875" style="113" customWidth="1"/>
    <col min="2075" max="2316" width="9.140625" style="113"/>
    <col min="2317" max="2317" width="3.85546875" style="113" customWidth="1"/>
    <col min="2318" max="2318" width="14.42578125" style="113" customWidth="1"/>
    <col min="2319" max="2319" width="3.85546875" style="113" customWidth="1"/>
    <col min="2320" max="2320" width="21.5703125" style="113" customWidth="1"/>
    <col min="2321" max="2330" width="8.85546875" style="113" customWidth="1"/>
    <col min="2331" max="2572" width="9.140625" style="113"/>
    <col min="2573" max="2573" width="3.85546875" style="113" customWidth="1"/>
    <col min="2574" max="2574" width="14.42578125" style="113" customWidth="1"/>
    <col min="2575" max="2575" width="3.85546875" style="113" customWidth="1"/>
    <col min="2576" max="2576" width="21.5703125" style="113" customWidth="1"/>
    <col min="2577" max="2586" width="8.85546875" style="113" customWidth="1"/>
    <col min="2587" max="2828" width="9.140625" style="113"/>
    <col min="2829" max="2829" width="3.85546875" style="113" customWidth="1"/>
    <col min="2830" max="2830" width="14.42578125" style="113" customWidth="1"/>
    <col min="2831" max="2831" width="3.85546875" style="113" customWidth="1"/>
    <col min="2832" max="2832" width="21.5703125" style="113" customWidth="1"/>
    <col min="2833" max="2842" width="8.85546875" style="113" customWidth="1"/>
    <col min="2843" max="3084" width="9.140625" style="113"/>
    <col min="3085" max="3085" width="3.85546875" style="113" customWidth="1"/>
    <col min="3086" max="3086" width="14.42578125" style="113" customWidth="1"/>
    <col min="3087" max="3087" width="3.85546875" style="113" customWidth="1"/>
    <col min="3088" max="3088" width="21.5703125" style="113" customWidth="1"/>
    <col min="3089" max="3098" width="8.85546875" style="113" customWidth="1"/>
    <col min="3099" max="3340" width="9.140625" style="113"/>
    <col min="3341" max="3341" width="3.85546875" style="113" customWidth="1"/>
    <col min="3342" max="3342" width="14.42578125" style="113" customWidth="1"/>
    <col min="3343" max="3343" width="3.85546875" style="113" customWidth="1"/>
    <col min="3344" max="3344" width="21.5703125" style="113" customWidth="1"/>
    <col min="3345" max="3354" width="8.85546875" style="113" customWidth="1"/>
    <col min="3355" max="3596" width="9.140625" style="113"/>
    <col min="3597" max="3597" width="3.85546875" style="113" customWidth="1"/>
    <col min="3598" max="3598" width="14.42578125" style="113" customWidth="1"/>
    <col min="3599" max="3599" width="3.85546875" style="113" customWidth="1"/>
    <col min="3600" max="3600" width="21.5703125" style="113" customWidth="1"/>
    <col min="3601" max="3610" width="8.85546875" style="113" customWidth="1"/>
    <col min="3611" max="3852" width="9.140625" style="113"/>
    <col min="3853" max="3853" width="3.85546875" style="113" customWidth="1"/>
    <col min="3854" max="3854" width="14.42578125" style="113" customWidth="1"/>
    <col min="3855" max="3855" width="3.85546875" style="113" customWidth="1"/>
    <col min="3856" max="3856" width="21.5703125" style="113" customWidth="1"/>
    <col min="3857" max="3866" width="8.85546875" style="113" customWidth="1"/>
    <col min="3867" max="4108" width="9.140625" style="113"/>
    <col min="4109" max="4109" width="3.85546875" style="113" customWidth="1"/>
    <col min="4110" max="4110" width="14.42578125" style="113" customWidth="1"/>
    <col min="4111" max="4111" width="3.85546875" style="113" customWidth="1"/>
    <col min="4112" max="4112" width="21.5703125" style="113" customWidth="1"/>
    <col min="4113" max="4122" width="8.85546875" style="113" customWidth="1"/>
    <col min="4123" max="4364" width="9.140625" style="113"/>
    <col min="4365" max="4365" width="3.85546875" style="113" customWidth="1"/>
    <col min="4366" max="4366" width="14.42578125" style="113" customWidth="1"/>
    <col min="4367" max="4367" width="3.85546875" style="113" customWidth="1"/>
    <col min="4368" max="4368" width="21.5703125" style="113" customWidth="1"/>
    <col min="4369" max="4378" width="8.85546875" style="113" customWidth="1"/>
    <col min="4379" max="4620" width="9.140625" style="113"/>
    <col min="4621" max="4621" width="3.85546875" style="113" customWidth="1"/>
    <col min="4622" max="4622" width="14.42578125" style="113" customWidth="1"/>
    <col min="4623" max="4623" width="3.85546875" style="113" customWidth="1"/>
    <col min="4624" max="4624" width="21.5703125" style="113" customWidth="1"/>
    <col min="4625" max="4634" width="8.85546875" style="113" customWidth="1"/>
    <col min="4635" max="4876" width="9.140625" style="113"/>
    <col min="4877" max="4877" width="3.85546875" style="113" customWidth="1"/>
    <col min="4878" max="4878" width="14.42578125" style="113" customWidth="1"/>
    <col min="4879" max="4879" width="3.85546875" style="113" customWidth="1"/>
    <col min="4880" max="4880" width="21.5703125" style="113" customWidth="1"/>
    <col min="4881" max="4890" width="8.85546875" style="113" customWidth="1"/>
    <col min="4891" max="5132" width="9.140625" style="113"/>
    <col min="5133" max="5133" width="3.85546875" style="113" customWidth="1"/>
    <col min="5134" max="5134" width="14.42578125" style="113" customWidth="1"/>
    <col min="5135" max="5135" width="3.85546875" style="113" customWidth="1"/>
    <col min="5136" max="5136" width="21.5703125" style="113" customWidth="1"/>
    <col min="5137" max="5146" width="8.85546875" style="113" customWidth="1"/>
    <col min="5147" max="5388" width="9.140625" style="113"/>
    <col min="5389" max="5389" width="3.85546875" style="113" customWidth="1"/>
    <col min="5390" max="5390" width="14.42578125" style="113" customWidth="1"/>
    <col min="5391" max="5391" width="3.85546875" style="113" customWidth="1"/>
    <col min="5392" max="5392" width="21.5703125" style="113" customWidth="1"/>
    <col min="5393" max="5402" width="8.85546875" style="113" customWidth="1"/>
    <col min="5403" max="5644" width="9.140625" style="113"/>
    <col min="5645" max="5645" width="3.85546875" style="113" customWidth="1"/>
    <col min="5646" max="5646" width="14.42578125" style="113" customWidth="1"/>
    <col min="5647" max="5647" width="3.85546875" style="113" customWidth="1"/>
    <col min="5648" max="5648" width="21.5703125" style="113" customWidth="1"/>
    <col min="5649" max="5658" width="8.85546875" style="113" customWidth="1"/>
    <col min="5659" max="5900" width="9.140625" style="113"/>
    <col min="5901" max="5901" width="3.85546875" style="113" customWidth="1"/>
    <col min="5902" max="5902" width="14.42578125" style="113" customWidth="1"/>
    <col min="5903" max="5903" width="3.85546875" style="113" customWidth="1"/>
    <col min="5904" max="5904" width="21.5703125" style="113" customWidth="1"/>
    <col min="5905" max="5914" width="8.85546875" style="113" customWidth="1"/>
    <col min="5915" max="6156" width="9.140625" style="113"/>
    <col min="6157" max="6157" width="3.85546875" style="113" customWidth="1"/>
    <col min="6158" max="6158" width="14.42578125" style="113" customWidth="1"/>
    <col min="6159" max="6159" width="3.85546875" style="113" customWidth="1"/>
    <col min="6160" max="6160" width="21.5703125" style="113" customWidth="1"/>
    <col min="6161" max="6170" width="8.85546875" style="113" customWidth="1"/>
    <col min="6171" max="6412" width="9.140625" style="113"/>
    <col min="6413" max="6413" width="3.85546875" style="113" customWidth="1"/>
    <col min="6414" max="6414" width="14.42578125" style="113" customWidth="1"/>
    <col min="6415" max="6415" width="3.85546875" style="113" customWidth="1"/>
    <col min="6416" max="6416" width="21.5703125" style="113" customWidth="1"/>
    <col min="6417" max="6426" width="8.85546875" style="113" customWidth="1"/>
    <col min="6427" max="6668" width="9.140625" style="113"/>
    <col min="6669" max="6669" width="3.85546875" style="113" customWidth="1"/>
    <col min="6670" max="6670" width="14.42578125" style="113" customWidth="1"/>
    <col min="6671" max="6671" width="3.85546875" style="113" customWidth="1"/>
    <col min="6672" max="6672" width="21.5703125" style="113" customWidth="1"/>
    <col min="6673" max="6682" width="8.85546875" style="113" customWidth="1"/>
    <col min="6683" max="6924" width="9.140625" style="113"/>
    <col min="6925" max="6925" width="3.85546875" style="113" customWidth="1"/>
    <col min="6926" max="6926" width="14.42578125" style="113" customWidth="1"/>
    <col min="6927" max="6927" width="3.85546875" style="113" customWidth="1"/>
    <col min="6928" max="6928" width="21.5703125" style="113" customWidth="1"/>
    <col min="6929" max="6938" width="8.85546875" style="113" customWidth="1"/>
    <col min="6939" max="7180" width="9.140625" style="113"/>
    <col min="7181" max="7181" width="3.85546875" style="113" customWidth="1"/>
    <col min="7182" max="7182" width="14.42578125" style="113" customWidth="1"/>
    <col min="7183" max="7183" width="3.85546875" style="113" customWidth="1"/>
    <col min="7184" max="7184" width="21.5703125" style="113" customWidth="1"/>
    <col min="7185" max="7194" width="8.85546875" style="113" customWidth="1"/>
    <col min="7195" max="7436" width="9.140625" style="113"/>
    <col min="7437" max="7437" width="3.85546875" style="113" customWidth="1"/>
    <col min="7438" max="7438" width="14.42578125" style="113" customWidth="1"/>
    <col min="7439" max="7439" width="3.85546875" style="113" customWidth="1"/>
    <col min="7440" max="7440" width="21.5703125" style="113" customWidth="1"/>
    <col min="7441" max="7450" width="8.85546875" style="113" customWidth="1"/>
    <col min="7451" max="7692" width="9.140625" style="113"/>
    <col min="7693" max="7693" width="3.85546875" style="113" customWidth="1"/>
    <col min="7694" max="7694" width="14.42578125" style="113" customWidth="1"/>
    <col min="7695" max="7695" width="3.85546875" style="113" customWidth="1"/>
    <col min="7696" max="7696" width="21.5703125" style="113" customWidth="1"/>
    <col min="7697" max="7706" width="8.85546875" style="113" customWidth="1"/>
    <col min="7707" max="7948" width="9.140625" style="113"/>
    <col min="7949" max="7949" width="3.85546875" style="113" customWidth="1"/>
    <col min="7950" max="7950" width="14.42578125" style="113" customWidth="1"/>
    <col min="7951" max="7951" width="3.85546875" style="113" customWidth="1"/>
    <col min="7952" max="7952" width="21.5703125" style="113" customWidth="1"/>
    <col min="7953" max="7962" width="8.85546875" style="113" customWidth="1"/>
    <col min="7963" max="8204" width="9.140625" style="113"/>
    <col min="8205" max="8205" width="3.85546875" style="113" customWidth="1"/>
    <col min="8206" max="8206" width="14.42578125" style="113" customWidth="1"/>
    <col min="8207" max="8207" width="3.85546875" style="113" customWidth="1"/>
    <col min="8208" max="8208" width="21.5703125" style="113" customWidth="1"/>
    <col min="8209" max="8218" width="8.85546875" style="113" customWidth="1"/>
    <col min="8219" max="8460" width="9.140625" style="113"/>
    <col min="8461" max="8461" width="3.85546875" style="113" customWidth="1"/>
    <col min="8462" max="8462" width="14.42578125" style="113" customWidth="1"/>
    <col min="8463" max="8463" width="3.85546875" style="113" customWidth="1"/>
    <col min="8464" max="8464" width="21.5703125" style="113" customWidth="1"/>
    <col min="8465" max="8474" width="8.85546875" style="113" customWidth="1"/>
    <col min="8475" max="8716" width="9.140625" style="113"/>
    <col min="8717" max="8717" width="3.85546875" style="113" customWidth="1"/>
    <col min="8718" max="8718" width="14.42578125" style="113" customWidth="1"/>
    <col min="8719" max="8719" width="3.85546875" style="113" customWidth="1"/>
    <col min="8720" max="8720" width="21.5703125" style="113" customWidth="1"/>
    <col min="8721" max="8730" width="8.85546875" style="113" customWidth="1"/>
    <col min="8731" max="8972" width="9.140625" style="113"/>
    <col min="8973" max="8973" width="3.85546875" style="113" customWidth="1"/>
    <col min="8974" max="8974" width="14.42578125" style="113" customWidth="1"/>
    <col min="8975" max="8975" width="3.85546875" style="113" customWidth="1"/>
    <col min="8976" max="8976" width="21.5703125" style="113" customWidth="1"/>
    <col min="8977" max="8986" width="8.85546875" style="113" customWidth="1"/>
    <col min="8987" max="9228" width="9.140625" style="113"/>
    <col min="9229" max="9229" width="3.85546875" style="113" customWidth="1"/>
    <col min="9230" max="9230" width="14.42578125" style="113" customWidth="1"/>
    <col min="9231" max="9231" width="3.85546875" style="113" customWidth="1"/>
    <col min="9232" max="9232" width="21.5703125" style="113" customWidth="1"/>
    <col min="9233" max="9242" width="8.85546875" style="113" customWidth="1"/>
    <col min="9243" max="9484" width="9.140625" style="113"/>
    <col min="9485" max="9485" width="3.85546875" style="113" customWidth="1"/>
    <col min="9486" max="9486" width="14.42578125" style="113" customWidth="1"/>
    <col min="9487" max="9487" width="3.85546875" style="113" customWidth="1"/>
    <col min="9488" max="9488" width="21.5703125" style="113" customWidth="1"/>
    <col min="9489" max="9498" width="8.85546875" style="113" customWidth="1"/>
    <col min="9499" max="9740" width="9.140625" style="113"/>
    <col min="9741" max="9741" width="3.85546875" style="113" customWidth="1"/>
    <col min="9742" max="9742" width="14.42578125" style="113" customWidth="1"/>
    <col min="9743" max="9743" width="3.85546875" style="113" customWidth="1"/>
    <col min="9744" max="9744" width="21.5703125" style="113" customWidth="1"/>
    <col min="9745" max="9754" width="8.85546875" style="113" customWidth="1"/>
    <col min="9755" max="9996" width="9.140625" style="113"/>
    <col min="9997" max="9997" width="3.85546875" style="113" customWidth="1"/>
    <col min="9998" max="9998" width="14.42578125" style="113" customWidth="1"/>
    <col min="9999" max="9999" width="3.85546875" style="113" customWidth="1"/>
    <col min="10000" max="10000" width="21.5703125" style="113" customWidth="1"/>
    <col min="10001" max="10010" width="8.85546875" style="113" customWidth="1"/>
    <col min="10011" max="10252" width="9.140625" style="113"/>
    <col min="10253" max="10253" width="3.85546875" style="113" customWidth="1"/>
    <col min="10254" max="10254" width="14.42578125" style="113" customWidth="1"/>
    <col min="10255" max="10255" width="3.85546875" style="113" customWidth="1"/>
    <col min="10256" max="10256" width="21.5703125" style="113" customWidth="1"/>
    <col min="10257" max="10266" width="8.85546875" style="113" customWidth="1"/>
    <col min="10267" max="10508" width="9.140625" style="113"/>
    <col min="10509" max="10509" width="3.85546875" style="113" customWidth="1"/>
    <col min="10510" max="10510" width="14.42578125" style="113" customWidth="1"/>
    <col min="10511" max="10511" width="3.85546875" style="113" customWidth="1"/>
    <col min="10512" max="10512" width="21.5703125" style="113" customWidth="1"/>
    <col min="10513" max="10522" width="8.85546875" style="113" customWidth="1"/>
    <col min="10523" max="10764" width="9.140625" style="113"/>
    <col min="10765" max="10765" width="3.85546875" style="113" customWidth="1"/>
    <col min="10766" max="10766" width="14.42578125" style="113" customWidth="1"/>
    <col min="10767" max="10767" width="3.85546875" style="113" customWidth="1"/>
    <col min="10768" max="10768" width="21.5703125" style="113" customWidth="1"/>
    <col min="10769" max="10778" width="8.85546875" style="113" customWidth="1"/>
    <col min="10779" max="11020" width="9.140625" style="113"/>
    <col min="11021" max="11021" width="3.85546875" style="113" customWidth="1"/>
    <col min="11022" max="11022" width="14.42578125" style="113" customWidth="1"/>
    <col min="11023" max="11023" width="3.85546875" style="113" customWidth="1"/>
    <col min="11024" max="11024" width="21.5703125" style="113" customWidth="1"/>
    <col min="11025" max="11034" width="8.85546875" style="113" customWidth="1"/>
    <col min="11035" max="11276" width="9.140625" style="113"/>
    <col min="11277" max="11277" width="3.85546875" style="113" customWidth="1"/>
    <col min="11278" max="11278" width="14.42578125" style="113" customWidth="1"/>
    <col min="11279" max="11279" width="3.85546875" style="113" customWidth="1"/>
    <col min="11280" max="11280" width="21.5703125" style="113" customWidth="1"/>
    <col min="11281" max="11290" width="8.85546875" style="113" customWidth="1"/>
    <col min="11291" max="11532" width="9.140625" style="113"/>
    <col min="11533" max="11533" width="3.85546875" style="113" customWidth="1"/>
    <col min="11534" max="11534" width="14.42578125" style="113" customWidth="1"/>
    <col min="11535" max="11535" width="3.85546875" style="113" customWidth="1"/>
    <col min="11536" max="11536" width="21.5703125" style="113" customWidth="1"/>
    <col min="11537" max="11546" width="8.85546875" style="113" customWidth="1"/>
    <col min="11547" max="11788" width="9.140625" style="113"/>
    <col min="11789" max="11789" width="3.85546875" style="113" customWidth="1"/>
    <col min="11790" max="11790" width="14.42578125" style="113" customWidth="1"/>
    <col min="11791" max="11791" width="3.85546875" style="113" customWidth="1"/>
    <col min="11792" max="11792" width="21.5703125" style="113" customWidth="1"/>
    <col min="11793" max="11802" width="8.85546875" style="113" customWidth="1"/>
    <col min="11803" max="12044" width="9.140625" style="113"/>
    <col min="12045" max="12045" width="3.85546875" style="113" customWidth="1"/>
    <col min="12046" max="12046" width="14.42578125" style="113" customWidth="1"/>
    <col min="12047" max="12047" width="3.85546875" style="113" customWidth="1"/>
    <col min="12048" max="12048" width="21.5703125" style="113" customWidth="1"/>
    <col min="12049" max="12058" width="8.85546875" style="113" customWidth="1"/>
    <col min="12059" max="12300" width="9.140625" style="113"/>
    <col min="12301" max="12301" width="3.85546875" style="113" customWidth="1"/>
    <col min="12302" max="12302" width="14.42578125" style="113" customWidth="1"/>
    <col min="12303" max="12303" width="3.85546875" style="113" customWidth="1"/>
    <col min="12304" max="12304" width="21.5703125" style="113" customWidth="1"/>
    <col min="12305" max="12314" width="8.85546875" style="113" customWidth="1"/>
    <col min="12315" max="12556" width="9.140625" style="113"/>
    <col min="12557" max="12557" width="3.85546875" style="113" customWidth="1"/>
    <col min="12558" max="12558" width="14.42578125" style="113" customWidth="1"/>
    <col min="12559" max="12559" width="3.85546875" style="113" customWidth="1"/>
    <col min="12560" max="12560" width="21.5703125" style="113" customWidth="1"/>
    <col min="12561" max="12570" width="8.85546875" style="113" customWidth="1"/>
    <col min="12571" max="12812" width="9.140625" style="113"/>
    <col min="12813" max="12813" width="3.85546875" style="113" customWidth="1"/>
    <col min="12814" max="12814" width="14.42578125" style="113" customWidth="1"/>
    <col min="12815" max="12815" width="3.85546875" style="113" customWidth="1"/>
    <col min="12816" max="12816" width="21.5703125" style="113" customWidth="1"/>
    <col min="12817" max="12826" width="8.85546875" style="113" customWidth="1"/>
    <col min="12827" max="13068" width="9.140625" style="113"/>
    <col min="13069" max="13069" width="3.85546875" style="113" customWidth="1"/>
    <col min="13070" max="13070" width="14.42578125" style="113" customWidth="1"/>
    <col min="13071" max="13071" width="3.85546875" style="113" customWidth="1"/>
    <col min="13072" max="13072" width="21.5703125" style="113" customWidth="1"/>
    <col min="13073" max="13082" width="8.85546875" style="113" customWidth="1"/>
    <col min="13083" max="13324" width="9.140625" style="113"/>
    <col min="13325" max="13325" width="3.85546875" style="113" customWidth="1"/>
    <col min="13326" max="13326" width="14.42578125" style="113" customWidth="1"/>
    <col min="13327" max="13327" width="3.85546875" style="113" customWidth="1"/>
    <col min="13328" max="13328" width="21.5703125" style="113" customWidth="1"/>
    <col min="13329" max="13338" width="8.85546875" style="113" customWidth="1"/>
    <col min="13339" max="13580" width="9.140625" style="113"/>
    <col min="13581" max="13581" width="3.85546875" style="113" customWidth="1"/>
    <col min="13582" max="13582" width="14.42578125" style="113" customWidth="1"/>
    <col min="13583" max="13583" width="3.85546875" style="113" customWidth="1"/>
    <col min="13584" max="13584" width="21.5703125" style="113" customWidth="1"/>
    <col min="13585" max="13594" width="8.85546875" style="113" customWidth="1"/>
    <col min="13595" max="13836" width="9.140625" style="113"/>
    <col min="13837" max="13837" width="3.85546875" style="113" customWidth="1"/>
    <col min="13838" max="13838" width="14.42578125" style="113" customWidth="1"/>
    <col min="13839" max="13839" width="3.85546875" style="113" customWidth="1"/>
    <col min="13840" max="13840" width="21.5703125" style="113" customWidth="1"/>
    <col min="13841" max="13850" width="8.85546875" style="113" customWidth="1"/>
    <col min="13851" max="14092" width="9.140625" style="113"/>
    <col min="14093" max="14093" width="3.85546875" style="113" customWidth="1"/>
    <col min="14094" max="14094" width="14.42578125" style="113" customWidth="1"/>
    <col min="14095" max="14095" width="3.85546875" style="113" customWidth="1"/>
    <col min="14096" max="14096" width="21.5703125" style="113" customWidth="1"/>
    <col min="14097" max="14106" width="8.85546875" style="113" customWidth="1"/>
    <col min="14107" max="14348" width="9.140625" style="113"/>
    <col min="14349" max="14349" width="3.85546875" style="113" customWidth="1"/>
    <col min="14350" max="14350" width="14.42578125" style="113" customWidth="1"/>
    <col min="14351" max="14351" width="3.85546875" style="113" customWidth="1"/>
    <col min="14352" max="14352" width="21.5703125" style="113" customWidth="1"/>
    <col min="14353" max="14362" width="8.85546875" style="113" customWidth="1"/>
    <col min="14363" max="14604" width="9.140625" style="113"/>
    <col min="14605" max="14605" width="3.85546875" style="113" customWidth="1"/>
    <col min="14606" max="14606" width="14.42578125" style="113" customWidth="1"/>
    <col min="14607" max="14607" width="3.85546875" style="113" customWidth="1"/>
    <col min="14608" max="14608" width="21.5703125" style="113" customWidth="1"/>
    <col min="14609" max="14618" width="8.85546875" style="113" customWidth="1"/>
    <col min="14619" max="14860" width="9.140625" style="113"/>
    <col min="14861" max="14861" width="3.85546875" style="113" customWidth="1"/>
    <col min="14862" max="14862" width="14.42578125" style="113" customWidth="1"/>
    <col min="14863" max="14863" width="3.85546875" style="113" customWidth="1"/>
    <col min="14864" max="14864" width="21.5703125" style="113" customWidth="1"/>
    <col min="14865" max="14874" width="8.85546875" style="113" customWidth="1"/>
    <col min="14875" max="15116" width="9.140625" style="113"/>
    <col min="15117" max="15117" width="3.85546875" style="113" customWidth="1"/>
    <col min="15118" max="15118" width="14.42578125" style="113" customWidth="1"/>
    <col min="15119" max="15119" width="3.85546875" style="113" customWidth="1"/>
    <col min="15120" max="15120" width="21.5703125" style="113" customWidth="1"/>
    <col min="15121" max="15130" width="8.85546875" style="113" customWidth="1"/>
    <col min="15131" max="15372" width="9.140625" style="113"/>
    <col min="15373" max="15373" width="3.85546875" style="113" customWidth="1"/>
    <col min="15374" max="15374" width="14.42578125" style="113" customWidth="1"/>
    <col min="15375" max="15375" width="3.85546875" style="113" customWidth="1"/>
    <col min="15376" max="15376" width="21.5703125" style="113" customWidth="1"/>
    <col min="15377" max="15386" width="8.85546875" style="113" customWidth="1"/>
    <col min="15387" max="15628" width="9.140625" style="113"/>
    <col min="15629" max="15629" width="3.85546875" style="113" customWidth="1"/>
    <col min="15630" max="15630" width="14.42578125" style="113" customWidth="1"/>
    <col min="15631" max="15631" width="3.85546875" style="113" customWidth="1"/>
    <col min="15632" max="15632" width="21.5703125" style="113" customWidth="1"/>
    <col min="15633" max="15642" width="8.85546875" style="113" customWidth="1"/>
    <col min="15643" max="15884" width="9.140625" style="113"/>
    <col min="15885" max="15885" width="3.85546875" style="113" customWidth="1"/>
    <col min="15886" max="15886" width="14.42578125" style="113" customWidth="1"/>
    <col min="15887" max="15887" width="3.85546875" style="113" customWidth="1"/>
    <col min="15888" max="15888" width="21.5703125" style="113" customWidth="1"/>
    <col min="15889" max="15898" width="8.85546875" style="113" customWidth="1"/>
    <col min="15899" max="16140" width="9.140625" style="113"/>
    <col min="16141" max="16141" width="3.85546875" style="113" customWidth="1"/>
    <col min="16142" max="16142" width="14.42578125" style="113" customWidth="1"/>
    <col min="16143" max="16143" width="3.85546875" style="113" customWidth="1"/>
    <col min="16144" max="16144" width="21.5703125" style="113" customWidth="1"/>
    <col min="16145" max="16154" width="8.85546875" style="113" customWidth="1"/>
    <col min="16155" max="16384" width="9.140625" style="113"/>
  </cols>
  <sheetData>
    <row r="1" spans="1:47" x14ac:dyDescent="0.25">
      <c r="D1" s="1137"/>
      <c r="E1" s="1137"/>
      <c r="F1" s="1137"/>
      <c r="G1" s="1137"/>
      <c r="H1" s="1137"/>
      <c r="I1" s="1137"/>
      <c r="J1" s="1137"/>
      <c r="K1" s="1137"/>
      <c r="L1" s="1137"/>
      <c r="M1" s="1137"/>
      <c r="N1" s="1137"/>
      <c r="O1" s="1137"/>
      <c r="P1" s="1137"/>
      <c r="Q1" s="1137"/>
      <c r="R1" s="1137"/>
      <c r="S1" s="1137"/>
      <c r="T1" s="1137"/>
    </row>
    <row r="2" spans="1:47" ht="14.45" customHeight="1" x14ac:dyDescent="0.25">
      <c r="A2" s="509">
        <v>1</v>
      </c>
      <c r="B2" s="509" t="s">
        <v>0</v>
      </c>
      <c r="C2" s="509">
        <v>46</v>
      </c>
      <c r="D2" s="4869" t="s">
        <v>1252</v>
      </c>
      <c r="E2" s="4870"/>
      <c r="F2" s="4870"/>
      <c r="G2" s="4870"/>
      <c r="H2" s="4870"/>
      <c r="I2" s="4870"/>
      <c r="J2" s="4870"/>
      <c r="K2" s="4870"/>
      <c r="L2" s="4870"/>
      <c r="M2" s="4870"/>
      <c r="N2" s="4870"/>
      <c r="O2" s="4870"/>
      <c r="P2" s="4870"/>
      <c r="Q2" s="4870"/>
      <c r="R2" s="4870"/>
      <c r="S2" s="4870"/>
      <c r="T2" s="4870"/>
      <c r="U2" s="4870"/>
      <c r="V2" s="4870"/>
      <c r="W2" s="4870"/>
      <c r="X2" s="4870"/>
      <c r="Y2" s="4870"/>
      <c r="Z2" s="4870"/>
      <c r="AA2" s="4870"/>
      <c r="AB2" s="4870"/>
      <c r="AC2" s="4871"/>
    </row>
    <row r="3" spans="1:47" x14ac:dyDescent="0.25">
      <c r="A3" s="509">
        <v>2</v>
      </c>
      <c r="B3" s="509" t="s">
        <v>2</v>
      </c>
      <c r="C3" s="509"/>
      <c r="D3" s="4869" t="s">
        <v>1231</v>
      </c>
      <c r="E3" s="4870"/>
      <c r="F3" s="4870"/>
      <c r="G3" s="4870"/>
      <c r="H3" s="4870"/>
      <c r="I3" s="4870"/>
      <c r="J3" s="4870"/>
      <c r="K3" s="4870"/>
      <c r="L3" s="4870"/>
      <c r="M3" s="4870"/>
      <c r="N3" s="4870"/>
      <c r="O3" s="4870"/>
      <c r="P3" s="4870"/>
      <c r="Q3" s="4870"/>
      <c r="R3" s="4870"/>
      <c r="S3" s="4870"/>
      <c r="T3" s="4870"/>
      <c r="U3" s="4870"/>
      <c r="V3" s="4870"/>
      <c r="W3" s="4870"/>
      <c r="X3" s="4870"/>
      <c r="Y3" s="4870"/>
      <c r="Z3" s="4870"/>
      <c r="AA3" s="4870"/>
      <c r="AB3" s="4870"/>
      <c r="AC3" s="4871"/>
    </row>
    <row r="4" spans="1:47" ht="19.5" customHeight="1" x14ac:dyDescent="0.25">
      <c r="A4" s="509">
        <v>3</v>
      </c>
      <c r="B4" s="509" t="s">
        <v>4</v>
      </c>
      <c r="C4" s="509"/>
      <c r="D4" s="4869" t="s">
        <v>1253</v>
      </c>
      <c r="E4" s="4870"/>
      <c r="F4" s="4870"/>
      <c r="G4" s="4870"/>
      <c r="H4" s="4870"/>
      <c r="I4" s="4870"/>
      <c r="J4" s="4870"/>
      <c r="K4" s="4870"/>
      <c r="L4" s="4870"/>
      <c r="M4" s="4870"/>
      <c r="N4" s="4870"/>
      <c r="O4" s="4870"/>
      <c r="P4" s="4870"/>
      <c r="Q4" s="4870"/>
      <c r="R4" s="4870"/>
      <c r="S4" s="4870"/>
      <c r="T4" s="4870"/>
      <c r="U4" s="4870"/>
      <c r="V4" s="4870"/>
      <c r="W4" s="4870"/>
      <c r="X4" s="4870"/>
      <c r="Y4" s="4870"/>
      <c r="Z4" s="4870"/>
      <c r="AA4" s="4870"/>
      <c r="AB4" s="4870"/>
      <c r="AC4" s="4871"/>
    </row>
    <row r="5" spans="1:47" x14ac:dyDescent="0.25">
      <c r="C5" s="509"/>
    </row>
    <row r="6" spans="1:47" x14ac:dyDescent="0.25">
      <c r="A6" s="509">
        <v>4</v>
      </c>
      <c r="B6" s="509" t="s">
        <v>6</v>
      </c>
      <c r="D6" s="72" t="s">
        <v>80</v>
      </c>
      <c r="E6" s="72" t="s">
        <v>1254</v>
      </c>
      <c r="F6" s="72"/>
      <c r="G6" s="72"/>
      <c r="H6" s="72"/>
      <c r="I6" s="72"/>
      <c r="J6" s="72"/>
      <c r="K6" s="72"/>
      <c r="L6" s="72"/>
      <c r="M6" s="1450"/>
      <c r="N6" s="1450"/>
      <c r="O6" s="1450"/>
      <c r="P6" s="1137"/>
      <c r="Q6" s="1137"/>
      <c r="R6" s="1137"/>
      <c r="S6" s="1137"/>
      <c r="T6" s="1137"/>
    </row>
    <row r="7" spans="1:47" x14ac:dyDescent="0.25">
      <c r="D7" s="88"/>
      <c r="E7" s="1193">
        <v>1999</v>
      </c>
      <c r="F7" s="1193">
        <v>2000</v>
      </c>
      <c r="G7" s="1193">
        <v>2001</v>
      </c>
      <c r="H7" s="1193">
        <v>2002</v>
      </c>
      <c r="I7" s="1308">
        <v>2003</v>
      </c>
      <c r="J7" s="1308">
        <v>2004</v>
      </c>
      <c r="K7" s="1308">
        <v>2005</v>
      </c>
      <c r="L7" s="1308">
        <v>2006</v>
      </c>
      <c r="M7" s="1308">
        <v>2007</v>
      </c>
      <c r="N7" s="1308">
        <v>2008</v>
      </c>
      <c r="O7" s="1308">
        <v>2009</v>
      </c>
      <c r="P7" s="1308">
        <v>2010</v>
      </c>
      <c r="Q7" s="1308">
        <v>2011</v>
      </c>
      <c r="R7" s="1308">
        <v>2012</v>
      </c>
      <c r="S7" s="1308">
        <v>2013</v>
      </c>
      <c r="T7" s="1308">
        <v>2014</v>
      </c>
      <c r="U7" s="2767">
        <v>2015</v>
      </c>
      <c r="V7" s="1309">
        <v>2016</v>
      </c>
      <c r="W7" s="1309">
        <v>2017</v>
      </c>
      <c r="X7" s="1309">
        <v>2018</v>
      </c>
      <c r="Y7" s="2767">
        <v>2019</v>
      </c>
      <c r="Z7" s="2772">
        <v>2020</v>
      </c>
      <c r="AA7" s="2764">
        <v>2021</v>
      </c>
      <c r="AB7" s="2772">
        <v>2022</v>
      </c>
      <c r="AC7" s="2775"/>
      <c r="AD7" s="1451"/>
      <c r="AE7" s="1310"/>
    </row>
    <row r="8" spans="1:47" x14ac:dyDescent="0.25">
      <c r="D8" s="87" t="s">
        <v>1255</v>
      </c>
      <c r="E8" s="1366">
        <v>365447</v>
      </c>
      <c r="F8" s="1366">
        <v>363343</v>
      </c>
      <c r="G8" s="1366">
        <v>354201</v>
      </c>
      <c r="H8" s="1366">
        <v>360155</v>
      </c>
      <c r="I8" s="1367">
        <v>362598</v>
      </c>
      <c r="J8" s="1367">
        <v>362042</v>
      </c>
      <c r="K8" s="1367">
        <v>382133</v>
      </c>
      <c r="L8" s="1367">
        <v>386595</v>
      </c>
      <c r="M8" s="1367">
        <v>3372</v>
      </c>
      <c r="N8" s="1367">
        <v>400953</v>
      </c>
      <c r="O8" s="1367"/>
      <c r="P8" s="1367">
        <v>389329</v>
      </c>
      <c r="Q8" s="1367">
        <v>390074</v>
      </c>
      <c r="R8" s="1367">
        <v>392377</v>
      </c>
      <c r="S8" s="1367">
        <v>391829</v>
      </c>
      <c r="T8" s="1367">
        <v>390608</v>
      </c>
      <c r="U8" s="1452">
        <v>379613</v>
      </c>
      <c r="V8" s="1367">
        <v>418611</v>
      </c>
      <c r="W8" s="1452">
        <v>433320</v>
      </c>
      <c r="X8" s="1452">
        <v>437449</v>
      </c>
      <c r="Y8" s="2768">
        <v>444857</v>
      </c>
      <c r="Z8" s="1453">
        <v>442940</v>
      </c>
      <c r="AA8" s="2765">
        <v>447123</v>
      </c>
      <c r="AB8" s="4344">
        <v>450993</v>
      </c>
      <c r="AC8" s="1454"/>
      <c r="AD8" s="1454"/>
      <c r="AE8" s="1307"/>
      <c r="AF8" s="1455"/>
    </row>
    <row r="9" spans="1:47" x14ac:dyDescent="0.25">
      <c r="D9" s="1456" t="s">
        <v>1256</v>
      </c>
      <c r="E9" s="1366">
        <v>12313899</v>
      </c>
      <c r="F9" s="1366">
        <v>11903455</v>
      </c>
      <c r="G9" s="1366">
        <v>11738126</v>
      </c>
      <c r="H9" s="1366">
        <v>11917017</v>
      </c>
      <c r="I9" s="1367">
        <v>12038922</v>
      </c>
      <c r="J9" s="1367">
        <v>12176391</v>
      </c>
      <c r="K9" s="1367">
        <v>12217765</v>
      </c>
      <c r="L9" s="1367">
        <v>12302236</v>
      </c>
      <c r="M9" s="1367">
        <v>12410501</v>
      </c>
      <c r="N9" s="1367">
        <v>12239363</v>
      </c>
      <c r="O9" s="1367">
        <v>11828747</v>
      </c>
      <c r="P9" s="1367">
        <v>11809355</v>
      </c>
      <c r="Q9" s="1367">
        <v>11804066</v>
      </c>
      <c r="R9" s="1367">
        <v>11923674</v>
      </c>
      <c r="S9" s="1367">
        <v>11975844</v>
      </c>
      <c r="T9" s="1367">
        <v>12117015</v>
      </c>
      <c r="U9" s="1452">
        <v>12248279</v>
      </c>
      <c r="V9" s="1367">
        <v>12932565</v>
      </c>
      <c r="W9" s="1452">
        <v>12892273</v>
      </c>
      <c r="X9" s="1452">
        <v>12819542</v>
      </c>
      <c r="Y9" s="2769">
        <v>13041198</v>
      </c>
      <c r="Z9" s="2773">
        <v>13216472</v>
      </c>
      <c r="AA9" s="2766">
        <v>13409249</v>
      </c>
      <c r="AB9" s="4345">
        <v>13419971</v>
      </c>
      <c r="AC9" s="1454"/>
      <c r="AD9" s="1454"/>
      <c r="AE9" s="1307"/>
    </row>
    <row r="10" spans="1:47" x14ac:dyDescent="0.25">
      <c r="D10" s="621" t="s">
        <v>1257</v>
      </c>
      <c r="E10" s="1457">
        <f t="shared" ref="E10:P10" si="0">E9/E8</f>
        <v>33.695444209420245</v>
      </c>
      <c r="F10" s="1457">
        <f t="shared" si="0"/>
        <v>32.760931131190091</v>
      </c>
      <c r="G10" s="1457">
        <f t="shared" si="0"/>
        <v>33.139731395450603</v>
      </c>
      <c r="H10" s="1457">
        <f t="shared" si="0"/>
        <v>33.088578528689034</v>
      </c>
      <c r="I10" s="1458">
        <f t="shared" si="0"/>
        <v>33.201843363725118</v>
      </c>
      <c r="J10" s="1459">
        <f t="shared" si="0"/>
        <v>33.63253710895421</v>
      </c>
      <c r="K10" s="1458">
        <f t="shared" si="0"/>
        <v>31.972546207733956</v>
      </c>
      <c r="L10" s="1458">
        <f t="shared" si="0"/>
        <v>31.822025634061486</v>
      </c>
      <c r="M10" s="1458">
        <v>9191</v>
      </c>
      <c r="N10" s="1458">
        <f t="shared" si="0"/>
        <v>30.525680067239801</v>
      </c>
      <c r="O10" s="1458"/>
      <c r="P10" s="1458">
        <f t="shared" si="0"/>
        <v>30.332585037333462</v>
      </c>
      <c r="Q10" s="1458"/>
      <c r="R10" s="1458"/>
      <c r="S10" s="1458"/>
      <c r="T10" s="1458"/>
      <c r="U10" s="1460">
        <v>32</v>
      </c>
      <c r="V10" s="1458">
        <f>(V9/V8)</f>
        <v>30.893992274450504</v>
      </c>
      <c r="W10" s="1458">
        <f>(W9/W8)</f>
        <v>29.752314686605743</v>
      </c>
      <c r="X10" s="1458">
        <v>29</v>
      </c>
      <c r="Y10" s="2770">
        <v>29.315483402531601</v>
      </c>
      <c r="Z10" s="2774">
        <v>29.838063846119113</v>
      </c>
      <c r="AA10" s="2771">
        <v>29.990067610031243</v>
      </c>
      <c r="AB10" s="4346">
        <v>30</v>
      </c>
      <c r="AC10" s="1461"/>
      <c r="AD10" s="1461"/>
      <c r="AE10" s="1462"/>
    </row>
    <row r="11" spans="1:47" x14ac:dyDescent="0.25">
      <c r="D11" s="1137"/>
      <c r="E11" s="88"/>
      <c r="F11" s="88"/>
      <c r="G11" s="88"/>
      <c r="H11" s="88"/>
      <c r="I11" s="88"/>
      <c r="J11" s="88"/>
      <c r="L11" s="88"/>
      <c r="M11" s="88"/>
      <c r="N11" s="88"/>
      <c r="O11" s="1137"/>
      <c r="P11" s="88"/>
      <c r="U11" s="3446"/>
      <c r="V11" s="1351"/>
      <c r="W11" s="1351"/>
      <c r="X11" s="1351"/>
      <c r="Y11" s="1351"/>
      <c r="Z11" s="1351"/>
      <c r="AA11" s="1351"/>
      <c r="AB11" s="1351"/>
      <c r="AC11" s="1351"/>
    </row>
    <row r="12" spans="1:47" x14ac:dyDescent="0.25">
      <c r="D12" s="1137"/>
      <c r="E12" s="88"/>
      <c r="F12" s="88"/>
      <c r="G12" s="88"/>
      <c r="H12" s="88"/>
      <c r="I12" s="88"/>
      <c r="J12" s="88"/>
      <c r="K12" s="88"/>
      <c r="L12" s="88"/>
      <c r="M12" s="88"/>
      <c r="N12" s="88"/>
      <c r="O12" s="1137"/>
      <c r="P12" s="88"/>
      <c r="Q12" s="88"/>
      <c r="R12" s="88"/>
      <c r="S12" s="88"/>
      <c r="T12" s="88"/>
      <c r="U12" s="1351"/>
      <c r="V12" s="1351"/>
      <c r="W12" s="1351"/>
      <c r="X12" s="1351"/>
      <c r="Y12" s="1351"/>
      <c r="Z12" s="1351"/>
      <c r="AA12" s="1351"/>
      <c r="AB12" s="1351"/>
      <c r="AC12" s="1351"/>
    </row>
    <row r="13" spans="1:47" ht="14.25" customHeight="1" x14ac:dyDescent="0.25">
      <c r="B13" s="509"/>
      <c r="D13" s="72" t="s">
        <v>267</v>
      </c>
      <c r="E13" s="72" t="s">
        <v>1258</v>
      </c>
      <c r="F13" s="1463"/>
      <c r="G13" s="1463"/>
      <c r="H13" s="1463"/>
      <c r="I13" s="1463"/>
      <c r="J13" s="1463"/>
      <c r="K13" s="1463"/>
      <c r="L13" s="88"/>
      <c r="M13" s="72" t="s">
        <v>656</v>
      </c>
      <c r="N13" s="72" t="s">
        <v>1259</v>
      </c>
      <c r="O13" s="1463"/>
      <c r="P13" s="1463"/>
      <c r="Q13" s="1463"/>
      <c r="R13" s="1463"/>
      <c r="S13" s="1463"/>
      <c r="T13" s="1463"/>
      <c r="U13" s="1351"/>
      <c r="V13" s="72" t="s">
        <v>663</v>
      </c>
      <c r="W13" s="72" t="s">
        <v>1260</v>
      </c>
      <c r="X13" s="1463"/>
      <c r="Y13" s="1463"/>
      <c r="Z13" s="1463"/>
      <c r="AA13" s="1463"/>
      <c r="AB13" s="1463"/>
      <c r="AC13" s="1463"/>
      <c r="AD13" s="1207"/>
      <c r="AE13" s="72" t="s">
        <v>697</v>
      </c>
      <c r="AF13" s="72" t="s">
        <v>1261</v>
      </c>
      <c r="AG13" s="1463"/>
      <c r="AH13" s="1463"/>
      <c r="AI13" s="1463"/>
      <c r="AJ13" s="1463"/>
      <c r="AK13" s="1463"/>
      <c r="AL13" s="1463"/>
      <c r="AN13" s="72" t="s">
        <v>1262</v>
      </c>
      <c r="AO13" s="72" t="s">
        <v>1263</v>
      </c>
      <c r="AP13" s="1463"/>
      <c r="AQ13" s="1463"/>
      <c r="AR13" s="1463"/>
      <c r="AS13" s="1463"/>
      <c r="AT13" s="1463"/>
      <c r="AU13" s="1463"/>
    </row>
    <row r="14" spans="1:47" ht="33.75" x14ac:dyDescent="0.25">
      <c r="D14" s="2796" t="s">
        <v>655</v>
      </c>
      <c r="E14" s="1465" t="s">
        <v>1256</v>
      </c>
      <c r="F14" s="1466" t="s">
        <v>1264</v>
      </c>
      <c r="G14" s="1467" t="s">
        <v>1265</v>
      </c>
      <c r="H14" s="1468" t="s">
        <v>1264</v>
      </c>
      <c r="I14" s="1467" t="s">
        <v>1266</v>
      </c>
      <c r="J14" s="1468" t="s">
        <v>1264</v>
      </c>
      <c r="K14" s="1469" t="s">
        <v>1257</v>
      </c>
      <c r="L14" s="88"/>
      <c r="M14" s="2797" t="s">
        <v>655</v>
      </c>
      <c r="N14" s="1465" t="s">
        <v>1256</v>
      </c>
      <c r="O14" s="1466" t="s">
        <v>1264</v>
      </c>
      <c r="P14" s="1467" t="s">
        <v>1265</v>
      </c>
      <c r="Q14" s="1468" t="s">
        <v>1264</v>
      </c>
      <c r="R14" s="1467" t="s">
        <v>1266</v>
      </c>
      <c r="S14" s="1468" t="s">
        <v>1264</v>
      </c>
      <c r="T14" s="1469" t="s">
        <v>1257</v>
      </c>
      <c r="U14" s="1351"/>
      <c r="V14" s="2797" t="s">
        <v>655</v>
      </c>
      <c r="W14" s="1465" t="s">
        <v>1256</v>
      </c>
      <c r="X14" s="1466" t="s">
        <v>1264</v>
      </c>
      <c r="Y14" s="1467" t="s">
        <v>1265</v>
      </c>
      <c r="Z14" s="1468" t="s">
        <v>1264</v>
      </c>
      <c r="AA14" s="1467" t="s">
        <v>1266</v>
      </c>
      <c r="AB14" s="1468" t="s">
        <v>1264</v>
      </c>
      <c r="AC14" s="1469" t="s">
        <v>1257</v>
      </c>
      <c r="AE14" s="2797" t="s">
        <v>655</v>
      </c>
      <c r="AF14" s="1465" t="s">
        <v>1256</v>
      </c>
      <c r="AG14" s="1466" t="s">
        <v>1264</v>
      </c>
      <c r="AH14" s="1467" t="s">
        <v>1265</v>
      </c>
      <c r="AI14" s="1468" t="s">
        <v>1264</v>
      </c>
      <c r="AJ14" s="1467" t="s">
        <v>1266</v>
      </c>
      <c r="AK14" s="1468" t="s">
        <v>1264</v>
      </c>
      <c r="AL14" s="1469" t="s">
        <v>1257</v>
      </c>
      <c r="AN14" s="1464"/>
      <c r="AO14" s="1465" t="s">
        <v>1256</v>
      </c>
      <c r="AP14" s="1466" t="s">
        <v>1264</v>
      </c>
      <c r="AQ14" s="1467" t="s">
        <v>1265</v>
      </c>
      <c r="AR14" s="1468" t="s">
        <v>1264</v>
      </c>
      <c r="AS14" s="1467" t="s">
        <v>1266</v>
      </c>
      <c r="AT14" s="1468" t="s">
        <v>1264</v>
      </c>
      <c r="AU14" s="1469" t="s">
        <v>1257</v>
      </c>
    </row>
    <row r="15" spans="1:47" ht="23.25" x14ac:dyDescent="0.25">
      <c r="D15" s="1207" t="s">
        <v>276</v>
      </c>
      <c r="E15" s="1470">
        <v>1953397</v>
      </c>
      <c r="F15" s="1471">
        <f t="shared" ref="F15:F23" si="1">+E15/$E$24</f>
        <v>0.15948338538010115</v>
      </c>
      <c r="G15" s="954">
        <v>64256</v>
      </c>
      <c r="H15" s="1472">
        <f t="shared" ref="H15:H20" si="2">+G15/$G$24</f>
        <v>0.16926712204271191</v>
      </c>
      <c r="I15" s="954">
        <v>5727</v>
      </c>
      <c r="J15" s="1472">
        <f t="shared" ref="J15:J23" si="3">+I15/$I$24</f>
        <v>0.23957331102279858</v>
      </c>
      <c r="K15" s="1473">
        <f>+E15/G15</f>
        <v>30.400227216135459</v>
      </c>
      <c r="L15" s="88"/>
      <c r="M15" s="1207" t="s">
        <v>276</v>
      </c>
      <c r="N15" s="1470">
        <v>1961547</v>
      </c>
      <c r="O15" s="1471">
        <f t="shared" ref="O15:O20" si="4">+N15/$N$24</f>
        <v>0.15167501574513639</v>
      </c>
      <c r="P15" s="954">
        <v>61629</v>
      </c>
      <c r="Q15" s="1472">
        <f t="shared" ref="Q15:Q20" si="5">+P15/$P$24</f>
        <v>0.1472226004572264</v>
      </c>
      <c r="R15" s="954">
        <v>5727</v>
      </c>
      <c r="S15" s="1472">
        <f>+R15/$R$24</f>
        <v>0.22291853178155774</v>
      </c>
      <c r="T15" s="1473">
        <f>+N15/P15</f>
        <v>31.828311346930828</v>
      </c>
      <c r="U15" s="1351"/>
      <c r="V15" s="1207" t="s">
        <v>276</v>
      </c>
      <c r="W15" s="1470">
        <v>1795563</v>
      </c>
      <c r="X15" s="1471">
        <f t="shared" ref="X15:X20" si="6">+W15/$W$24</f>
        <v>0.13927435449125225</v>
      </c>
      <c r="Y15" s="954">
        <v>63459</v>
      </c>
      <c r="Z15" s="1472">
        <f t="shared" ref="Z15:Z20" si="7">+Y15/$Y$24</f>
        <v>0.14644835225699251</v>
      </c>
      <c r="AA15" s="954">
        <v>5569</v>
      </c>
      <c r="AB15" s="1472">
        <f t="shared" ref="AB15:AB22" si="8">+AA15/$AA$24</f>
        <v>0.2161711047278938</v>
      </c>
      <c r="AC15" s="1473">
        <f>+W15/Y15</f>
        <v>28.294851794071764</v>
      </c>
      <c r="AE15" s="1207" t="s">
        <v>276</v>
      </c>
      <c r="AF15" s="1470">
        <v>1840780</v>
      </c>
      <c r="AG15" s="1475">
        <v>0.14399999999999999</v>
      </c>
      <c r="AH15" s="954">
        <v>62613</v>
      </c>
      <c r="AI15" s="1474">
        <v>0.14299999999999999</v>
      </c>
      <c r="AJ15" s="954">
        <v>5409</v>
      </c>
      <c r="AK15" s="1474">
        <v>0.215</v>
      </c>
      <c r="AL15" s="1473">
        <f>+AF15/AH15</f>
        <v>29.399326018558448</v>
      </c>
      <c r="AN15" s="1207" t="s">
        <v>276</v>
      </c>
      <c r="AO15" s="1470">
        <v>1843814</v>
      </c>
      <c r="AP15" s="1475">
        <f>AO15/AO24</f>
        <v>0.14138379004750945</v>
      </c>
      <c r="AQ15" s="954">
        <v>64273</v>
      </c>
      <c r="AR15" s="1474">
        <f>AQ15/$AQ$24</f>
        <v>0.14448013631346701</v>
      </c>
      <c r="AS15" s="954">
        <v>5430</v>
      </c>
      <c r="AT15" s="1474">
        <f>AS15/$AS$24</f>
        <v>0.2172173773901912</v>
      </c>
      <c r="AU15" s="1473">
        <f t="shared" ref="AU15:AU24" si="9">AO15/AQ15</f>
        <v>28.687224806683989</v>
      </c>
    </row>
    <row r="16" spans="1:47" x14ac:dyDescent="0.25">
      <c r="D16" s="1207" t="s">
        <v>277</v>
      </c>
      <c r="E16" s="1470">
        <v>682704</v>
      </c>
      <c r="F16" s="1471">
        <f t="shared" si="1"/>
        <v>5.5738769503862542E-2</v>
      </c>
      <c r="G16" s="954">
        <v>23661</v>
      </c>
      <c r="H16" s="1472">
        <f t="shared" si="2"/>
        <v>6.2329266911301771E-2</v>
      </c>
      <c r="I16" s="954">
        <v>1332</v>
      </c>
      <c r="J16" s="1472">
        <f t="shared" si="3"/>
        <v>5.5720560552185737E-2</v>
      </c>
      <c r="K16" s="1473">
        <f t="shared" ref="K16:K23" si="10">+E16/G16</f>
        <v>28.85355648535565</v>
      </c>
      <c r="L16" s="88"/>
      <c r="M16" s="1207" t="s">
        <v>277</v>
      </c>
      <c r="N16" s="1470">
        <v>688349</v>
      </c>
      <c r="O16" s="1471">
        <f t="shared" si="4"/>
        <v>5.322602283460396E-2</v>
      </c>
      <c r="P16" s="954">
        <v>23523</v>
      </c>
      <c r="Q16" s="1472">
        <f t="shared" si="5"/>
        <v>5.6192981073120388E-2</v>
      </c>
      <c r="R16" s="954">
        <v>1332</v>
      </c>
      <c r="S16" s="1472">
        <f t="shared" ref="S16:S22" si="11">+R16/$R$24</f>
        <v>5.1846950293877231E-2</v>
      </c>
      <c r="T16" s="1473">
        <f t="shared" ref="T16:T23" si="12">+N16/P16</f>
        <v>29.262806614802535</v>
      </c>
      <c r="U16" s="1351"/>
      <c r="V16" s="1207" t="s">
        <v>277</v>
      </c>
      <c r="W16" s="1470">
        <v>701487</v>
      </c>
      <c r="X16" s="1471">
        <f t="shared" si="6"/>
        <v>5.4411429233619239E-2</v>
      </c>
      <c r="Y16" s="954">
        <v>23590</v>
      </c>
      <c r="Z16" s="1472">
        <f t="shared" si="7"/>
        <v>5.4440136619588297E-2</v>
      </c>
      <c r="AA16" s="954">
        <v>1255</v>
      </c>
      <c r="AB16" s="1472">
        <f t="shared" si="8"/>
        <v>4.8715161866314728E-2</v>
      </c>
      <c r="AC16" s="1473">
        <f t="shared" ref="AC16:AC24" si="13">+W16/Y16</f>
        <v>29.736625688851209</v>
      </c>
      <c r="AE16" s="1207" t="s">
        <v>277</v>
      </c>
      <c r="AF16" s="1470">
        <v>707166</v>
      </c>
      <c r="AG16" s="1475">
        <v>5.5E-2</v>
      </c>
      <c r="AH16" s="954">
        <v>23741</v>
      </c>
      <c r="AI16" s="1474">
        <v>5.3999999999999999E-2</v>
      </c>
      <c r="AJ16" s="954">
        <v>1187</v>
      </c>
      <c r="AK16" s="1474">
        <v>4.7E-2</v>
      </c>
      <c r="AL16" s="1473">
        <f>+AF16/AH16</f>
        <v>29.786698117181249</v>
      </c>
      <c r="AN16" s="1207" t="s">
        <v>277</v>
      </c>
      <c r="AO16" s="1470">
        <v>716080</v>
      </c>
      <c r="AP16" s="1475">
        <f>AO16/$AO$24</f>
        <v>5.4909065869561985E-2</v>
      </c>
      <c r="AQ16" s="954">
        <v>24027</v>
      </c>
      <c r="AR16" s="1474">
        <f t="shared" ref="AR16:AR23" si="14">AQ16/$AQ$24</f>
        <v>5.4010614646953968E-2</v>
      </c>
      <c r="AS16" s="954">
        <v>1156</v>
      </c>
      <c r="AT16" s="1474">
        <f t="shared" ref="AT16:AT24" si="15">AS16/$AS$24</f>
        <v>4.6243699495959675E-2</v>
      </c>
      <c r="AU16" s="1473">
        <f t="shared" si="9"/>
        <v>29.803138136263371</v>
      </c>
    </row>
    <row r="17" spans="1:47" x14ac:dyDescent="0.25">
      <c r="D17" s="1207" t="s">
        <v>278</v>
      </c>
      <c r="E17" s="1470">
        <v>2262319</v>
      </c>
      <c r="F17" s="1471">
        <f t="shared" si="1"/>
        <v>0.18470505121576672</v>
      </c>
      <c r="G17" s="954">
        <v>79354</v>
      </c>
      <c r="H17" s="1472">
        <f t="shared" si="2"/>
        <v>0.20903920571740167</v>
      </c>
      <c r="I17" s="954">
        <v>2780</v>
      </c>
      <c r="J17" s="1472">
        <f t="shared" si="3"/>
        <v>0.11629366241372098</v>
      </c>
      <c r="K17" s="1473">
        <f t="shared" si="10"/>
        <v>28.509199284220077</v>
      </c>
      <c r="L17" s="88"/>
      <c r="M17" s="1207" t="s">
        <v>278</v>
      </c>
      <c r="N17" s="1470">
        <v>2326584</v>
      </c>
      <c r="O17" s="1471">
        <f t="shared" si="4"/>
        <v>0.17990120289362552</v>
      </c>
      <c r="P17" s="954">
        <v>82078</v>
      </c>
      <c r="Q17" s="1472">
        <f t="shared" si="5"/>
        <v>0.19607224845978724</v>
      </c>
      <c r="R17" s="954">
        <v>2780</v>
      </c>
      <c r="S17" s="1472">
        <f t="shared" si="11"/>
        <v>0.10820910046319723</v>
      </c>
      <c r="T17" s="1473">
        <f t="shared" si="12"/>
        <v>28.346012329735132</v>
      </c>
      <c r="U17" s="1351"/>
      <c r="V17" s="1207" t="s">
        <v>278</v>
      </c>
      <c r="W17" s="1470">
        <v>2413225</v>
      </c>
      <c r="X17" s="1471">
        <f t="shared" si="6"/>
        <v>0.18718382708774473</v>
      </c>
      <c r="Y17" s="954">
        <v>88599</v>
      </c>
      <c r="Z17" s="1472">
        <f t="shared" si="7"/>
        <v>0.20446552201606202</v>
      </c>
      <c r="AA17" s="954">
        <v>3067</v>
      </c>
      <c r="AB17" s="1472">
        <f t="shared" si="8"/>
        <v>0.11905131589162332</v>
      </c>
      <c r="AC17" s="1473">
        <f t="shared" si="13"/>
        <v>27.237609905303671</v>
      </c>
      <c r="AE17" s="1207" t="s">
        <v>278</v>
      </c>
      <c r="AF17" s="1470">
        <v>2402576</v>
      </c>
      <c r="AG17" s="1475">
        <v>0.187</v>
      </c>
      <c r="AH17" s="954">
        <v>89242</v>
      </c>
      <c r="AI17" s="1474">
        <v>0.20399999999999999</v>
      </c>
      <c r="AJ17" s="954">
        <v>2836</v>
      </c>
      <c r="AK17" s="1474">
        <v>0.113</v>
      </c>
      <c r="AL17" s="1473">
        <f t="shared" ref="AL17:AL23" si="16">+AF17/AH17</f>
        <v>26.922032226978327</v>
      </c>
      <c r="AN17" s="1207" t="s">
        <v>278</v>
      </c>
      <c r="AO17" s="1470">
        <v>2447377</v>
      </c>
      <c r="AP17" s="1475">
        <f t="shared" ref="AP17:AP24" si="17">AO17/$AO$24</f>
        <v>0.1876650442697059</v>
      </c>
      <c r="AQ17" s="954">
        <v>87728</v>
      </c>
      <c r="AR17" s="1474">
        <f t="shared" si="14"/>
        <v>0.19720494451025836</v>
      </c>
      <c r="AS17" s="954">
        <v>2813</v>
      </c>
      <c r="AT17" s="1474">
        <f t="shared" si="15"/>
        <v>0.11252900232018562</v>
      </c>
      <c r="AU17" s="1473">
        <f t="shared" si="9"/>
        <v>27.897330384825825</v>
      </c>
    </row>
    <row r="18" spans="1:47" ht="23.25" x14ac:dyDescent="0.25">
      <c r="D18" s="1207" t="s">
        <v>641</v>
      </c>
      <c r="E18" s="1470">
        <v>2881518</v>
      </c>
      <c r="F18" s="1471">
        <f t="shared" si="1"/>
        <v>0.23525901067407104</v>
      </c>
      <c r="G18" s="954">
        <v>86493</v>
      </c>
      <c r="H18" s="1472">
        <f t="shared" si="2"/>
        <v>0.22784520024340579</v>
      </c>
      <c r="I18" s="954">
        <v>6137</v>
      </c>
      <c r="J18" s="1472">
        <f t="shared" si="3"/>
        <v>0.2567245346161891</v>
      </c>
      <c r="K18" s="1473">
        <f t="shared" si="10"/>
        <v>33.315042835836429</v>
      </c>
      <c r="L18" s="88"/>
      <c r="M18" s="1207" t="s">
        <v>641</v>
      </c>
      <c r="N18" s="1470">
        <v>2877544</v>
      </c>
      <c r="O18" s="1471">
        <f t="shared" si="4"/>
        <v>0.22250373379140179</v>
      </c>
      <c r="P18" s="954">
        <v>89799</v>
      </c>
      <c r="Q18" s="1472">
        <f t="shared" si="5"/>
        <v>0.21451657983187256</v>
      </c>
      <c r="R18" s="954">
        <v>6137</v>
      </c>
      <c r="S18" s="1472">
        <f t="shared" si="11"/>
        <v>0.23887742789303648</v>
      </c>
      <c r="T18" s="1473">
        <f t="shared" si="12"/>
        <v>32.044276662323632</v>
      </c>
      <c r="U18" s="1351"/>
      <c r="V18" s="1207" t="s">
        <v>641</v>
      </c>
      <c r="W18" s="1470">
        <v>2863316</v>
      </c>
      <c r="X18" s="1471">
        <f t="shared" si="6"/>
        <v>0.22209551411143713</v>
      </c>
      <c r="Y18" s="954">
        <v>93340</v>
      </c>
      <c r="Z18" s="1472">
        <f t="shared" si="7"/>
        <v>0.21540662789624296</v>
      </c>
      <c r="AA18" s="954">
        <v>6099</v>
      </c>
      <c r="AB18" s="1472">
        <f t="shared" si="8"/>
        <v>0.23674404161167611</v>
      </c>
      <c r="AC18" s="1473">
        <f t="shared" si="13"/>
        <v>30.676194557531606</v>
      </c>
      <c r="AE18" s="1207" t="s">
        <v>641</v>
      </c>
      <c r="AF18" s="1470">
        <v>2821221</v>
      </c>
      <c r="AG18" s="1475">
        <v>0.22</v>
      </c>
      <c r="AH18" s="954">
        <v>93878</v>
      </c>
      <c r="AI18" s="1474">
        <v>0.215</v>
      </c>
      <c r="AJ18" s="954">
        <v>6038</v>
      </c>
      <c r="AK18" s="1474">
        <v>0.24</v>
      </c>
      <c r="AL18" s="1473">
        <f t="shared" si="16"/>
        <v>30.051993012207333</v>
      </c>
      <c r="AN18" s="1207" t="s">
        <v>641</v>
      </c>
      <c r="AO18" s="1470">
        <v>2844764</v>
      </c>
      <c r="AP18" s="1475">
        <f t="shared" si="17"/>
        <v>0.21813670799262461</v>
      </c>
      <c r="AQ18" s="954">
        <v>97563</v>
      </c>
      <c r="AR18" s="1474">
        <f t="shared" si="14"/>
        <v>0.2193131725475827</v>
      </c>
      <c r="AS18" s="954">
        <v>6036</v>
      </c>
      <c r="AT18" s="1474">
        <f t="shared" si="15"/>
        <v>0.24145931674533963</v>
      </c>
      <c r="AU18" s="1473">
        <f t="shared" si="9"/>
        <v>29.158225966811187</v>
      </c>
    </row>
    <row r="19" spans="1:47" x14ac:dyDescent="0.25">
      <c r="D19" s="1207" t="s">
        <v>280</v>
      </c>
      <c r="E19" s="1470">
        <v>1753734</v>
      </c>
      <c r="F19" s="1471">
        <f t="shared" si="1"/>
        <v>0.14318207480414188</v>
      </c>
      <c r="G19" s="954">
        <v>55930</v>
      </c>
      <c r="H19" s="1472">
        <f t="shared" si="2"/>
        <v>0.14733425883728957</v>
      </c>
      <c r="I19" s="954">
        <v>4045</v>
      </c>
      <c r="J19" s="1472">
        <f t="shared" si="3"/>
        <v>0.1692114620372307</v>
      </c>
      <c r="K19" s="1473">
        <f t="shared" si="10"/>
        <v>31.355873413195066</v>
      </c>
      <c r="L19" s="88"/>
      <c r="M19" s="1207" t="s">
        <v>280</v>
      </c>
      <c r="N19" s="1470">
        <v>1765555</v>
      </c>
      <c r="O19" s="1471">
        <f t="shared" si="4"/>
        <v>0.13652009481491104</v>
      </c>
      <c r="P19" s="954">
        <v>54418</v>
      </c>
      <c r="Q19" s="1472">
        <f t="shared" si="5"/>
        <v>0.12999658394069913</v>
      </c>
      <c r="R19" s="954">
        <v>4045</v>
      </c>
      <c r="S19" s="1472">
        <f t="shared" si="11"/>
        <v>0.15744813358763771</v>
      </c>
      <c r="T19" s="1473">
        <f t="shared" si="12"/>
        <v>32.44431989415267</v>
      </c>
      <c r="U19" s="1351"/>
      <c r="V19" s="1207" t="s">
        <v>280</v>
      </c>
      <c r="W19" s="1470">
        <v>1776467</v>
      </c>
      <c r="X19" s="1471">
        <f t="shared" si="6"/>
        <v>0.13779315718803037</v>
      </c>
      <c r="Y19" s="954">
        <v>53736</v>
      </c>
      <c r="Z19" s="1472">
        <f t="shared" si="7"/>
        <v>0.12400996953752423</v>
      </c>
      <c r="AA19" s="954">
        <v>4025</v>
      </c>
      <c r="AB19" s="1472">
        <f t="shared" si="8"/>
        <v>0.15623786973061099</v>
      </c>
      <c r="AC19" s="1473">
        <f t="shared" si="13"/>
        <v>33.059159595057316</v>
      </c>
      <c r="AE19" s="1207" t="s">
        <v>280</v>
      </c>
      <c r="AF19" s="1470">
        <v>1724791</v>
      </c>
      <c r="AG19" s="1475">
        <v>0.13500000000000001</v>
      </c>
      <c r="AH19" s="954">
        <v>54729</v>
      </c>
      <c r="AI19" s="1474">
        <v>0.125</v>
      </c>
      <c r="AJ19" s="954">
        <v>4006</v>
      </c>
      <c r="AK19" s="1474">
        <v>0.159</v>
      </c>
      <c r="AL19" s="1473">
        <f t="shared" si="16"/>
        <v>31.515119954685815</v>
      </c>
      <c r="AN19" s="1207" t="s">
        <v>280</v>
      </c>
      <c r="AO19" s="1470">
        <v>1753819</v>
      </c>
      <c r="AP19" s="1475">
        <f t="shared" si="17"/>
        <v>0.13448296697895393</v>
      </c>
      <c r="AQ19" s="954">
        <v>54019</v>
      </c>
      <c r="AR19" s="1474">
        <f t="shared" si="14"/>
        <v>0.1214300325722648</v>
      </c>
      <c r="AS19" s="954">
        <v>3931</v>
      </c>
      <c r="AT19" s="1474">
        <f t="shared" si="15"/>
        <v>0.15725258020641653</v>
      </c>
      <c r="AU19" s="1473">
        <f t="shared" si="9"/>
        <v>32.466706158944078</v>
      </c>
    </row>
    <row r="20" spans="1:47" ht="23.25" x14ac:dyDescent="0.25">
      <c r="D20" s="1207" t="s">
        <v>281</v>
      </c>
      <c r="E20" s="1470">
        <v>1079280</v>
      </c>
      <c r="F20" s="1471">
        <f t="shared" si="1"/>
        <v>8.8116869316905669E-2</v>
      </c>
      <c r="G20" s="954">
        <v>35153</v>
      </c>
      <c r="H20" s="1472">
        <f t="shared" si="2"/>
        <v>9.2602202769662786E-2</v>
      </c>
      <c r="I20" s="954">
        <v>1862</v>
      </c>
      <c r="J20" s="1472">
        <f t="shared" si="3"/>
        <v>7.7891654465592972E-2</v>
      </c>
      <c r="K20" s="1473">
        <f t="shared" si="10"/>
        <v>30.702358262452705</v>
      </c>
      <c r="L20" s="88"/>
      <c r="M20" s="1207" t="s">
        <v>281</v>
      </c>
      <c r="N20" s="1470">
        <v>1074352</v>
      </c>
      <c r="O20" s="1471">
        <f t="shared" si="4"/>
        <v>8.3073388767038861E-2</v>
      </c>
      <c r="P20" s="954">
        <v>34404</v>
      </c>
      <c r="Q20" s="1472">
        <f t="shared" si="5"/>
        <v>8.2186086844349526E-2</v>
      </c>
      <c r="R20" s="954">
        <v>1862</v>
      </c>
      <c r="S20" s="1472">
        <f t="shared" si="11"/>
        <v>7.2476742828227789E-2</v>
      </c>
      <c r="T20" s="1473">
        <f t="shared" si="12"/>
        <v>31.227531682362518</v>
      </c>
      <c r="U20" s="1351"/>
      <c r="V20" s="1207" t="s">
        <v>281</v>
      </c>
      <c r="W20" s="1470">
        <v>1096428</v>
      </c>
      <c r="X20" s="1471">
        <f t="shared" si="6"/>
        <v>8.5045360116094343E-2</v>
      </c>
      <c r="Y20" s="954">
        <v>34546</v>
      </c>
      <c r="Z20" s="1472">
        <f t="shared" si="7"/>
        <v>7.9723991507430994E-2</v>
      </c>
      <c r="AA20" s="954">
        <v>1836</v>
      </c>
      <c r="AB20" s="1472">
        <f t="shared" si="8"/>
        <v>7.1267758714385523E-2</v>
      </c>
      <c r="AC20" s="1473">
        <f t="shared" si="13"/>
        <v>31.738204133618943</v>
      </c>
      <c r="AE20" s="1207" t="s">
        <v>281</v>
      </c>
      <c r="AF20" s="1470">
        <v>1045972</v>
      </c>
      <c r="AG20" s="1475">
        <v>8.2000000000000003E-2</v>
      </c>
      <c r="AH20" s="954">
        <v>34825</v>
      </c>
      <c r="AI20" s="1474">
        <v>0.08</v>
      </c>
      <c r="AJ20" s="954">
        <v>1863</v>
      </c>
      <c r="AK20" s="1474">
        <v>7.3999999999999996E-2</v>
      </c>
      <c r="AL20" s="1473">
        <f t="shared" si="16"/>
        <v>30.035089734386215</v>
      </c>
      <c r="AN20" s="1207" t="s">
        <v>281</v>
      </c>
      <c r="AO20" s="1470">
        <v>1094941</v>
      </c>
      <c r="AP20" s="1475">
        <f t="shared" si="17"/>
        <v>8.3960154580890498E-2</v>
      </c>
      <c r="AQ20" s="954">
        <v>36979</v>
      </c>
      <c r="AR20" s="1474">
        <f t="shared" si="14"/>
        <v>8.3125588672314926E-2</v>
      </c>
      <c r="AS20" s="954">
        <v>1795</v>
      </c>
      <c r="AT20" s="1474">
        <f t="shared" si="15"/>
        <v>7.1805744459556758E-2</v>
      </c>
      <c r="AU20" s="1473">
        <f t="shared" si="9"/>
        <v>29.609805565320858</v>
      </c>
    </row>
    <row r="21" spans="1:47" ht="23.25" x14ac:dyDescent="0.25">
      <c r="D21" s="1207" t="s">
        <v>283</v>
      </c>
      <c r="E21" s="1476">
        <v>290139</v>
      </c>
      <c r="F21" s="1477">
        <f t="shared" si="1"/>
        <v>2.3688144269084662E-2</v>
      </c>
      <c r="G21" s="954">
        <v>9162</v>
      </c>
      <c r="H21" s="1472">
        <f>+G22/$G$24</f>
        <v>6.6188460353043752E-2</v>
      </c>
      <c r="I21" s="954">
        <v>581</v>
      </c>
      <c r="J21" s="1472">
        <f t="shared" si="3"/>
        <v>2.4304538799414348E-2</v>
      </c>
      <c r="K21" s="1473">
        <f t="shared" si="10"/>
        <v>31.667648984937788</v>
      </c>
      <c r="M21" s="1207" t="s">
        <v>283</v>
      </c>
      <c r="N21" s="1476">
        <v>292595</v>
      </c>
      <c r="O21" s="1471">
        <f>+N22/$N$24</f>
        <v>6.4137856643287694E-2</v>
      </c>
      <c r="P21" s="954">
        <v>9179</v>
      </c>
      <c r="Q21" s="1472">
        <f>+P22/$P$24</f>
        <v>6.2265444529646857E-2</v>
      </c>
      <c r="R21" s="954">
        <v>1544</v>
      </c>
      <c r="S21" s="1472">
        <f t="shared" si="11"/>
        <v>6.0098867307617453E-2</v>
      </c>
      <c r="T21" s="1473">
        <f t="shared" si="12"/>
        <v>31.876566074735809</v>
      </c>
      <c r="U21" s="1351"/>
      <c r="V21" s="1207" t="s">
        <v>283</v>
      </c>
      <c r="W21" s="1476">
        <v>292377</v>
      </c>
      <c r="X21" s="1471">
        <f>+W22/$W$24</f>
        <v>6.4052010068356452E-2</v>
      </c>
      <c r="Y21" s="954">
        <v>10233</v>
      </c>
      <c r="Z21" s="1472">
        <f>+Y22/$Y$24</f>
        <v>6.5152773931505578E-2</v>
      </c>
      <c r="AA21" s="954">
        <v>1556</v>
      </c>
      <c r="AB21" s="1472">
        <f t="shared" si="8"/>
        <v>6.0399037341821289E-2</v>
      </c>
      <c r="AC21" s="1473">
        <f t="shared" si="13"/>
        <v>28.571973028437409</v>
      </c>
      <c r="AE21" s="1207" t="s">
        <v>283</v>
      </c>
      <c r="AF21" s="1476">
        <v>295339</v>
      </c>
      <c r="AG21" s="1475">
        <v>2.3E-2</v>
      </c>
      <c r="AH21" s="954">
        <v>10603</v>
      </c>
      <c r="AI21" s="1474">
        <v>2.4E-2</v>
      </c>
      <c r="AJ21" s="954">
        <v>582</v>
      </c>
      <c r="AK21" s="1474">
        <v>2.3E-2</v>
      </c>
      <c r="AL21" s="1473">
        <f t="shared" si="16"/>
        <v>27.854286522682258</v>
      </c>
      <c r="AN21" s="1207" t="s">
        <v>283</v>
      </c>
      <c r="AO21" s="1476">
        <v>298888</v>
      </c>
      <c r="AP21" s="1475">
        <f t="shared" si="17"/>
        <v>2.2918753323122616E-2</v>
      </c>
      <c r="AQ21" s="954">
        <v>10653</v>
      </c>
      <c r="AR21" s="1474">
        <f t="shared" si="14"/>
        <v>2.3947021177591902E-2</v>
      </c>
      <c r="AS21" s="954">
        <v>583</v>
      </c>
      <c r="AT21" s="1474">
        <f t="shared" si="15"/>
        <v>2.3321865749259939E-2</v>
      </c>
      <c r="AU21" s="1473">
        <f t="shared" si="9"/>
        <v>28.056697643856189</v>
      </c>
    </row>
    <row r="22" spans="1:47" x14ac:dyDescent="0.25">
      <c r="D22" s="1207" t="s">
        <v>282</v>
      </c>
      <c r="E22" s="1476">
        <v>813873</v>
      </c>
      <c r="F22" s="1477">
        <f t="shared" si="1"/>
        <v>6.6447947503481916E-2</v>
      </c>
      <c r="G22" s="954">
        <v>25126</v>
      </c>
      <c r="H22" s="1472">
        <f>+G21/$G$24</f>
        <v>2.4135106015863526E-2</v>
      </c>
      <c r="I22" s="954">
        <v>1544</v>
      </c>
      <c r="J22" s="1472">
        <f t="shared" si="3"/>
        <v>6.4588998117548632E-2</v>
      </c>
      <c r="K22" s="1473">
        <f t="shared" si="10"/>
        <v>32.391666003343154</v>
      </c>
      <c r="M22" s="1207" t="s">
        <v>282</v>
      </c>
      <c r="N22" s="1476">
        <v>829467</v>
      </c>
      <c r="O22" s="1471">
        <f>+N21/$N$24</f>
        <v>2.2624668810866212E-2</v>
      </c>
      <c r="P22" s="954">
        <v>26065</v>
      </c>
      <c r="Q22" s="1472">
        <f>+P21/$P$24</f>
        <v>2.1927278547386474E-2</v>
      </c>
      <c r="R22" s="954">
        <v>581</v>
      </c>
      <c r="S22" s="1472">
        <f t="shared" si="11"/>
        <v>2.2614923514071076E-2</v>
      </c>
      <c r="T22" s="1473">
        <f t="shared" si="12"/>
        <v>31.823019374640321</v>
      </c>
      <c r="U22" s="1351"/>
      <c r="V22" s="1207" t="s">
        <v>282</v>
      </c>
      <c r="W22" s="1476">
        <v>825776</v>
      </c>
      <c r="X22" s="1471">
        <f>+W21/$W$24</f>
        <v>2.2678467947428664E-2</v>
      </c>
      <c r="Y22" s="954">
        <v>28232</v>
      </c>
      <c r="Z22" s="1472">
        <f>+Y21/$Y$24</f>
        <v>2.3615342010523399E-2</v>
      </c>
      <c r="AA22" s="954">
        <v>579</v>
      </c>
      <c r="AB22" s="1472">
        <f t="shared" si="8"/>
        <v>2.2474963123981059E-2</v>
      </c>
      <c r="AC22" s="1473">
        <f t="shared" si="13"/>
        <v>29.249645792009069</v>
      </c>
      <c r="AE22" s="1207" t="s">
        <v>282</v>
      </c>
      <c r="AF22" s="1476">
        <v>840640</v>
      </c>
      <c r="AG22" s="1475">
        <v>6.6000000000000003E-2</v>
      </c>
      <c r="AH22" s="954">
        <v>27352</v>
      </c>
      <c r="AI22" s="1474">
        <v>6.3E-2</v>
      </c>
      <c r="AJ22" s="954">
        <v>1523</v>
      </c>
      <c r="AK22" s="1474">
        <v>6.0999999999999999E-2</v>
      </c>
      <c r="AL22" s="1473">
        <f t="shared" si="16"/>
        <v>30.734132787364725</v>
      </c>
      <c r="AN22" s="1207" t="s">
        <v>282</v>
      </c>
      <c r="AO22" s="1476">
        <v>852589</v>
      </c>
      <c r="AP22" s="1475">
        <f t="shared" si="17"/>
        <v>6.5376585801396464E-2</v>
      </c>
      <c r="AQ22" s="954">
        <v>28012</v>
      </c>
      <c r="AR22" s="1474">
        <f t="shared" si="14"/>
        <v>6.296854944397863E-2</v>
      </c>
      <c r="AS22" s="954">
        <v>1536</v>
      </c>
      <c r="AT22" s="1474">
        <f t="shared" si="15"/>
        <v>6.1444915593247461E-2</v>
      </c>
      <c r="AU22" s="1473">
        <f t="shared" si="9"/>
        <v>30.436562901613595</v>
      </c>
    </row>
    <row r="23" spans="1:47" ht="23.25" x14ac:dyDescent="0.25">
      <c r="D23" s="1207" t="s">
        <v>284</v>
      </c>
      <c r="E23" s="1470">
        <v>1097509</v>
      </c>
      <c r="F23" s="1471">
        <f t="shared" si="1"/>
        <v>8.9605160039218576E-2</v>
      </c>
      <c r="G23" s="954">
        <v>36958</v>
      </c>
      <c r="H23" s="1472">
        <f>+G23/$G$24</f>
        <v>9.7357045201297107E-2</v>
      </c>
      <c r="I23" s="954">
        <v>1683</v>
      </c>
      <c r="J23" s="1472">
        <f t="shared" si="3"/>
        <v>7.0403681238234678E-2</v>
      </c>
      <c r="K23" s="1473">
        <f t="shared" si="10"/>
        <v>29.696114508360843</v>
      </c>
      <c r="M23" s="1207" t="s">
        <v>284</v>
      </c>
      <c r="N23" s="1470">
        <v>1116572</v>
      </c>
      <c r="O23" s="1471">
        <f>+N23/$N$24</f>
        <v>8.6338015699128523E-2</v>
      </c>
      <c r="P23" s="954">
        <v>37516</v>
      </c>
      <c r="Q23" s="1472">
        <f>+P23/$P$24</f>
        <v>8.9620196315911435E-2</v>
      </c>
      <c r="R23" s="954">
        <v>1683</v>
      </c>
      <c r="S23" s="1472">
        <f>+R23/$R$24</f>
        <v>6.5509322330777317E-2</v>
      </c>
      <c r="T23" s="1473">
        <f t="shared" si="12"/>
        <v>29.762554643352171</v>
      </c>
      <c r="U23" s="1351"/>
      <c r="V23" s="1207" t="s">
        <v>284</v>
      </c>
      <c r="W23" s="1470">
        <v>1127634</v>
      </c>
      <c r="X23" s="1471">
        <f>+W23/$W$24</f>
        <v>8.7465879756036813E-2</v>
      </c>
      <c r="Y23" s="954">
        <v>37585</v>
      </c>
      <c r="Z23" s="1472">
        <f>+Y23/$Y$24</f>
        <v>8.6737284224129976E-2</v>
      </c>
      <c r="AA23" s="954">
        <v>1776</v>
      </c>
      <c r="AB23" s="1472">
        <f>+AA23/$AA$24</f>
        <v>6.8938746991693195E-2</v>
      </c>
      <c r="AC23" s="1473">
        <f t="shared" si="13"/>
        <v>30.002234934149261</v>
      </c>
      <c r="AE23" s="1207" t="s">
        <v>284</v>
      </c>
      <c r="AF23" s="1470">
        <v>1141057</v>
      </c>
      <c r="AG23" s="1475">
        <v>8.8999999999999996E-2</v>
      </c>
      <c r="AH23" s="954">
        <v>40466</v>
      </c>
      <c r="AI23" s="1474">
        <v>9.2999999999999999E-2</v>
      </c>
      <c r="AJ23" s="954">
        <v>1710</v>
      </c>
      <c r="AK23" s="1474">
        <v>6.8000000000000005E-2</v>
      </c>
      <c r="AL23" s="1473">
        <f t="shared" si="16"/>
        <v>28.197919240844165</v>
      </c>
      <c r="AN23" s="1207" t="s">
        <v>284</v>
      </c>
      <c r="AO23" s="1470">
        <v>1188926</v>
      </c>
      <c r="AP23" s="1475">
        <f t="shared" si="17"/>
        <v>9.1166931136234572E-2</v>
      </c>
      <c r="AQ23" s="954">
        <v>41603</v>
      </c>
      <c r="AR23" s="1474">
        <f t="shared" si="14"/>
        <v>9.3519940115587702E-2</v>
      </c>
      <c r="AS23" s="954">
        <v>1718</v>
      </c>
      <c r="AT23" s="1474">
        <f t="shared" si="15"/>
        <v>6.8725498039843194E-2</v>
      </c>
      <c r="AU23" s="1473">
        <f t="shared" si="9"/>
        <v>28.577891017474702</v>
      </c>
    </row>
    <row r="24" spans="1:47" x14ac:dyDescent="0.25">
      <c r="D24" s="3576" t="s">
        <v>1267</v>
      </c>
      <c r="E24" s="3447">
        <v>12248279</v>
      </c>
      <c r="F24" s="3577">
        <f>SUM(F15:F20)</f>
        <v>0.86648516089484906</v>
      </c>
      <c r="G24" s="3728">
        <v>379613</v>
      </c>
      <c r="H24" s="3578">
        <f>SUM(H15:H20)</f>
        <v>0.90841725652177352</v>
      </c>
      <c r="I24" s="3728">
        <v>23905</v>
      </c>
      <c r="J24" s="3578">
        <f>SUM(J15:J20)</f>
        <v>0.91541518510771813</v>
      </c>
      <c r="K24" s="3729">
        <f>+E24/G24</f>
        <v>32.265172689028034</v>
      </c>
      <c r="M24" s="3576" t="s">
        <v>1267</v>
      </c>
      <c r="N24" s="3447">
        <f t="shared" ref="N24:S24" si="18">SUM(N15:N23)</f>
        <v>12932565</v>
      </c>
      <c r="O24" s="3577">
        <f t="shared" si="18"/>
        <v>0.99999999999999978</v>
      </c>
      <c r="P24" s="3447">
        <f t="shared" si="18"/>
        <v>418611</v>
      </c>
      <c r="Q24" s="3577">
        <f t="shared" si="18"/>
        <v>1</v>
      </c>
      <c r="R24" s="3447">
        <f t="shared" si="18"/>
        <v>25691</v>
      </c>
      <c r="S24" s="3578">
        <f t="shared" si="18"/>
        <v>1</v>
      </c>
      <c r="T24" s="3730">
        <f>+N24/P24</f>
        <v>30.893992274450504</v>
      </c>
      <c r="U24" s="1351"/>
      <c r="V24" s="3576" t="s">
        <v>1267</v>
      </c>
      <c r="W24" s="3447">
        <f t="shared" ref="W24:AA24" si="19">SUM(W15:W23)</f>
        <v>12892273</v>
      </c>
      <c r="X24" s="3577">
        <f t="shared" si="19"/>
        <v>1</v>
      </c>
      <c r="Y24" s="3447">
        <f t="shared" si="19"/>
        <v>433320</v>
      </c>
      <c r="Z24" s="3578">
        <f>SUM(Z15:Z23)</f>
        <v>0.99999999999999989</v>
      </c>
      <c r="AA24" s="3447">
        <f t="shared" si="19"/>
        <v>25762</v>
      </c>
      <c r="AB24" s="3731"/>
      <c r="AC24" s="3732">
        <f t="shared" si="13"/>
        <v>29.752314686605743</v>
      </c>
      <c r="AE24" s="3576" t="s">
        <v>1267</v>
      </c>
      <c r="AF24" s="3447">
        <f t="shared" ref="AF24:AK24" si="20">SUM(AF15:AF23)</f>
        <v>12819542</v>
      </c>
      <c r="AG24" s="3577">
        <f t="shared" si="20"/>
        <v>1.0009999999999999</v>
      </c>
      <c r="AH24" s="3447">
        <f t="shared" si="20"/>
        <v>437449</v>
      </c>
      <c r="AI24" s="3578">
        <f t="shared" si="20"/>
        <v>1.0009999999999999</v>
      </c>
      <c r="AJ24" s="3447">
        <f t="shared" si="20"/>
        <v>25154</v>
      </c>
      <c r="AK24" s="3578">
        <f t="shared" si="20"/>
        <v>1</v>
      </c>
      <c r="AL24" s="1478">
        <f>+AF24/AH24</f>
        <v>29.305226437824754</v>
      </c>
      <c r="AN24" s="3576" t="s">
        <v>1267</v>
      </c>
      <c r="AO24" s="3447">
        <f>SUM(AO15:AO23)</f>
        <v>13041198</v>
      </c>
      <c r="AP24" s="3579">
        <f t="shared" si="17"/>
        <v>1</v>
      </c>
      <c r="AQ24" s="3447">
        <f>SUM(AQ15:AQ23)</f>
        <v>444857</v>
      </c>
      <c r="AR24" s="3579">
        <f>AQ24/$AQ$24</f>
        <v>1</v>
      </c>
      <c r="AS24" s="3447">
        <f>SUM(AS15:AS23)</f>
        <v>24998</v>
      </c>
      <c r="AT24" s="3579">
        <f t="shared" si="15"/>
        <v>1</v>
      </c>
      <c r="AU24" s="3730">
        <f t="shared" si="9"/>
        <v>29.315483402531601</v>
      </c>
    </row>
    <row r="25" spans="1:47" x14ac:dyDescent="0.25">
      <c r="D25" s="1137"/>
      <c r="E25" s="88"/>
      <c r="F25" s="88"/>
      <c r="G25" s="88"/>
      <c r="H25" s="88"/>
      <c r="I25" s="88"/>
      <c r="J25" s="88"/>
      <c r="K25" s="88"/>
      <c r="L25" s="88"/>
      <c r="M25" s="88"/>
      <c r="N25" s="88"/>
      <c r="O25" s="1137"/>
      <c r="P25" s="88"/>
      <c r="Q25" s="88"/>
      <c r="R25" s="88"/>
      <c r="S25" s="88"/>
      <c r="T25" s="88"/>
      <c r="U25" s="1351"/>
      <c r="V25" s="1351"/>
      <c r="W25" s="1351"/>
      <c r="X25" s="1351"/>
      <c r="Y25" s="1351"/>
      <c r="Z25" s="1351"/>
      <c r="AA25" s="1351"/>
    </row>
    <row r="26" spans="1:47" x14ac:dyDescent="0.25">
      <c r="A26" s="509">
        <v>5</v>
      </c>
      <c r="B26" s="509" t="s">
        <v>51</v>
      </c>
      <c r="C26" s="509"/>
      <c r="D26" s="1137"/>
      <c r="E26" s="1137"/>
      <c r="F26" s="1137"/>
      <c r="G26" s="1137"/>
      <c r="H26" s="1137"/>
      <c r="I26" s="1137"/>
      <c r="J26" s="1137"/>
      <c r="K26" s="1137"/>
      <c r="L26" s="1137"/>
      <c r="M26" s="1137"/>
      <c r="N26" s="71" t="s">
        <v>1268</v>
      </c>
      <c r="O26" s="1137"/>
      <c r="P26" s="1137"/>
      <c r="Q26"/>
      <c r="R26"/>
      <c r="S26"/>
      <c r="T26"/>
      <c r="U26"/>
      <c r="V26" s="71" t="s">
        <v>1269</v>
      </c>
      <c r="W26"/>
      <c r="X26"/>
      <c r="Y26"/>
      <c r="Z26"/>
      <c r="AA26"/>
    </row>
    <row r="27" spans="1:47" ht="33.75" x14ac:dyDescent="0.25">
      <c r="B27" s="509"/>
      <c r="C27" s="509"/>
      <c r="D27" s="1137"/>
      <c r="E27" s="1137"/>
      <c r="F27" s="1137"/>
      <c r="G27" s="1137"/>
      <c r="H27" s="1137"/>
      <c r="I27" s="1137"/>
      <c r="J27" s="1137"/>
      <c r="K27" s="1137"/>
      <c r="L27" s="1137"/>
      <c r="M27" s="2797" t="s">
        <v>655</v>
      </c>
      <c r="N27" s="1468" t="s">
        <v>1256</v>
      </c>
      <c r="O27" s="1466" t="s">
        <v>1264</v>
      </c>
      <c r="P27" s="2789" t="s">
        <v>1265</v>
      </c>
      <c r="Q27" s="1466" t="s">
        <v>1264</v>
      </c>
      <c r="R27" s="2789" t="s">
        <v>1266</v>
      </c>
      <c r="S27" s="1466" t="s">
        <v>1264</v>
      </c>
      <c r="T27" s="2787" t="s">
        <v>1257</v>
      </c>
      <c r="U27"/>
      <c r="V27" s="2797" t="s">
        <v>655</v>
      </c>
      <c r="W27" s="1466" t="s">
        <v>1256</v>
      </c>
      <c r="X27" s="2789" t="s">
        <v>1264</v>
      </c>
      <c r="Y27" s="1468" t="s">
        <v>1265</v>
      </c>
      <c r="Z27" s="2789" t="s">
        <v>1264</v>
      </c>
      <c r="AA27" s="1466" t="s">
        <v>1266</v>
      </c>
      <c r="AB27" s="1468" t="s">
        <v>1264</v>
      </c>
      <c r="AC27" s="3733" t="s">
        <v>1257</v>
      </c>
    </row>
    <row r="28" spans="1:47" x14ac:dyDescent="0.25">
      <c r="B28" s="509"/>
      <c r="C28" s="509"/>
      <c r="D28" s="1137"/>
      <c r="E28" s="1137"/>
      <c r="F28" s="1137"/>
      <c r="G28" s="1137"/>
      <c r="H28" s="1137"/>
      <c r="I28" s="1137"/>
      <c r="J28" s="1137"/>
      <c r="K28" s="1137"/>
      <c r="L28" s="1137"/>
      <c r="M28" s="2790" t="s">
        <v>276</v>
      </c>
      <c r="N28" s="955">
        <v>1843297</v>
      </c>
      <c r="O28" s="2784">
        <v>13.94696708773718</v>
      </c>
      <c r="P28" s="2783">
        <v>62647</v>
      </c>
      <c r="Q28" s="2784">
        <v>14.143450580214022</v>
      </c>
      <c r="R28" s="2783">
        <v>5452</v>
      </c>
      <c r="S28" s="2785">
        <v>21.635779197587208</v>
      </c>
      <c r="T28" s="3580">
        <v>29.423547815537855</v>
      </c>
      <c r="U28"/>
      <c r="V28" s="2790" t="s">
        <v>276</v>
      </c>
      <c r="W28" s="1470">
        <v>1848053</v>
      </c>
      <c r="X28" s="2792">
        <v>13.781927682900063</v>
      </c>
      <c r="Y28" s="2791">
        <v>62698</v>
      </c>
      <c r="Z28" s="2793">
        <v>14.022539659109462</v>
      </c>
      <c r="AA28" s="2794">
        <v>5341</v>
      </c>
      <c r="AB28" s="1472">
        <f>+AA28/$AA$37</f>
        <v>0.21454969068851931</v>
      </c>
      <c r="AC28" s="2795">
        <v>29.475469711952535</v>
      </c>
    </row>
    <row r="29" spans="1:47" x14ac:dyDescent="0.25">
      <c r="B29" s="509"/>
      <c r="C29" s="509"/>
      <c r="D29" s="1137"/>
      <c r="E29" s="1137"/>
      <c r="F29" s="1137"/>
      <c r="G29" s="1137"/>
      <c r="H29" s="1137"/>
      <c r="I29" s="1137"/>
      <c r="J29" s="1137"/>
      <c r="K29" s="1137"/>
      <c r="L29" s="1137"/>
      <c r="M29" s="2790" t="s">
        <v>277</v>
      </c>
      <c r="N29" s="955">
        <v>719847</v>
      </c>
      <c r="O29" s="2784">
        <v>5.4465896799085263</v>
      </c>
      <c r="P29" s="2783">
        <v>23702</v>
      </c>
      <c r="Q29" s="2784">
        <v>5.3510633494378474</v>
      </c>
      <c r="R29" s="2783">
        <v>1122</v>
      </c>
      <c r="S29" s="2785">
        <v>4.4525576411762371</v>
      </c>
      <c r="T29" s="2788">
        <v>30.370728208589991</v>
      </c>
      <c r="U29"/>
      <c r="V29" s="2790" t="s">
        <v>277</v>
      </c>
      <c r="W29" s="1470">
        <v>726713</v>
      </c>
      <c r="X29" s="2792">
        <v>5.4194906813946107</v>
      </c>
      <c r="Y29" s="2791">
        <v>23867</v>
      </c>
      <c r="Z29" s="2793">
        <v>5.337904782352954</v>
      </c>
      <c r="AA29" s="2794">
        <v>1071</v>
      </c>
      <c r="AB29" s="1472">
        <f>+AA29/$AA$37</f>
        <v>4.302241503976862E-2</v>
      </c>
      <c r="AC29" s="2786">
        <v>30.44844345749361</v>
      </c>
    </row>
    <row r="30" spans="1:47" x14ac:dyDescent="0.25">
      <c r="B30" s="509"/>
      <c r="C30" s="509"/>
      <c r="D30" s="1137"/>
      <c r="E30" s="1137"/>
      <c r="F30" s="1137"/>
      <c r="G30" s="1137"/>
      <c r="H30" s="1137"/>
      <c r="I30" s="1137"/>
      <c r="J30" s="1137"/>
      <c r="K30" s="1137"/>
      <c r="L30" s="1137"/>
      <c r="M30" s="2790" t="s">
        <v>278</v>
      </c>
      <c r="N30" s="955">
        <v>2508387</v>
      </c>
      <c r="O30" s="2784">
        <v>18.979248017171297</v>
      </c>
      <c r="P30" s="2783">
        <v>89397</v>
      </c>
      <c r="Q30" s="2784">
        <v>20.182643247392424</v>
      </c>
      <c r="R30" s="2783">
        <v>2905</v>
      </c>
      <c r="S30" s="2785">
        <v>11.528235247430453</v>
      </c>
      <c r="T30" s="2788">
        <v>28.0589617101245</v>
      </c>
      <c r="U30"/>
      <c r="V30" s="2790" t="s">
        <v>278</v>
      </c>
      <c r="W30" s="1470">
        <v>2564812</v>
      </c>
      <c r="X30" s="2792">
        <v>19.12718601914246</v>
      </c>
      <c r="Y30" s="2791">
        <v>91958</v>
      </c>
      <c r="Z30" s="2793">
        <v>20.56660024199158</v>
      </c>
      <c r="AA30" s="2794">
        <v>2941</v>
      </c>
      <c r="AB30" s="1472">
        <f t="shared" ref="AB30:AB37" si="21">+AA30/$AA$37</f>
        <v>0.11814091749015827</v>
      </c>
      <c r="AC30" s="2786">
        <v>27.891124208877965</v>
      </c>
    </row>
    <row r="31" spans="1:47" x14ac:dyDescent="0.25">
      <c r="B31" s="509"/>
      <c r="C31" s="509"/>
      <c r="D31" s="1137"/>
      <c r="E31" s="1137"/>
      <c r="F31" s="1137"/>
      <c r="G31" s="1137"/>
      <c r="H31" s="1137"/>
      <c r="I31" s="1137"/>
      <c r="J31" s="1137"/>
      <c r="K31" s="1137"/>
      <c r="L31" s="1137"/>
      <c r="M31" s="2790" t="s">
        <v>641</v>
      </c>
      <c r="N31" s="955">
        <v>2867271</v>
      </c>
      <c r="O31" s="2784">
        <v>21.694677671923341</v>
      </c>
      <c r="P31" s="2783">
        <v>96698</v>
      </c>
      <c r="Q31" s="2784">
        <v>21.830947758161376</v>
      </c>
      <c r="R31" s="2783">
        <v>6191</v>
      </c>
      <c r="S31" s="2785">
        <v>24.568435255367277</v>
      </c>
      <c r="T31" s="2788">
        <v>29.651812860658957</v>
      </c>
      <c r="U31"/>
      <c r="V31" s="2790" t="s">
        <v>641</v>
      </c>
      <c r="W31" s="1470">
        <v>2893958</v>
      </c>
      <c r="X31" s="2792">
        <v>21.581805215191395</v>
      </c>
      <c r="Y31" s="2791">
        <v>96659</v>
      </c>
      <c r="Z31" s="2793">
        <v>21.617988786083473</v>
      </c>
      <c r="AA31" s="2794">
        <v>6022</v>
      </c>
      <c r="AB31" s="1472">
        <f t="shared" si="21"/>
        <v>0.24190568008355426</v>
      </c>
      <c r="AC31" s="2786">
        <v>29.939871093224635</v>
      </c>
    </row>
    <row r="32" spans="1:47" x14ac:dyDescent="0.25">
      <c r="B32" s="509"/>
      <c r="C32" s="509"/>
      <c r="D32" s="1137"/>
      <c r="E32" s="1137"/>
      <c r="F32" s="1137"/>
      <c r="G32" s="1137"/>
      <c r="H32" s="1137"/>
      <c r="I32" s="1137"/>
      <c r="J32" s="1137"/>
      <c r="K32" s="1137"/>
      <c r="L32" s="1137"/>
      <c r="M32" s="2790" t="s">
        <v>280</v>
      </c>
      <c r="N32" s="955">
        <v>1759322</v>
      </c>
      <c r="O32" s="2784">
        <v>13.311585724238661</v>
      </c>
      <c r="P32" s="2783">
        <v>53598</v>
      </c>
      <c r="Q32" s="2784">
        <v>12.100510227118798</v>
      </c>
      <c r="R32" s="2783">
        <v>3886</v>
      </c>
      <c r="S32" s="2785">
        <v>15.421246874875989</v>
      </c>
      <c r="T32" s="2788">
        <v>32.824396432702713</v>
      </c>
      <c r="U32"/>
      <c r="V32" s="2790" t="s">
        <v>280</v>
      </c>
      <c r="W32" s="1470">
        <v>1799130</v>
      </c>
      <c r="X32" s="2792">
        <v>13.417082492837592</v>
      </c>
      <c r="Y32" s="2791">
        <v>53582</v>
      </c>
      <c r="Z32" s="2793">
        <v>11.983727072863619</v>
      </c>
      <c r="AA32" s="2794">
        <v>3855</v>
      </c>
      <c r="AB32" s="1472">
        <f t="shared" si="21"/>
        <v>0.15485659194986745</v>
      </c>
      <c r="AC32" s="2786">
        <v>33.577134112201861</v>
      </c>
    </row>
    <row r="33" spans="1:29" x14ac:dyDescent="0.25">
      <c r="B33" s="509"/>
      <c r="C33" s="509"/>
      <c r="D33" s="1137"/>
      <c r="E33" s="1137"/>
      <c r="F33" s="1137"/>
      <c r="G33" s="1137"/>
      <c r="H33" s="1137"/>
      <c r="I33" s="1137"/>
      <c r="J33" s="1137"/>
      <c r="K33" s="1137"/>
      <c r="L33" s="1137"/>
      <c r="M33" s="2790" t="s">
        <v>281</v>
      </c>
      <c r="N33" s="955">
        <v>1107890</v>
      </c>
      <c r="O33" s="2784">
        <v>8.3826455350565574</v>
      </c>
      <c r="P33" s="2783">
        <v>36818</v>
      </c>
      <c r="Q33" s="2784">
        <v>8.3121867521560482</v>
      </c>
      <c r="R33" s="2783">
        <v>1782</v>
      </c>
      <c r="S33" s="2785">
        <v>7.0717091948093183</v>
      </c>
      <c r="T33" s="2788">
        <v>30.090988103644957</v>
      </c>
      <c r="U33"/>
      <c r="V33" s="2790" t="s">
        <v>281</v>
      </c>
      <c r="W33" s="1470">
        <v>1134889</v>
      </c>
      <c r="X33" s="2792">
        <v>8.4634792000655672</v>
      </c>
      <c r="Y33" s="2791">
        <v>36963</v>
      </c>
      <c r="Z33" s="2793">
        <v>8.2668527452177596</v>
      </c>
      <c r="AA33" s="2794">
        <v>1785</v>
      </c>
      <c r="AB33" s="1472">
        <f t="shared" si="21"/>
        <v>7.1704025066281027E-2</v>
      </c>
      <c r="AC33" s="2786">
        <v>30.703379054730405</v>
      </c>
    </row>
    <row r="34" spans="1:29" x14ac:dyDescent="0.25">
      <c r="B34" s="509"/>
      <c r="C34" s="509"/>
      <c r="D34" s="1137"/>
      <c r="E34" s="1137"/>
      <c r="F34" s="1137"/>
      <c r="G34" s="1137"/>
      <c r="H34" s="1137"/>
      <c r="I34" s="1137"/>
      <c r="J34" s="1137"/>
      <c r="K34" s="1137"/>
      <c r="L34" s="1137"/>
      <c r="M34" s="2790" t="s">
        <v>283</v>
      </c>
      <c r="N34" s="955">
        <v>304237</v>
      </c>
      <c r="O34" s="2784">
        <v>2.3019531990080258</v>
      </c>
      <c r="P34" s="2783">
        <v>10527</v>
      </c>
      <c r="Q34" s="2784">
        <v>2.3766198582200748</v>
      </c>
      <c r="R34" s="2783">
        <v>585</v>
      </c>
      <c r="S34" s="2785">
        <v>2.3215206952656851</v>
      </c>
      <c r="T34" s="2788">
        <v>28.900636458630188</v>
      </c>
      <c r="U34"/>
      <c r="V34" s="2790" t="s">
        <v>283</v>
      </c>
      <c r="W34" s="1470">
        <v>304566</v>
      </c>
      <c r="X34" s="2792">
        <v>2.2713128826230311</v>
      </c>
      <c r="Y34" s="2791">
        <v>10486</v>
      </c>
      <c r="Z34" s="2793">
        <v>2.3452159696548827</v>
      </c>
      <c r="AA34" s="2794">
        <v>585</v>
      </c>
      <c r="AB34" s="1472">
        <f t="shared" si="21"/>
        <v>2.3499638467100507E-2</v>
      </c>
      <c r="AC34" s="2786">
        <v>29.045012397482356</v>
      </c>
    </row>
    <row r="35" spans="1:29" x14ac:dyDescent="0.25">
      <c r="B35" s="509"/>
      <c r="C35" s="509"/>
      <c r="D35" s="1137"/>
      <c r="E35" s="1137"/>
      <c r="F35" s="1137"/>
      <c r="G35" s="1137"/>
      <c r="H35" s="1137"/>
      <c r="I35" s="1137"/>
      <c r="J35" s="1137"/>
      <c r="K35" s="1137"/>
      <c r="L35" s="1137"/>
      <c r="M35" s="2790" t="s">
        <v>282</v>
      </c>
      <c r="N35" s="955">
        <v>863071</v>
      </c>
      <c r="O35" s="2784">
        <v>6.5302676841444534</v>
      </c>
      <c r="P35" s="2783">
        <v>27661</v>
      </c>
      <c r="Q35" s="2784">
        <v>6.2448638641802496</v>
      </c>
      <c r="R35" s="2783">
        <v>1532</v>
      </c>
      <c r="S35" s="2785">
        <v>6.0796063335846657</v>
      </c>
      <c r="T35" s="2788">
        <v>31.201728064784355</v>
      </c>
      <c r="U35"/>
      <c r="V35" s="2790" t="s">
        <v>282</v>
      </c>
      <c r="W35" s="1470">
        <v>872601</v>
      </c>
      <c r="X35" s="2792">
        <v>6.5074561595507703</v>
      </c>
      <c r="Y35" s="2791">
        <v>28248</v>
      </c>
      <c r="Z35" s="2793">
        <v>6.317724652947847</v>
      </c>
      <c r="AA35" s="2794">
        <v>1539</v>
      </c>
      <c r="AB35" s="1472">
        <f t="shared" si="21"/>
        <v>6.1822125813449022E-2</v>
      </c>
      <c r="AC35" s="2786">
        <v>30.890717926932879</v>
      </c>
    </row>
    <row r="36" spans="1:29" x14ac:dyDescent="0.25">
      <c r="B36" s="509"/>
      <c r="C36" s="509"/>
      <c r="D36" s="1137"/>
      <c r="E36" s="1137"/>
      <c r="F36" s="1137"/>
      <c r="G36" s="1137"/>
      <c r="H36" s="1137"/>
      <c r="I36" s="1137"/>
      <c r="J36" s="1137"/>
      <c r="K36" s="1137"/>
      <c r="L36" s="1137"/>
      <c r="M36" s="2790" t="s">
        <v>284</v>
      </c>
      <c r="N36" s="955">
        <v>1243150</v>
      </c>
      <c r="O36" s="2784">
        <v>9.406065400811956</v>
      </c>
      <c r="P36" s="2783">
        <v>41892</v>
      </c>
      <c r="Q36" s="2784">
        <v>9.4577143631191589</v>
      </c>
      <c r="R36" s="2783">
        <v>1744</v>
      </c>
      <c r="S36" s="2785">
        <v>6.9209095599031709</v>
      </c>
      <c r="T36" s="2788">
        <v>29.675116967440083</v>
      </c>
      <c r="U36"/>
      <c r="V36" s="2790" t="s">
        <v>284</v>
      </c>
      <c r="W36" s="1470">
        <v>1264527</v>
      </c>
      <c r="X36" s="2792">
        <v>9.4302596662945106</v>
      </c>
      <c r="Y36" s="2791">
        <v>42662</v>
      </c>
      <c r="Z36" s="2793">
        <v>9.5414460897784288</v>
      </c>
      <c r="AA36" s="2794">
        <v>1755</v>
      </c>
      <c r="AB36" s="1472">
        <f t="shared" si="21"/>
        <v>7.0498915401301515E-2</v>
      </c>
      <c r="AC36" s="2786">
        <v>29.640593502414326</v>
      </c>
    </row>
    <row r="37" spans="1:29" x14ac:dyDescent="0.25">
      <c r="B37" s="509"/>
      <c r="C37" s="509"/>
      <c r="D37" s="1137"/>
      <c r="E37" s="1137"/>
      <c r="F37" s="1137"/>
      <c r="G37" s="1137"/>
      <c r="H37" s="1137"/>
      <c r="I37" s="1137"/>
      <c r="J37" s="1137"/>
      <c r="K37" s="1137"/>
      <c r="L37" s="1137"/>
      <c r="M37" s="3734" t="s">
        <v>1267</v>
      </c>
      <c r="N37" s="3735">
        <v>13216472</v>
      </c>
      <c r="O37" s="3736">
        <v>100</v>
      </c>
      <c r="P37" s="3737">
        <f>SUM(P28:P36)</f>
        <v>442940</v>
      </c>
      <c r="Q37" s="3736">
        <v>100</v>
      </c>
      <c r="R37" s="3737">
        <v>25199</v>
      </c>
      <c r="S37" s="3738">
        <v>100</v>
      </c>
      <c r="T37" s="3448">
        <v>29.838063846119113</v>
      </c>
      <c r="U37"/>
      <c r="V37" s="3734" t="s">
        <v>1267</v>
      </c>
      <c r="W37" s="3739">
        <v>13409249</v>
      </c>
      <c r="X37" s="3740">
        <v>100</v>
      </c>
      <c r="Y37" s="3738">
        <v>447123</v>
      </c>
      <c r="Z37" s="3741">
        <v>100</v>
      </c>
      <c r="AA37" s="3736">
        <v>24894</v>
      </c>
      <c r="AB37" s="3731">
        <f t="shared" si="21"/>
        <v>1</v>
      </c>
      <c r="AC37" s="3449">
        <v>29.990067610031243</v>
      </c>
    </row>
    <row r="38" spans="1:29" x14ac:dyDescent="0.25">
      <c r="B38" s="509"/>
      <c r="C38" s="509"/>
      <c r="D38" s="1137"/>
      <c r="E38" s="1137"/>
      <c r="F38" s="1137"/>
      <c r="G38" s="1137"/>
      <c r="H38" s="1137"/>
      <c r="I38" s="1137"/>
      <c r="J38" s="1137"/>
      <c r="K38" s="1137"/>
      <c r="L38" s="1137"/>
      <c r="M38" s="1137"/>
      <c r="N38" s="1137"/>
      <c r="O38" s="1137"/>
      <c r="P38" s="1137"/>
      <c r="Q38" s="1137"/>
      <c r="R38" s="1137"/>
      <c r="S38" s="1137"/>
      <c r="T38" s="1137"/>
    </row>
    <row r="39" spans="1:29" x14ac:dyDescent="0.25">
      <c r="B39" s="509"/>
      <c r="C39" s="509"/>
      <c r="D39" s="1137"/>
      <c r="E39" s="1137"/>
      <c r="F39" s="1137"/>
      <c r="G39" s="1137"/>
      <c r="H39" s="1137"/>
      <c r="I39" s="1137"/>
      <c r="J39" s="1137"/>
      <c r="K39" s="1137"/>
      <c r="L39" s="1137"/>
      <c r="M39" s="1137"/>
      <c r="N39" s="1137"/>
      <c r="O39" s="1137"/>
      <c r="P39" s="1137"/>
      <c r="Q39" s="1137"/>
      <c r="R39" s="1137"/>
      <c r="S39" s="1137"/>
      <c r="T39" s="1137"/>
    </row>
    <row r="40" spans="1:29" x14ac:dyDescent="0.25">
      <c r="B40" s="509"/>
      <c r="C40" s="509"/>
      <c r="D40" s="1137"/>
      <c r="E40" s="1137"/>
      <c r="F40" s="1137"/>
      <c r="G40" s="1137"/>
      <c r="H40" s="1137"/>
      <c r="I40" s="1137"/>
      <c r="J40" s="1137"/>
      <c r="K40" s="1137"/>
      <c r="L40" s="1137"/>
      <c r="M40" s="1137"/>
      <c r="N40" s="1137"/>
      <c r="O40" s="1137"/>
      <c r="P40" s="1137"/>
      <c r="Q40" s="1137"/>
      <c r="R40" s="1137"/>
      <c r="S40" s="1137"/>
      <c r="T40" s="1137"/>
    </row>
    <row r="41" spans="1:29" x14ac:dyDescent="0.25">
      <c r="B41" s="509"/>
      <c r="C41" s="509"/>
      <c r="D41" s="1137"/>
      <c r="E41" s="1137"/>
      <c r="F41" s="1137"/>
      <c r="G41" s="1137"/>
      <c r="H41" s="1137"/>
      <c r="I41" s="1137"/>
      <c r="J41" s="1137"/>
      <c r="K41" s="1137"/>
      <c r="L41" s="1137"/>
      <c r="M41" s="1137"/>
      <c r="N41" s="1137"/>
      <c r="O41" s="1137"/>
      <c r="P41" s="1137"/>
      <c r="Q41" s="1137"/>
      <c r="R41" s="1137"/>
      <c r="S41" s="1137"/>
      <c r="T41" s="1137"/>
    </row>
    <row r="42" spans="1:29" x14ac:dyDescent="0.25">
      <c r="B42" s="509"/>
      <c r="C42" s="509"/>
      <c r="D42" s="1137"/>
      <c r="E42" s="1137"/>
      <c r="F42" s="1137"/>
      <c r="G42" s="1137"/>
      <c r="H42" s="1137"/>
      <c r="I42" s="1137"/>
      <c r="J42" s="1137"/>
      <c r="K42" s="1137"/>
      <c r="L42" s="1137"/>
      <c r="M42" s="1137"/>
      <c r="N42" s="1137"/>
      <c r="O42" s="1137"/>
      <c r="P42" s="1137"/>
      <c r="Q42" s="1137"/>
      <c r="R42" s="1137"/>
      <c r="S42" s="1137"/>
      <c r="T42" s="1137"/>
    </row>
    <row r="43" spans="1:29" x14ac:dyDescent="0.25">
      <c r="A43" s="509">
        <v>6</v>
      </c>
      <c r="B43" s="509" t="s">
        <v>52</v>
      </c>
      <c r="C43" s="509"/>
      <c r="D43" s="4603" t="s">
        <v>1141</v>
      </c>
      <c r="E43" s="4604"/>
      <c r="F43" s="4604"/>
      <c r="G43" s="4604"/>
      <c r="H43" s="4604"/>
      <c r="I43" s="4604"/>
      <c r="J43" s="4604"/>
      <c r="K43" s="4604"/>
      <c r="L43" s="4604"/>
      <c r="M43" s="4604"/>
      <c r="N43" s="4604"/>
      <c r="O43" s="4604"/>
      <c r="P43" s="4604"/>
      <c r="Q43" s="4604"/>
      <c r="R43" s="4604"/>
      <c r="S43" s="4604"/>
      <c r="T43" s="4604"/>
      <c r="U43" s="4605"/>
      <c r="V43" s="880"/>
      <c r="W43" s="880"/>
      <c r="X43" s="880"/>
      <c r="Y43" s="880"/>
      <c r="Z43" s="880"/>
      <c r="AA43" s="880"/>
      <c r="AB43" s="880"/>
      <c r="AC43" s="880"/>
    </row>
    <row r="44" spans="1:29" ht="32.1" customHeight="1" x14ac:dyDescent="0.25">
      <c r="A44" s="546">
        <v>7</v>
      </c>
      <c r="B44" s="546" t="s">
        <v>54</v>
      </c>
      <c r="C44" s="546"/>
      <c r="D44" s="4603" t="s">
        <v>1270</v>
      </c>
      <c r="E44" s="4604"/>
      <c r="F44" s="4604"/>
      <c r="G44" s="4604"/>
      <c r="H44" s="4604"/>
      <c r="I44" s="4604"/>
      <c r="J44" s="4604"/>
      <c r="K44" s="4604"/>
      <c r="L44" s="4604"/>
      <c r="M44" s="4604"/>
      <c r="N44" s="4604"/>
      <c r="O44" s="4604"/>
      <c r="P44" s="4604"/>
      <c r="Q44" s="4604"/>
      <c r="R44" s="4604"/>
      <c r="S44" s="4604"/>
      <c r="T44" s="4604"/>
      <c r="U44" s="4605"/>
      <c r="V44" s="880"/>
      <c r="W44" s="880"/>
      <c r="X44" s="880"/>
      <c r="Y44" s="880"/>
      <c r="Z44" s="880"/>
      <c r="AA44" s="880"/>
      <c r="AB44" s="880"/>
      <c r="AC44" s="880"/>
    </row>
    <row r="45" spans="1:29" ht="42" customHeight="1" x14ac:dyDescent="0.25">
      <c r="A45" s="509">
        <v>8</v>
      </c>
      <c r="B45" s="509" t="s">
        <v>56</v>
      </c>
      <c r="C45" s="509"/>
      <c r="D45" s="4737" t="s">
        <v>1271</v>
      </c>
      <c r="E45" s="4738"/>
      <c r="F45" s="4738"/>
      <c r="G45" s="4738"/>
      <c r="H45" s="4738"/>
      <c r="I45" s="4738"/>
      <c r="J45" s="4738"/>
      <c r="K45" s="4738"/>
      <c r="L45" s="4738"/>
      <c r="M45" s="4738"/>
      <c r="N45" s="4738"/>
      <c r="O45" s="4738"/>
      <c r="P45" s="4738"/>
      <c r="Q45" s="4738"/>
      <c r="R45" s="4738"/>
      <c r="S45" s="4738"/>
      <c r="T45" s="4738"/>
      <c r="U45" s="4739"/>
      <c r="V45" s="344"/>
      <c r="W45" s="344"/>
      <c r="X45" s="344"/>
      <c r="Y45" s="344"/>
      <c r="Z45" s="344"/>
      <c r="AA45" s="344"/>
      <c r="AB45" s="344"/>
      <c r="AC45" s="344"/>
    </row>
    <row r="46" spans="1:29" ht="30.6" customHeight="1" x14ac:dyDescent="0.25">
      <c r="A46" s="509">
        <v>9</v>
      </c>
      <c r="B46" s="509" t="s">
        <v>355</v>
      </c>
      <c r="C46" s="509"/>
      <c r="D46" s="4737" t="s">
        <v>1272</v>
      </c>
      <c r="E46" s="4738"/>
      <c r="F46" s="4738"/>
      <c r="G46" s="4738"/>
      <c r="H46" s="4738"/>
      <c r="I46" s="4738"/>
      <c r="J46" s="4738"/>
      <c r="K46" s="4738"/>
      <c r="L46" s="4738"/>
      <c r="M46" s="4738"/>
      <c r="N46" s="4738"/>
      <c r="O46" s="4738"/>
      <c r="P46" s="4738"/>
      <c r="Q46" s="4738"/>
      <c r="R46" s="4738"/>
      <c r="S46" s="4738"/>
      <c r="T46" s="4738"/>
      <c r="U46" s="4739"/>
      <c r="V46" s="344"/>
      <c r="W46" s="344"/>
      <c r="X46" s="344"/>
      <c r="Y46" s="344"/>
      <c r="Z46" s="344"/>
      <c r="AA46" s="344"/>
      <c r="AB46" s="344"/>
      <c r="AC46" s="344"/>
    </row>
    <row r="47" spans="1:29" x14ac:dyDescent="0.25">
      <c r="B47" s="1479"/>
      <c r="C47" s="1479"/>
    </row>
  </sheetData>
  <mergeCells count="7">
    <mergeCell ref="D46:U46"/>
    <mergeCell ref="D2:AC2"/>
    <mergeCell ref="D3:AC3"/>
    <mergeCell ref="D4:AC4"/>
    <mergeCell ref="D43:U43"/>
    <mergeCell ref="D44:U44"/>
    <mergeCell ref="D45:U45"/>
  </mergeCells>
  <pageMargins left="0.74803149606299202" right="0.74803149606299202" top="0.98425196850393704" bottom="0.98425196850393704" header="0.511811023622047" footer="0.511811023622047"/>
  <pageSetup paperSize="9" scale="28" orientation="landscape" r:id="rId1"/>
  <headerFooter alignWithMargins="0">
    <oddHeader xml:space="preserve">&amp;C&amp;"-,Bold"DEVELOPMENT INDICATORS 2017
</oddHeader>
    <oddFooter>&amp;LDepartment of Planning, Monitoring and Evaluation (DPME). &amp;CPage &amp;P of &amp;N&amp;R&amp;D</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BF773-E2E7-48BE-9957-DFADABF9C158}">
  <sheetPr>
    <tabColor rgb="FF0070C0"/>
    <pageSetUpPr fitToPage="1"/>
  </sheetPr>
  <dimension ref="A1:AC88"/>
  <sheetViews>
    <sheetView showGridLines="0" view="pageBreakPreview" topLeftCell="B1" zoomScale="110" zoomScaleNormal="100" zoomScaleSheetLayoutView="110" workbookViewId="0">
      <selection activeCell="D4" sqref="D4:V4"/>
    </sheetView>
  </sheetViews>
  <sheetFormatPr defaultColWidth="9.140625" defaultRowHeight="15" x14ac:dyDescent="0.25"/>
  <cols>
    <col min="1" max="1" width="3.85546875" style="3854" customWidth="1"/>
    <col min="2" max="2" width="14.42578125" style="3825" customWidth="1"/>
    <col min="3" max="3" width="3.85546875" style="3825" customWidth="1"/>
    <col min="4" max="4" width="23.42578125" style="3792" bestFit="1" customWidth="1"/>
    <col min="5" max="18" width="9.140625" style="3792"/>
    <col min="19" max="19" width="14.42578125" style="3792" customWidth="1"/>
    <col min="20" max="262" width="9.140625" style="3792"/>
    <col min="263" max="263" width="3.85546875" style="3792" customWidth="1"/>
    <col min="264" max="264" width="14.42578125" style="3792" customWidth="1"/>
    <col min="265" max="265" width="3.85546875" style="3792" customWidth="1"/>
    <col min="266" max="266" width="23.42578125" style="3792" bestFit="1" customWidth="1"/>
    <col min="267" max="518" width="9.140625" style="3792"/>
    <col min="519" max="519" width="3.85546875" style="3792" customWidth="1"/>
    <col min="520" max="520" width="14.42578125" style="3792" customWidth="1"/>
    <col min="521" max="521" width="3.85546875" style="3792" customWidth="1"/>
    <col min="522" max="522" width="23.42578125" style="3792" bestFit="1" customWidth="1"/>
    <col min="523" max="774" width="9.140625" style="3792"/>
    <col min="775" max="775" width="3.85546875" style="3792" customWidth="1"/>
    <col min="776" max="776" width="14.42578125" style="3792" customWidth="1"/>
    <col min="777" max="777" width="3.85546875" style="3792" customWidth="1"/>
    <col min="778" max="778" width="23.42578125" style="3792" bestFit="1" customWidth="1"/>
    <col min="779" max="1030" width="9.140625" style="3792"/>
    <col min="1031" max="1031" width="3.85546875" style="3792" customWidth="1"/>
    <col min="1032" max="1032" width="14.42578125" style="3792" customWidth="1"/>
    <col min="1033" max="1033" width="3.85546875" style="3792" customWidth="1"/>
    <col min="1034" max="1034" width="23.42578125" style="3792" bestFit="1" customWidth="1"/>
    <col min="1035" max="1286" width="9.140625" style="3792"/>
    <col min="1287" max="1287" width="3.85546875" style="3792" customWidth="1"/>
    <col min="1288" max="1288" width="14.42578125" style="3792" customWidth="1"/>
    <col min="1289" max="1289" width="3.85546875" style="3792" customWidth="1"/>
    <col min="1290" max="1290" width="23.42578125" style="3792" bestFit="1" customWidth="1"/>
    <col min="1291" max="1542" width="9.140625" style="3792"/>
    <col min="1543" max="1543" width="3.85546875" style="3792" customWidth="1"/>
    <col min="1544" max="1544" width="14.42578125" style="3792" customWidth="1"/>
    <col min="1545" max="1545" width="3.85546875" style="3792" customWidth="1"/>
    <col min="1546" max="1546" width="23.42578125" style="3792" bestFit="1" customWidth="1"/>
    <col min="1547" max="1798" width="9.140625" style="3792"/>
    <col min="1799" max="1799" width="3.85546875" style="3792" customWidth="1"/>
    <col min="1800" max="1800" width="14.42578125" style="3792" customWidth="1"/>
    <col min="1801" max="1801" width="3.85546875" style="3792" customWidth="1"/>
    <col min="1802" max="1802" width="23.42578125" style="3792" bestFit="1" customWidth="1"/>
    <col min="1803" max="2054" width="9.140625" style="3792"/>
    <col min="2055" max="2055" width="3.85546875" style="3792" customWidth="1"/>
    <col min="2056" max="2056" width="14.42578125" style="3792" customWidth="1"/>
    <col min="2057" max="2057" width="3.85546875" style="3792" customWidth="1"/>
    <col min="2058" max="2058" width="23.42578125" style="3792" bestFit="1" customWidth="1"/>
    <col min="2059" max="2310" width="9.140625" style="3792"/>
    <col min="2311" max="2311" width="3.85546875" style="3792" customWidth="1"/>
    <col min="2312" max="2312" width="14.42578125" style="3792" customWidth="1"/>
    <col min="2313" max="2313" width="3.85546875" style="3792" customWidth="1"/>
    <col min="2314" max="2314" width="23.42578125" style="3792" bestFit="1" customWidth="1"/>
    <col min="2315" max="2566" width="9.140625" style="3792"/>
    <col min="2567" max="2567" width="3.85546875" style="3792" customWidth="1"/>
    <col min="2568" max="2568" width="14.42578125" style="3792" customWidth="1"/>
    <col min="2569" max="2569" width="3.85546875" style="3792" customWidth="1"/>
    <col min="2570" max="2570" width="23.42578125" style="3792" bestFit="1" customWidth="1"/>
    <col min="2571" max="2822" width="9.140625" style="3792"/>
    <col min="2823" max="2823" width="3.85546875" style="3792" customWidth="1"/>
    <col min="2824" max="2824" width="14.42578125" style="3792" customWidth="1"/>
    <col min="2825" max="2825" width="3.85546875" style="3792" customWidth="1"/>
    <col min="2826" max="2826" width="23.42578125" style="3792" bestFit="1" customWidth="1"/>
    <col min="2827" max="3078" width="9.140625" style="3792"/>
    <col min="3079" max="3079" width="3.85546875" style="3792" customWidth="1"/>
    <col min="3080" max="3080" width="14.42578125" style="3792" customWidth="1"/>
    <col min="3081" max="3081" width="3.85546875" style="3792" customWidth="1"/>
    <col min="3082" max="3082" width="23.42578125" style="3792" bestFit="1" customWidth="1"/>
    <col min="3083" max="3334" width="9.140625" style="3792"/>
    <col min="3335" max="3335" width="3.85546875" style="3792" customWidth="1"/>
    <col min="3336" max="3336" width="14.42578125" style="3792" customWidth="1"/>
    <col min="3337" max="3337" width="3.85546875" style="3792" customWidth="1"/>
    <col min="3338" max="3338" width="23.42578125" style="3792" bestFit="1" customWidth="1"/>
    <col min="3339" max="3590" width="9.140625" style="3792"/>
    <col min="3591" max="3591" width="3.85546875" style="3792" customWidth="1"/>
    <col min="3592" max="3592" width="14.42578125" style="3792" customWidth="1"/>
    <col min="3593" max="3593" width="3.85546875" style="3792" customWidth="1"/>
    <col min="3594" max="3594" width="23.42578125" style="3792" bestFit="1" customWidth="1"/>
    <col min="3595" max="3846" width="9.140625" style="3792"/>
    <col min="3847" max="3847" width="3.85546875" style="3792" customWidth="1"/>
    <col min="3848" max="3848" width="14.42578125" style="3792" customWidth="1"/>
    <col min="3849" max="3849" width="3.85546875" style="3792" customWidth="1"/>
    <col min="3850" max="3850" width="23.42578125" style="3792" bestFit="1" customWidth="1"/>
    <col min="3851" max="4102" width="9.140625" style="3792"/>
    <col min="4103" max="4103" width="3.85546875" style="3792" customWidth="1"/>
    <col min="4104" max="4104" width="14.42578125" style="3792" customWidth="1"/>
    <col min="4105" max="4105" width="3.85546875" style="3792" customWidth="1"/>
    <col min="4106" max="4106" width="23.42578125" style="3792" bestFit="1" customWidth="1"/>
    <col min="4107" max="4358" width="9.140625" style="3792"/>
    <col min="4359" max="4359" width="3.85546875" style="3792" customWidth="1"/>
    <col min="4360" max="4360" width="14.42578125" style="3792" customWidth="1"/>
    <col min="4361" max="4361" width="3.85546875" style="3792" customWidth="1"/>
    <col min="4362" max="4362" width="23.42578125" style="3792" bestFit="1" customWidth="1"/>
    <col min="4363" max="4614" width="9.140625" style="3792"/>
    <col min="4615" max="4615" width="3.85546875" style="3792" customWidth="1"/>
    <col min="4616" max="4616" width="14.42578125" style="3792" customWidth="1"/>
    <col min="4617" max="4617" width="3.85546875" style="3792" customWidth="1"/>
    <col min="4618" max="4618" width="23.42578125" style="3792" bestFit="1" customWidth="1"/>
    <col min="4619" max="4870" width="9.140625" style="3792"/>
    <col min="4871" max="4871" width="3.85546875" style="3792" customWidth="1"/>
    <col min="4872" max="4872" width="14.42578125" style="3792" customWidth="1"/>
    <col min="4873" max="4873" width="3.85546875" style="3792" customWidth="1"/>
    <col min="4874" max="4874" width="23.42578125" style="3792" bestFit="1" customWidth="1"/>
    <col min="4875" max="5126" width="9.140625" style="3792"/>
    <col min="5127" max="5127" width="3.85546875" style="3792" customWidth="1"/>
    <col min="5128" max="5128" width="14.42578125" style="3792" customWidth="1"/>
    <col min="5129" max="5129" width="3.85546875" style="3792" customWidth="1"/>
    <col min="5130" max="5130" width="23.42578125" style="3792" bestFit="1" customWidth="1"/>
    <col min="5131" max="5382" width="9.140625" style="3792"/>
    <col min="5383" max="5383" width="3.85546875" style="3792" customWidth="1"/>
    <col min="5384" max="5384" width="14.42578125" style="3792" customWidth="1"/>
    <col min="5385" max="5385" width="3.85546875" style="3792" customWidth="1"/>
    <col min="5386" max="5386" width="23.42578125" style="3792" bestFit="1" customWidth="1"/>
    <col min="5387" max="5638" width="9.140625" style="3792"/>
    <col min="5639" max="5639" width="3.85546875" style="3792" customWidth="1"/>
    <col min="5640" max="5640" width="14.42578125" style="3792" customWidth="1"/>
    <col min="5641" max="5641" width="3.85546875" style="3792" customWidth="1"/>
    <col min="5642" max="5642" width="23.42578125" style="3792" bestFit="1" customWidth="1"/>
    <col min="5643" max="5894" width="9.140625" style="3792"/>
    <col min="5895" max="5895" width="3.85546875" style="3792" customWidth="1"/>
    <col min="5896" max="5896" width="14.42578125" style="3792" customWidth="1"/>
    <col min="5897" max="5897" width="3.85546875" style="3792" customWidth="1"/>
    <col min="5898" max="5898" width="23.42578125" style="3792" bestFit="1" customWidth="1"/>
    <col min="5899" max="6150" width="9.140625" style="3792"/>
    <col min="6151" max="6151" width="3.85546875" style="3792" customWidth="1"/>
    <col min="6152" max="6152" width="14.42578125" style="3792" customWidth="1"/>
    <col min="6153" max="6153" width="3.85546875" style="3792" customWidth="1"/>
    <col min="6154" max="6154" width="23.42578125" style="3792" bestFit="1" customWidth="1"/>
    <col min="6155" max="6406" width="9.140625" style="3792"/>
    <col min="6407" max="6407" width="3.85546875" style="3792" customWidth="1"/>
    <col min="6408" max="6408" width="14.42578125" style="3792" customWidth="1"/>
    <col min="6409" max="6409" width="3.85546875" style="3792" customWidth="1"/>
    <col min="6410" max="6410" width="23.42578125" style="3792" bestFit="1" customWidth="1"/>
    <col min="6411" max="6662" width="9.140625" style="3792"/>
    <col min="6663" max="6663" width="3.85546875" style="3792" customWidth="1"/>
    <col min="6664" max="6664" width="14.42578125" style="3792" customWidth="1"/>
    <col min="6665" max="6665" width="3.85546875" style="3792" customWidth="1"/>
    <col min="6666" max="6666" width="23.42578125" style="3792" bestFit="1" customWidth="1"/>
    <col min="6667" max="6918" width="9.140625" style="3792"/>
    <col min="6919" max="6919" width="3.85546875" style="3792" customWidth="1"/>
    <col min="6920" max="6920" width="14.42578125" style="3792" customWidth="1"/>
    <col min="6921" max="6921" width="3.85546875" style="3792" customWidth="1"/>
    <col min="6922" max="6922" width="23.42578125" style="3792" bestFit="1" customWidth="1"/>
    <col min="6923" max="7174" width="9.140625" style="3792"/>
    <col min="7175" max="7175" width="3.85546875" style="3792" customWidth="1"/>
    <col min="7176" max="7176" width="14.42578125" style="3792" customWidth="1"/>
    <col min="7177" max="7177" width="3.85546875" style="3792" customWidth="1"/>
    <col min="7178" max="7178" width="23.42578125" style="3792" bestFit="1" customWidth="1"/>
    <col min="7179" max="7430" width="9.140625" style="3792"/>
    <col min="7431" max="7431" width="3.85546875" style="3792" customWidth="1"/>
    <col min="7432" max="7432" width="14.42578125" style="3792" customWidth="1"/>
    <col min="7433" max="7433" width="3.85546875" style="3792" customWidth="1"/>
    <col min="7434" max="7434" width="23.42578125" style="3792" bestFit="1" customWidth="1"/>
    <col min="7435" max="7686" width="9.140625" style="3792"/>
    <col min="7687" max="7687" width="3.85546875" style="3792" customWidth="1"/>
    <col min="7688" max="7688" width="14.42578125" style="3792" customWidth="1"/>
    <col min="7689" max="7689" width="3.85546875" style="3792" customWidth="1"/>
    <col min="7690" max="7690" width="23.42578125" style="3792" bestFit="1" customWidth="1"/>
    <col min="7691" max="7942" width="9.140625" style="3792"/>
    <col min="7943" max="7943" width="3.85546875" style="3792" customWidth="1"/>
    <col min="7944" max="7944" width="14.42578125" style="3792" customWidth="1"/>
    <col min="7945" max="7945" width="3.85546875" style="3792" customWidth="1"/>
    <col min="7946" max="7946" width="23.42578125" style="3792" bestFit="1" customWidth="1"/>
    <col min="7947" max="8198" width="9.140625" style="3792"/>
    <col min="8199" max="8199" width="3.85546875" style="3792" customWidth="1"/>
    <col min="8200" max="8200" width="14.42578125" style="3792" customWidth="1"/>
    <col min="8201" max="8201" width="3.85546875" style="3792" customWidth="1"/>
    <col min="8202" max="8202" width="23.42578125" style="3792" bestFit="1" customWidth="1"/>
    <col min="8203" max="8454" width="9.140625" style="3792"/>
    <col min="8455" max="8455" width="3.85546875" style="3792" customWidth="1"/>
    <col min="8456" max="8456" width="14.42578125" style="3792" customWidth="1"/>
    <col min="8457" max="8457" width="3.85546875" style="3792" customWidth="1"/>
    <col min="8458" max="8458" width="23.42578125" style="3792" bestFit="1" customWidth="1"/>
    <col min="8459" max="8710" width="9.140625" style="3792"/>
    <col min="8711" max="8711" width="3.85546875" style="3792" customWidth="1"/>
    <col min="8712" max="8712" width="14.42578125" style="3792" customWidth="1"/>
    <col min="8713" max="8713" width="3.85546875" style="3792" customWidth="1"/>
    <col min="8714" max="8714" width="23.42578125" style="3792" bestFit="1" customWidth="1"/>
    <col min="8715" max="8966" width="9.140625" style="3792"/>
    <col min="8967" max="8967" width="3.85546875" style="3792" customWidth="1"/>
    <col min="8968" max="8968" width="14.42578125" style="3792" customWidth="1"/>
    <col min="8969" max="8969" width="3.85546875" style="3792" customWidth="1"/>
    <col min="8970" max="8970" width="23.42578125" style="3792" bestFit="1" customWidth="1"/>
    <col min="8971" max="9222" width="9.140625" style="3792"/>
    <col min="9223" max="9223" width="3.85546875" style="3792" customWidth="1"/>
    <col min="9224" max="9224" width="14.42578125" style="3792" customWidth="1"/>
    <col min="9225" max="9225" width="3.85546875" style="3792" customWidth="1"/>
    <col min="9226" max="9226" width="23.42578125" style="3792" bestFit="1" customWidth="1"/>
    <col min="9227" max="9478" width="9.140625" style="3792"/>
    <col min="9479" max="9479" width="3.85546875" style="3792" customWidth="1"/>
    <col min="9480" max="9480" width="14.42578125" style="3792" customWidth="1"/>
    <col min="9481" max="9481" width="3.85546875" style="3792" customWidth="1"/>
    <col min="9482" max="9482" width="23.42578125" style="3792" bestFit="1" customWidth="1"/>
    <col min="9483" max="9734" width="9.140625" style="3792"/>
    <col min="9735" max="9735" width="3.85546875" style="3792" customWidth="1"/>
    <col min="9736" max="9736" width="14.42578125" style="3792" customWidth="1"/>
    <col min="9737" max="9737" width="3.85546875" style="3792" customWidth="1"/>
    <col min="9738" max="9738" width="23.42578125" style="3792" bestFit="1" customWidth="1"/>
    <col min="9739" max="9990" width="9.140625" style="3792"/>
    <col min="9991" max="9991" width="3.85546875" style="3792" customWidth="1"/>
    <col min="9992" max="9992" width="14.42578125" style="3792" customWidth="1"/>
    <col min="9993" max="9993" width="3.85546875" style="3792" customWidth="1"/>
    <col min="9994" max="9994" width="23.42578125" style="3792" bestFit="1" customWidth="1"/>
    <col min="9995" max="10246" width="9.140625" style="3792"/>
    <col min="10247" max="10247" width="3.85546875" style="3792" customWidth="1"/>
    <col min="10248" max="10248" width="14.42578125" style="3792" customWidth="1"/>
    <col min="10249" max="10249" width="3.85546875" style="3792" customWidth="1"/>
    <col min="10250" max="10250" width="23.42578125" style="3792" bestFit="1" customWidth="1"/>
    <col min="10251" max="10502" width="9.140625" style="3792"/>
    <col min="10503" max="10503" width="3.85546875" style="3792" customWidth="1"/>
    <col min="10504" max="10504" width="14.42578125" style="3792" customWidth="1"/>
    <col min="10505" max="10505" width="3.85546875" style="3792" customWidth="1"/>
    <col min="10506" max="10506" width="23.42578125" style="3792" bestFit="1" customWidth="1"/>
    <col min="10507" max="10758" width="9.140625" style="3792"/>
    <col min="10759" max="10759" width="3.85546875" style="3792" customWidth="1"/>
    <col min="10760" max="10760" width="14.42578125" style="3792" customWidth="1"/>
    <col min="10761" max="10761" width="3.85546875" style="3792" customWidth="1"/>
    <col min="10762" max="10762" width="23.42578125" style="3792" bestFit="1" customWidth="1"/>
    <col min="10763" max="11014" width="9.140625" style="3792"/>
    <col min="11015" max="11015" width="3.85546875" style="3792" customWidth="1"/>
    <col min="11016" max="11016" width="14.42578125" style="3792" customWidth="1"/>
    <col min="11017" max="11017" width="3.85546875" style="3792" customWidth="1"/>
    <col min="11018" max="11018" width="23.42578125" style="3792" bestFit="1" customWidth="1"/>
    <col min="11019" max="11270" width="9.140625" style="3792"/>
    <col min="11271" max="11271" width="3.85546875" style="3792" customWidth="1"/>
    <col min="11272" max="11272" width="14.42578125" style="3792" customWidth="1"/>
    <col min="11273" max="11273" width="3.85546875" style="3792" customWidth="1"/>
    <col min="11274" max="11274" width="23.42578125" style="3792" bestFit="1" customWidth="1"/>
    <col min="11275" max="11526" width="9.140625" style="3792"/>
    <col min="11527" max="11527" width="3.85546875" style="3792" customWidth="1"/>
    <col min="11528" max="11528" width="14.42578125" style="3792" customWidth="1"/>
    <col min="11529" max="11529" width="3.85546875" style="3792" customWidth="1"/>
    <col min="11530" max="11530" width="23.42578125" style="3792" bestFit="1" customWidth="1"/>
    <col min="11531" max="11782" width="9.140625" style="3792"/>
    <col min="11783" max="11783" width="3.85546875" style="3792" customWidth="1"/>
    <col min="11784" max="11784" width="14.42578125" style="3792" customWidth="1"/>
    <col min="11785" max="11785" width="3.85546875" style="3792" customWidth="1"/>
    <col min="11786" max="11786" width="23.42578125" style="3792" bestFit="1" customWidth="1"/>
    <col min="11787" max="12038" width="9.140625" style="3792"/>
    <col min="12039" max="12039" width="3.85546875" style="3792" customWidth="1"/>
    <col min="12040" max="12040" width="14.42578125" style="3792" customWidth="1"/>
    <col min="12041" max="12041" width="3.85546875" style="3792" customWidth="1"/>
    <col min="12042" max="12042" width="23.42578125" style="3792" bestFit="1" customWidth="1"/>
    <col min="12043" max="12294" width="9.140625" style="3792"/>
    <col min="12295" max="12295" width="3.85546875" style="3792" customWidth="1"/>
    <col min="12296" max="12296" width="14.42578125" style="3792" customWidth="1"/>
    <col min="12297" max="12297" width="3.85546875" style="3792" customWidth="1"/>
    <col min="12298" max="12298" width="23.42578125" style="3792" bestFit="1" customWidth="1"/>
    <col min="12299" max="12550" width="9.140625" style="3792"/>
    <col min="12551" max="12551" width="3.85546875" style="3792" customWidth="1"/>
    <col min="12552" max="12552" width="14.42578125" style="3792" customWidth="1"/>
    <col min="12553" max="12553" width="3.85546875" style="3792" customWidth="1"/>
    <col min="12554" max="12554" width="23.42578125" style="3792" bestFit="1" customWidth="1"/>
    <col min="12555" max="12806" width="9.140625" style="3792"/>
    <col min="12807" max="12807" width="3.85546875" style="3792" customWidth="1"/>
    <col min="12808" max="12808" width="14.42578125" style="3792" customWidth="1"/>
    <col min="12809" max="12809" width="3.85546875" style="3792" customWidth="1"/>
    <col min="12810" max="12810" width="23.42578125" style="3792" bestFit="1" customWidth="1"/>
    <col min="12811" max="13062" width="9.140625" style="3792"/>
    <col min="13063" max="13063" width="3.85546875" style="3792" customWidth="1"/>
    <col min="13064" max="13064" width="14.42578125" style="3792" customWidth="1"/>
    <col min="13065" max="13065" width="3.85546875" style="3792" customWidth="1"/>
    <col min="13066" max="13066" width="23.42578125" style="3792" bestFit="1" customWidth="1"/>
    <col min="13067" max="13318" width="9.140625" style="3792"/>
    <col min="13319" max="13319" width="3.85546875" style="3792" customWidth="1"/>
    <col min="13320" max="13320" width="14.42578125" style="3792" customWidth="1"/>
    <col min="13321" max="13321" width="3.85546875" style="3792" customWidth="1"/>
    <col min="13322" max="13322" width="23.42578125" style="3792" bestFit="1" customWidth="1"/>
    <col min="13323" max="13574" width="9.140625" style="3792"/>
    <col min="13575" max="13575" width="3.85546875" style="3792" customWidth="1"/>
    <col min="13576" max="13576" width="14.42578125" style="3792" customWidth="1"/>
    <col min="13577" max="13577" width="3.85546875" style="3792" customWidth="1"/>
    <col min="13578" max="13578" width="23.42578125" style="3792" bestFit="1" customWidth="1"/>
    <col min="13579" max="13830" width="9.140625" style="3792"/>
    <col min="13831" max="13831" width="3.85546875" style="3792" customWidth="1"/>
    <col min="13832" max="13832" width="14.42578125" style="3792" customWidth="1"/>
    <col min="13833" max="13833" width="3.85546875" style="3792" customWidth="1"/>
    <col min="13834" max="13834" width="23.42578125" style="3792" bestFit="1" customWidth="1"/>
    <col min="13835" max="14086" width="9.140625" style="3792"/>
    <col min="14087" max="14087" width="3.85546875" style="3792" customWidth="1"/>
    <col min="14088" max="14088" width="14.42578125" style="3792" customWidth="1"/>
    <col min="14089" max="14089" width="3.85546875" style="3792" customWidth="1"/>
    <col min="14090" max="14090" width="23.42578125" style="3792" bestFit="1" customWidth="1"/>
    <col min="14091" max="14342" width="9.140625" style="3792"/>
    <col min="14343" max="14343" width="3.85546875" style="3792" customWidth="1"/>
    <col min="14344" max="14344" width="14.42578125" style="3792" customWidth="1"/>
    <col min="14345" max="14345" width="3.85546875" style="3792" customWidth="1"/>
    <col min="14346" max="14346" width="23.42578125" style="3792" bestFit="1" customWidth="1"/>
    <col min="14347" max="14598" width="9.140625" style="3792"/>
    <col min="14599" max="14599" width="3.85546875" style="3792" customWidth="1"/>
    <col min="14600" max="14600" width="14.42578125" style="3792" customWidth="1"/>
    <col min="14601" max="14601" width="3.85546875" style="3792" customWidth="1"/>
    <col min="14602" max="14602" width="23.42578125" style="3792" bestFit="1" customWidth="1"/>
    <col min="14603" max="14854" width="9.140625" style="3792"/>
    <col min="14855" max="14855" width="3.85546875" style="3792" customWidth="1"/>
    <col min="14856" max="14856" width="14.42578125" style="3792" customWidth="1"/>
    <col min="14857" max="14857" width="3.85546875" style="3792" customWidth="1"/>
    <col min="14858" max="14858" width="23.42578125" style="3792" bestFit="1" customWidth="1"/>
    <col min="14859" max="15110" width="9.140625" style="3792"/>
    <col min="15111" max="15111" width="3.85546875" style="3792" customWidth="1"/>
    <col min="15112" max="15112" width="14.42578125" style="3792" customWidth="1"/>
    <col min="15113" max="15113" width="3.85546875" style="3792" customWidth="1"/>
    <col min="15114" max="15114" width="23.42578125" style="3792" bestFit="1" customWidth="1"/>
    <col min="15115" max="15366" width="9.140625" style="3792"/>
    <col min="15367" max="15367" width="3.85546875" style="3792" customWidth="1"/>
    <col min="15368" max="15368" width="14.42578125" style="3792" customWidth="1"/>
    <col min="15369" max="15369" width="3.85546875" style="3792" customWidth="1"/>
    <col min="15370" max="15370" width="23.42578125" style="3792" bestFit="1" customWidth="1"/>
    <col min="15371" max="15622" width="9.140625" style="3792"/>
    <col min="15623" max="15623" width="3.85546875" style="3792" customWidth="1"/>
    <col min="15624" max="15624" width="14.42578125" style="3792" customWidth="1"/>
    <col min="15625" max="15625" width="3.85546875" style="3792" customWidth="1"/>
    <col min="15626" max="15626" width="23.42578125" style="3792" bestFit="1" customWidth="1"/>
    <col min="15627" max="15878" width="9.140625" style="3792"/>
    <col min="15879" max="15879" width="3.85546875" style="3792" customWidth="1"/>
    <col min="15880" max="15880" width="14.42578125" style="3792" customWidth="1"/>
    <col min="15881" max="15881" width="3.85546875" style="3792" customWidth="1"/>
    <col min="15882" max="15882" width="23.42578125" style="3792" bestFit="1" customWidth="1"/>
    <col min="15883" max="16134" width="9.140625" style="3792"/>
    <col min="16135" max="16135" width="3.85546875" style="3792" customWidth="1"/>
    <col min="16136" max="16136" width="14.42578125" style="3792" customWidth="1"/>
    <col min="16137" max="16137" width="3.85546875" style="3792" customWidth="1"/>
    <col min="16138" max="16138" width="23.42578125" style="3792" bestFit="1" customWidth="1"/>
    <col min="16139" max="16384" width="9.140625" style="3792"/>
  </cols>
  <sheetData>
    <row r="1" spans="1:29" x14ac:dyDescent="0.25">
      <c r="D1" s="3838"/>
      <c r="E1" s="3838"/>
      <c r="F1" s="3838"/>
      <c r="G1" s="3838"/>
      <c r="H1" s="3838"/>
      <c r="I1" s="3838"/>
      <c r="J1" s="3838"/>
      <c r="K1" s="3838"/>
      <c r="L1" s="3838"/>
      <c r="M1" s="3838"/>
      <c r="N1" s="3838"/>
      <c r="O1" s="3838"/>
      <c r="P1" s="3838"/>
      <c r="Q1" s="3838"/>
      <c r="R1" s="3838"/>
      <c r="S1" s="3838"/>
      <c r="T1" s="3838"/>
      <c r="U1" s="3838"/>
    </row>
    <row r="2" spans="1:29" ht="14.45" customHeight="1" x14ac:dyDescent="0.25">
      <c r="A2" s="3854">
        <v>1</v>
      </c>
      <c r="B2" s="3854" t="s">
        <v>0</v>
      </c>
      <c r="C2" s="3854">
        <v>47</v>
      </c>
      <c r="D2" s="4877" t="s">
        <v>1273</v>
      </c>
      <c r="E2" s="4878"/>
      <c r="F2" s="4878"/>
      <c r="G2" s="4878"/>
      <c r="H2" s="4878"/>
      <c r="I2" s="4878"/>
      <c r="J2" s="4878"/>
      <c r="K2" s="4878"/>
      <c r="L2" s="4878"/>
      <c r="M2" s="4878"/>
      <c r="N2" s="4878"/>
      <c r="O2" s="4878"/>
      <c r="P2" s="4878"/>
      <c r="Q2" s="4878"/>
      <c r="R2" s="4878"/>
      <c r="S2" s="4878"/>
      <c r="T2" s="4878"/>
      <c r="U2" s="4878"/>
      <c r="V2" s="4878"/>
      <c r="W2" s="4878"/>
      <c r="X2" s="4878"/>
      <c r="Y2" s="4878"/>
      <c r="Z2" s="4879"/>
    </row>
    <row r="3" spans="1:29" x14ac:dyDescent="0.25">
      <c r="A3" s="3854">
        <v>2</v>
      </c>
      <c r="B3" s="3854" t="s">
        <v>2</v>
      </c>
      <c r="C3" s="3854"/>
      <c r="D3" s="4877" t="s">
        <v>1231</v>
      </c>
      <c r="E3" s="4878"/>
      <c r="F3" s="4878"/>
      <c r="G3" s="4878"/>
      <c r="H3" s="4878"/>
      <c r="I3" s="4878"/>
      <c r="J3" s="4878"/>
      <c r="K3" s="4878"/>
      <c r="L3" s="4878"/>
      <c r="M3" s="4878"/>
      <c r="N3" s="4878"/>
      <c r="O3" s="4878"/>
      <c r="P3" s="4878"/>
      <c r="Q3" s="4878"/>
      <c r="R3" s="4878"/>
      <c r="S3" s="4878"/>
      <c r="T3" s="4878"/>
      <c r="U3" s="4878"/>
      <c r="V3" s="4878"/>
      <c r="W3" s="4878"/>
      <c r="X3" s="4878"/>
      <c r="Y3" s="4878"/>
      <c r="Z3" s="4879"/>
    </row>
    <row r="4" spans="1:29" ht="15" customHeight="1" x14ac:dyDescent="0.25">
      <c r="A4" s="3854">
        <v>3</v>
      </c>
      <c r="B4" s="3854" t="s">
        <v>4</v>
      </c>
      <c r="C4" s="3854"/>
      <c r="D4" s="4877" t="s">
        <v>1274</v>
      </c>
      <c r="E4" s="4878"/>
      <c r="F4" s="4878"/>
      <c r="G4" s="4878"/>
      <c r="H4" s="4878"/>
      <c r="I4" s="4878"/>
      <c r="J4" s="4878"/>
      <c r="K4" s="4878"/>
      <c r="L4" s="4878"/>
      <c r="M4" s="4878"/>
      <c r="N4" s="4878"/>
      <c r="O4" s="4878"/>
      <c r="P4" s="4878"/>
      <c r="Q4" s="4878"/>
      <c r="R4" s="4878"/>
      <c r="S4" s="4878"/>
      <c r="T4" s="4878"/>
      <c r="U4" s="4878"/>
      <c r="V4" s="4878"/>
      <c r="W4" s="4878"/>
      <c r="X4" s="4878"/>
      <c r="Y4" s="4878"/>
      <c r="Z4" s="4879"/>
    </row>
    <row r="5" spans="1:29" x14ac:dyDescent="0.25">
      <c r="C5" s="3872"/>
      <c r="D5" s="4066"/>
    </row>
    <row r="6" spans="1:29" x14ac:dyDescent="0.25">
      <c r="A6" s="3854">
        <v>4</v>
      </c>
      <c r="B6" s="3872" t="s">
        <v>6</v>
      </c>
      <c r="D6" s="4067" t="s">
        <v>80</v>
      </c>
      <c r="E6" s="3853" t="s">
        <v>1275</v>
      </c>
      <c r="F6" s="3853"/>
      <c r="G6" s="3853"/>
      <c r="H6" s="3853"/>
      <c r="I6" s="3853"/>
      <c r="J6" s="3853"/>
      <c r="K6" s="3853"/>
      <c r="L6" s="3853"/>
      <c r="M6" s="3838"/>
      <c r="N6" s="3838"/>
      <c r="O6" s="3838"/>
      <c r="P6" s="3838"/>
      <c r="Q6" s="3838"/>
      <c r="R6" s="3838"/>
      <c r="S6" s="3838"/>
      <c r="T6" s="3838"/>
      <c r="U6" s="3838"/>
    </row>
    <row r="7" spans="1:29" s="4077" customFormat="1" x14ac:dyDescent="0.25">
      <c r="A7" s="4068"/>
      <c r="B7" s="4069"/>
      <c r="C7" s="4069"/>
      <c r="D7" s="4070"/>
      <c r="E7" s="4071">
        <v>1997</v>
      </c>
      <c r="F7" s="4071">
        <v>1998</v>
      </c>
      <c r="G7" s="4071">
        <v>1999</v>
      </c>
      <c r="H7" s="4071">
        <v>2000</v>
      </c>
      <c r="I7" s="4071">
        <v>2001</v>
      </c>
      <c r="J7" s="4071">
        <v>2002</v>
      </c>
      <c r="K7" s="4071">
        <v>2003</v>
      </c>
      <c r="L7" s="4071">
        <v>2004</v>
      </c>
      <c r="M7" s="4071">
        <v>2005</v>
      </c>
      <c r="N7" s="4072">
        <v>2006</v>
      </c>
      <c r="O7" s="4072">
        <v>2007</v>
      </c>
      <c r="P7" s="4072">
        <v>2008</v>
      </c>
      <c r="Q7" s="4072">
        <v>2009</v>
      </c>
      <c r="R7" s="4072">
        <v>2010</v>
      </c>
      <c r="S7" s="4072">
        <v>2011</v>
      </c>
      <c r="T7" s="4072">
        <v>2012</v>
      </c>
      <c r="U7" s="4072">
        <v>2013</v>
      </c>
      <c r="V7" s="4072">
        <v>2014</v>
      </c>
      <c r="W7" s="4073">
        <v>2015</v>
      </c>
      <c r="X7" s="4073">
        <v>2016</v>
      </c>
      <c r="Y7" s="4074">
        <v>2017</v>
      </c>
      <c r="Z7" s="4074">
        <v>2018</v>
      </c>
      <c r="AA7" s="4075">
        <v>2019</v>
      </c>
      <c r="AB7" s="4076">
        <v>2020</v>
      </c>
      <c r="AC7" s="4076">
        <v>2021</v>
      </c>
    </row>
    <row r="8" spans="1:29" s="4017" customFormat="1" ht="12.75" x14ac:dyDescent="0.2">
      <c r="A8" s="3828"/>
      <c r="B8" s="4078"/>
      <c r="C8" s="4078"/>
      <c r="D8" s="4079" t="s">
        <v>1276</v>
      </c>
      <c r="E8" s="4080"/>
      <c r="F8" s="4080"/>
      <c r="G8" s="4080"/>
      <c r="H8" s="4080"/>
      <c r="I8" s="4080"/>
      <c r="J8" s="4080"/>
      <c r="K8" s="4080"/>
      <c r="L8" s="4080"/>
      <c r="M8" s="4080">
        <v>3372</v>
      </c>
      <c r="N8" s="4081"/>
      <c r="O8" s="4081"/>
      <c r="P8" s="4081"/>
      <c r="Q8" s="4081"/>
      <c r="R8" s="4081"/>
      <c r="S8" s="4081"/>
      <c r="T8" s="4081"/>
      <c r="U8" s="4081"/>
      <c r="V8" s="4081"/>
      <c r="W8" s="4082"/>
      <c r="X8" s="4082"/>
      <c r="Y8" s="4083"/>
      <c r="Z8" s="4083"/>
      <c r="AA8" s="4084"/>
      <c r="AB8" s="4085"/>
    </row>
    <row r="9" spans="1:29" s="4017" customFormat="1" ht="12.75" x14ac:dyDescent="0.2">
      <c r="A9" s="3828"/>
      <c r="B9" s="4078"/>
      <c r="C9" s="4078"/>
      <c r="D9" s="3852" t="s">
        <v>1277</v>
      </c>
      <c r="E9" s="4086">
        <v>116.46884349643946</v>
      </c>
      <c r="F9" s="4086">
        <v>114.64542675075597</v>
      </c>
      <c r="G9" s="4086">
        <v>112.6701441518783</v>
      </c>
      <c r="H9" s="4086">
        <v>103.15922078685679</v>
      </c>
      <c r="I9" s="4086">
        <v>102.75689666055395</v>
      </c>
      <c r="J9" s="4086">
        <v>103.042517648174</v>
      </c>
      <c r="K9" s="4086">
        <v>102.63462601815201</v>
      </c>
      <c r="L9" s="4086">
        <v>101.99929937820961</v>
      </c>
      <c r="M9" s="4086">
        <v>101</v>
      </c>
      <c r="N9" s="4087">
        <v>106.53</v>
      </c>
      <c r="O9" s="4087">
        <v>101.6</v>
      </c>
      <c r="P9" s="4087">
        <v>96.637409507176358</v>
      </c>
      <c r="Q9" s="4087">
        <v>96</v>
      </c>
      <c r="R9" s="4087">
        <v>94.659830579029986</v>
      </c>
      <c r="S9" s="4087">
        <v>91</v>
      </c>
      <c r="T9" s="4087">
        <v>96</v>
      </c>
      <c r="U9" s="4087">
        <v>96.809171484516895</v>
      </c>
      <c r="V9" s="4087">
        <v>97</v>
      </c>
      <c r="W9" s="4088">
        <v>97</v>
      </c>
      <c r="X9" s="4088">
        <v>97</v>
      </c>
      <c r="Y9" s="4089">
        <v>97</v>
      </c>
      <c r="Z9" s="4089">
        <v>96</v>
      </c>
      <c r="AA9" s="4090">
        <v>96</v>
      </c>
      <c r="AB9" s="4091">
        <v>95</v>
      </c>
    </row>
    <row r="10" spans="1:29" s="4017" customFormat="1" ht="12.75" x14ac:dyDescent="0.2">
      <c r="A10" s="3828"/>
      <c r="B10" s="4078"/>
      <c r="C10" s="4078"/>
      <c r="D10" s="3852" t="s">
        <v>1278</v>
      </c>
      <c r="E10" s="4086">
        <v>119.79873206170512</v>
      </c>
      <c r="F10" s="4086">
        <v>117.8683216439664</v>
      </c>
      <c r="G10" s="4086">
        <v>116.32950113900253</v>
      </c>
      <c r="H10" s="4086">
        <v>108.86587682439261</v>
      </c>
      <c r="I10" s="4086">
        <v>107.06945248946968</v>
      </c>
      <c r="J10" s="4086">
        <v>107.1474767650661</v>
      </c>
      <c r="K10" s="4086">
        <v>107.04120464798635</v>
      </c>
      <c r="L10" s="4086">
        <v>106.80439525965599</v>
      </c>
      <c r="M10" s="4086">
        <v>9191</v>
      </c>
      <c r="N10" s="4087">
        <v>101.41</v>
      </c>
      <c r="O10" s="4087"/>
      <c r="P10" s="4087">
        <v>99.061288446299514</v>
      </c>
      <c r="Q10" s="4087"/>
      <c r="R10" s="4087"/>
      <c r="S10" s="4087"/>
      <c r="T10" s="4087"/>
      <c r="U10" s="4087">
        <v>102.4324751311642</v>
      </c>
      <c r="V10" s="4087">
        <v>101</v>
      </c>
      <c r="W10" s="4088">
        <v>101</v>
      </c>
      <c r="X10" s="4088">
        <v>101</v>
      </c>
      <c r="Y10" s="4089">
        <v>105</v>
      </c>
      <c r="Z10" s="4089">
        <v>100</v>
      </c>
      <c r="AA10" s="4090">
        <v>100</v>
      </c>
      <c r="AB10" s="4091">
        <v>99</v>
      </c>
    </row>
    <row r="11" spans="1:29" s="4017" customFormat="1" ht="12.75" x14ac:dyDescent="0.2">
      <c r="A11" s="3828"/>
      <c r="B11" s="4078"/>
      <c r="C11" s="4078"/>
      <c r="D11" s="4092" t="s">
        <v>1279</v>
      </c>
      <c r="E11" s="4093">
        <v>0.97220430877723707</v>
      </c>
      <c r="F11" s="4093">
        <v>0.97265681865781106</v>
      </c>
      <c r="G11" s="4093">
        <v>0.96854317304471504</v>
      </c>
      <c r="H11" s="4093">
        <v>0.94758085633443245</v>
      </c>
      <c r="I11" s="4093">
        <v>0.95972188398609892</v>
      </c>
      <c r="J11" s="4093">
        <v>0.96168870009050489</v>
      </c>
      <c r="K11" s="4093">
        <v>0.95883287520608784</v>
      </c>
      <c r="L11" s="4093">
        <v>0.95501031704018791</v>
      </c>
      <c r="M11" s="4093">
        <v>0.96190476190476193</v>
      </c>
      <c r="N11" s="4094">
        <v>0.96</v>
      </c>
      <c r="O11" s="4094">
        <v>0.96596311085757736</v>
      </c>
      <c r="P11" s="4094">
        <v>0.98</v>
      </c>
      <c r="Q11" s="4087"/>
      <c r="R11" s="4087"/>
      <c r="S11" s="4087"/>
      <c r="T11" s="4087"/>
      <c r="U11" s="4094">
        <v>0.94510233556841527</v>
      </c>
      <c r="V11" s="4094">
        <v>0.96</v>
      </c>
      <c r="W11" s="4095">
        <v>0.96</v>
      </c>
      <c r="X11" s="4095">
        <v>0.96</v>
      </c>
      <c r="Y11" s="4096">
        <v>0.94</v>
      </c>
      <c r="Z11" s="4096">
        <f>Z9/Z10</f>
        <v>0.96</v>
      </c>
      <c r="AA11" s="4097">
        <v>0.96</v>
      </c>
      <c r="AB11" s="4098">
        <f>AB9/AB10</f>
        <v>0.95959595959595956</v>
      </c>
    </row>
    <row r="12" spans="1:29" s="4017" customFormat="1" ht="12.75" x14ac:dyDescent="0.2">
      <c r="A12" s="3828"/>
      <c r="B12" s="4078"/>
      <c r="C12" s="4078"/>
      <c r="D12" s="4079" t="s">
        <v>1280</v>
      </c>
      <c r="E12" s="4080"/>
      <c r="F12" s="4080"/>
      <c r="G12" s="4080"/>
      <c r="H12" s="4080"/>
      <c r="I12" s="4080"/>
      <c r="J12" s="4080"/>
      <c r="K12" s="4080"/>
      <c r="L12" s="4080"/>
      <c r="M12" s="4080"/>
      <c r="N12" s="4081"/>
      <c r="O12" s="4081"/>
      <c r="P12" s="4099"/>
      <c r="Q12" s="4099"/>
      <c r="R12" s="4099"/>
      <c r="S12" s="4099"/>
      <c r="T12" s="4099"/>
      <c r="U12" s="4099"/>
      <c r="V12" s="4099"/>
      <c r="W12" s="4100"/>
      <c r="X12" s="4100"/>
      <c r="Y12" s="4101"/>
      <c r="Z12" s="4083"/>
      <c r="AA12" s="4084"/>
      <c r="AB12" s="4102"/>
    </row>
    <row r="13" spans="1:29" s="4017" customFormat="1" ht="12.75" x14ac:dyDescent="0.2">
      <c r="A13" s="3828"/>
      <c r="B13" s="4078"/>
      <c r="C13" s="4078"/>
      <c r="D13" s="3852" t="s">
        <v>1281</v>
      </c>
      <c r="E13" s="4086">
        <v>89.826645801043512</v>
      </c>
      <c r="F13" s="4086">
        <v>91.624834429406604</v>
      </c>
      <c r="G13" s="4086">
        <v>90.636810492291815</v>
      </c>
      <c r="H13" s="4086">
        <v>87.366434134254817</v>
      </c>
      <c r="I13" s="4086">
        <v>88.732898814251541</v>
      </c>
      <c r="J13" s="4086">
        <v>89.658810754319731</v>
      </c>
      <c r="K13" s="4086">
        <v>90.644396594581593</v>
      </c>
      <c r="L13" s="4086">
        <v>92.803666816366288</v>
      </c>
      <c r="M13" s="4086">
        <v>92</v>
      </c>
      <c r="N13" s="4087">
        <v>97.59</v>
      </c>
      <c r="O13" s="4087">
        <v>93.3</v>
      </c>
      <c r="P13" s="4087">
        <v>87.881619560637901</v>
      </c>
      <c r="Q13" s="4087">
        <v>83</v>
      </c>
      <c r="R13" s="4087">
        <v>88.363376071830601</v>
      </c>
      <c r="S13" s="4087">
        <v>90</v>
      </c>
      <c r="T13" s="4087">
        <v>92</v>
      </c>
      <c r="U13" s="4087">
        <v>91.597094298506192</v>
      </c>
      <c r="V13" s="4087">
        <v>91</v>
      </c>
      <c r="W13" s="4088">
        <v>97</v>
      </c>
      <c r="X13" s="4088">
        <v>97</v>
      </c>
      <c r="Y13" s="4089">
        <v>99</v>
      </c>
      <c r="Z13" s="4083">
        <v>96</v>
      </c>
      <c r="AA13" s="4090">
        <v>97</v>
      </c>
      <c r="AB13" s="4103">
        <v>93</v>
      </c>
    </row>
    <row r="14" spans="1:29" s="4017" customFormat="1" ht="12.75" x14ac:dyDescent="0.2">
      <c r="A14" s="3828"/>
      <c r="B14" s="4078"/>
      <c r="C14" s="4078"/>
      <c r="D14" s="3852" t="s">
        <v>1282</v>
      </c>
      <c r="E14" s="4086">
        <v>77.295368318125441</v>
      </c>
      <c r="F14" s="4086">
        <v>79.955259158653661</v>
      </c>
      <c r="G14" s="4086">
        <v>79.551541748294881</v>
      </c>
      <c r="H14" s="4086">
        <v>77.494055709824195</v>
      </c>
      <c r="I14" s="4086">
        <v>79.280437367959479</v>
      </c>
      <c r="J14" s="4086">
        <v>81.280335324831711</v>
      </c>
      <c r="K14" s="4086">
        <v>82.843738951410302</v>
      </c>
      <c r="L14" s="4086">
        <v>84.619954764370547</v>
      </c>
      <c r="M14" s="4086">
        <v>85</v>
      </c>
      <c r="N14" s="4087">
        <v>80.8</v>
      </c>
      <c r="O14" s="4087">
        <v>88.17</v>
      </c>
      <c r="P14" s="4087">
        <v>81.61571145575158</v>
      </c>
      <c r="Q14" s="4087">
        <v>82</v>
      </c>
      <c r="R14" s="4087">
        <v>82.522334185123782</v>
      </c>
      <c r="S14" s="4087">
        <v>84</v>
      </c>
      <c r="T14" s="4087">
        <v>86</v>
      </c>
      <c r="U14" s="4087">
        <v>86.385034696440968</v>
      </c>
      <c r="V14" s="4087">
        <v>86</v>
      </c>
      <c r="W14" s="4088">
        <v>92</v>
      </c>
      <c r="X14" s="4088">
        <v>91</v>
      </c>
      <c r="Y14" s="4089">
        <v>95</v>
      </c>
      <c r="Z14" s="4083">
        <v>91</v>
      </c>
      <c r="AA14" s="4090">
        <v>93</v>
      </c>
      <c r="AB14" s="4103">
        <v>88</v>
      </c>
    </row>
    <row r="15" spans="1:29" s="4017" customFormat="1" ht="12.75" x14ac:dyDescent="0.2">
      <c r="A15" s="3828"/>
      <c r="B15" s="4078"/>
      <c r="C15" s="4078"/>
      <c r="D15" s="4092" t="s">
        <v>1283</v>
      </c>
      <c r="E15" s="4093">
        <v>1.1621219712847857</v>
      </c>
      <c r="F15" s="4093">
        <v>1.145951315692658</v>
      </c>
      <c r="G15" s="4093">
        <v>1.1393470007039119</v>
      </c>
      <c r="H15" s="4093">
        <v>1.1273952993426704</v>
      </c>
      <c r="I15" s="4093">
        <v>1.1192281697743534</v>
      </c>
      <c r="J15" s="4093">
        <v>1.1030812114148394</v>
      </c>
      <c r="K15" s="4093">
        <v>1.0941611006686522</v>
      </c>
      <c r="L15" s="4093">
        <v>1.0967113735144836</v>
      </c>
      <c r="M15" s="4093">
        <v>1.0823529411764705</v>
      </c>
      <c r="N15" s="4094">
        <v>1.0900000000000001</v>
      </c>
      <c r="O15" s="4094">
        <v>1.0580000000000001</v>
      </c>
      <c r="P15" s="4094">
        <v>1.08</v>
      </c>
      <c r="Q15" s="4094">
        <v>1.01</v>
      </c>
      <c r="R15" s="4094">
        <v>1.07078134597603</v>
      </c>
      <c r="S15" s="4094">
        <v>1.0714285714285714</v>
      </c>
      <c r="T15" s="4094">
        <v>1.069767441860465</v>
      </c>
      <c r="U15" s="4094">
        <v>1.0603352145470628</v>
      </c>
      <c r="V15" s="4094">
        <v>1.07</v>
      </c>
      <c r="W15" s="4095">
        <v>1.05</v>
      </c>
      <c r="X15" s="4095">
        <v>1.06</v>
      </c>
      <c r="Y15" s="4096">
        <v>1.04</v>
      </c>
      <c r="Z15" s="4096">
        <f>Z13/Z14</f>
        <v>1.054945054945055</v>
      </c>
      <c r="AA15" s="4104">
        <v>1.04</v>
      </c>
      <c r="AB15" s="4105">
        <f>AB13/AB14</f>
        <v>1.0568181818181819</v>
      </c>
    </row>
    <row r="16" spans="1:29" s="4017" customFormat="1" ht="12.75" x14ac:dyDescent="0.2">
      <c r="A16" s="3828"/>
      <c r="B16" s="4078"/>
      <c r="C16" s="4078"/>
      <c r="D16" s="4079" t="s">
        <v>1284</v>
      </c>
      <c r="E16" s="4106"/>
      <c r="F16" s="4106"/>
      <c r="G16" s="4106"/>
      <c r="H16" s="4106"/>
      <c r="I16" s="4106"/>
      <c r="J16" s="4106"/>
      <c r="K16" s="4106"/>
      <c r="L16" s="4106"/>
      <c r="M16" s="4106"/>
      <c r="N16" s="4099"/>
      <c r="O16" s="4099"/>
      <c r="P16" s="4099"/>
      <c r="Q16" s="4099"/>
      <c r="R16" s="4099"/>
      <c r="S16" s="4099"/>
      <c r="T16" s="4099"/>
      <c r="U16" s="4099"/>
      <c r="V16" s="4099"/>
      <c r="W16" s="4100"/>
      <c r="X16" s="4100"/>
      <c r="Y16" s="4101"/>
      <c r="Z16" s="4083"/>
      <c r="AA16" s="4084"/>
      <c r="AB16" s="4102"/>
    </row>
    <row r="17" spans="1:29" s="4017" customFormat="1" ht="12.75" x14ac:dyDescent="0.2">
      <c r="A17" s="3828"/>
      <c r="B17" s="4078"/>
      <c r="C17" s="4078"/>
      <c r="D17" s="3852" t="s">
        <v>1285</v>
      </c>
      <c r="E17" s="4086">
        <v>105.59343184716576</v>
      </c>
      <c r="F17" s="4086">
        <v>105.21637636044481</v>
      </c>
      <c r="G17" s="4086">
        <v>103.65264189378658</v>
      </c>
      <c r="H17" s="4086">
        <v>96.757884772191375</v>
      </c>
      <c r="I17" s="4086">
        <v>97.084292464482971</v>
      </c>
      <c r="J17" s="4086">
        <v>97.638166119700699</v>
      </c>
      <c r="K17" s="4086">
        <v>97.789199593132409</v>
      </c>
      <c r="L17" s="4086">
        <v>98.264991992196755</v>
      </c>
      <c r="M17" s="4107">
        <v>97</v>
      </c>
      <c r="N17" s="4087">
        <v>94</v>
      </c>
      <c r="O17" s="4108">
        <v>98.45</v>
      </c>
      <c r="P17" s="4087">
        <v>93.018484575991323</v>
      </c>
      <c r="Q17" s="4087">
        <v>92</v>
      </c>
      <c r="R17" s="4087">
        <v>92.021667424361581</v>
      </c>
      <c r="S17" s="4087">
        <v>91</v>
      </c>
      <c r="T17" s="4087">
        <v>94</v>
      </c>
      <c r="U17" s="4087">
        <v>94.611554888294307</v>
      </c>
      <c r="V17" s="4087">
        <v>95</v>
      </c>
      <c r="W17" s="4088">
        <v>97</v>
      </c>
      <c r="X17" s="4088">
        <v>97</v>
      </c>
      <c r="Y17" s="4089">
        <v>98</v>
      </c>
      <c r="Z17" s="4083">
        <v>96</v>
      </c>
      <c r="AA17" s="4090">
        <v>96</v>
      </c>
      <c r="AB17" s="4091">
        <v>94</v>
      </c>
    </row>
    <row r="18" spans="1:29" s="4017" customFormat="1" ht="12.75" x14ac:dyDescent="0.2">
      <c r="A18" s="3828"/>
      <c r="B18" s="4078"/>
      <c r="C18" s="4078"/>
      <c r="D18" s="3852" t="s">
        <v>1286</v>
      </c>
      <c r="E18" s="4080">
        <v>102.5136168092352</v>
      </c>
      <c r="F18" s="4080">
        <v>102.38558895365368</v>
      </c>
      <c r="G18" s="4080">
        <v>101.30752021558165</v>
      </c>
      <c r="H18" s="4080">
        <v>96.155874774198068</v>
      </c>
      <c r="I18" s="4080">
        <v>95.836663358432659</v>
      </c>
      <c r="J18" s="4080">
        <v>96.71165756765788</v>
      </c>
      <c r="K18" s="4080">
        <v>97.2754824850782</v>
      </c>
      <c r="L18" s="4080">
        <v>97.812304119842636</v>
      </c>
      <c r="M18" s="4080">
        <v>97</v>
      </c>
      <c r="N18" s="4081">
        <v>93</v>
      </c>
      <c r="O18" s="4081">
        <v>97.85</v>
      </c>
      <c r="P18" s="4087">
        <v>91.863519207021469</v>
      </c>
      <c r="Q18" s="4087">
        <v>90</v>
      </c>
      <c r="R18" s="4087">
        <v>91.849680108833823</v>
      </c>
      <c r="S18" s="4087">
        <v>91</v>
      </c>
      <c r="T18" s="4087">
        <v>95</v>
      </c>
      <c r="U18" s="4087">
        <v>95.677043767544234</v>
      </c>
      <c r="V18" s="4087">
        <v>95</v>
      </c>
      <c r="W18" s="4088">
        <v>97</v>
      </c>
      <c r="X18" s="4088">
        <v>96</v>
      </c>
      <c r="Y18" s="4089">
        <v>100</v>
      </c>
      <c r="Z18" s="4083">
        <v>99</v>
      </c>
      <c r="AA18" s="4090">
        <v>97</v>
      </c>
      <c r="AB18" s="4091">
        <v>95</v>
      </c>
    </row>
    <row r="19" spans="1:29" s="4017" customFormat="1" ht="12.75" x14ac:dyDescent="0.2">
      <c r="A19" s="3828"/>
      <c r="B19" s="4078"/>
      <c r="C19" s="4078"/>
      <c r="D19" s="4109" t="s">
        <v>1287</v>
      </c>
      <c r="E19" s="4110">
        <v>1.03</v>
      </c>
      <c r="F19" s="4110">
        <v>1.0269999999999999</v>
      </c>
      <c r="G19" s="4110">
        <v>1.0229999999999999</v>
      </c>
      <c r="H19" s="4110">
        <v>1.006</v>
      </c>
      <c r="I19" s="4110">
        <v>1.0129999999999999</v>
      </c>
      <c r="J19" s="4110">
        <v>1.0089999999999999</v>
      </c>
      <c r="K19" s="4110">
        <v>1.0049999999999999</v>
      </c>
      <c r="L19" s="4110">
        <v>1.004</v>
      </c>
      <c r="M19" s="4110">
        <v>1</v>
      </c>
      <c r="N19" s="4111">
        <v>1.01</v>
      </c>
      <c r="O19" s="4111">
        <v>1.0061318344404702</v>
      </c>
      <c r="P19" s="4111">
        <v>1.01</v>
      </c>
      <c r="Q19" s="4111">
        <v>1.02</v>
      </c>
      <c r="R19" s="4111">
        <v>1.0018724868211186</v>
      </c>
      <c r="S19" s="4111">
        <v>1</v>
      </c>
      <c r="T19" s="4111">
        <v>0.98947368421052628</v>
      </c>
      <c r="U19" s="4111">
        <v>0.98886369355392478</v>
      </c>
      <c r="V19" s="4111">
        <v>1</v>
      </c>
      <c r="W19" s="4112">
        <v>1</v>
      </c>
      <c r="X19" s="4112">
        <v>1.01</v>
      </c>
      <c r="Y19" s="4113">
        <v>0.98</v>
      </c>
      <c r="Z19" s="4113">
        <f>Z17/Z18</f>
        <v>0.96969696969696972</v>
      </c>
      <c r="AA19" s="4104">
        <v>0.99</v>
      </c>
      <c r="AB19" s="4105">
        <f>AB17/AB18</f>
        <v>0.98947368421052628</v>
      </c>
    </row>
    <row r="20" spans="1:29" s="4017" customFormat="1" x14ac:dyDescent="0.25">
      <c r="A20" s="3828"/>
      <c r="B20" s="4078"/>
      <c r="C20" s="4078"/>
      <c r="D20" s="3852"/>
      <c r="E20" s="4114"/>
      <c r="F20" s="4114"/>
      <c r="G20" s="4114"/>
      <c r="H20" s="4114"/>
      <c r="I20" s="4114"/>
      <c r="J20" s="4114"/>
      <c r="K20" s="4114"/>
      <c r="L20" s="4114"/>
      <c r="M20" s="4114"/>
      <c r="N20" s="4115"/>
      <c r="O20" s="4115"/>
      <c r="P20" s="4115"/>
      <c r="Q20" s="4115"/>
      <c r="R20" s="4115"/>
      <c r="S20" s="4115"/>
      <c r="T20" s="4115"/>
      <c r="U20" s="4115"/>
      <c r="AA20" s="3792"/>
    </row>
    <row r="21" spans="1:29" s="4017" customFormat="1" x14ac:dyDescent="0.25">
      <c r="A21" s="3828"/>
      <c r="B21" s="4078"/>
      <c r="C21" s="4078"/>
      <c r="D21" s="3852"/>
      <c r="E21" s="4114"/>
      <c r="F21" s="4114"/>
      <c r="G21" s="4114"/>
      <c r="H21" s="4114"/>
      <c r="I21" s="4114"/>
      <c r="J21" s="4114"/>
      <c r="K21" s="4114"/>
      <c r="L21" s="4114"/>
      <c r="M21" s="4114"/>
      <c r="N21" s="4115"/>
      <c r="O21" s="4115"/>
      <c r="P21" s="4115"/>
      <c r="Q21" s="4115"/>
      <c r="R21" s="4115"/>
      <c r="S21" s="4115"/>
      <c r="T21" s="4115"/>
      <c r="U21" s="4115"/>
      <c r="AA21" s="3792"/>
    </row>
    <row r="22" spans="1:29" s="4017" customFormat="1" x14ac:dyDescent="0.25">
      <c r="A22" s="3828"/>
      <c r="B22" s="4078"/>
      <c r="C22" s="4078"/>
      <c r="D22" s="3852"/>
      <c r="E22" s="4114"/>
      <c r="F22" s="4114"/>
      <c r="G22" s="4114"/>
      <c r="H22" s="4114"/>
      <c r="I22" s="4114"/>
      <c r="J22" s="4114"/>
      <c r="K22" s="4114"/>
      <c r="L22" s="4114"/>
      <c r="M22" s="4114"/>
      <c r="N22" s="4115"/>
      <c r="O22" s="4115"/>
      <c r="P22" s="4115"/>
      <c r="Q22" s="4115"/>
      <c r="R22" s="4115"/>
      <c r="S22" s="4115"/>
      <c r="T22" s="4115"/>
      <c r="U22" s="4115"/>
      <c r="AA22" s="3792"/>
    </row>
    <row r="23" spans="1:29" s="4017" customFormat="1" x14ac:dyDescent="0.25">
      <c r="A23" s="3828"/>
      <c r="B23" s="4078"/>
      <c r="C23" s="4078"/>
      <c r="D23" s="4116" t="s">
        <v>267</v>
      </c>
      <c r="E23" s="4067" t="s">
        <v>1288</v>
      </c>
      <c r="F23" s="4117"/>
      <c r="G23" s="4117"/>
      <c r="H23" s="4117"/>
      <c r="I23" s="4117"/>
      <c r="J23" s="4117"/>
      <c r="K23" s="4117"/>
      <c r="L23" s="4117"/>
      <c r="M23" s="4117"/>
      <c r="N23" s="4118"/>
      <c r="O23" s="4118"/>
      <c r="P23" s="4118"/>
      <c r="Q23" s="4118"/>
      <c r="R23" s="4118"/>
      <c r="S23" s="4118"/>
      <c r="T23" s="4118"/>
      <c r="U23" s="4118"/>
      <c r="V23" s="4119"/>
      <c r="W23" s="4120"/>
      <c r="X23" s="4120"/>
      <c r="AA23" s="3792"/>
    </row>
    <row r="24" spans="1:29" s="4120" customFormat="1" ht="12.75" x14ac:dyDescent="0.2">
      <c r="A24" s="4121"/>
      <c r="B24" s="4122"/>
      <c r="C24" s="4122"/>
      <c r="D24" s="4123"/>
      <c r="E24" s="4071">
        <v>1997</v>
      </c>
      <c r="F24" s="4071">
        <v>1998</v>
      </c>
      <c r="G24" s="4071">
        <v>1999</v>
      </c>
      <c r="H24" s="4071">
        <v>2000</v>
      </c>
      <c r="I24" s="4071">
        <v>2001</v>
      </c>
      <c r="J24" s="4071">
        <v>2002</v>
      </c>
      <c r="K24" s="4071">
        <v>2003</v>
      </c>
      <c r="L24" s="4071">
        <v>2004</v>
      </c>
      <c r="M24" s="4071">
        <v>2005</v>
      </c>
      <c r="N24" s="4072">
        <v>2006</v>
      </c>
      <c r="O24" s="4072">
        <v>2007</v>
      </c>
      <c r="P24" s="4072">
        <v>2008</v>
      </c>
      <c r="Q24" s="4072">
        <v>2009</v>
      </c>
      <c r="R24" s="4072">
        <v>2010</v>
      </c>
      <c r="S24" s="4072">
        <v>2011</v>
      </c>
      <c r="T24" s="4072">
        <v>2012</v>
      </c>
      <c r="U24" s="4072">
        <v>2013</v>
      </c>
      <c r="V24" s="4072">
        <v>2014</v>
      </c>
      <c r="W24" s="4073">
        <v>2015</v>
      </c>
      <c r="X24" s="4074">
        <v>2016</v>
      </c>
      <c r="Y24" s="4074">
        <v>2017</v>
      </c>
      <c r="Z24" s="4074">
        <v>2018</v>
      </c>
      <c r="AA24" s="4074">
        <v>2019</v>
      </c>
      <c r="AB24" s="1237">
        <v>2020</v>
      </c>
      <c r="AC24" s="1237">
        <v>2021</v>
      </c>
    </row>
    <row r="25" spans="1:29" s="4017" customFormat="1" ht="12.75" x14ac:dyDescent="0.2">
      <c r="A25" s="3828"/>
      <c r="B25" s="4078"/>
      <c r="C25" s="4078"/>
      <c r="D25" s="4079" t="s">
        <v>1289</v>
      </c>
      <c r="E25" s="4106"/>
      <c r="F25" s="4106"/>
      <c r="G25" s="4106"/>
      <c r="H25" s="4124"/>
      <c r="I25" s="4124"/>
      <c r="J25" s="4124"/>
      <c r="K25" s="4124"/>
      <c r="L25" s="4124"/>
      <c r="M25" s="4124"/>
      <c r="N25" s="4124"/>
      <c r="O25" s="4124"/>
      <c r="P25" s="4124"/>
      <c r="Q25" s="4124"/>
      <c r="R25" s="4124"/>
      <c r="S25" s="4099"/>
      <c r="T25" s="4124"/>
      <c r="U25" s="4124"/>
      <c r="V25" s="4124"/>
      <c r="W25" s="4125"/>
      <c r="X25" s="4126"/>
      <c r="Y25" s="4126"/>
      <c r="Z25" s="4126"/>
      <c r="AA25" s="4126"/>
      <c r="AB25" s="2778"/>
      <c r="AC25" s="2778"/>
    </row>
    <row r="26" spans="1:29" s="4017" customFormat="1" ht="12.75" x14ac:dyDescent="0.2">
      <c r="A26" s="3828"/>
      <c r="B26" s="4078"/>
      <c r="C26" s="4078"/>
      <c r="D26" s="3852" t="s">
        <v>1290</v>
      </c>
      <c r="E26" s="4080">
        <v>12.667584064220822</v>
      </c>
      <c r="F26" s="4080">
        <v>12.757732016510623</v>
      </c>
      <c r="G26" s="4080">
        <v>12.652888547094962</v>
      </c>
      <c r="H26" s="4127">
        <v>13.586840093866437</v>
      </c>
      <c r="I26" s="4127">
        <v>15.119784422184605</v>
      </c>
      <c r="J26" s="4127">
        <v>15.922705845018109</v>
      </c>
      <c r="K26" s="4127">
        <v>16.564696337941488</v>
      </c>
      <c r="L26" s="4127">
        <v>17.467824797874005</v>
      </c>
      <c r="M26" s="4127">
        <v>17.36220034400398</v>
      </c>
      <c r="N26" s="4127">
        <v>17.609352407640063</v>
      </c>
      <c r="O26" s="4127">
        <v>18.137335912854869</v>
      </c>
      <c r="P26" s="4127">
        <v>18.600000000000001</v>
      </c>
      <c r="Q26" s="4127">
        <v>19.300222536920899</v>
      </c>
      <c r="R26" s="4127">
        <v>20.399999999999999</v>
      </c>
      <c r="S26" s="4127">
        <v>22.103847210659492</v>
      </c>
      <c r="T26" s="4128" t="s">
        <v>1291</v>
      </c>
      <c r="U26" s="4128">
        <v>22.833029443936514</v>
      </c>
      <c r="V26" s="4128">
        <v>21.686733571709425</v>
      </c>
      <c r="W26" s="4129">
        <v>21.729589731506486</v>
      </c>
      <c r="X26" s="4130">
        <v>21.380933566375564</v>
      </c>
      <c r="Y26" s="4130">
        <v>24.017140118649575</v>
      </c>
      <c r="Z26" s="4130">
        <v>25.369794579220002</v>
      </c>
      <c r="AA26" s="4130">
        <v>26.26</v>
      </c>
      <c r="AB26" s="4131">
        <v>27.755751686914081</v>
      </c>
      <c r="AC26" s="4131">
        <v>27.805119342003724</v>
      </c>
    </row>
    <row r="27" spans="1:29" s="4017" customFormat="1" ht="12.75" x14ac:dyDescent="0.2">
      <c r="A27" s="3828"/>
      <c r="B27" s="4078"/>
      <c r="C27" s="4078"/>
      <c r="D27" s="3852" t="s">
        <v>1292</v>
      </c>
      <c r="E27" s="4080">
        <v>13.101344169028096</v>
      </c>
      <c r="F27" s="4080">
        <v>12.438615568491281</v>
      </c>
      <c r="G27" s="4080">
        <v>12.024259565992052</v>
      </c>
      <c r="H27" s="4127">
        <v>12.279098806886102</v>
      </c>
      <c r="I27" s="4127">
        <v>12.999059987642484</v>
      </c>
      <c r="J27" s="4127">
        <v>13.572086253944285</v>
      </c>
      <c r="K27" s="4127">
        <v>14.181559461290757</v>
      </c>
      <c r="L27" s="4127">
        <v>14.691559070993756</v>
      </c>
      <c r="M27" s="4127">
        <v>14.405550555275473</v>
      </c>
      <c r="N27" s="4127">
        <v>14.260220670722742</v>
      </c>
      <c r="O27" s="4127">
        <v>14.434189640492542</v>
      </c>
      <c r="P27" s="4127">
        <v>14.7</v>
      </c>
      <c r="Q27" s="4127">
        <v>14.641504041806156</v>
      </c>
      <c r="R27" s="4127">
        <v>15</v>
      </c>
      <c r="S27" s="4127">
        <v>15.923005217334794</v>
      </c>
      <c r="T27" s="4128" t="s">
        <v>1293</v>
      </c>
      <c r="U27" s="4128">
        <v>16.00965485469483</v>
      </c>
      <c r="V27" s="4128">
        <v>15.185535689473229</v>
      </c>
      <c r="W27" s="4129">
        <v>15.442303395006693</v>
      </c>
      <c r="X27" s="4130">
        <v>15.34817940414678</v>
      </c>
      <c r="Y27" s="4130">
        <v>17.172829183327785</v>
      </c>
      <c r="Z27" s="4130">
        <v>17.828678620441547</v>
      </c>
      <c r="AA27" s="4130">
        <v>17.55</v>
      </c>
      <c r="AB27" s="2782">
        <v>17.692884012500407</v>
      </c>
      <c r="AC27" s="2782">
        <v>17.313718049039331</v>
      </c>
    </row>
    <row r="28" spans="1:29" x14ac:dyDescent="0.25">
      <c r="D28" s="4109" t="s">
        <v>1294</v>
      </c>
      <c r="E28" s="4132">
        <v>0.96689193878039681</v>
      </c>
      <c r="F28" s="4132">
        <v>1.0256553027354351</v>
      </c>
      <c r="G28" s="4132">
        <v>1.0522800574665609</v>
      </c>
      <c r="H28" s="4133">
        <v>1.1065014059701967</v>
      </c>
      <c r="I28" s="4133">
        <v>1.1631444455643856</v>
      </c>
      <c r="J28" s="4133">
        <v>1.1731951556372324</v>
      </c>
      <c r="K28" s="4133">
        <v>1.1680447685006445</v>
      </c>
      <c r="L28" s="4133">
        <v>1.188970123147894</v>
      </c>
      <c r="M28" s="4133">
        <v>1.2052437897033896</v>
      </c>
      <c r="N28" s="4133">
        <v>1.2348583387488057</v>
      </c>
      <c r="O28" s="4133">
        <v>1.2565538048616052</v>
      </c>
      <c r="P28" s="4133">
        <v>1.2653061224489797</v>
      </c>
      <c r="Q28" s="4134">
        <v>1.318185787594814</v>
      </c>
      <c r="R28" s="4133">
        <v>1.36</v>
      </c>
      <c r="S28" s="4133">
        <v>1.3881705688694896</v>
      </c>
      <c r="T28" s="4135">
        <v>1.42</v>
      </c>
      <c r="U28" s="4135">
        <v>1.4262037283858577</v>
      </c>
      <c r="V28" s="4135">
        <v>1.4281177836052827</v>
      </c>
      <c r="W28" s="4136">
        <v>1.4071469246312569</v>
      </c>
      <c r="X28" s="4137">
        <v>1.3930599195757936</v>
      </c>
      <c r="Y28" s="4137">
        <v>1.3985546506202122</v>
      </c>
      <c r="Z28" s="4137">
        <v>1.4229767174182026</v>
      </c>
      <c r="AA28" s="4137">
        <v>1.4957</v>
      </c>
      <c r="AB28" s="2763">
        <v>1.57</v>
      </c>
      <c r="AC28" s="2763">
        <v>1.6059588855061966</v>
      </c>
    </row>
    <row r="29" spans="1:29" x14ac:dyDescent="0.25">
      <c r="Y29" s="4017"/>
      <c r="Z29" s="4017"/>
    </row>
    <row r="31" spans="1:29" s="4017" customFormat="1" ht="12.75" x14ac:dyDescent="0.2">
      <c r="A31" s="3828"/>
      <c r="B31" s="4138"/>
      <c r="C31" s="4138"/>
      <c r="D31" s="4139"/>
      <c r="E31" s="4139"/>
      <c r="F31" s="4139"/>
      <c r="G31" s="4139"/>
      <c r="H31" s="4139"/>
      <c r="I31" s="4139"/>
      <c r="J31" s="4139"/>
      <c r="K31" s="4139"/>
      <c r="L31" s="4139"/>
      <c r="M31" s="4139"/>
      <c r="N31" s="4139"/>
      <c r="O31" s="4139"/>
      <c r="P31" s="4139"/>
      <c r="Q31" s="4139"/>
      <c r="R31" s="4139"/>
      <c r="S31" s="4139"/>
      <c r="T31" s="4139"/>
      <c r="U31" s="4139"/>
    </row>
    <row r="32" spans="1:29" s="4017" customFormat="1" ht="12.75" x14ac:dyDescent="0.2">
      <c r="A32" s="3828"/>
      <c r="B32" s="4138"/>
      <c r="C32" s="4138"/>
      <c r="D32" s="4116" t="s">
        <v>656</v>
      </c>
      <c r="E32" s="4067" t="s">
        <v>1295</v>
      </c>
      <c r="F32" s="4117"/>
      <c r="G32" s="4117"/>
      <c r="H32" s="4117"/>
      <c r="I32" s="4117"/>
      <c r="J32" s="4117"/>
      <c r="K32" s="4117"/>
      <c r="L32" s="4117"/>
      <c r="M32" s="4117"/>
      <c r="N32" s="4118"/>
      <c r="O32" s="4118"/>
      <c r="P32" s="4118"/>
      <c r="Q32" s="4118"/>
      <c r="R32" s="4118"/>
      <c r="S32" s="4118"/>
      <c r="T32" s="4118"/>
      <c r="U32" s="4118"/>
      <c r="V32" s="4119"/>
      <c r="W32" s="4120"/>
      <c r="X32" s="4120"/>
    </row>
    <row r="33" spans="1:29" s="4017" customFormat="1" ht="12.75" x14ac:dyDescent="0.2">
      <c r="A33" s="3828"/>
      <c r="B33" s="4138"/>
      <c r="C33" s="4138"/>
      <c r="D33" s="4123"/>
      <c r="E33" s="4071">
        <v>1997</v>
      </c>
      <c r="F33" s="4071">
        <v>1998</v>
      </c>
      <c r="G33" s="4071">
        <v>1999</v>
      </c>
      <c r="H33" s="4071">
        <v>2000</v>
      </c>
      <c r="I33" s="4071">
        <v>2001</v>
      </c>
      <c r="J33" s="4071">
        <v>2002</v>
      </c>
      <c r="K33" s="4071">
        <v>2003</v>
      </c>
      <c r="L33" s="4071">
        <v>2004</v>
      </c>
      <c r="M33" s="4071">
        <v>2005</v>
      </c>
      <c r="N33" s="4072">
        <v>2006</v>
      </c>
      <c r="O33" s="4072">
        <v>2007</v>
      </c>
      <c r="P33" s="4072">
        <v>2008</v>
      </c>
      <c r="Q33" s="4072">
        <v>2009</v>
      </c>
      <c r="R33" s="4072">
        <v>2010</v>
      </c>
      <c r="S33" s="4072">
        <v>2011</v>
      </c>
      <c r="T33" s="4072">
        <v>2012</v>
      </c>
      <c r="U33" s="4072">
        <v>2013</v>
      </c>
      <c r="V33" s="4072">
        <v>2014</v>
      </c>
      <c r="W33" s="4073">
        <v>2015</v>
      </c>
      <c r="X33" s="4074">
        <v>2016</v>
      </c>
      <c r="Y33" s="4074">
        <v>2017</v>
      </c>
      <c r="Z33" s="4074">
        <v>2018</v>
      </c>
      <c r="AA33" s="4074">
        <v>2019</v>
      </c>
      <c r="AB33" s="4060">
        <v>2020</v>
      </c>
      <c r="AC33" s="4060">
        <v>2021</v>
      </c>
    </row>
    <row r="34" spans="1:29" s="4017" customFormat="1" ht="12.75" x14ac:dyDescent="0.2">
      <c r="A34" s="3828"/>
      <c r="B34" s="4138"/>
      <c r="C34" s="4138"/>
      <c r="D34" s="4079" t="s">
        <v>1296</v>
      </c>
      <c r="E34" s="4079"/>
      <c r="F34" s="4079"/>
      <c r="G34" s="4079"/>
      <c r="H34" s="4079"/>
      <c r="I34" s="4079"/>
      <c r="J34" s="4079"/>
      <c r="K34" s="4079"/>
      <c r="L34" s="4079"/>
      <c r="M34" s="4079"/>
      <c r="N34" s="4079"/>
      <c r="O34" s="4079"/>
      <c r="P34" s="4079"/>
      <c r="Q34" s="4079"/>
      <c r="R34" s="4124"/>
      <c r="S34" s="4099"/>
      <c r="T34" s="4124"/>
      <c r="U34" s="4124"/>
      <c r="V34" s="4124"/>
      <c r="W34" s="4125"/>
      <c r="X34" s="4126"/>
      <c r="Y34" s="4126"/>
      <c r="Z34" s="4126"/>
      <c r="AA34" s="4126"/>
      <c r="AB34" s="4140"/>
      <c r="AC34" s="4140"/>
    </row>
    <row r="35" spans="1:29" s="4017" customFormat="1" ht="12.75" x14ac:dyDescent="0.2">
      <c r="A35" s="3828"/>
      <c r="B35" s="4138"/>
      <c r="C35" s="4138"/>
      <c r="D35" s="3852" t="s">
        <v>1290</v>
      </c>
      <c r="E35" s="3852"/>
      <c r="F35" s="3852"/>
      <c r="G35" s="3852"/>
      <c r="H35" s="3852"/>
      <c r="I35" s="3852"/>
      <c r="J35" s="3852"/>
      <c r="K35" s="3852"/>
      <c r="L35" s="3852"/>
      <c r="M35" s="3852"/>
      <c r="N35" s="3852"/>
      <c r="O35" s="3852"/>
      <c r="P35" s="3852"/>
      <c r="Q35" s="3852"/>
      <c r="R35" s="4127">
        <v>6.4762766444017252</v>
      </c>
      <c r="S35" s="4127">
        <v>7.5462337788649343</v>
      </c>
      <c r="T35" s="4128">
        <v>10.197482924122564</v>
      </c>
      <c r="U35" s="4128">
        <v>13.134084878344618</v>
      </c>
      <c r="V35" s="4128">
        <v>15.119087471313847</v>
      </c>
      <c r="W35" s="4129">
        <v>16.861227343282302</v>
      </c>
      <c r="X35" s="4130">
        <v>17.063018304600199</v>
      </c>
      <c r="Y35" s="4130">
        <v>16.932709353237428</v>
      </c>
      <c r="Z35" s="4130">
        <v>16.473631893032799</v>
      </c>
      <c r="AA35" s="4130">
        <v>17.05</v>
      </c>
      <c r="AB35" s="4140"/>
      <c r="AC35" s="4140"/>
    </row>
    <row r="36" spans="1:29" s="4017" customFormat="1" ht="12.75" x14ac:dyDescent="0.2">
      <c r="A36" s="3828"/>
      <c r="B36" s="4138"/>
      <c r="C36" s="4138"/>
      <c r="D36" s="3852" t="s">
        <v>1292</v>
      </c>
      <c r="E36" s="3852"/>
      <c r="F36" s="3852"/>
      <c r="G36" s="3852"/>
      <c r="H36" s="3852"/>
      <c r="I36" s="3852"/>
      <c r="J36" s="3852"/>
      <c r="K36" s="3852"/>
      <c r="L36" s="3852"/>
      <c r="M36" s="3852"/>
      <c r="N36" s="3852"/>
      <c r="O36" s="3852"/>
      <c r="P36" s="3852"/>
      <c r="Q36" s="3852"/>
      <c r="R36" s="4127">
        <v>7.1911403020163727</v>
      </c>
      <c r="S36" s="4127">
        <v>7.9340660963392313</v>
      </c>
      <c r="T36" s="4128">
        <v>10.201431536783405</v>
      </c>
      <c r="U36" s="4128">
        <v>12.418915091672833</v>
      </c>
      <c r="V36" s="4128">
        <v>13.093943366141914</v>
      </c>
      <c r="W36" s="4129">
        <v>13.881915414535543</v>
      </c>
      <c r="X36" s="4130">
        <v>12.824467626123781</v>
      </c>
      <c r="Y36" s="4130">
        <v>12.612756048962389</v>
      </c>
      <c r="Z36" s="4130">
        <v>11.9891897339126</v>
      </c>
      <c r="AA36" s="4130">
        <v>12.04</v>
      </c>
      <c r="AB36" s="4140"/>
      <c r="AC36" s="4140"/>
    </row>
    <row r="37" spans="1:29" s="4017" customFormat="1" ht="12.75" x14ac:dyDescent="0.2">
      <c r="A37" s="3828"/>
      <c r="B37" s="4138"/>
      <c r="C37" s="4138"/>
      <c r="D37" s="4109" t="s">
        <v>1297</v>
      </c>
      <c r="E37" s="4109"/>
      <c r="F37" s="4109"/>
      <c r="G37" s="4109"/>
      <c r="H37" s="4109"/>
      <c r="I37" s="4109"/>
      <c r="J37" s="4109"/>
      <c r="K37" s="4109"/>
      <c r="L37" s="4109"/>
      <c r="M37" s="4109"/>
      <c r="N37" s="4109"/>
      <c r="O37" s="4109"/>
      <c r="P37" s="4109"/>
      <c r="Q37" s="4109"/>
      <c r="R37" s="4133">
        <v>0.90059105682944296</v>
      </c>
      <c r="S37" s="4133">
        <v>0.95111808840951773</v>
      </c>
      <c r="T37" s="4135">
        <v>0.99961293543493346</v>
      </c>
      <c r="U37" s="4135">
        <v>1.0575871387631375</v>
      </c>
      <c r="V37" s="4135">
        <v>1.1546626595627805</v>
      </c>
      <c r="W37" s="4136">
        <v>1.2146182165630519</v>
      </c>
      <c r="X37" s="4137">
        <v>1.3305050004448042</v>
      </c>
      <c r="Y37" s="4137">
        <v>1.3425066882690107</v>
      </c>
      <c r="Z37" s="4137">
        <v>1.3740404696770721</v>
      </c>
      <c r="AA37" s="4137">
        <v>1.4161129568106314</v>
      </c>
      <c r="AB37" s="4137">
        <v>1.57</v>
      </c>
      <c r="AC37" s="4137">
        <v>1.57</v>
      </c>
    </row>
    <row r="38" spans="1:29" s="4017" customFormat="1" ht="12.75" x14ac:dyDescent="0.2">
      <c r="A38" s="3828"/>
      <c r="B38" s="4138"/>
      <c r="C38" s="4138"/>
      <c r="D38" s="4139"/>
      <c r="E38" s="4139"/>
      <c r="F38" s="4139"/>
      <c r="G38" s="4139"/>
      <c r="H38" s="4139"/>
      <c r="I38" s="4139"/>
      <c r="J38" s="4139"/>
      <c r="K38" s="4139"/>
      <c r="L38" s="4139"/>
      <c r="M38" s="4139"/>
      <c r="N38" s="4139"/>
      <c r="O38" s="4139"/>
      <c r="P38" s="4139"/>
      <c r="Q38" s="4139"/>
      <c r="R38" s="4139"/>
      <c r="S38" s="4139"/>
      <c r="T38" s="4139"/>
      <c r="U38" s="4139"/>
    </row>
    <row r="39" spans="1:29" s="4017" customFormat="1" ht="12.75" x14ac:dyDescent="0.2">
      <c r="A39" s="3828"/>
      <c r="B39" s="4138"/>
      <c r="C39" s="4138"/>
      <c r="D39" s="4139"/>
      <c r="E39" s="4139"/>
      <c r="F39" s="4139"/>
      <c r="G39" s="4139"/>
      <c r="H39" s="4139"/>
      <c r="I39" s="4139"/>
      <c r="J39" s="4139"/>
      <c r="K39" s="4139"/>
      <c r="L39" s="4139"/>
      <c r="M39" s="4139"/>
      <c r="N39" s="4139"/>
      <c r="O39" s="4139"/>
      <c r="P39" s="4139"/>
      <c r="Q39" s="4139"/>
      <c r="R39" s="4139"/>
      <c r="S39" s="4139"/>
      <c r="T39" s="4139"/>
      <c r="U39" s="4139"/>
    </row>
    <row r="40" spans="1:29" s="4017" customFormat="1" ht="12.75" x14ac:dyDescent="0.2">
      <c r="A40" s="3828"/>
      <c r="B40" s="4138"/>
      <c r="C40" s="4138"/>
      <c r="D40" s="4139"/>
      <c r="E40" s="4139"/>
      <c r="F40" s="4139"/>
      <c r="G40" s="4139"/>
      <c r="H40" s="4139"/>
      <c r="I40" s="4139"/>
      <c r="J40" s="4139"/>
      <c r="K40" s="4139"/>
      <c r="L40" s="4139"/>
      <c r="M40" s="4139"/>
      <c r="N40" s="4139"/>
      <c r="O40" s="4139"/>
      <c r="P40" s="4139"/>
      <c r="Q40" s="4139"/>
      <c r="R40" s="4139"/>
      <c r="S40" s="4139"/>
      <c r="T40" s="4139"/>
      <c r="U40" s="4139"/>
    </row>
    <row r="41" spans="1:29" s="4017" customFormat="1" ht="12.75" x14ac:dyDescent="0.2">
      <c r="A41" s="3854">
        <v>5</v>
      </c>
      <c r="B41" s="3854" t="s">
        <v>51</v>
      </c>
      <c r="C41" s="3854"/>
      <c r="D41" s="4139"/>
      <c r="E41" s="4139"/>
      <c r="F41" s="4139"/>
      <c r="G41" s="4139"/>
      <c r="H41" s="4139"/>
      <c r="I41" s="4139"/>
      <c r="J41" s="4139"/>
      <c r="K41" s="4139"/>
      <c r="L41" s="4139"/>
      <c r="M41" s="4139"/>
      <c r="N41" s="4139"/>
      <c r="O41" s="4139"/>
      <c r="P41" s="4139"/>
      <c r="Q41" s="4139"/>
      <c r="R41" s="4139"/>
      <c r="S41" s="4139"/>
      <c r="T41" s="4139"/>
      <c r="U41" s="4139"/>
    </row>
    <row r="42" spans="1:29" s="4017" customFormat="1" ht="12.75" x14ac:dyDescent="0.2">
      <c r="A42" s="3828"/>
      <c r="B42" s="4141"/>
      <c r="C42" s="4141"/>
      <c r="D42" s="4142"/>
      <c r="E42" s="4142"/>
      <c r="F42" s="4142"/>
      <c r="G42" s="4142"/>
      <c r="H42" s="4142"/>
      <c r="I42" s="4142"/>
      <c r="J42" s="4142"/>
      <c r="K42" s="4142"/>
      <c r="L42" s="4139"/>
      <c r="M42" s="4139"/>
      <c r="N42" s="4139"/>
      <c r="O42" s="4139"/>
      <c r="P42" s="4139"/>
      <c r="Q42" s="4139"/>
      <c r="R42" s="4139"/>
      <c r="S42" s="4139"/>
      <c r="T42" s="4139"/>
      <c r="U42" s="4139"/>
    </row>
    <row r="43" spans="1:29" s="4017" customFormat="1" ht="12.75" x14ac:dyDescent="0.2">
      <c r="A43" s="3828"/>
      <c r="B43" s="4141"/>
      <c r="C43" s="4141"/>
      <c r="D43" s="4142"/>
      <c r="E43" s="4142"/>
      <c r="F43" s="4142"/>
      <c r="G43" s="4142"/>
      <c r="H43" s="4142"/>
      <c r="I43" s="4142"/>
      <c r="J43" s="4142"/>
      <c r="K43" s="4142"/>
      <c r="L43" s="4139"/>
      <c r="M43" s="4139"/>
      <c r="N43" s="4139"/>
      <c r="O43" s="4139"/>
      <c r="P43" s="4139"/>
      <c r="Q43" s="4139"/>
      <c r="R43" s="4139"/>
      <c r="S43" s="4139"/>
      <c r="T43" s="4139"/>
      <c r="U43" s="4139"/>
    </row>
    <row r="44" spans="1:29" s="4017" customFormat="1" ht="12.75" x14ac:dyDescent="0.2">
      <c r="A44" s="3828"/>
      <c r="B44" s="4141"/>
      <c r="C44" s="4141"/>
      <c r="D44" s="4142"/>
      <c r="E44" s="4142"/>
      <c r="F44" s="4142"/>
      <c r="G44" s="4142"/>
      <c r="H44" s="4142"/>
      <c r="I44" s="4142"/>
      <c r="J44" s="4142"/>
      <c r="K44" s="4142"/>
      <c r="L44" s="4139"/>
      <c r="M44" s="4139"/>
      <c r="N44" s="4139"/>
      <c r="O44" s="4139"/>
      <c r="P44" s="4139"/>
      <c r="Q44" s="4139"/>
      <c r="R44" s="4139"/>
      <c r="S44" s="4139"/>
      <c r="T44" s="4139"/>
      <c r="U44" s="4139"/>
    </row>
    <row r="45" spans="1:29" s="4017" customFormat="1" ht="12.75" x14ac:dyDescent="0.2">
      <c r="A45" s="3828"/>
      <c r="B45" s="4141"/>
      <c r="C45" s="4141"/>
      <c r="D45" s="4142"/>
      <c r="E45" s="4142"/>
      <c r="F45" s="4142"/>
      <c r="G45" s="4142"/>
      <c r="H45" s="4142"/>
      <c r="I45" s="4142"/>
      <c r="J45" s="4142"/>
      <c r="K45" s="4142"/>
      <c r="L45" s="4139"/>
      <c r="M45" s="4139"/>
      <c r="N45" s="4139"/>
      <c r="O45" s="4139"/>
      <c r="P45" s="4139"/>
      <c r="Q45" s="4139"/>
      <c r="R45" s="4139"/>
      <c r="S45" s="4139"/>
      <c r="T45" s="4139"/>
      <c r="U45" s="4139"/>
    </row>
    <row r="46" spans="1:29" s="4017" customFormat="1" ht="12.75" x14ac:dyDescent="0.2">
      <c r="A46" s="3828"/>
      <c r="B46" s="4141"/>
      <c r="C46" s="4141"/>
      <c r="D46" s="4142"/>
      <c r="E46" s="4142"/>
      <c r="F46" s="4142"/>
      <c r="G46" s="4142"/>
      <c r="H46" s="4142"/>
      <c r="I46" s="4142"/>
      <c r="J46" s="4142"/>
      <c r="K46" s="4142"/>
      <c r="L46" s="4139"/>
      <c r="M46" s="4139"/>
      <c r="N46" s="4139"/>
      <c r="O46" s="4139"/>
      <c r="P46" s="4139"/>
      <c r="Q46" s="4139"/>
      <c r="R46" s="4139"/>
      <c r="S46" s="4139"/>
      <c r="T46" s="4139"/>
      <c r="U46" s="4139"/>
    </row>
    <row r="47" spans="1:29" s="4017" customFormat="1" ht="12.75" x14ac:dyDescent="0.2">
      <c r="A47" s="3828"/>
      <c r="B47" s="4141"/>
      <c r="C47" s="4141"/>
      <c r="D47" s="4142"/>
      <c r="E47" s="4142"/>
      <c r="F47" s="4142"/>
      <c r="G47" s="4142"/>
      <c r="H47" s="4142"/>
      <c r="I47" s="4142"/>
      <c r="J47" s="4142"/>
      <c r="K47" s="4142"/>
      <c r="L47" s="4139"/>
      <c r="M47" s="4139"/>
      <c r="N47" s="4139"/>
      <c r="O47" s="4139"/>
      <c r="P47" s="4139"/>
      <c r="Q47" s="4139"/>
      <c r="R47" s="4139"/>
      <c r="S47" s="4139"/>
      <c r="T47" s="4139"/>
      <c r="U47" s="4139"/>
    </row>
    <row r="48" spans="1:29" s="4017" customFormat="1" ht="12.75" x14ac:dyDescent="0.2">
      <c r="A48" s="3828"/>
      <c r="B48" s="4141"/>
      <c r="C48" s="4141"/>
      <c r="D48" s="4142"/>
      <c r="E48" s="4142"/>
      <c r="F48" s="4142"/>
      <c r="G48" s="4142"/>
      <c r="H48" s="4142"/>
      <c r="I48" s="4142"/>
      <c r="J48" s="4142"/>
      <c r="K48" s="4142"/>
      <c r="L48" s="4139"/>
      <c r="M48" s="4139"/>
      <c r="N48" s="4139"/>
      <c r="O48" s="4139"/>
      <c r="P48" s="4139"/>
      <c r="Q48" s="4139"/>
      <c r="R48" s="4139"/>
      <c r="S48" s="4139"/>
      <c r="T48" s="4139"/>
      <c r="U48" s="4139"/>
    </row>
    <row r="49" spans="1:21" s="4017" customFormat="1" ht="12.75" x14ac:dyDescent="0.2">
      <c r="A49" s="3828"/>
      <c r="B49" s="4141"/>
      <c r="C49" s="4141"/>
      <c r="D49" s="4142"/>
      <c r="E49" s="4142"/>
      <c r="F49" s="4142"/>
      <c r="G49" s="4142"/>
      <c r="H49" s="4142"/>
      <c r="I49" s="4142"/>
      <c r="J49" s="4142"/>
      <c r="K49" s="4142"/>
      <c r="L49" s="4139"/>
      <c r="M49" s="4139"/>
      <c r="N49" s="4139"/>
      <c r="O49" s="4139"/>
      <c r="P49" s="4139"/>
      <c r="Q49" s="4139"/>
      <c r="R49" s="4139"/>
      <c r="S49" s="4139"/>
      <c r="T49" s="4139"/>
      <c r="U49" s="4139"/>
    </row>
    <row r="50" spans="1:21" s="4017" customFormat="1" ht="6.75" customHeight="1" x14ac:dyDescent="0.2">
      <c r="A50" s="3828"/>
      <c r="B50" s="4141"/>
      <c r="C50" s="4141"/>
      <c r="D50" s="4142"/>
      <c r="E50" s="4142"/>
      <c r="F50" s="4142"/>
      <c r="G50" s="4142"/>
      <c r="H50" s="4142"/>
      <c r="I50" s="4142"/>
      <c r="J50" s="4142"/>
      <c r="K50" s="4142"/>
      <c r="L50" s="4139"/>
      <c r="M50" s="4139"/>
      <c r="N50" s="4139"/>
      <c r="O50" s="4139"/>
      <c r="P50" s="4139"/>
      <c r="Q50" s="4139"/>
      <c r="R50" s="4139"/>
      <c r="S50" s="4139"/>
      <c r="T50" s="4139"/>
      <c r="U50" s="4139"/>
    </row>
    <row r="51" spans="1:21" s="4017" customFormat="1" ht="12.75" hidden="1" x14ac:dyDescent="0.2">
      <c r="A51" s="3828"/>
      <c r="B51" s="4141"/>
      <c r="C51" s="4141"/>
      <c r="D51" s="4142"/>
      <c r="E51" s="4142"/>
      <c r="F51" s="4142"/>
      <c r="G51" s="4142"/>
      <c r="H51" s="4142"/>
      <c r="I51" s="4142"/>
      <c r="J51" s="4142"/>
      <c r="K51" s="4142"/>
      <c r="L51" s="4139"/>
      <c r="M51" s="4139"/>
      <c r="N51" s="4139"/>
      <c r="O51" s="4139"/>
      <c r="P51" s="4139"/>
      <c r="Q51" s="4139"/>
      <c r="R51" s="4139"/>
      <c r="S51" s="4139"/>
      <c r="T51" s="4139"/>
      <c r="U51" s="4139"/>
    </row>
    <row r="52" spans="1:21" s="4017" customFormat="1" ht="13.5" customHeight="1" x14ac:dyDescent="0.2">
      <c r="A52" s="3828"/>
      <c r="B52" s="4141"/>
      <c r="C52" s="4141"/>
      <c r="D52" s="4142"/>
      <c r="E52" s="4142"/>
      <c r="F52" s="4142"/>
      <c r="G52" s="4142"/>
      <c r="H52" s="4142"/>
      <c r="I52" s="4142"/>
      <c r="J52" s="4142"/>
      <c r="K52" s="4142"/>
      <c r="L52" s="4139"/>
      <c r="M52" s="4139"/>
      <c r="N52" s="4139"/>
      <c r="O52" s="4139"/>
      <c r="P52" s="4139"/>
      <c r="Q52" s="4139"/>
      <c r="R52" s="4139"/>
      <c r="S52" s="4139"/>
      <c r="T52" s="4139"/>
      <c r="U52" s="4139"/>
    </row>
    <row r="53" spans="1:21" s="4017" customFormat="1" ht="13.5" customHeight="1" x14ac:dyDescent="0.2">
      <c r="A53" s="3828"/>
      <c r="B53" s="4141"/>
      <c r="C53" s="4141"/>
      <c r="D53" s="4142"/>
      <c r="E53" s="4142"/>
      <c r="F53" s="4142"/>
      <c r="G53" s="4142"/>
      <c r="H53" s="4142"/>
      <c r="I53" s="4142"/>
      <c r="J53" s="4142"/>
      <c r="K53" s="4142"/>
      <c r="L53" s="4139"/>
      <c r="M53" s="4139"/>
      <c r="N53" s="4139"/>
      <c r="O53" s="4139"/>
      <c r="P53" s="4139"/>
      <c r="Q53" s="4139"/>
      <c r="R53" s="4139"/>
      <c r="S53" s="4139"/>
      <c r="T53" s="4139"/>
      <c r="U53" s="4139"/>
    </row>
    <row r="54" spans="1:21" s="4017" customFormat="1" ht="13.5" customHeight="1" x14ac:dyDescent="0.2">
      <c r="A54" s="3828"/>
      <c r="B54" s="4141"/>
      <c r="C54" s="4141"/>
      <c r="D54" s="4142"/>
      <c r="E54" s="4142"/>
      <c r="F54" s="4142"/>
      <c r="G54" s="4142"/>
      <c r="H54" s="4142"/>
      <c r="I54" s="4142"/>
      <c r="J54" s="4142"/>
      <c r="K54" s="4142"/>
      <c r="L54" s="4139"/>
      <c r="M54" s="4139"/>
      <c r="N54" s="4139"/>
      <c r="O54" s="4139"/>
      <c r="P54" s="4139"/>
      <c r="Q54" s="4139"/>
      <c r="R54" s="4139"/>
      <c r="S54" s="4139"/>
      <c r="T54" s="4139"/>
      <c r="U54" s="4139"/>
    </row>
    <row r="55" spans="1:21" s="4017" customFormat="1" ht="13.5" customHeight="1" x14ac:dyDescent="0.2">
      <c r="A55" s="3828"/>
      <c r="B55" s="4141"/>
      <c r="C55" s="4141"/>
      <c r="D55" s="4142"/>
      <c r="E55" s="4142"/>
      <c r="F55" s="4142"/>
      <c r="G55" s="4142"/>
      <c r="H55" s="4142"/>
      <c r="I55" s="4142"/>
      <c r="J55" s="4142"/>
      <c r="K55" s="4142"/>
      <c r="L55" s="4139"/>
      <c r="M55" s="4139"/>
      <c r="N55" s="4139"/>
      <c r="O55" s="4139"/>
      <c r="P55" s="4139"/>
      <c r="Q55" s="4139"/>
      <c r="R55" s="4139"/>
      <c r="S55" s="4139"/>
      <c r="T55" s="4139"/>
      <c r="U55" s="4139"/>
    </row>
    <row r="56" spans="1:21" s="4017" customFormat="1" ht="12.75" x14ac:dyDescent="0.2">
      <c r="A56" s="3828"/>
      <c r="B56" s="4141"/>
      <c r="C56" s="4141"/>
      <c r="D56" s="4142"/>
      <c r="E56" s="4142"/>
      <c r="F56" s="4142"/>
      <c r="G56" s="4142"/>
      <c r="H56" s="4142"/>
      <c r="I56" s="4142"/>
      <c r="J56" s="4142"/>
      <c r="K56" s="4142"/>
      <c r="L56" s="4139"/>
      <c r="M56" s="4139"/>
      <c r="N56" s="4139"/>
      <c r="O56" s="4139"/>
      <c r="P56" s="4139"/>
      <c r="Q56" s="4139"/>
      <c r="R56" s="4139"/>
      <c r="S56" s="4139"/>
      <c r="T56" s="4139"/>
      <c r="U56" s="4139"/>
    </row>
    <row r="57" spans="1:21" s="4017" customFormat="1" ht="12.75" x14ac:dyDescent="0.2">
      <c r="A57" s="3828"/>
      <c r="B57" s="4141"/>
      <c r="C57" s="4141"/>
      <c r="D57" s="4142"/>
      <c r="E57" s="4142"/>
      <c r="F57" s="4142"/>
      <c r="G57" s="4142"/>
      <c r="H57" s="4142"/>
      <c r="I57" s="4142"/>
      <c r="J57" s="4142"/>
      <c r="K57" s="4142"/>
      <c r="L57" s="4139"/>
      <c r="M57" s="4139"/>
      <c r="N57" s="4139"/>
      <c r="O57" s="4139"/>
      <c r="P57" s="4139"/>
      <c r="Q57" s="4139"/>
      <c r="R57" s="4139"/>
      <c r="S57" s="4139"/>
      <c r="T57" s="4139"/>
      <c r="U57" s="4139"/>
    </row>
    <row r="58" spans="1:21" s="4017" customFormat="1" ht="12.75" x14ac:dyDescent="0.2">
      <c r="A58" s="3828"/>
      <c r="B58" s="4141"/>
      <c r="C58" s="4141"/>
      <c r="D58" s="4142"/>
      <c r="E58" s="4142"/>
      <c r="F58" s="4142"/>
      <c r="G58" s="4142"/>
      <c r="H58" s="4142"/>
      <c r="I58" s="4142"/>
      <c r="J58" s="4142"/>
      <c r="K58" s="4142"/>
      <c r="L58" s="4139"/>
      <c r="M58" s="4139"/>
      <c r="N58" s="4139"/>
      <c r="O58" s="4139"/>
      <c r="P58" s="4139"/>
      <c r="Q58" s="4139"/>
      <c r="R58" s="4139"/>
      <c r="S58" s="4139"/>
      <c r="T58" s="4139"/>
      <c r="U58" s="4139"/>
    </row>
    <row r="59" spans="1:21" s="4017" customFormat="1" ht="12.75" x14ac:dyDescent="0.2">
      <c r="A59" s="3828"/>
      <c r="B59" s="4141"/>
      <c r="C59" s="4141"/>
      <c r="D59" s="4142"/>
      <c r="E59" s="4142"/>
      <c r="F59" s="4142"/>
      <c r="G59" s="4142"/>
      <c r="H59" s="4142"/>
      <c r="I59" s="4142"/>
      <c r="J59" s="4142"/>
      <c r="K59" s="4142"/>
      <c r="L59" s="4139"/>
      <c r="M59" s="4139"/>
      <c r="N59" s="4139"/>
      <c r="O59" s="4139"/>
      <c r="P59" s="4139"/>
      <c r="Q59" s="4139"/>
      <c r="R59" s="4139"/>
      <c r="S59" s="4139"/>
      <c r="T59" s="4139"/>
      <c r="U59" s="4139"/>
    </row>
    <row r="60" spans="1:21" s="4017" customFormat="1" ht="12.75" x14ac:dyDescent="0.2">
      <c r="A60" s="3828"/>
      <c r="B60" s="4141"/>
      <c r="C60" s="4141"/>
      <c r="D60" s="4142"/>
      <c r="E60" s="4142"/>
      <c r="F60" s="4142"/>
      <c r="G60" s="4142"/>
      <c r="H60" s="4142"/>
      <c r="I60" s="4142"/>
      <c r="J60" s="4142"/>
      <c r="K60" s="4142"/>
      <c r="L60" s="4139"/>
      <c r="M60" s="4139"/>
      <c r="N60" s="4139"/>
      <c r="O60" s="4139"/>
      <c r="P60" s="4139"/>
      <c r="Q60" s="4139"/>
      <c r="R60" s="4139"/>
      <c r="S60" s="4139"/>
      <c r="T60" s="4139"/>
      <c r="U60" s="4139"/>
    </row>
    <row r="61" spans="1:21" s="4017" customFormat="1" ht="12.75" x14ac:dyDescent="0.2">
      <c r="A61" s="3828"/>
      <c r="B61" s="4141"/>
      <c r="C61" s="4141"/>
      <c r="D61" s="4142"/>
      <c r="E61" s="4142"/>
      <c r="F61" s="4142"/>
      <c r="G61" s="4142"/>
      <c r="H61" s="4142"/>
      <c r="I61" s="4142"/>
      <c r="J61" s="4142"/>
      <c r="K61" s="4142"/>
      <c r="M61" s="4139"/>
      <c r="N61" s="4139"/>
      <c r="O61" s="4139"/>
      <c r="P61" s="4139"/>
      <c r="Q61" s="4139"/>
      <c r="R61" s="4139"/>
      <c r="S61" s="4139"/>
      <c r="T61" s="4139"/>
      <c r="U61" s="4139"/>
    </row>
    <row r="62" spans="1:21" s="4017" customFormat="1" ht="12.75" x14ac:dyDescent="0.2">
      <c r="A62" s="3828"/>
      <c r="B62" s="4141"/>
      <c r="C62" s="4141"/>
      <c r="D62" s="4142"/>
      <c r="E62" s="4142"/>
      <c r="F62" s="4142"/>
      <c r="G62" s="4142"/>
      <c r="H62" s="4142"/>
      <c r="I62" s="4142"/>
      <c r="J62" s="4142"/>
      <c r="K62" s="4142"/>
      <c r="L62" s="4139"/>
      <c r="M62" s="4139"/>
      <c r="N62" s="4139"/>
      <c r="O62" s="4139"/>
      <c r="P62" s="4139"/>
      <c r="Q62" s="4139"/>
      <c r="R62" s="4139"/>
      <c r="S62" s="4139"/>
      <c r="T62" s="4139"/>
      <c r="U62" s="4139"/>
    </row>
    <row r="63" spans="1:21" s="4017" customFormat="1" ht="12.75" x14ac:dyDescent="0.2">
      <c r="A63" s="3828"/>
      <c r="B63" s="4141"/>
      <c r="C63" s="4141"/>
      <c r="D63" s="4142"/>
      <c r="E63" s="4142"/>
      <c r="F63" s="4142"/>
      <c r="G63" s="4142"/>
      <c r="H63" s="4142"/>
      <c r="I63" s="4142"/>
      <c r="J63" s="4142"/>
      <c r="K63" s="4142"/>
      <c r="L63" s="4139"/>
      <c r="M63" s="4139"/>
      <c r="N63" s="4139"/>
      <c r="O63" s="4139"/>
      <c r="P63" s="4139"/>
      <c r="Q63" s="4139"/>
      <c r="R63" s="4139"/>
      <c r="S63" s="4139"/>
      <c r="T63" s="4139"/>
      <c r="U63" s="4139"/>
    </row>
    <row r="64" spans="1:21" s="4017" customFormat="1" ht="12.75" x14ac:dyDescent="0.2">
      <c r="A64" s="3828"/>
      <c r="B64" s="4141"/>
      <c r="C64" s="4141"/>
      <c r="D64" s="4142"/>
      <c r="E64" s="4142"/>
      <c r="F64" s="4142"/>
      <c r="G64" s="4142"/>
      <c r="H64" s="4142"/>
      <c r="I64" s="4142"/>
      <c r="J64" s="4142"/>
      <c r="K64" s="4142"/>
      <c r="L64" s="4139"/>
      <c r="M64" s="4139"/>
      <c r="N64" s="4139"/>
      <c r="O64" s="4139"/>
      <c r="P64" s="4139"/>
      <c r="Q64" s="4139"/>
      <c r="R64" s="4139"/>
      <c r="S64" s="4139"/>
      <c r="T64" s="4139"/>
      <c r="U64" s="4139"/>
    </row>
    <row r="65" spans="1:25" x14ac:dyDescent="0.25">
      <c r="A65" s="3854">
        <v>6</v>
      </c>
      <c r="B65" s="3854" t="s">
        <v>52</v>
      </c>
      <c r="C65" s="3854"/>
      <c r="D65" s="4877" t="s">
        <v>1059</v>
      </c>
      <c r="E65" s="4878"/>
      <c r="F65" s="4878"/>
      <c r="G65" s="4878"/>
      <c r="H65" s="4878"/>
      <c r="I65" s="4878"/>
      <c r="J65" s="4878"/>
      <c r="K65" s="4878"/>
      <c r="L65" s="4878"/>
      <c r="M65" s="4878"/>
      <c r="N65" s="4878"/>
      <c r="O65" s="4878"/>
      <c r="P65" s="4878"/>
      <c r="Q65" s="4878"/>
      <c r="R65" s="4878"/>
      <c r="S65" s="4878"/>
      <c r="T65" s="4878"/>
      <c r="U65" s="4878"/>
      <c r="V65" s="4878"/>
      <c r="W65" s="4878"/>
      <c r="X65" s="4878"/>
      <c r="Y65" s="4879"/>
    </row>
    <row r="66" spans="1:25" ht="42.75" customHeight="1" x14ac:dyDescent="0.25">
      <c r="A66" s="3856">
        <v>7</v>
      </c>
      <c r="B66" s="3856" t="s">
        <v>54</v>
      </c>
      <c r="C66" s="3856"/>
      <c r="D66" s="4872" t="s">
        <v>1298</v>
      </c>
      <c r="E66" s="4873"/>
      <c r="F66" s="4873"/>
      <c r="G66" s="4873"/>
      <c r="H66" s="4873"/>
      <c r="I66" s="4873"/>
      <c r="J66" s="4873"/>
      <c r="K66" s="4873"/>
      <c r="L66" s="4873"/>
      <c r="M66" s="4873"/>
      <c r="N66" s="4873"/>
      <c r="O66" s="4873"/>
      <c r="P66" s="4873"/>
      <c r="Q66" s="4873"/>
      <c r="R66" s="4873"/>
      <c r="S66" s="4873"/>
      <c r="T66" s="4873"/>
      <c r="U66" s="4873"/>
      <c r="V66" s="4873"/>
      <c r="W66" s="4873"/>
      <c r="X66" s="4873"/>
      <c r="Y66" s="4874"/>
    </row>
    <row r="67" spans="1:25" ht="50.25" customHeight="1" x14ac:dyDescent="0.25">
      <c r="A67" s="3854">
        <v>8</v>
      </c>
      <c r="B67" s="3854" t="s">
        <v>56</v>
      </c>
      <c r="C67" s="3854"/>
      <c r="D67" s="4872" t="s">
        <v>2167</v>
      </c>
      <c r="E67" s="4873"/>
      <c r="F67" s="4873"/>
      <c r="G67" s="4873"/>
      <c r="H67" s="4873"/>
      <c r="I67" s="4873"/>
      <c r="J67" s="4873"/>
      <c r="K67" s="4873"/>
      <c r="L67" s="4873"/>
      <c r="M67" s="4873"/>
      <c r="N67" s="4873"/>
      <c r="O67" s="4873"/>
      <c r="P67" s="4873"/>
      <c r="Q67" s="4873"/>
      <c r="R67" s="4873"/>
      <c r="S67" s="4873"/>
      <c r="T67" s="4873"/>
      <c r="U67" s="4873"/>
      <c r="V67" s="4873"/>
      <c r="W67" s="4873"/>
      <c r="X67" s="4873"/>
      <c r="Y67" s="4874"/>
    </row>
    <row r="68" spans="1:25" ht="60" customHeight="1" x14ac:dyDescent="0.25">
      <c r="A68" s="3854">
        <v>9</v>
      </c>
      <c r="B68" s="3854" t="s">
        <v>355</v>
      </c>
      <c r="C68" s="3854"/>
      <c r="D68" s="4872" t="s">
        <v>2168</v>
      </c>
      <c r="E68" s="4873"/>
      <c r="F68" s="4873"/>
      <c r="G68" s="4873"/>
      <c r="H68" s="4873"/>
      <c r="I68" s="4873"/>
      <c r="J68" s="4873"/>
      <c r="K68" s="4873"/>
      <c r="L68" s="4873"/>
      <c r="M68" s="4873"/>
      <c r="N68" s="4873"/>
      <c r="O68" s="4873"/>
      <c r="P68" s="4873"/>
      <c r="Q68" s="4873"/>
      <c r="R68" s="4873"/>
      <c r="S68" s="4873"/>
      <c r="T68" s="4873"/>
      <c r="U68" s="4873"/>
      <c r="V68" s="4873"/>
      <c r="W68" s="4873"/>
      <c r="X68" s="4873"/>
      <c r="Y68" s="4874"/>
    </row>
    <row r="69" spans="1:25" ht="50.25" customHeight="1" x14ac:dyDescent="0.25"/>
    <row r="70" spans="1:25" x14ac:dyDescent="0.25">
      <c r="D70" s="3792" t="s">
        <v>1299</v>
      </c>
    </row>
    <row r="71" spans="1:25" x14ac:dyDescent="0.25">
      <c r="D71" s="3792" t="s">
        <v>1300</v>
      </c>
    </row>
    <row r="72" spans="1:25" x14ac:dyDescent="0.25">
      <c r="D72" s="4143" t="s">
        <v>1301</v>
      </c>
    </row>
    <row r="73" spans="1:25" x14ac:dyDescent="0.25">
      <c r="E73" s="4875"/>
      <c r="F73" s="4875"/>
      <c r="G73" s="4875"/>
      <c r="H73" s="4875"/>
      <c r="I73" s="4875"/>
      <c r="J73" s="4875"/>
      <c r="K73" s="4875"/>
      <c r="L73" s="4875"/>
      <c r="M73" s="4875"/>
      <c r="N73" s="4875"/>
      <c r="O73" s="4875"/>
      <c r="P73" s="4875"/>
      <c r="Q73" s="4875"/>
      <c r="R73" s="4875"/>
    </row>
    <row r="76" spans="1:25" x14ac:dyDescent="0.25">
      <c r="E76" s="4876" t="s">
        <v>1302</v>
      </c>
      <c r="F76" s="4876"/>
      <c r="G76" s="4876"/>
      <c r="H76" s="4876"/>
      <c r="I76" s="4876"/>
      <c r="J76" s="4876"/>
      <c r="K76" s="4876"/>
      <c r="L76" s="4876"/>
      <c r="M76" s="4876"/>
      <c r="N76" s="4876"/>
      <c r="O76" s="4876"/>
      <c r="P76" s="4876"/>
      <c r="Q76" s="4876"/>
      <c r="R76" s="4144"/>
      <c r="S76" s="4144"/>
      <c r="T76" s="4144"/>
      <c r="U76" s="4144"/>
      <c r="V76" s="4144"/>
      <c r="W76" s="4144"/>
    </row>
    <row r="77" spans="1:25" x14ac:dyDescent="0.25">
      <c r="E77" s="4145" t="s">
        <v>1303</v>
      </c>
      <c r="F77" s="4146" t="s">
        <v>1304</v>
      </c>
      <c r="G77" s="4145">
        <v>2001</v>
      </c>
      <c r="H77" s="4145">
        <v>2002</v>
      </c>
      <c r="I77" s="4145">
        <v>2003</v>
      </c>
      <c r="J77" s="4145">
        <v>2004</v>
      </c>
      <c r="K77" s="4145">
        <v>2005</v>
      </c>
      <c r="L77" s="4145">
        <v>2006</v>
      </c>
      <c r="M77" s="4145">
        <v>2007</v>
      </c>
      <c r="N77" s="4145">
        <v>2008</v>
      </c>
      <c r="O77" s="4145">
        <v>2009</v>
      </c>
      <c r="P77" s="4145">
        <v>2010</v>
      </c>
      <c r="Q77" s="4145">
        <v>2011</v>
      </c>
      <c r="R77" s="4147">
        <v>2012</v>
      </c>
      <c r="S77" s="4147">
        <v>2013</v>
      </c>
      <c r="T77" s="4147">
        <v>2014</v>
      </c>
      <c r="U77" s="4147">
        <v>2015</v>
      </c>
      <c r="V77" s="4147">
        <v>2016</v>
      </c>
      <c r="W77" s="4147">
        <v>2017</v>
      </c>
    </row>
    <row r="78" spans="1:25" x14ac:dyDescent="0.25">
      <c r="E78" s="4148" t="s">
        <v>1305</v>
      </c>
      <c r="F78" s="4149" t="s">
        <v>647</v>
      </c>
      <c r="G78" s="4150">
        <v>9.0887862267387778</v>
      </c>
      <c r="H78" s="4150">
        <v>9.5537067672578004</v>
      </c>
      <c r="I78" s="4150">
        <v>10.084104919276143</v>
      </c>
      <c r="J78" s="4150">
        <v>10.589418721919325</v>
      </c>
      <c r="K78" s="4150">
        <v>12.824698611085125</v>
      </c>
      <c r="L78" s="4150">
        <v>10.346103605544799</v>
      </c>
      <c r="M78" s="4150">
        <v>10.774245694076329</v>
      </c>
      <c r="N78" s="4151">
        <v>11.3</v>
      </c>
      <c r="O78" s="4150">
        <v>11.326199804113614</v>
      </c>
      <c r="P78" s="4151">
        <v>11.8</v>
      </c>
      <c r="Q78" s="4150">
        <v>12.914982478598755</v>
      </c>
      <c r="R78" s="4150">
        <v>13.1</v>
      </c>
      <c r="S78" s="4150">
        <v>13.448384003844694</v>
      </c>
      <c r="T78" s="4150">
        <v>12.606541830633116</v>
      </c>
      <c r="U78" s="4150">
        <v>12.942724516421347</v>
      </c>
      <c r="V78" s="4150">
        <v>13.081865932129674</v>
      </c>
      <c r="W78" s="4152">
        <v>15.079974429507168</v>
      </c>
    </row>
    <row r="79" spans="1:25" x14ac:dyDescent="0.25">
      <c r="E79" s="4151"/>
      <c r="F79" s="4149" t="s">
        <v>648</v>
      </c>
      <c r="G79" s="4150">
        <v>11.338603310477355</v>
      </c>
      <c r="H79" s="4150">
        <v>11.834189063992847</v>
      </c>
      <c r="I79" s="4150">
        <v>12.174987592580971</v>
      </c>
      <c r="J79" s="4150">
        <v>13.007586050429373</v>
      </c>
      <c r="K79" s="4150">
        <v>12.879366363505879</v>
      </c>
      <c r="L79" s="4150">
        <v>13.007016232822686</v>
      </c>
      <c r="M79" s="4150">
        <v>13.7780406906457</v>
      </c>
      <c r="N79" s="4151">
        <v>14.6</v>
      </c>
      <c r="O79" s="4150">
        <v>15.298278696451021</v>
      </c>
      <c r="P79" s="4151">
        <v>16.5</v>
      </c>
      <c r="Q79" s="4150">
        <v>18.395005150165261</v>
      </c>
      <c r="R79" s="4150">
        <v>19.100000000000001</v>
      </c>
      <c r="S79" s="4150">
        <v>19.513384994801267</v>
      </c>
      <c r="T79" s="4150">
        <v>18.239758459307588</v>
      </c>
      <c r="U79" s="4150">
        <v>18.273728678906874</v>
      </c>
      <c r="V79" s="4150">
        <v>18.243370372042158</v>
      </c>
      <c r="W79" s="4152">
        <v>20.993394032082911</v>
      </c>
    </row>
    <row r="80" spans="1:25" x14ac:dyDescent="0.25">
      <c r="E80" s="4148" t="s">
        <v>1306</v>
      </c>
      <c r="F80" s="4149" t="s">
        <v>647</v>
      </c>
      <c r="G80" s="4150">
        <v>8.2943631389015788</v>
      </c>
      <c r="H80" s="4150">
        <v>9.2974673750451338</v>
      </c>
      <c r="I80" s="4150">
        <v>10.248450429311545</v>
      </c>
      <c r="J80" s="4150">
        <v>11.014115411467657</v>
      </c>
      <c r="K80" s="4150">
        <v>10.871334632767152</v>
      </c>
      <c r="L80" s="4150">
        <v>11.201185069427488</v>
      </c>
      <c r="M80" s="4150">
        <v>11.229542731137727</v>
      </c>
      <c r="N80" s="4151">
        <v>11.2</v>
      </c>
      <c r="O80" s="4150">
        <v>11.567539267015707</v>
      </c>
      <c r="P80" s="4151">
        <v>12.4</v>
      </c>
      <c r="Q80" s="4150">
        <v>12.043883640618025</v>
      </c>
      <c r="R80" s="4150">
        <v>11.1</v>
      </c>
      <c r="S80" s="4150">
        <v>11.174010171586101</v>
      </c>
      <c r="T80" s="4150">
        <v>10.83144598286208</v>
      </c>
      <c r="U80" s="4150">
        <v>11.004845106255612</v>
      </c>
      <c r="V80" s="4150">
        <v>11.046577196346002</v>
      </c>
      <c r="W80" s="4152">
        <v>11.171389787645506</v>
      </c>
    </row>
    <row r="81" spans="5:23" x14ac:dyDescent="0.25">
      <c r="E81" s="4151"/>
      <c r="F81" s="4149" t="s">
        <v>648</v>
      </c>
      <c r="G81" s="4150">
        <v>8.6992598324187291</v>
      </c>
      <c r="H81" s="4150">
        <v>10.402172242430453</v>
      </c>
      <c r="I81" s="4150">
        <v>11.897888251364709</v>
      </c>
      <c r="J81" s="4150">
        <v>13.132031654540793</v>
      </c>
      <c r="K81" s="4150">
        <v>13.89104081294645</v>
      </c>
      <c r="L81" s="4150">
        <v>15.107286375009476</v>
      </c>
      <c r="M81" s="4150">
        <v>15.592070402761921</v>
      </c>
      <c r="N81" s="4151">
        <v>15.8</v>
      </c>
      <c r="O81" s="4150">
        <v>17.038719669592155</v>
      </c>
      <c r="P81" s="4151">
        <v>18.5</v>
      </c>
      <c r="Q81" s="4150">
        <v>18.424651196265717</v>
      </c>
      <c r="R81" s="4150">
        <v>17.399999999999999</v>
      </c>
      <c r="S81" s="4150">
        <v>17.924050632911392</v>
      </c>
      <c r="T81" s="4150">
        <v>17.581840844978021</v>
      </c>
      <c r="U81" s="4150">
        <v>18.217249716055026</v>
      </c>
      <c r="V81" s="4150">
        <v>18.07184182203569</v>
      </c>
      <c r="W81" s="4152">
        <v>19.009645041925836</v>
      </c>
    </row>
    <row r="82" spans="5:23" x14ac:dyDescent="0.25">
      <c r="E82" s="4148" t="s">
        <v>1307</v>
      </c>
      <c r="F82" s="4149" t="s">
        <v>647</v>
      </c>
      <c r="G82" s="4150">
        <v>40.19575282786645</v>
      </c>
      <c r="H82" s="4150">
        <v>42.837075949123516</v>
      </c>
      <c r="I82" s="4150">
        <v>45.019269834640141</v>
      </c>
      <c r="J82" s="4150">
        <v>46.209223847019118</v>
      </c>
      <c r="K82" s="4150">
        <v>45.129677658391998</v>
      </c>
      <c r="L82" s="4150">
        <v>44.09094264412785</v>
      </c>
      <c r="M82" s="4150">
        <v>42.339750682304341</v>
      </c>
      <c r="N82" s="4151">
        <v>37.9</v>
      </c>
      <c r="O82" s="4150">
        <v>37.381967213114756</v>
      </c>
      <c r="P82" s="4151">
        <v>37.4</v>
      </c>
      <c r="Q82" s="4150">
        <v>39.846729764090973</v>
      </c>
      <c r="R82" s="4150">
        <v>38.200000000000003</v>
      </c>
      <c r="S82" s="4150">
        <v>38.962111689710902</v>
      </c>
      <c r="T82" s="4150">
        <v>38.736323063633748</v>
      </c>
      <c r="U82" s="4150">
        <v>38.50730613425926</v>
      </c>
      <c r="V82" s="4150">
        <v>37.471662642608329</v>
      </c>
      <c r="W82" s="4152">
        <v>36.72869377841895</v>
      </c>
    </row>
    <row r="83" spans="5:23" x14ac:dyDescent="0.25">
      <c r="E83" s="4151"/>
      <c r="F83" s="4149" t="s">
        <v>648</v>
      </c>
      <c r="G83" s="4150">
        <v>44.285520475996663</v>
      </c>
      <c r="H83" s="4150">
        <v>48.65846895259223</v>
      </c>
      <c r="I83" s="4150">
        <v>52.831829957829846</v>
      </c>
      <c r="J83" s="4150">
        <v>55.549105888961705</v>
      </c>
      <c r="K83" s="4150">
        <v>56.143281365998511</v>
      </c>
      <c r="L83" s="4150">
        <v>57.238179734575432</v>
      </c>
      <c r="M83" s="4150">
        <v>54.69949793266391</v>
      </c>
      <c r="N83" s="4151">
        <v>51.8</v>
      </c>
      <c r="O83" s="4150">
        <v>52.784246575342465</v>
      </c>
      <c r="P83" s="4151">
        <v>54.2</v>
      </c>
      <c r="Q83" s="4150">
        <v>56.944370602725648</v>
      </c>
      <c r="R83" s="4150">
        <v>56.8</v>
      </c>
      <c r="S83" s="4150">
        <v>59.170953882465746</v>
      </c>
      <c r="T83" s="4150">
        <v>59.3086876155268</v>
      </c>
      <c r="U83" s="4150">
        <v>60.502188348928463</v>
      </c>
      <c r="V83" s="4150">
        <v>56.986358390252214</v>
      </c>
      <c r="W83" s="4152">
        <v>58.92468052529297</v>
      </c>
    </row>
    <row r="84" spans="5:23" x14ac:dyDescent="0.25">
      <c r="E84" s="4148" t="s">
        <v>938</v>
      </c>
      <c r="F84" s="4149" t="s">
        <v>647</v>
      </c>
      <c r="G84" s="4150">
        <v>57.908031965325748</v>
      </c>
      <c r="H84" s="4150">
        <v>59.901400253346573</v>
      </c>
      <c r="I84" s="4150">
        <v>61.067346255542724</v>
      </c>
      <c r="J84" s="4150">
        <v>60.723072992995142</v>
      </c>
      <c r="K84" s="4150">
        <v>57.534477942561665</v>
      </c>
      <c r="L84" s="4150">
        <v>55.354556302124216</v>
      </c>
      <c r="M84" s="4150">
        <v>52.997477931904157</v>
      </c>
      <c r="N84" s="4151">
        <v>51.6</v>
      </c>
      <c r="O84" s="4150">
        <v>53.057271557271555</v>
      </c>
      <c r="P84" s="4151">
        <v>52.1</v>
      </c>
      <c r="Q84" s="4150">
        <v>51.315722663687836</v>
      </c>
      <c r="R84" s="4150">
        <v>48.8</v>
      </c>
      <c r="S84" s="4150">
        <v>48.324053871040554</v>
      </c>
      <c r="T84" s="4150">
        <v>46.587170534329978</v>
      </c>
      <c r="U84" s="4150">
        <v>45.83402991216677</v>
      </c>
      <c r="V84" s="4150">
        <v>43.554744572946227</v>
      </c>
      <c r="W84" s="4152">
        <v>48.371281867037922</v>
      </c>
    </row>
    <row r="85" spans="5:23" x14ac:dyDescent="0.25">
      <c r="E85" s="4151"/>
      <c r="F85" s="4149" t="s">
        <v>648</v>
      </c>
      <c r="G85" s="4150">
        <v>59.878931474392772</v>
      </c>
      <c r="H85" s="4150">
        <v>63.53849770451906</v>
      </c>
      <c r="I85" s="4150">
        <v>66.009421357832537</v>
      </c>
      <c r="J85" s="4150">
        <v>66.562675527343345</v>
      </c>
      <c r="K85" s="4150">
        <v>63.630536168654054</v>
      </c>
      <c r="L85" s="4150">
        <v>63.042106618593877</v>
      </c>
      <c r="M85" s="4150">
        <v>61.478566964684276</v>
      </c>
      <c r="N85" s="4151">
        <v>61.5</v>
      </c>
      <c r="O85" s="4150">
        <v>64.005291005291014</v>
      </c>
      <c r="P85" s="4151">
        <v>62.8</v>
      </c>
      <c r="Q85" s="4150">
        <v>63.667669411019631</v>
      </c>
      <c r="R85" s="4150">
        <v>60.8</v>
      </c>
      <c r="S85" s="4150">
        <v>61.264112434443383</v>
      </c>
      <c r="T85" s="4150">
        <v>59.85427980094854</v>
      </c>
      <c r="U85" s="4150">
        <v>59.910002452068689</v>
      </c>
      <c r="V85" s="4150">
        <v>57.226126747824225</v>
      </c>
      <c r="W85" s="4152">
        <v>63.430367060277462</v>
      </c>
    </row>
    <row r="86" spans="5:23" x14ac:dyDescent="0.25">
      <c r="E86" s="4151" t="s">
        <v>50</v>
      </c>
      <c r="F86" s="4149" t="s">
        <v>647</v>
      </c>
      <c r="G86" s="4150">
        <v>12.999059987642484</v>
      </c>
      <c r="H86" s="4150">
        <v>13.572086253944285</v>
      </c>
      <c r="I86" s="4150">
        <v>14.181559461290757</v>
      </c>
      <c r="J86" s="4150">
        <v>14.691559070993756</v>
      </c>
      <c r="K86" s="4150">
        <v>14.405550555275473</v>
      </c>
      <c r="L86" s="4150">
        <v>14.260220670722742</v>
      </c>
      <c r="M86" s="4150">
        <v>14.434189640492542</v>
      </c>
      <c r="N86" s="4151">
        <v>14.7</v>
      </c>
      <c r="O86" s="4150">
        <v>14.641504041806156</v>
      </c>
      <c r="P86" s="4150">
        <v>15</v>
      </c>
      <c r="Q86" s="4150">
        <v>15.923005217334794</v>
      </c>
      <c r="R86" s="4150">
        <v>15.9</v>
      </c>
      <c r="S86" s="4150">
        <v>16.00965485469483</v>
      </c>
      <c r="T86" s="4150">
        <v>15.185535689473229</v>
      </c>
      <c r="U86" s="4150">
        <v>15.442303395006693</v>
      </c>
      <c r="V86" s="4150">
        <v>15.34817940414678</v>
      </c>
      <c r="W86" s="4152">
        <v>17.172829183327785</v>
      </c>
    </row>
    <row r="87" spans="5:23" x14ac:dyDescent="0.25">
      <c r="E87" s="4151"/>
      <c r="F87" s="4149" t="s">
        <v>648</v>
      </c>
      <c r="G87" s="4150">
        <v>15.119784422184605</v>
      </c>
      <c r="H87" s="4150">
        <v>15.922705845018109</v>
      </c>
      <c r="I87" s="4150">
        <v>16.564696337941488</v>
      </c>
      <c r="J87" s="4150">
        <v>17.467824797874005</v>
      </c>
      <c r="K87" s="4150">
        <v>17.36220034400398</v>
      </c>
      <c r="L87" s="4150">
        <v>17.609352407640063</v>
      </c>
      <c r="M87" s="4150">
        <v>18.137335912854869</v>
      </c>
      <c r="N87" s="4151">
        <v>18.600000000000001</v>
      </c>
      <c r="O87" s="4150">
        <v>19.300222536920899</v>
      </c>
      <c r="P87" s="4151">
        <v>20.399999999999999</v>
      </c>
      <c r="Q87" s="4150">
        <v>22.103847210659492</v>
      </c>
      <c r="R87" s="4150">
        <v>22.6</v>
      </c>
      <c r="S87" s="4150">
        <v>22.833029443936514</v>
      </c>
      <c r="T87" s="4150">
        <v>21.686733571709425</v>
      </c>
      <c r="U87" s="4150">
        <v>21.729589731506486</v>
      </c>
      <c r="V87" s="4150">
        <v>21.380933566375564</v>
      </c>
      <c r="W87" s="4152">
        <v>24.017140118649575</v>
      </c>
    </row>
    <row r="88" spans="5:23" x14ac:dyDescent="0.25">
      <c r="E88" s="4153"/>
      <c r="F88" s="4154" t="s">
        <v>1308</v>
      </c>
      <c r="G88" s="4155">
        <v>14.061640800114954</v>
      </c>
      <c r="H88" s="4155">
        <v>14.744350332740257</v>
      </c>
      <c r="I88" s="4155">
        <v>15.369754107470923</v>
      </c>
      <c r="J88" s="4155">
        <v>16.076355118068069</v>
      </c>
      <c r="K88" s="4155">
        <v>15.881053861456643</v>
      </c>
      <c r="L88" s="4155">
        <v>15.93055175044184</v>
      </c>
      <c r="M88" s="4155">
        <v>16.279494084605858</v>
      </c>
      <c r="N88" s="4153">
        <v>16.7</v>
      </c>
      <c r="O88" s="4155">
        <v>16.981324554451422</v>
      </c>
      <c r="P88" s="4153">
        <v>17.7</v>
      </c>
      <c r="Q88" s="4155">
        <v>18.99854602964059</v>
      </c>
      <c r="R88" s="4155">
        <v>19.2</v>
      </c>
      <c r="S88" s="4155">
        <v>19.539015741681652</v>
      </c>
      <c r="T88" s="4155">
        <v>18.400024453600622</v>
      </c>
      <c r="U88" s="4155">
        <v>18.577825321571272</v>
      </c>
      <c r="V88" s="4155">
        <v>18.359058181032111</v>
      </c>
      <c r="W88" s="4156">
        <v>20.610776084214109</v>
      </c>
    </row>
  </sheetData>
  <mergeCells count="9">
    <mergeCell ref="D68:Y68"/>
    <mergeCell ref="E73:R73"/>
    <mergeCell ref="E76:Q76"/>
    <mergeCell ref="D2:Z2"/>
    <mergeCell ref="D3:Z3"/>
    <mergeCell ref="D4:Z4"/>
    <mergeCell ref="D65:Y65"/>
    <mergeCell ref="D66:Y66"/>
    <mergeCell ref="D67:Y67"/>
  </mergeCells>
  <pageMargins left="0.74803149606299202" right="0.74803149606299202" top="0.98425196850393704" bottom="0.98425196850393704" header="0.511811023622047" footer="0.511811023622047"/>
  <pageSetup paperSize="9" scale="43"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6DB15-29A5-455F-80D6-A0848F6FD69D}">
  <sheetPr>
    <tabColor rgb="FF0070C0"/>
    <pageSetUpPr fitToPage="1"/>
  </sheetPr>
  <dimension ref="A1:AV60"/>
  <sheetViews>
    <sheetView showGridLines="0" view="pageBreakPreview" topLeftCell="L1" zoomScaleNormal="100" zoomScaleSheetLayoutView="100" workbookViewId="0">
      <selection activeCell="D4" sqref="D4:V4"/>
    </sheetView>
  </sheetViews>
  <sheetFormatPr defaultColWidth="9.140625" defaultRowHeight="15" x14ac:dyDescent="0.2"/>
  <cols>
    <col min="1" max="1" width="3.85546875" style="4065" customWidth="1"/>
    <col min="2" max="2" width="14.42578125" style="4015" customWidth="1"/>
    <col min="3" max="3" width="3.85546875" style="4015" customWidth="1"/>
    <col min="4" max="4" width="22.85546875" style="4014" customWidth="1"/>
    <col min="5" max="18" width="7.140625" style="4014" customWidth="1"/>
    <col min="19" max="19" width="14.42578125" style="4014" customWidth="1"/>
    <col min="20" max="24" width="7.140625" style="4014" customWidth="1"/>
    <col min="25" max="25" width="7.5703125" style="4014" customWidth="1"/>
    <col min="26" max="26" width="9.42578125" style="4014" customWidth="1"/>
    <col min="27" max="27" width="8.140625" style="4014" customWidth="1"/>
    <col min="28" max="28" width="7.85546875" style="4014" customWidth="1"/>
    <col min="29" max="30" width="9.140625" style="4014" customWidth="1"/>
    <col min="31" max="47" width="9.140625" style="4014"/>
    <col min="48" max="48" width="11.5703125" style="4014" customWidth="1"/>
    <col min="49" max="260" width="9.140625" style="4014"/>
    <col min="261" max="261" width="3.85546875" style="4014" customWidth="1"/>
    <col min="262" max="262" width="14.42578125" style="4014" customWidth="1"/>
    <col min="263" max="263" width="3.85546875" style="4014" customWidth="1"/>
    <col min="264" max="264" width="22.85546875" style="4014" customWidth="1"/>
    <col min="265" max="282" width="7.140625" style="4014" customWidth="1"/>
    <col min="283" max="516" width="9.140625" style="4014"/>
    <col min="517" max="517" width="3.85546875" style="4014" customWidth="1"/>
    <col min="518" max="518" width="14.42578125" style="4014" customWidth="1"/>
    <col min="519" max="519" width="3.85546875" style="4014" customWidth="1"/>
    <col min="520" max="520" width="22.85546875" style="4014" customWidth="1"/>
    <col min="521" max="538" width="7.140625" style="4014" customWidth="1"/>
    <col min="539" max="772" width="9.140625" style="4014"/>
    <col min="773" max="773" width="3.85546875" style="4014" customWidth="1"/>
    <col min="774" max="774" width="14.42578125" style="4014" customWidth="1"/>
    <col min="775" max="775" width="3.85546875" style="4014" customWidth="1"/>
    <col min="776" max="776" width="22.85546875" style="4014" customWidth="1"/>
    <col min="777" max="794" width="7.140625" style="4014" customWidth="1"/>
    <col min="795" max="1028" width="9.140625" style="4014"/>
    <col min="1029" max="1029" width="3.85546875" style="4014" customWidth="1"/>
    <col min="1030" max="1030" width="14.42578125" style="4014" customWidth="1"/>
    <col min="1031" max="1031" width="3.85546875" style="4014" customWidth="1"/>
    <col min="1032" max="1032" width="22.85546875" style="4014" customWidth="1"/>
    <col min="1033" max="1050" width="7.140625" style="4014" customWidth="1"/>
    <col min="1051" max="1284" width="9.140625" style="4014"/>
    <col min="1285" max="1285" width="3.85546875" style="4014" customWidth="1"/>
    <col min="1286" max="1286" width="14.42578125" style="4014" customWidth="1"/>
    <col min="1287" max="1287" width="3.85546875" style="4014" customWidth="1"/>
    <col min="1288" max="1288" width="22.85546875" style="4014" customWidth="1"/>
    <col min="1289" max="1306" width="7.140625" style="4014" customWidth="1"/>
    <col min="1307" max="1540" width="9.140625" style="4014"/>
    <col min="1541" max="1541" width="3.85546875" style="4014" customWidth="1"/>
    <col min="1542" max="1542" width="14.42578125" style="4014" customWidth="1"/>
    <col min="1543" max="1543" width="3.85546875" style="4014" customWidth="1"/>
    <col min="1544" max="1544" width="22.85546875" style="4014" customWidth="1"/>
    <col min="1545" max="1562" width="7.140625" style="4014" customWidth="1"/>
    <col min="1563" max="1796" width="9.140625" style="4014"/>
    <col min="1797" max="1797" width="3.85546875" style="4014" customWidth="1"/>
    <col min="1798" max="1798" width="14.42578125" style="4014" customWidth="1"/>
    <col min="1799" max="1799" width="3.85546875" style="4014" customWidth="1"/>
    <col min="1800" max="1800" width="22.85546875" style="4014" customWidth="1"/>
    <col min="1801" max="1818" width="7.140625" style="4014" customWidth="1"/>
    <col min="1819" max="2052" width="9.140625" style="4014"/>
    <col min="2053" max="2053" width="3.85546875" style="4014" customWidth="1"/>
    <col min="2054" max="2054" width="14.42578125" style="4014" customWidth="1"/>
    <col min="2055" max="2055" width="3.85546875" style="4014" customWidth="1"/>
    <col min="2056" max="2056" width="22.85546875" style="4014" customWidth="1"/>
    <col min="2057" max="2074" width="7.140625" style="4014" customWidth="1"/>
    <col min="2075" max="2308" width="9.140625" style="4014"/>
    <col min="2309" max="2309" width="3.85546875" style="4014" customWidth="1"/>
    <col min="2310" max="2310" width="14.42578125" style="4014" customWidth="1"/>
    <col min="2311" max="2311" width="3.85546875" style="4014" customWidth="1"/>
    <col min="2312" max="2312" width="22.85546875" style="4014" customWidth="1"/>
    <col min="2313" max="2330" width="7.140625" style="4014" customWidth="1"/>
    <col min="2331" max="2564" width="9.140625" style="4014"/>
    <col min="2565" max="2565" width="3.85546875" style="4014" customWidth="1"/>
    <col min="2566" max="2566" width="14.42578125" style="4014" customWidth="1"/>
    <col min="2567" max="2567" width="3.85546875" style="4014" customWidth="1"/>
    <col min="2568" max="2568" width="22.85546875" style="4014" customWidth="1"/>
    <col min="2569" max="2586" width="7.140625" style="4014" customWidth="1"/>
    <col min="2587" max="2820" width="9.140625" style="4014"/>
    <col min="2821" max="2821" width="3.85546875" style="4014" customWidth="1"/>
    <col min="2822" max="2822" width="14.42578125" style="4014" customWidth="1"/>
    <col min="2823" max="2823" width="3.85546875" style="4014" customWidth="1"/>
    <col min="2824" max="2824" width="22.85546875" style="4014" customWidth="1"/>
    <col min="2825" max="2842" width="7.140625" style="4014" customWidth="1"/>
    <col min="2843" max="3076" width="9.140625" style="4014"/>
    <col min="3077" max="3077" width="3.85546875" style="4014" customWidth="1"/>
    <col min="3078" max="3078" width="14.42578125" style="4014" customWidth="1"/>
    <col min="3079" max="3079" width="3.85546875" style="4014" customWidth="1"/>
    <col min="3080" max="3080" width="22.85546875" style="4014" customWidth="1"/>
    <col min="3081" max="3098" width="7.140625" style="4014" customWidth="1"/>
    <col min="3099" max="3332" width="9.140625" style="4014"/>
    <col min="3333" max="3333" width="3.85546875" style="4014" customWidth="1"/>
    <col min="3334" max="3334" width="14.42578125" style="4014" customWidth="1"/>
    <col min="3335" max="3335" width="3.85546875" style="4014" customWidth="1"/>
    <col min="3336" max="3336" width="22.85546875" style="4014" customWidth="1"/>
    <col min="3337" max="3354" width="7.140625" style="4014" customWidth="1"/>
    <col min="3355" max="3588" width="9.140625" style="4014"/>
    <col min="3589" max="3589" width="3.85546875" style="4014" customWidth="1"/>
    <col min="3590" max="3590" width="14.42578125" style="4014" customWidth="1"/>
    <col min="3591" max="3591" width="3.85546875" style="4014" customWidth="1"/>
    <col min="3592" max="3592" width="22.85546875" style="4014" customWidth="1"/>
    <col min="3593" max="3610" width="7.140625" style="4014" customWidth="1"/>
    <col min="3611" max="3844" width="9.140625" style="4014"/>
    <col min="3845" max="3845" width="3.85546875" style="4014" customWidth="1"/>
    <col min="3846" max="3846" width="14.42578125" style="4014" customWidth="1"/>
    <col min="3847" max="3847" width="3.85546875" style="4014" customWidth="1"/>
    <col min="3848" max="3848" width="22.85546875" style="4014" customWidth="1"/>
    <col min="3849" max="3866" width="7.140625" style="4014" customWidth="1"/>
    <col min="3867" max="4100" width="9.140625" style="4014"/>
    <col min="4101" max="4101" width="3.85546875" style="4014" customWidth="1"/>
    <col min="4102" max="4102" width="14.42578125" style="4014" customWidth="1"/>
    <col min="4103" max="4103" width="3.85546875" style="4014" customWidth="1"/>
    <col min="4104" max="4104" width="22.85546875" style="4014" customWidth="1"/>
    <col min="4105" max="4122" width="7.140625" style="4014" customWidth="1"/>
    <col min="4123" max="4356" width="9.140625" style="4014"/>
    <col min="4357" max="4357" width="3.85546875" style="4014" customWidth="1"/>
    <col min="4358" max="4358" width="14.42578125" style="4014" customWidth="1"/>
    <col min="4359" max="4359" width="3.85546875" style="4014" customWidth="1"/>
    <col min="4360" max="4360" width="22.85546875" style="4014" customWidth="1"/>
    <col min="4361" max="4378" width="7.140625" style="4014" customWidth="1"/>
    <col min="4379" max="4612" width="9.140625" style="4014"/>
    <col min="4613" max="4613" width="3.85546875" style="4014" customWidth="1"/>
    <col min="4614" max="4614" width="14.42578125" style="4014" customWidth="1"/>
    <col min="4615" max="4615" width="3.85546875" style="4014" customWidth="1"/>
    <col min="4616" max="4616" width="22.85546875" style="4014" customWidth="1"/>
    <col min="4617" max="4634" width="7.140625" style="4014" customWidth="1"/>
    <col min="4635" max="4868" width="9.140625" style="4014"/>
    <col min="4869" max="4869" width="3.85546875" style="4014" customWidth="1"/>
    <col min="4870" max="4870" width="14.42578125" style="4014" customWidth="1"/>
    <col min="4871" max="4871" width="3.85546875" style="4014" customWidth="1"/>
    <col min="4872" max="4872" width="22.85546875" style="4014" customWidth="1"/>
    <col min="4873" max="4890" width="7.140625" style="4014" customWidth="1"/>
    <col min="4891" max="5124" width="9.140625" style="4014"/>
    <col min="5125" max="5125" width="3.85546875" style="4014" customWidth="1"/>
    <col min="5126" max="5126" width="14.42578125" style="4014" customWidth="1"/>
    <col min="5127" max="5127" width="3.85546875" style="4014" customWidth="1"/>
    <col min="5128" max="5128" width="22.85546875" style="4014" customWidth="1"/>
    <col min="5129" max="5146" width="7.140625" style="4014" customWidth="1"/>
    <col min="5147" max="5380" width="9.140625" style="4014"/>
    <col min="5381" max="5381" width="3.85546875" style="4014" customWidth="1"/>
    <col min="5382" max="5382" width="14.42578125" style="4014" customWidth="1"/>
    <col min="5383" max="5383" width="3.85546875" style="4014" customWidth="1"/>
    <col min="5384" max="5384" width="22.85546875" style="4014" customWidth="1"/>
    <col min="5385" max="5402" width="7.140625" style="4014" customWidth="1"/>
    <col min="5403" max="5636" width="9.140625" style="4014"/>
    <col min="5637" max="5637" width="3.85546875" style="4014" customWidth="1"/>
    <col min="5638" max="5638" width="14.42578125" style="4014" customWidth="1"/>
    <col min="5639" max="5639" width="3.85546875" style="4014" customWidth="1"/>
    <col min="5640" max="5640" width="22.85546875" style="4014" customWidth="1"/>
    <col min="5641" max="5658" width="7.140625" style="4014" customWidth="1"/>
    <col min="5659" max="5892" width="9.140625" style="4014"/>
    <col min="5893" max="5893" width="3.85546875" style="4014" customWidth="1"/>
    <col min="5894" max="5894" width="14.42578125" style="4014" customWidth="1"/>
    <col min="5895" max="5895" width="3.85546875" style="4014" customWidth="1"/>
    <col min="5896" max="5896" width="22.85546875" style="4014" customWidth="1"/>
    <col min="5897" max="5914" width="7.140625" style="4014" customWidth="1"/>
    <col min="5915" max="6148" width="9.140625" style="4014"/>
    <col min="6149" max="6149" width="3.85546875" style="4014" customWidth="1"/>
    <col min="6150" max="6150" width="14.42578125" style="4014" customWidth="1"/>
    <col min="6151" max="6151" width="3.85546875" style="4014" customWidth="1"/>
    <col min="6152" max="6152" width="22.85546875" style="4014" customWidth="1"/>
    <col min="6153" max="6170" width="7.140625" style="4014" customWidth="1"/>
    <col min="6171" max="6404" width="9.140625" style="4014"/>
    <col min="6405" max="6405" width="3.85546875" style="4014" customWidth="1"/>
    <col min="6406" max="6406" width="14.42578125" style="4014" customWidth="1"/>
    <col min="6407" max="6407" width="3.85546875" style="4014" customWidth="1"/>
    <col min="6408" max="6408" width="22.85546875" style="4014" customWidth="1"/>
    <col min="6409" max="6426" width="7.140625" style="4014" customWidth="1"/>
    <col min="6427" max="6660" width="9.140625" style="4014"/>
    <col min="6661" max="6661" width="3.85546875" style="4014" customWidth="1"/>
    <col min="6662" max="6662" width="14.42578125" style="4014" customWidth="1"/>
    <col min="6663" max="6663" width="3.85546875" style="4014" customWidth="1"/>
    <col min="6664" max="6664" width="22.85546875" style="4014" customWidth="1"/>
    <col min="6665" max="6682" width="7.140625" style="4014" customWidth="1"/>
    <col min="6683" max="6916" width="9.140625" style="4014"/>
    <col min="6917" max="6917" width="3.85546875" style="4014" customWidth="1"/>
    <col min="6918" max="6918" width="14.42578125" style="4014" customWidth="1"/>
    <col min="6919" max="6919" width="3.85546875" style="4014" customWidth="1"/>
    <col min="6920" max="6920" width="22.85546875" style="4014" customWidth="1"/>
    <col min="6921" max="6938" width="7.140625" style="4014" customWidth="1"/>
    <col min="6939" max="7172" width="9.140625" style="4014"/>
    <col min="7173" max="7173" width="3.85546875" style="4014" customWidth="1"/>
    <col min="7174" max="7174" width="14.42578125" style="4014" customWidth="1"/>
    <col min="7175" max="7175" width="3.85546875" style="4014" customWidth="1"/>
    <col min="7176" max="7176" width="22.85546875" style="4014" customWidth="1"/>
    <col min="7177" max="7194" width="7.140625" style="4014" customWidth="1"/>
    <col min="7195" max="7428" width="9.140625" style="4014"/>
    <col min="7429" max="7429" width="3.85546875" style="4014" customWidth="1"/>
    <col min="7430" max="7430" width="14.42578125" style="4014" customWidth="1"/>
    <col min="7431" max="7431" width="3.85546875" style="4014" customWidth="1"/>
    <col min="7432" max="7432" width="22.85546875" style="4014" customWidth="1"/>
    <col min="7433" max="7450" width="7.140625" style="4014" customWidth="1"/>
    <col min="7451" max="7684" width="9.140625" style="4014"/>
    <col min="7685" max="7685" width="3.85546875" style="4014" customWidth="1"/>
    <col min="7686" max="7686" width="14.42578125" style="4014" customWidth="1"/>
    <col min="7687" max="7687" width="3.85546875" style="4014" customWidth="1"/>
    <col min="7688" max="7688" width="22.85546875" style="4014" customWidth="1"/>
    <col min="7689" max="7706" width="7.140625" style="4014" customWidth="1"/>
    <col min="7707" max="7940" width="9.140625" style="4014"/>
    <col min="7941" max="7941" width="3.85546875" style="4014" customWidth="1"/>
    <col min="7942" max="7942" width="14.42578125" style="4014" customWidth="1"/>
    <col min="7943" max="7943" width="3.85546875" style="4014" customWidth="1"/>
    <col min="7944" max="7944" width="22.85546875" style="4014" customWidth="1"/>
    <col min="7945" max="7962" width="7.140625" style="4014" customWidth="1"/>
    <col min="7963" max="8196" width="9.140625" style="4014"/>
    <col min="8197" max="8197" width="3.85546875" style="4014" customWidth="1"/>
    <col min="8198" max="8198" width="14.42578125" style="4014" customWidth="1"/>
    <col min="8199" max="8199" width="3.85546875" style="4014" customWidth="1"/>
    <col min="8200" max="8200" width="22.85546875" style="4014" customWidth="1"/>
    <col min="8201" max="8218" width="7.140625" style="4014" customWidth="1"/>
    <col min="8219" max="8452" width="9.140625" style="4014"/>
    <col min="8453" max="8453" width="3.85546875" style="4014" customWidth="1"/>
    <col min="8454" max="8454" width="14.42578125" style="4014" customWidth="1"/>
    <col min="8455" max="8455" width="3.85546875" style="4014" customWidth="1"/>
    <col min="8456" max="8456" width="22.85546875" style="4014" customWidth="1"/>
    <col min="8457" max="8474" width="7.140625" style="4014" customWidth="1"/>
    <col min="8475" max="8708" width="9.140625" style="4014"/>
    <col min="8709" max="8709" width="3.85546875" style="4014" customWidth="1"/>
    <col min="8710" max="8710" width="14.42578125" style="4014" customWidth="1"/>
    <col min="8711" max="8711" width="3.85546875" style="4014" customWidth="1"/>
    <col min="8712" max="8712" width="22.85546875" style="4014" customWidth="1"/>
    <col min="8713" max="8730" width="7.140625" style="4014" customWidth="1"/>
    <col min="8731" max="8964" width="9.140625" style="4014"/>
    <col min="8965" max="8965" width="3.85546875" style="4014" customWidth="1"/>
    <col min="8966" max="8966" width="14.42578125" style="4014" customWidth="1"/>
    <col min="8967" max="8967" width="3.85546875" style="4014" customWidth="1"/>
    <col min="8968" max="8968" width="22.85546875" style="4014" customWidth="1"/>
    <col min="8969" max="8986" width="7.140625" style="4014" customWidth="1"/>
    <col min="8987" max="9220" width="9.140625" style="4014"/>
    <col min="9221" max="9221" width="3.85546875" style="4014" customWidth="1"/>
    <col min="9222" max="9222" width="14.42578125" style="4014" customWidth="1"/>
    <col min="9223" max="9223" width="3.85546875" style="4014" customWidth="1"/>
    <col min="9224" max="9224" width="22.85546875" style="4014" customWidth="1"/>
    <col min="9225" max="9242" width="7.140625" style="4014" customWidth="1"/>
    <col min="9243" max="9476" width="9.140625" style="4014"/>
    <col min="9477" max="9477" width="3.85546875" style="4014" customWidth="1"/>
    <col min="9478" max="9478" width="14.42578125" style="4014" customWidth="1"/>
    <col min="9479" max="9479" width="3.85546875" style="4014" customWidth="1"/>
    <col min="9480" max="9480" width="22.85546875" style="4014" customWidth="1"/>
    <col min="9481" max="9498" width="7.140625" style="4014" customWidth="1"/>
    <col min="9499" max="9732" width="9.140625" style="4014"/>
    <col min="9733" max="9733" width="3.85546875" style="4014" customWidth="1"/>
    <col min="9734" max="9734" width="14.42578125" style="4014" customWidth="1"/>
    <col min="9735" max="9735" width="3.85546875" style="4014" customWidth="1"/>
    <col min="9736" max="9736" width="22.85546875" style="4014" customWidth="1"/>
    <col min="9737" max="9754" width="7.140625" style="4014" customWidth="1"/>
    <col min="9755" max="9988" width="9.140625" style="4014"/>
    <col min="9989" max="9989" width="3.85546875" style="4014" customWidth="1"/>
    <col min="9990" max="9990" width="14.42578125" style="4014" customWidth="1"/>
    <col min="9991" max="9991" width="3.85546875" style="4014" customWidth="1"/>
    <col min="9992" max="9992" width="22.85546875" style="4014" customWidth="1"/>
    <col min="9993" max="10010" width="7.140625" style="4014" customWidth="1"/>
    <col min="10011" max="10244" width="9.140625" style="4014"/>
    <col min="10245" max="10245" width="3.85546875" style="4014" customWidth="1"/>
    <col min="10246" max="10246" width="14.42578125" style="4014" customWidth="1"/>
    <col min="10247" max="10247" width="3.85546875" style="4014" customWidth="1"/>
    <col min="10248" max="10248" width="22.85546875" style="4014" customWidth="1"/>
    <col min="10249" max="10266" width="7.140625" style="4014" customWidth="1"/>
    <col min="10267" max="10500" width="9.140625" style="4014"/>
    <col min="10501" max="10501" width="3.85546875" style="4014" customWidth="1"/>
    <col min="10502" max="10502" width="14.42578125" style="4014" customWidth="1"/>
    <col min="10503" max="10503" width="3.85546875" style="4014" customWidth="1"/>
    <col min="10504" max="10504" width="22.85546875" style="4014" customWidth="1"/>
    <col min="10505" max="10522" width="7.140625" style="4014" customWidth="1"/>
    <col min="10523" max="10756" width="9.140625" style="4014"/>
    <col min="10757" max="10757" width="3.85546875" style="4014" customWidth="1"/>
    <col min="10758" max="10758" width="14.42578125" style="4014" customWidth="1"/>
    <col min="10759" max="10759" width="3.85546875" style="4014" customWidth="1"/>
    <col min="10760" max="10760" width="22.85546875" style="4014" customWidth="1"/>
    <col min="10761" max="10778" width="7.140625" style="4014" customWidth="1"/>
    <col min="10779" max="11012" width="9.140625" style="4014"/>
    <col min="11013" max="11013" width="3.85546875" style="4014" customWidth="1"/>
    <col min="11014" max="11014" width="14.42578125" style="4014" customWidth="1"/>
    <col min="11015" max="11015" width="3.85546875" style="4014" customWidth="1"/>
    <col min="11016" max="11016" width="22.85546875" style="4014" customWidth="1"/>
    <col min="11017" max="11034" width="7.140625" style="4014" customWidth="1"/>
    <col min="11035" max="11268" width="9.140625" style="4014"/>
    <col min="11269" max="11269" width="3.85546875" style="4014" customWidth="1"/>
    <col min="11270" max="11270" width="14.42578125" style="4014" customWidth="1"/>
    <col min="11271" max="11271" width="3.85546875" style="4014" customWidth="1"/>
    <col min="11272" max="11272" width="22.85546875" style="4014" customWidth="1"/>
    <col min="11273" max="11290" width="7.140625" style="4014" customWidth="1"/>
    <col min="11291" max="11524" width="9.140625" style="4014"/>
    <col min="11525" max="11525" width="3.85546875" style="4014" customWidth="1"/>
    <col min="11526" max="11526" width="14.42578125" style="4014" customWidth="1"/>
    <col min="11527" max="11527" width="3.85546875" style="4014" customWidth="1"/>
    <col min="11528" max="11528" width="22.85546875" style="4014" customWidth="1"/>
    <col min="11529" max="11546" width="7.140625" style="4014" customWidth="1"/>
    <col min="11547" max="11780" width="9.140625" style="4014"/>
    <col min="11781" max="11781" width="3.85546875" style="4014" customWidth="1"/>
    <col min="11782" max="11782" width="14.42578125" style="4014" customWidth="1"/>
    <col min="11783" max="11783" width="3.85546875" style="4014" customWidth="1"/>
    <col min="11784" max="11784" width="22.85546875" style="4014" customWidth="1"/>
    <col min="11785" max="11802" width="7.140625" style="4014" customWidth="1"/>
    <col min="11803" max="12036" width="9.140625" style="4014"/>
    <col min="12037" max="12037" width="3.85546875" style="4014" customWidth="1"/>
    <col min="12038" max="12038" width="14.42578125" style="4014" customWidth="1"/>
    <col min="12039" max="12039" width="3.85546875" style="4014" customWidth="1"/>
    <col min="12040" max="12040" width="22.85546875" style="4014" customWidth="1"/>
    <col min="12041" max="12058" width="7.140625" style="4014" customWidth="1"/>
    <col min="12059" max="12292" width="9.140625" style="4014"/>
    <col min="12293" max="12293" width="3.85546875" style="4014" customWidth="1"/>
    <col min="12294" max="12294" width="14.42578125" style="4014" customWidth="1"/>
    <col min="12295" max="12295" width="3.85546875" style="4014" customWidth="1"/>
    <col min="12296" max="12296" width="22.85546875" style="4014" customWidth="1"/>
    <col min="12297" max="12314" width="7.140625" style="4014" customWidth="1"/>
    <col min="12315" max="12548" width="9.140625" style="4014"/>
    <col min="12549" max="12549" width="3.85546875" style="4014" customWidth="1"/>
    <col min="12550" max="12550" width="14.42578125" style="4014" customWidth="1"/>
    <col min="12551" max="12551" width="3.85546875" style="4014" customWidth="1"/>
    <col min="12552" max="12552" width="22.85546875" style="4014" customWidth="1"/>
    <col min="12553" max="12570" width="7.140625" style="4014" customWidth="1"/>
    <col min="12571" max="12804" width="9.140625" style="4014"/>
    <col min="12805" max="12805" width="3.85546875" style="4014" customWidth="1"/>
    <col min="12806" max="12806" width="14.42578125" style="4014" customWidth="1"/>
    <col min="12807" max="12807" width="3.85546875" style="4014" customWidth="1"/>
    <col min="12808" max="12808" width="22.85546875" style="4014" customWidth="1"/>
    <col min="12809" max="12826" width="7.140625" style="4014" customWidth="1"/>
    <col min="12827" max="13060" width="9.140625" style="4014"/>
    <col min="13061" max="13061" width="3.85546875" style="4014" customWidth="1"/>
    <col min="13062" max="13062" width="14.42578125" style="4014" customWidth="1"/>
    <col min="13063" max="13063" width="3.85546875" style="4014" customWidth="1"/>
    <col min="13064" max="13064" width="22.85546875" style="4014" customWidth="1"/>
    <col min="13065" max="13082" width="7.140625" style="4014" customWidth="1"/>
    <col min="13083" max="13316" width="9.140625" style="4014"/>
    <col min="13317" max="13317" width="3.85546875" style="4014" customWidth="1"/>
    <col min="13318" max="13318" width="14.42578125" style="4014" customWidth="1"/>
    <col min="13319" max="13319" width="3.85546875" style="4014" customWidth="1"/>
    <col min="13320" max="13320" width="22.85546875" style="4014" customWidth="1"/>
    <col min="13321" max="13338" width="7.140625" style="4014" customWidth="1"/>
    <col min="13339" max="13572" width="9.140625" style="4014"/>
    <col min="13573" max="13573" width="3.85546875" style="4014" customWidth="1"/>
    <col min="13574" max="13574" width="14.42578125" style="4014" customWidth="1"/>
    <col min="13575" max="13575" width="3.85546875" style="4014" customWidth="1"/>
    <col min="13576" max="13576" width="22.85546875" style="4014" customWidth="1"/>
    <col min="13577" max="13594" width="7.140625" style="4014" customWidth="1"/>
    <col min="13595" max="13828" width="9.140625" style="4014"/>
    <col min="13829" max="13829" width="3.85546875" style="4014" customWidth="1"/>
    <col min="13830" max="13830" width="14.42578125" style="4014" customWidth="1"/>
    <col min="13831" max="13831" width="3.85546875" style="4014" customWidth="1"/>
    <col min="13832" max="13832" width="22.85546875" style="4014" customWidth="1"/>
    <col min="13833" max="13850" width="7.140625" style="4014" customWidth="1"/>
    <col min="13851" max="14084" width="9.140625" style="4014"/>
    <col min="14085" max="14085" width="3.85546875" style="4014" customWidth="1"/>
    <col min="14086" max="14086" width="14.42578125" style="4014" customWidth="1"/>
    <col min="14087" max="14087" width="3.85546875" style="4014" customWidth="1"/>
    <col min="14088" max="14088" width="22.85546875" style="4014" customWidth="1"/>
    <col min="14089" max="14106" width="7.140625" style="4014" customWidth="1"/>
    <col min="14107" max="14340" width="9.140625" style="4014"/>
    <col min="14341" max="14341" width="3.85546875" style="4014" customWidth="1"/>
    <col min="14342" max="14342" width="14.42578125" style="4014" customWidth="1"/>
    <col min="14343" max="14343" width="3.85546875" style="4014" customWidth="1"/>
    <col min="14344" max="14344" width="22.85546875" style="4014" customWidth="1"/>
    <col min="14345" max="14362" width="7.140625" style="4014" customWidth="1"/>
    <col min="14363" max="14596" width="9.140625" style="4014"/>
    <col min="14597" max="14597" width="3.85546875" style="4014" customWidth="1"/>
    <col min="14598" max="14598" width="14.42578125" style="4014" customWidth="1"/>
    <col min="14599" max="14599" width="3.85546875" style="4014" customWidth="1"/>
    <col min="14600" max="14600" width="22.85546875" style="4014" customWidth="1"/>
    <col min="14601" max="14618" width="7.140625" style="4014" customWidth="1"/>
    <col min="14619" max="14852" width="9.140625" style="4014"/>
    <col min="14853" max="14853" width="3.85546875" style="4014" customWidth="1"/>
    <col min="14854" max="14854" width="14.42578125" style="4014" customWidth="1"/>
    <col min="14855" max="14855" width="3.85546875" style="4014" customWidth="1"/>
    <col min="14856" max="14856" width="22.85546875" style="4014" customWidth="1"/>
    <col min="14857" max="14874" width="7.140625" style="4014" customWidth="1"/>
    <col min="14875" max="15108" width="9.140625" style="4014"/>
    <col min="15109" max="15109" width="3.85546875" style="4014" customWidth="1"/>
    <col min="15110" max="15110" width="14.42578125" style="4014" customWidth="1"/>
    <col min="15111" max="15111" width="3.85546875" style="4014" customWidth="1"/>
    <col min="15112" max="15112" width="22.85546875" style="4014" customWidth="1"/>
    <col min="15113" max="15130" width="7.140625" style="4014" customWidth="1"/>
    <col min="15131" max="15364" width="9.140625" style="4014"/>
    <col min="15365" max="15365" width="3.85546875" style="4014" customWidth="1"/>
    <col min="15366" max="15366" width="14.42578125" style="4014" customWidth="1"/>
    <col min="15367" max="15367" width="3.85546875" style="4014" customWidth="1"/>
    <col min="15368" max="15368" width="22.85546875" style="4014" customWidth="1"/>
    <col min="15369" max="15386" width="7.140625" style="4014" customWidth="1"/>
    <col min="15387" max="15620" width="9.140625" style="4014"/>
    <col min="15621" max="15621" width="3.85546875" style="4014" customWidth="1"/>
    <col min="15622" max="15622" width="14.42578125" style="4014" customWidth="1"/>
    <col min="15623" max="15623" width="3.85546875" style="4014" customWidth="1"/>
    <col min="15624" max="15624" width="22.85546875" style="4014" customWidth="1"/>
    <col min="15625" max="15642" width="7.140625" style="4014" customWidth="1"/>
    <col min="15643" max="15876" width="9.140625" style="4014"/>
    <col min="15877" max="15877" width="3.85546875" style="4014" customWidth="1"/>
    <col min="15878" max="15878" width="14.42578125" style="4014" customWidth="1"/>
    <col min="15879" max="15879" width="3.85546875" style="4014" customWidth="1"/>
    <col min="15880" max="15880" width="22.85546875" style="4014" customWidth="1"/>
    <col min="15881" max="15898" width="7.140625" style="4014" customWidth="1"/>
    <col min="15899" max="16132" width="9.140625" style="4014"/>
    <col min="16133" max="16133" width="3.85546875" style="4014" customWidth="1"/>
    <col min="16134" max="16134" width="14.42578125" style="4014" customWidth="1"/>
    <col min="16135" max="16135" width="3.85546875" style="4014" customWidth="1"/>
    <col min="16136" max="16136" width="22.85546875" style="4014" customWidth="1"/>
    <col min="16137" max="16154" width="7.140625" style="4014" customWidth="1"/>
    <col min="16155" max="16384" width="9.140625" style="4014"/>
  </cols>
  <sheetData>
    <row r="1" spans="1:48" x14ac:dyDescent="0.2">
      <c r="A1" s="3855"/>
      <c r="B1" s="4012"/>
      <c r="C1" s="4012"/>
      <c r="D1" s="4013"/>
      <c r="E1" s="4013"/>
      <c r="F1" s="4013"/>
      <c r="G1" s="4013"/>
      <c r="H1" s="4013"/>
      <c r="I1" s="4013"/>
      <c r="J1" s="4013"/>
      <c r="K1" s="4013"/>
      <c r="L1" s="4013"/>
      <c r="M1" s="4013"/>
      <c r="N1" s="4013"/>
      <c r="O1" s="4013"/>
      <c r="P1" s="4013"/>
      <c r="Q1" s="4013"/>
      <c r="R1" s="4013"/>
      <c r="S1" s="4013"/>
      <c r="T1" s="4013"/>
      <c r="U1" s="4013"/>
    </row>
    <row r="2" spans="1:48" ht="14.25" customHeight="1" x14ac:dyDescent="0.2">
      <c r="A2" s="3854">
        <v>1</v>
      </c>
      <c r="B2" s="3854" t="s">
        <v>0</v>
      </c>
      <c r="C2" s="3854">
        <v>48</v>
      </c>
      <c r="D2" s="4872" t="s">
        <v>1309</v>
      </c>
      <c r="E2" s="4873"/>
      <c r="F2" s="4873"/>
      <c r="G2" s="4873"/>
      <c r="H2" s="4873"/>
      <c r="I2" s="4873"/>
      <c r="J2" s="4873"/>
      <c r="K2" s="4873"/>
      <c r="L2" s="4873"/>
      <c r="M2" s="4873"/>
      <c r="N2" s="4873"/>
      <c r="O2" s="4873"/>
      <c r="P2" s="4873"/>
      <c r="Q2" s="4873"/>
      <c r="R2" s="4873"/>
      <c r="S2" s="4873"/>
      <c r="T2" s="4873"/>
      <c r="U2" s="4873"/>
      <c r="V2" s="4873"/>
      <c r="W2" s="4873"/>
      <c r="X2" s="4873"/>
      <c r="Y2" s="4873"/>
      <c r="Z2" s="4873"/>
      <c r="AA2" s="4873"/>
      <c r="AB2" s="4873"/>
      <c r="AC2" s="4873"/>
      <c r="AD2" s="4873"/>
      <c r="AE2" s="4873"/>
      <c r="AF2" s="4873"/>
      <c r="AG2" s="4873"/>
      <c r="AH2" s="4874"/>
    </row>
    <row r="3" spans="1:48" ht="15" customHeight="1" x14ac:dyDescent="0.2">
      <c r="A3" s="3854">
        <v>2</v>
      </c>
      <c r="B3" s="3854" t="s">
        <v>2</v>
      </c>
      <c r="C3" s="3854"/>
      <c r="D3" s="4872" t="s">
        <v>1231</v>
      </c>
      <c r="E3" s="4873"/>
      <c r="F3" s="4873"/>
      <c r="G3" s="4873"/>
      <c r="H3" s="4873"/>
      <c r="I3" s="4873"/>
      <c r="J3" s="4873"/>
      <c r="K3" s="4873"/>
      <c r="L3" s="4873"/>
      <c r="M3" s="4873"/>
      <c r="N3" s="4873"/>
      <c r="O3" s="4873"/>
      <c r="P3" s="4873"/>
      <c r="Q3" s="4873"/>
      <c r="R3" s="4873"/>
      <c r="S3" s="4873"/>
      <c r="T3" s="4873"/>
      <c r="U3" s="4873"/>
      <c r="V3" s="4873"/>
      <c r="W3" s="4873"/>
      <c r="X3" s="4873"/>
      <c r="Y3" s="4873"/>
      <c r="Z3" s="4873"/>
      <c r="AA3" s="4873"/>
      <c r="AB3" s="4873"/>
      <c r="AC3" s="4873"/>
      <c r="AD3" s="4873"/>
      <c r="AE3" s="4873"/>
      <c r="AF3" s="4873"/>
      <c r="AG3" s="4873"/>
      <c r="AH3" s="4874"/>
    </row>
    <row r="4" spans="1:48" ht="14.25" customHeight="1" x14ac:dyDescent="0.2">
      <c r="A4" s="3854">
        <v>3</v>
      </c>
      <c r="B4" s="3854" t="s">
        <v>4</v>
      </c>
      <c r="C4" s="3854"/>
      <c r="D4" s="4872" t="s">
        <v>1310</v>
      </c>
      <c r="E4" s="4873"/>
      <c r="F4" s="4873"/>
      <c r="G4" s="4873"/>
      <c r="H4" s="4873"/>
      <c r="I4" s="4873"/>
      <c r="J4" s="4873"/>
      <c r="K4" s="4873"/>
      <c r="L4" s="4873"/>
      <c r="M4" s="4873"/>
      <c r="N4" s="4873"/>
      <c r="O4" s="4873"/>
      <c r="P4" s="4873"/>
      <c r="Q4" s="4873"/>
      <c r="R4" s="4873"/>
      <c r="S4" s="4873"/>
      <c r="T4" s="4873"/>
      <c r="U4" s="4873"/>
      <c r="V4" s="4873"/>
      <c r="W4" s="4873"/>
      <c r="X4" s="4873"/>
      <c r="Y4" s="4873"/>
      <c r="Z4" s="4873"/>
      <c r="AA4" s="4873"/>
      <c r="AB4" s="4873"/>
      <c r="AC4" s="4873"/>
      <c r="AD4" s="4873"/>
      <c r="AE4" s="4873"/>
      <c r="AF4" s="4873"/>
      <c r="AG4" s="4873"/>
      <c r="AH4" s="4874"/>
    </row>
    <row r="5" spans="1:48" ht="15.75" customHeight="1" x14ac:dyDescent="0.2">
      <c r="A5" s="4015"/>
      <c r="B5" s="4012"/>
      <c r="C5" s="3872"/>
      <c r="D5" s="4016"/>
      <c r="E5" s="4017"/>
      <c r="F5" s="4017"/>
      <c r="G5" s="4017"/>
      <c r="H5" s="4017"/>
      <c r="I5" s="4017"/>
      <c r="J5" s="4017"/>
      <c r="K5" s="4017"/>
      <c r="L5" s="4017"/>
      <c r="M5" s="4017"/>
      <c r="N5" s="4017"/>
      <c r="O5" s="4017"/>
      <c r="P5" s="4017"/>
    </row>
    <row r="6" spans="1:48" s="4019" customFormat="1" x14ac:dyDescent="0.25">
      <c r="A6" s="3854">
        <v>4</v>
      </c>
      <c r="B6" s="3872" t="s">
        <v>6</v>
      </c>
      <c r="C6" s="4018"/>
      <c r="D6" s="3853" t="s">
        <v>7</v>
      </c>
      <c r="E6" s="3853" t="str">
        <f>D2</f>
        <v>National Senior Certificate Examination Pass Rate</v>
      </c>
      <c r="F6" s="3853"/>
      <c r="G6" s="3853"/>
      <c r="H6" s="3853"/>
      <c r="I6" s="3853"/>
      <c r="J6" s="3853"/>
      <c r="K6" s="3853"/>
      <c r="L6" s="3853"/>
      <c r="M6" s="3852"/>
      <c r="N6" s="3852"/>
      <c r="O6" s="3852"/>
      <c r="P6" s="3852"/>
      <c r="Q6" s="3852"/>
      <c r="R6" s="3861"/>
      <c r="S6" s="3861"/>
      <c r="T6" s="3861"/>
      <c r="U6" s="3861"/>
      <c r="AD6" s="3341"/>
      <c r="AE6" s="3341"/>
    </row>
    <row r="7" spans="1:48" s="4019" customFormat="1" ht="11.25" x14ac:dyDescent="0.2">
      <c r="A7" s="3890"/>
      <c r="B7" s="4018"/>
      <c r="C7" s="4018"/>
      <c r="D7" s="4020"/>
      <c r="E7" s="4021">
        <v>1994</v>
      </c>
      <c r="F7" s="4021">
        <v>1995</v>
      </c>
      <c r="G7" s="4021">
        <v>1996</v>
      </c>
      <c r="H7" s="4021">
        <v>1997</v>
      </c>
      <c r="I7" s="4021">
        <v>1998</v>
      </c>
      <c r="J7" s="4021">
        <v>1999</v>
      </c>
      <c r="K7" s="4021">
        <v>2000</v>
      </c>
      <c r="L7" s="4021">
        <v>2001</v>
      </c>
      <c r="M7" s="4021">
        <v>2002</v>
      </c>
      <c r="N7" s="4021">
        <v>2003</v>
      </c>
      <c r="O7" s="4021">
        <v>2004</v>
      </c>
      <c r="P7" s="4021">
        <v>2005</v>
      </c>
      <c r="Q7" s="4021">
        <v>2006</v>
      </c>
      <c r="R7" s="4021">
        <v>2007</v>
      </c>
      <c r="S7" s="4021">
        <v>2008</v>
      </c>
      <c r="T7" s="4021">
        <v>2009</v>
      </c>
      <c r="U7" s="4021">
        <v>2010</v>
      </c>
      <c r="V7" s="4021">
        <v>2011</v>
      </c>
      <c r="W7" s="4021">
        <v>2012</v>
      </c>
      <c r="X7" s="4021">
        <v>2013</v>
      </c>
      <c r="Y7" s="4022">
        <v>2014</v>
      </c>
      <c r="Z7" s="4022">
        <v>2015</v>
      </c>
      <c r="AA7" s="4022">
        <v>2016</v>
      </c>
      <c r="AB7" s="4023">
        <v>2017</v>
      </c>
      <c r="AC7" s="4023">
        <v>2018</v>
      </c>
      <c r="AD7" s="4023">
        <v>2019</v>
      </c>
      <c r="AE7" s="4024">
        <v>2020</v>
      </c>
      <c r="AF7" s="4025">
        <v>2021</v>
      </c>
      <c r="AG7" s="4025">
        <v>2022</v>
      </c>
    </row>
    <row r="8" spans="1:48" x14ac:dyDescent="0.2">
      <c r="A8" s="3855"/>
      <c r="B8" s="4012"/>
      <c r="C8" s="4012"/>
      <c r="D8" s="4026" t="s">
        <v>1311</v>
      </c>
      <c r="E8" s="4027"/>
      <c r="F8" s="4028">
        <v>531453</v>
      </c>
      <c r="G8" s="4028">
        <v>513868</v>
      </c>
      <c r="H8" s="4028">
        <v>558970</v>
      </c>
      <c r="I8" s="4028">
        <v>552384</v>
      </c>
      <c r="J8" s="4028">
        <v>511159</v>
      </c>
      <c r="K8" s="4028">
        <v>489298</v>
      </c>
      <c r="L8" s="4028">
        <v>449332</v>
      </c>
      <c r="M8" s="4028">
        <v>3372</v>
      </c>
      <c r="N8" s="4028">
        <v>440096</v>
      </c>
      <c r="O8" s="4028"/>
      <c r="P8" s="4028">
        <v>508180</v>
      </c>
      <c r="Q8" s="4028">
        <v>527950</v>
      </c>
      <c r="R8" s="4028">
        <v>564381</v>
      </c>
      <c r="S8" s="4029">
        <v>554664</v>
      </c>
      <c r="T8" s="4029">
        <v>552073</v>
      </c>
      <c r="U8" s="4029">
        <v>537543</v>
      </c>
      <c r="V8" s="4029">
        <v>496090</v>
      </c>
      <c r="W8" s="4029">
        <v>511152</v>
      </c>
      <c r="X8" s="4029">
        <v>562116</v>
      </c>
      <c r="Y8" s="4030">
        <v>532860</v>
      </c>
      <c r="Z8" s="4030">
        <v>644536</v>
      </c>
      <c r="AA8" s="4030">
        <v>610178</v>
      </c>
      <c r="AB8" s="4031">
        <v>534484</v>
      </c>
      <c r="AC8" s="4031">
        <v>512735</v>
      </c>
      <c r="AD8" s="4031">
        <v>504303</v>
      </c>
      <c r="AE8" s="4032">
        <v>578468</v>
      </c>
      <c r="AF8" s="4033">
        <v>704021</v>
      </c>
      <c r="AG8" s="4033">
        <v>725146</v>
      </c>
    </row>
    <row r="9" spans="1:48" x14ac:dyDescent="0.2">
      <c r="A9" s="3855"/>
      <c r="B9" s="4012"/>
      <c r="C9" s="4012"/>
      <c r="D9" s="4026" t="s">
        <v>1312</v>
      </c>
      <c r="E9" s="4027"/>
      <c r="F9" s="1499">
        <v>283742</v>
      </c>
      <c r="G9" s="1499">
        <v>279487</v>
      </c>
      <c r="H9" s="1499">
        <v>264795</v>
      </c>
      <c r="I9" s="1499">
        <v>272488</v>
      </c>
      <c r="J9" s="1499">
        <v>249831</v>
      </c>
      <c r="K9" s="1499">
        <v>283294</v>
      </c>
      <c r="L9" s="1499">
        <v>277206</v>
      </c>
      <c r="M9" s="1499">
        <v>305774</v>
      </c>
      <c r="N9" s="1499">
        <v>322492</v>
      </c>
      <c r="O9" s="1499">
        <v>330717</v>
      </c>
      <c r="P9" s="1499">
        <v>347184</v>
      </c>
      <c r="Q9" s="1499">
        <v>351503</v>
      </c>
      <c r="R9" s="4028">
        <v>368217</v>
      </c>
      <c r="S9" s="4028">
        <v>344794</v>
      </c>
      <c r="T9" s="4028">
        <v>334716</v>
      </c>
      <c r="U9" s="4029">
        <v>364147</v>
      </c>
      <c r="V9" s="4029">
        <v>348117</v>
      </c>
      <c r="W9" s="4029">
        <v>377829</v>
      </c>
      <c r="X9" s="4029">
        <v>439779</v>
      </c>
      <c r="Y9" s="4030">
        <v>403874</v>
      </c>
      <c r="Z9" s="4030">
        <v>455825</v>
      </c>
      <c r="AA9" s="4030">
        <v>442672</v>
      </c>
      <c r="AB9" s="4034">
        <v>401435</v>
      </c>
      <c r="AC9" s="4034">
        <v>400761</v>
      </c>
      <c r="AD9" s="4034">
        <v>409906</v>
      </c>
      <c r="AE9" s="2760">
        <v>440702</v>
      </c>
      <c r="AF9" s="4035">
        <v>537687</v>
      </c>
      <c r="AG9" s="4035">
        <v>580555</v>
      </c>
      <c r="AM9" s="4014" t="s">
        <v>85</v>
      </c>
    </row>
    <row r="10" spans="1:48" x14ac:dyDescent="0.2">
      <c r="A10" s="3855"/>
      <c r="B10" s="4012"/>
      <c r="C10" s="4012"/>
      <c r="D10" s="4026" t="s">
        <v>1313</v>
      </c>
      <c r="E10" s="4027"/>
      <c r="F10" s="1499"/>
      <c r="G10" s="1499"/>
      <c r="H10" s="1499"/>
      <c r="I10" s="1499"/>
      <c r="J10" s="1499"/>
      <c r="K10" s="1499"/>
      <c r="L10" s="1499"/>
      <c r="M10" s="1499">
        <v>9191</v>
      </c>
      <c r="N10" s="1499"/>
      <c r="O10" s="1499"/>
      <c r="P10" s="1499"/>
      <c r="Q10" s="1499"/>
      <c r="R10" s="4028"/>
      <c r="S10" s="4028"/>
      <c r="T10" s="4028"/>
      <c r="U10" s="4029">
        <v>126371</v>
      </c>
      <c r="V10" s="4029">
        <v>120767</v>
      </c>
      <c r="W10" s="4029">
        <v>136047</v>
      </c>
      <c r="X10" s="4029">
        <v>171755</v>
      </c>
      <c r="Y10" s="4030">
        <v>150752</v>
      </c>
      <c r="Z10" s="4030">
        <v>166263</v>
      </c>
      <c r="AA10" s="4030">
        <v>162374</v>
      </c>
      <c r="AB10" s="4034">
        <v>153610</v>
      </c>
      <c r="AC10" s="4034">
        <v>172043</v>
      </c>
      <c r="AD10" s="4034">
        <v>186058</v>
      </c>
      <c r="AE10" s="2760">
        <v>210820</v>
      </c>
      <c r="AF10" s="4035">
        <v>256031</v>
      </c>
      <c r="AG10" s="4035">
        <v>278814</v>
      </c>
    </row>
    <row r="11" spans="1:48" s="4019" customFormat="1" ht="11.25" x14ac:dyDescent="0.2">
      <c r="A11" s="3890"/>
      <c r="B11" s="4018"/>
      <c r="C11" s="4018"/>
      <c r="D11" s="4036" t="s">
        <v>1032</v>
      </c>
      <c r="E11" s="1500">
        <v>0.57999999999999996</v>
      </c>
      <c r="F11" s="1500">
        <v>0.53389857616760095</v>
      </c>
      <c r="G11" s="1500">
        <v>0.54388870293538416</v>
      </c>
      <c r="H11" s="1500">
        <v>0.47371951983111793</v>
      </c>
      <c r="I11" s="1500">
        <v>0.49329451975437377</v>
      </c>
      <c r="J11" s="1500">
        <v>0.48875398848499196</v>
      </c>
      <c r="K11" s="1500">
        <v>0.57898049859186018</v>
      </c>
      <c r="L11" s="1500">
        <v>0.6169291303535025</v>
      </c>
      <c r="M11" s="1500">
        <v>0.68904487735625841</v>
      </c>
      <c r="N11" s="1500">
        <v>0.73277648513051696</v>
      </c>
      <c r="O11" s="1500">
        <v>0.70682639081835474</v>
      </c>
      <c r="P11" s="1500">
        <v>0.68319099531662009</v>
      </c>
      <c r="Q11" s="1499"/>
      <c r="R11" s="4028"/>
      <c r="S11" s="4028"/>
      <c r="T11" s="4028"/>
      <c r="U11" s="1500">
        <v>0.67800000000000005</v>
      </c>
      <c r="V11" s="1500">
        <v>0.70199999999999996</v>
      </c>
      <c r="W11" s="1500">
        <v>0.73917151845243689</v>
      </c>
      <c r="X11" s="1500">
        <v>0.78200000000000003</v>
      </c>
      <c r="Y11" s="1501">
        <v>0.75800000000000001</v>
      </c>
      <c r="Z11" s="1501">
        <v>0.70699999999999996</v>
      </c>
      <c r="AA11" s="1501">
        <v>0.72499999999999998</v>
      </c>
      <c r="AB11" s="1502">
        <v>0.751</v>
      </c>
      <c r="AC11" s="1502">
        <v>0.78200000000000003</v>
      </c>
      <c r="AD11" s="1502">
        <v>0.81299999999999994</v>
      </c>
      <c r="AE11" s="2761">
        <v>0.76200000000000001</v>
      </c>
      <c r="AF11" s="2761">
        <v>0.76400000000000001</v>
      </c>
      <c r="AG11" s="2761">
        <v>0.80100000000000005</v>
      </c>
    </row>
    <row r="12" spans="1:48" s="4019" customFormat="1" ht="11.25" x14ac:dyDescent="0.2">
      <c r="A12" s="3890"/>
      <c r="B12" s="4018"/>
      <c r="C12" s="4018"/>
      <c r="D12" s="4026"/>
      <c r="E12" s="1474"/>
      <c r="F12" s="1474"/>
      <c r="G12" s="1474"/>
      <c r="H12" s="1474"/>
      <c r="I12" s="1474"/>
      <c r="J12" s="1474"/>
      <c r="K12" s="1474"/>
      <c r="L12" s="1474"/>
      <c r="M12" s="1474"/>
      <c r="N12" s="1474"/>
      <c r="O12" s="1474"/>
      <c r="P12" s="1474"/>
      <c r="Q12" s="1474"/>
      <c r="R12" s="1474"/>
      <c r="S12" s="1474"/>
      <c r="T12" s="1474"/>
      <c r="U12" s="1474"/>
    </row>
    <row r="13" spans="1:48" s="4019" customFormat="1" ht="11.25" x14ac:dyDescent="0.2">
      <c r="A13" s="3890"/>
      <c r="B13" s="4018"/>
      <c r="C13" s="4018"/>
      <c r="D13" s="4037" t="s">
        <v>365</v>
      </c>
      <c r="E13" s="4885" t="s">
        <v>1314</v>
      </c>
      <c r="F13" s="4886"/>
      <c r="G13" s="4886"/>
      <c r="H13" s="4886"/>
      <c r="I13" s="4886"/>
      <c r="J13" s="4886"/>
      <c r="K13" s="1474"/>
      <c r="L13" s="4038"/>
      <c r="M13" s="1474"/>
      <c r="N13" s="4039"/>
      <c r="O13" s="1474"/>
      <c r="P13" s="4039"/>
      <c r="Q13" s="1474"/>
      <c r="R13" s="4039"/>
      <c r="S13" s="1474"/>
      <c r="T13" s="4039"/>
      <c r="U13" s="1474"/>
      <c r="V13" s="4039"/>
    </row>
    <row r="14" spans="1:48" ht="14.1" customHeight="1" x14ac:dyDescent="0.2">
      <c r="A14" s="3855"/>
      <c r="B14" s="3855"/>
      <c r="C14" s="3855"/>
      <c r="D14" s="4040"/>
      <c r="E14" s="4887">
        <v>2009</v>
      </c>
      <c r="F14" s="4888"/>
      <c r="G14" s="4889"/>
      <c r="H14" s="4888">
        <v>2010</v>
      </c>
      <c r="I14" s="4888"/>
      <c r="J14" s="4889"/>
      <c r="K14" s="4888">
        <v>2011</v>
      </c>
      <c r="L14" s="4888"/>
      <c r="M14" s="4889"/>
      <c r="N14" s="4888">
        <v>2012</v>
      </c>
      <c r="O14" s="4888"/>
      <c r="P14" s="4889"/>
      <c r="Q14" s="4888">
        <v>2013</v>
      </c>
      <c r="R14" s="4888"/>
      <c r="S14" s="4889"/>
      <c r="T14" s="4882">
        <v>2014</v>
      </c>
      <c r="U14" s="4882"/>
      <c r="V14" s="4884"/>
      <c r="W14" s="4881">
        <v>2015</v>
      </c>
      <c r="X14" s="4882"/>
      <c r="Y14" s="4884"/>
      <c r="Z14" s="4881">
        <v>2016</v>
      </c>
      <c r="AA14" s="4882"/>
      <c r="AB14" s="4883"/>
      <c r="AC14" s="4881">
        <v>2017</v>
      </c>
      <c r="AD14" s="4882"/>
      <c r="AE14" s="4883"/>
      <c r="AF14" s="4881">
        <v>2018</v>
      </c>
      <c r="AG14" s="4882"/>
      <c r="AH14" s="4883"/>
      <c r="AI14" s="4881">
        <v>2019</v>
      </c>
      <c r="AJ14" s="4882"/>
      <c r="AK14" s="4883"/>
      <c r="AL14" s="4881">
        <v>2020</v>
      </c>
      <c r="AM14" s="4882"/>
      <c r="AN14" s="4883"/>
      <c r="AO14" s="4881">
        <v>2021</v>
      </c>
      <c r="AP14" s="4882"/>
      <c r="AQ14" s="4883"/>
      <c r="AR14" s="4881">
        <v>2022</v>
      </c>
      <c r="AS14" s="4882"/>
      <c r="AT14" s="4883"/>
      <c r="AV14" s="4041"/>
    </row>
    <row r="15" spans="1:48" ht="28.35" customHeight="1" x14ac:dyDescent="0.2">
      <c r="A15" s="3855"/>
      <c r="B15" s="3855"/>
      <c r="C15" s="3855"/>
      <c r="D15" s="4041" t="s">
        <v>655</v>
      </c>
      <c r="E15" s="1503" t="s">
        <v>1311</v>
      </c>
      <c r="F15" s="1504" t="s">
        <v>1312</v>
      </c>
      <c r="G15" s="1505" t="s">
        <v>1032</v>
      </c>
      <c r="H15" s="1504" t="s">
        <v>1311</v>
      </c>
      <c r="I15" s="1504" t="s">
        <v>1312</v>
      </c>
      <c r="J15" s="1505" t="s">
        <v>1032</v>
      </c>
      <c r="K15" s="1504" t="s">
        <v>1311</v>
      </c>
      <c r="L15" s="1504" t="s">
        <v>1312</v>
      </c>
      <c r="M15" s="1505" t="s">
        <v>1032</v>
      </c>
      <c r="N15" s="1504" t="s">
        <v>1311</v>
      </c>
      <c r="O15" s="1504" t="s">
        <v>1312</v>
      </c>
      <c r="P15" s="1505" t="s">
        <v>1032</v>
      </c>
      <c r="Q15" s="1504" t="s">
        <v>1311</v>
      </c>
      <c r="R15" s="1504" t="s">
        <v>1312</v>
      </c>
      <c r="S15" s="1505" t="s">
        <v>1032</v>
      </c>
      <c r="T15" s="1506" t="s">
        <v>1311</v>
      </c>
      <c r="U15" s="1506" t="s">
        <v>1312</v>
      </c>
      <c r="V15" s="1507" t="s">
        <v>1032</v>
      </c>
      <c r="W15" s="1506" t="s">
        <v>1311</v>
      </c>
      <c r="X15" s="1506" t="s">
        <v>1312</v>
      </c>
      <c r="Y15" s="1507" t="s">
        <v>1032</v>
      </c>
      <c r="Z15" s="1506" t="s">
        <v>1311</v>
      </c>
      <c r="AA15" s="1506" t="s">
        <v>1312</v>
      </c>
      <c r="AB15" s="1508" t="s">
        <v>1032</v>
      </c>
      <c r="AC15" s="1506" t="s">
        <v>1311</v>
      </c>
      <c r="AD15" s="1506" t="s">
        <v>1312</v>
      </c>
      <c r="AE15" s="1508" t="s">
        <v>1032</v>
      </c>
      <c r="AF15" s="1506" t="s">
        <v>1311</v>
      </c>
      <c r="AG15" s="1506" t="s">
        <v>1312</v>
      </c>
      <c r="AH15" s="1508" t="s">
        <v>1032</v>
      </c>
      <c r="AI15" s="1506" t="s">
        <v>1311</v>
      </c>
      <c r="AJ15" s="1506" t="s">
        <v>1312</v>
      </c>
      <c r="AK15" s="1508" t="s">
        <v>1032</v>
      </c>
      <c r="AL15" s="1506" t="s">
        <v>1311</v>
      </c>
      <c r="AM15" s="1506" t="s">
        <v>1312</v>
      </c>
      <c r="AN15" s="1508" t="s">
        <v>1032</v>
      </c>
      <c r="AO15" s="1506" t="s">
        <v>1311</v>
      </c>
      <c r="AP15" s="1506" t="s">
        <v>1312</v>
      </c>
      <c r="AQ15" s="1508" t="s">
        <v>1032</v>
      </c>
      <c r="AR15" s="1506" t="s">
        <v>1311</v>
      </c>
      <c r="AS15" s="1506" t="s">
        <v>1312</v>
      </c>
      <c r="AT15" s="1508" t="s">
        <v>1032</v>
      </c>
    </row>
    <row r="16" spans="1:48" ht="15" customHeight="1" x14ac:dyDescent="0.2">
      <c r="A16" s="3855"/>
      <c r="B16" s="3855"/>
      <c r="C16" s="3855"/>
      <c r="D16" s="4042" t="s">
        <v>276</v>
      </c>
      <c r="E16" s="1509">
        <v>68129</v>
      </c>
      <c r="F16" s="4043">
        <v>34731</v>
      </c>
      <c r="G16" s="1475">
        <f t="shared" ref="G16:G25" si="0">+F16/E16</f>
        <v>0.50978291182903024</v>
      </c>
      <c r="H16" s="1510">
        <v>64090</v>
      </c>
      <c r="I16" s="4043">
        <v>37345</v>
      </c>
      <c r="J16" s="1475">
        <f t="shared" ref="J16:J24" si="1">+I16/H16</f>
        <v>0.58269620845685755</v>
      </c>
      <c r="K16" s="1510">
        <v>65359</v>
      </c>
      <c r="L16" s="4043">
        <v>37997</v>
      </c>
      <c r="M16" s="1475">
        <f t="shared" ref="M16:M25" si="2">+L16/K16</f>
        <v>0.58135834391591057</v>
      </c>
      <c r="N16" s="1510">
        <v>63989</v>
      </c>
      <c r="O16" s="4043">
        <v>39443</v>
      </c>
      <c r="P16" s="1475">
        <f t="shared" ref="P16:P25" si="3">+O16/N16</f>
        <v>0.61640281923455598</v>
      </c>
      <c r="Q16" s="1510">
        <v>72138</v>
      </c>
      <c r="R16" s="4043">
        <v>46840</v>
      </c>
      <c r="S16" s="1475">
        <v>0.64900000000000002</v>
      </c>
      <c r="T16" s="1511">
        <v>66935</v>
      </c>
      <c r="U16" s="4044">
        <v>43777</v>
      </c>
      <c r="V16" s="1512">
        <v>0.65400000000000003</v>
      </c>
      <c r="W16" s="1511">
        <v>87090</v>
      </c>
      <c r="X16" s="4044">
        <v>49475</v>
      </c>
      <c r="Y16" s="1475">
        <v>0.56799999999999995</v>
      </c>
      <c r="Z16" s="1511">
        <v>82902</v>
      </c>
      <c r="AA16" s="4044">
        <v>49168</v>
      </c>
      <c r="AB16" s="1513">
        <f t="shared" ref="AB16:AB23" si="4">AA16/Z16</f>
        <v>0.59308581216375966</v>
      </c>
      <c r="AC16" s="1511">
        <v>67648</v>
      </c>
      <c r="AD16" s="4044">
        <v>43981</v>
      </c>
      <c r="AE16" s="1513">
        <f t="shared" ref="AE16:AE25" si="5">AD16/AC16</f>
        <v>0.65014486754966883</v>
      </c>
      <c r="AF16" s="1511">
        <v>65733</v>
      </c>
      <c r="AG16" s="4044">
        <v>46393</v>
      </c>
      <c r="AH16" s="1513">
        <v>0.70599999999999996</v>
      </c>
      <c r="AI16" s="1511">
        <v>63198</v>
      </c>
      <c r="AJ16" s="4044">
        <v>48331</v>
      </c>
      <c r="AK16" s="1513" t="s">
        <v>1315</v>
      </c>
      <c r="AL16" s="1511">
        <v>72926</v>
      </c>
      <c r="AM16" s="4044">
        <v>49691</v>
      </c>
      <c r="AN16" s="1513">
        <v>0.68100000000000005</v>
      </c>
      <c r="AO16" s="1511">
        <v>91500</v>
      </c>
      <c r="AP16" s="4044">
        <v>66770</v>
      </c>
      <c r="AQ16" s="1513" t="s">
        <v>1316</v>
      </c>
      <c r="AR16" s="1511">
        <v>94993</v>
      </c>
      <c r="AS16" s="4044">
        <v>73386</v>
      </c>
      <c r="AT16" s="1513" t="s">
        <v>1317</v>
      </c>
      <c r="AV16" s="4042"/>
    </row>
    <row r="17" spans="1:48" ht="15" customHeight="1" x14ac:dyDescent="0.2">
      <c r="A17" s="3855"/>
      <c r="B17" s="3855"/>
      <c r="C17" s="3855"/>
      <c r="D17" s="4042" t="s">
        <v>277</v>
      </c>
      <c r="E17" s="1509">
        <v>29808</v>
      </c>
      <c r="F17" s="4043">
        <v>20680</v>
      </c>
      <c r="G17" s="1475">
        <f t="shared" si="0"/>
        <v>0.69377348362855606</v>
      </c>
      <c r="H17" s="1510">
        <v>27586</v>
      </c>
      <c r="I17" s="4043">
        <v>19484</v>
      </c>
      <c r="J17" s="1475">
        <f t="shared" si="1"/>
        <v>0.70630029725222943</v>
      </c>
      <c r="K17" s="1510">
        <v>25932</v>
      </c>
      <c r="L17" s="4043">
        <v>19618</v>
      </c>
      <c r="M17" s="1475">
        <f t="shared" si="2"/>
        <v>0.75651704457812741</v>
      </c>
      <c r="N17" s="1510">
        <v>24265</v>
      </c>
      <c r="O17" s="4043">
        <v>19676</v>
      </c>
      <c r="P17" s="1475">
        <f t="shared" si="3"/>
        <v>0.81087986812281065</v>
      </c>
      <c r="Q17" s="1510">
        <v>27105</v>
      </c>
      <c r="R17" s="4043">
        <v>23689</v>
      </c>
      <c r="S17" s="1475">
        <v>0.874</v>
      </c>
      <c r="T17" s="1511">
        <v>26440</v>
      </c>
      <c r="U17" s="4044">
        <v>21899</v>
      </c>
      <c r="V17" s="1512">
        <v>0.82799999999999996</v>
      </c>
      <c r="W17" s="1511">
        <v>31161</v>
      </c>
      <c r="X17" s="4044">
        <v>25416</v>
      </c>
      <c r="Y17" s="1475">
        <v>0.81599999999999995</v>
      </c>
      <c r="Z17" s="1511">
        <v>26786</v>
      </c>
      <c r="AA17" s="4044">
        <v>23629</v>
      </c>
      <c r="AB17" s="1513">
        <f t="shared" si="4"/>
        <v>0.88213992384081241</v>
      </c>
      <c r="AC17" s="1511">
        <v>25130</v>
      </c>
      <c r="AD17" s="4044">
        <v>21631</v>
      </c>
      <c r="AE17" s="1513">
        <f t="shared" si="5"/>
        <v>0.86076402705929167</v>
      </c>
      <c r="AF17" s="1511">
        <v>24914</v>
      </c>
      <c r="AG17" s="4044">
        <v>21806</v>
      </c>
      <c r="AH17" s="1513">
        <v>0.875</v>
      </c>
      <c r="AI17" s="1511">
        <v>25572</v>
      </c>
      <c r="AJ17" s="4044">
        <v>22602</v>
      </c>
      <c r="AK17" s="1513" t="s">
        <v>1318</v>
      </c>
      <c r="AL17" s="1511">
        <v>27928</v>
      </c>
      <c r="AM17" s="4044">
        <v>23779</v>
      </c>
      <c r="AN17" s="1513">
        <v>0.85099999999999998</v>
      </c>
      <c r="AO17" s="1511">
        <v>35055</v>
      </c>
      <c r="AP17" s="4044">
        <v>30037</v>
      </c>
      <c r="AQ17" s="1513" t="s">
        <v>1319</v>
      </c>
      <c r="AR17" s="1511">
        <v>36607</v>
      </c>
      <c r="AS17" s="4044">
        <v>32397</v>
      </c>
      <c r="AT17" s="1513" t="s">
        <v>1320</v>
      </c>
      <c r="AV17" s="4042"/>
    </row>
    <row r="18" spans="1:48" ht="15" customHeight="1" x14ac:dyDescent="0.2">
      <c r="A18" s="3855"/>
      <c r="B18" s="3855"/>
      <c r="C18" s="3855"/>
      <c r="D18" s="4042" t="s">
        <v>278</v>
      </c>
      <c r="E18" s="1509">
        <v>98659</v>
      </c>
      <c r="F18" s="4043">
        <v>70871</v>
      </c>
      <c r="G18" s="1475">
        <f t="shared" si="0"/>
        <v>0.71834297935312541</v>
      </c>
      <c r="H18" s="1510">
        <v>92241</v>
      </c>
      <c r="I18" s="4043">
        <v>72538</v>
      </c>
      <c r="J18" s="1475">
        <f t="shared" si="1"/>
        <v>0.78639650480805712</v>
      </c>
      <c r="K18" s="1510">
        <v>85367</v>
      </c>
      <c r="L18" s="4043">
        <v>69216</v>
      </c>
      <c r="M18" s="1475">
        <f t="shared" si="2"/>
        <v>0.81080511204563821</v>
      </c>
      <c r="N18" s="1510">
        <v>89627</v>
      </c>
      <c r="O18" s="4043">
        <v>75214</v>
      </c>
      <c r="P18" s="1475">
        <f t="shared" si="3"/>
        <v>0.839189083646669</v>
      </c>
      <c r="Q18" s="1510">
        <v>97897</v>
      </c>
      <c r="R18" s="4043">
        <v>85122</v>
      </c>
      <c r="S18" s="1475">
        <v>0.87</v>
      </c>
      <c r="T18" s="1511">
        <v>99478</v>
      </c>
      <c r="U18" s="4044">
        <v>84247</v>
      </c>
      <c r="V18" s="1512">
        <v>0.84699999999999998</v>
      </c>
      <c r="W18" s="1511">
        <v>108442</v>
      </c>
      <c r="X18" s="4044">
        <v>91327</v>
      </c>
      <c r="Y18" s="1475">
        <v>0.84199999999999997</v>
      </c>
      <c r="Z18" s="1511">
        <v>103829</v>
      </c>
      <c r="AA18" s="4044">
        <v>88381</v>
      </c>
      <c r="AB18" s="1513">
        <f t="shared" si="4"/>
        <v>0.851216904718335</v>
      </c>
      <c r="AC18" s="1511">
        <v>97284</v>
      </c>
      <c r="AD18" s="4044">
        <v>82826</v>
      </c>
      <c r="AE18" s="1513">
        <f t="shared" si="5"/>
        <v>0.85138357797787922</v>
      </c>
      <c r="AF18" s="1511">
        <v>94870</v>
      </c>
      <c r="AG18" s="4044">
        <v>83406</v>
      </c>
      <c r="AH18" s="1513">
        <v>0.879</v>
      </c>
      <c r="AI18" s="1511">
        <v>97829</v>
      </c>
      <c r="AJ18" s="4044">
        <v>85342</v>
      </c>
      <c r="AK18" s="1513" t="s">
        <v>1321</v>
      </c>
      <c r="AL18" s="1511">
        <v>110191</v>
      </c>
      <c r="AM18" s="4044">
        <v>92285</v>
      </c>
      <c r="AN18" s="1513">
        <v>0.83799999999999997</v>
      </c>
      <c r="AO18" s="1511">
        <v>127523</v>
      </c>
      <c r="AP18" s="4044">
        <v>105526</v>
      </c>
      <c r="AQ18" s="1513" t="s">
        <v>1322</v>
      </c>
      <c r="AR18" s="1511">
        <v>133841</v>
      </c>
      <c r="AS18" s="4044">
        <v>113006</v>
      </c>
      <c r="AT18" s="1513" t="s">
        <v>1323</v>
      </c>
      <c r="AV18" s="4042"/>
    </row>
    <row r="19" spans="1:48" ht="15" customHeight="1" x14ac:dyDescent="0.2">
      <c r="A19" s="3855"/>
      <c r="B19" s="3855"/>
      <c r="C19" s="3855"/>
      <c r="D19" s="4042" t="s">
        <v>641</v>
      </c>
      <c r="E19" s="1509">
        <v>132176</v>
      </c>
      <c r="F19" s="4043">
        <v>80733</v>
      </c>
      <c r="G19" s="1475">
        <f t="shared" si="0"/>
        <v>0.61079923738046238</v>
      </c>
      <c r="H19" s="1510">
        <v>122444</v>
      </c>
      <c r="I19" s="4043">
        <v>86556</v>
      </c>
      <c r="J19" s="1475">
        <f t="shared" si="1"/>
        <v>0.70690274737839343</v>
      </c>
      <c r="K19" s="1510">
        <v>122126</v>
      </c>
      <c r="L19" s="4043">
        <v>83204</v>
      </c>
      <c r="M19" s="1475">
        <f t="shared" si="2"/>
        <v>0.68129636604817978</v>
      </c>
      <c r="N19" s="1510">
        <v>127253</v>
      </c>
      <c r="O19" s="4043">
        <v>93003</v>
      </c>
      <c r="P19" s="1475">
        <f t="shared" si="3"/>
        <v>0.7308511390694129</v>
      </c>
      <c r="Q19" s="1510">
        <v>145278</v>
      </c>
      <c r="R19" s="4043">
        <v>112403</v>
      </c>
      <c r="S19" s="1475">
        <v>0.77400000000000002</v>
      </c>
      <c r="T19" s="1511">
        <v>139367</v>
      </c>
      <c r="U19" s="4044">
        <v>97144</v>
      </c>
      <c r="V19" s="1512">
        <v>0.69699999999999995</v>
      </c>
      <c r="W19" s="1511">
        <v>162658</v>
      </c>
      <c r="X19" s="4044">
        <v>98761</v>
      </c>
      <c r="Y19" s="1475">
        <v>0.60699999999999998</v>
      </c>
      <c r="Z19" s="1511">
        <v>147648</v>
      </c>
      <c r="AA19" s="4044">
        <v>98032</v>
      </c>
      <c r="AB19" s="1513">
        <f t="shared" si="4"/>
        <v>0.66395752058951019</v>
      </c>
      <c r="AC19" s="1511">
        <v>124317</v>
      </c>
      <c r="AD19" s="4044">
        <v>90589</v>
      </c>
      <c r="AE19" s="1513">
        <f t="shared" si="5"/>
        <v>0.72869358173057586</v>
      </c>
      <c r="AF19" s="1511">
        <v>116152</v>
      </c>
      <c r="AG19" s="4044">
        <v>88485</v>
      </c>
      <c r="AH19" s="1513">
        <v>0.76200000000000001</v>
      </c>
      <c r="AI19" s="1511">
        <v>116937</v>
      </c>
      <c r="AJ19" s="4044">
        <v>95017</v>
      </c>
      <c r="AK19" s="1513" t="s">
        <v>1324</v>
      </c>
      <c r="AL19" s="1511">
        <v>135225</v>
      </c>
      <c r="AM19" s="4044">
        <v>104938</v>
      </c>
      <c r="AN19" s="1513">
        <v>0.77600000000000002</v>
      </c>
      <c r="AO19" s="1511">
        <v>166570</v>
      </c>
      <c r="AP19" s="4044">
        <v>127990</v>
      </c>
      <c r="AQ19" s="1513" t="s">
        <v>1325</v>
      </c>
      <c r="AR19" s="1511">
        <v>164308</v>
      </c>
      <c r="AS19" s="4044">
        <v>136388</v>
      </c>
      <c r="AT19" s="1513" t="s">
        <v>1326</v>
      </c>
      <c r="AV19" s="4042"/>
    </row>
    <row r="20" spans="1:48" ht="15" customHeight="1" x14ac:dyDescent="0.2">
      <c r="A20" s="3855"/>
      <c r="B20" s="3855"/>
      <c r="C20" s="3855"/>
      <c r="D20" s="4042" t="s">
        <v>280</v>
      </c>
      <c r="E20" s="1509">
        <v>83350</v>
      </c>
      <c r="F20" s="4043">
        <v>40776</v>
      </c>
      <c r="G20" s="1475">
        <f t="shared" si="0"/>
        <v>0.48921415716856631</v>
      </c>
      <c r="H20" s="1510">
        <v>94632</v>
      </c>
      <c r="I20" s="4043">
        <v>54771</v>
      </c>
      <c r="J20" s="1475">
        <f t="shared" si="1"/>
        <v>0.57877884859244233</v>
      </c>
      <c r="K20" s="1510">
        <v>73731</v>
      </c>
      <c r="L20" s="4043">
        <v>47091</v>
      </c>
      <c r="M20" s="1475">
        <f t="shared" si="2"/>
        <v>0.63868657688082353</v>
      </c>
      <c r="N20" s="1510">
        <v>77360</v>
      </c>
      <c r="O20" s="4043">
        <v>51745</v>
      </c>
      <c r="P20" s="1475">
        <f t="shared" si="3"/>
        <v>0.66888572905894517</v>
      </c>
      <c r="Q20" s="1510">
        <v>82483</v>
      </c>
      <c r="R20" s="4043">
        <v>59184</v>
      </c>
      <c r="S20" s="1475">
        <v>0.71799999999999997</v>
      </c>
      <c r="T20" s="1511">
        <v>72990</v>
      </c>
      <c r="U20" s="4044">
        <v>53179</v>
      </c>
      <c r="V20" s="1512">
        <v>0.72899999999999998</v>
      </c>
      <c r="W20" s="1511">
        <v>101575</v>
      </c>
      <c r="X20" s="4044">
        <v>66946</v>
      </c>
      <c r="Y20" s="1475">
        <v>0.65900000000000003</v>
      </c>
      <c r="Z20" s="1511">
        <v>101807</v>
      </c>
      <c r="AA20" s="4044">
        <v>63595</v>
      </c>
      <c r="AB20" s="1513">
        <f t="shared" si="4"/>
        <v>0.62466235131179582</v>
      </c>
      <c r="AC20" s="1511">
        <v>83228</v>
      </c>
      <c r="AD20" s="4044">
        <v>54625</v>
      </c>
      <c r="AE20" s="1513">
        <f t="shared" si="5"/>
        <v>0.65632960061517753</v>
      </c>
      <c r="AF20" s="1511">
        <v>76730</v>
      </c>
      <c r="AG20" s="4044">
        <v>53254</v>
      </c>
      <c r="AH20" s="1513">
        <v>0.69399999999999995</v>
      </c>
      <c r="AI20" s="1511">
        <v>70847</v>
      </c>
      <c r="AJ20" s="4044">
        <v>51855</v>
      </c>
      <c r="AK20" s="1513" t="s">
        <v>1327</v>
      </c>
      <c r="AL20" s="1511">
        <v>78695</v>
      </c>
      <c r="AM20" s="4044">
        <v>53634</v>
      </c>
      <c r="AN20" s="1513">
        <v>0.68200000000000005</v>
      </c>
      <c r="AO20" s="1511">
        <v>105101</v>
      </c>
      <c r="AP20" s="4044">
        <v>70124</v>
      </c>
      <c r="AQ20" s="1513" t="s">
        <v>1328</v>
      </c>
      <c r="AR20" s="1511">
        <v>110295</v>
      </c>
      <c r="AS20" s="4044">
        <v>79493</v>
      </c>
      <c r="AT20" s="1513" t="s">
        <v>573</v>
      </c>
      <c r="AV20" s="4042"/>
    </row>
    <row r="21" spans="1:48" ht="15" customHeight="1" x14ac:dyDescent="0.2">
      <c r="A21" s="3855"/>
      <c r="B21" s="3855"/>
      <c r="C21" s="3855"/>
      <c r="D21" s="4042" t="s">
        <v>281</v>
      </c>
      <c r="E21" s="1509">
        <v>53978</v>
      </c>
      <c r="F21" s="4043">
        <v>25852</v>
      </c>
      <c r="G21" s="1475">
        <f t="shared" si="0"/>
        <v>0.47893586275890176</v>
      </c>
      <c r="H21" s="1510">
        <v>51695</v>
      </c>
      <c r="I21" s="4043">
        <v>29382</v>
      </c>
      <c r="J21" s="1475">
        <f t="shared" si="1"/>
        <v>0.56837218299642134</v>
      </c>
      <c r="K21" s="1510">
        <v>48135</v>
      </c>
      <c r="L21" s="4043">
        <v>31187</v>
      </c>
      <c r="M21" s="1475">
        <f t="shared" si="2"/>
        <v>0.64790692843045605</v>
      </c>
      <c r="N21" s="1510">
        <v>47889</v>
      </c>
      <c r="O21" s="4043">
        <v>33504</v>
      </c>
      <c r="P21" s="1475">
        <f t="shared" si="3"/>
        <v>0.69961786631585543</v>
      </c>
      <c r="Q21" s="1510">
        <v>50053</v>
      </c>
      <c r="R21" s="4043">
        <v>38836</v>
      </c>
      <c r="S21" s="1475">
        <v>0.77600000000000002</v>
      </c>
      <c r="T21" s="1511">
        <v>45081</v>
      </c>
      <c r="U21" s="4044">
        <v>35615</v>
      </c>
      <c r="V21" s="1512">
        <v>0.79</v>
      </c>
      <c r="W21" s="1511">
        <v>54980</v>
      </c>
      <c r="X21" s="4044">
        <v>43229</v>
      </c>
      <c r="Y21" s="1475">
        <v>0.78600000000000003</v>
      </c>
      <c r="Z21" s="1511">
        <v>54251</v>
      </c>
      <c r="AA21" s="4044">
        <v>41801</v>
      </c>
      <c r="AB21" s="1513">
        <f t="shared" si="4"/>
        <v>0.77051114265174836</v>
      </c>
      <c r="AC21" s="1511">
        <v>48483</v>
      </c>
      <c r="AD21" s="4044">
        <v>36273</v>
      </c>
      <c r="AE21" s="1513">
        <f t="shared" si="5"/>
        <v>0.74815914856753918</v>
      </c>
      <c r="AF21" s="1511">
        <v>44612</v>
      </c>
      <c r="AG21" s="4044">
        <v>35225</v>
      </c>
      <c r="AH21" s="1513">
        <v>0.79</v>
      </c>
      <c r="AI21" s="1511">
        <v>43559</v>
      </c>
      <c r="AJ21" s="4044">
        <v>34995</v>
      </c>
      <c r="AK21" s="1513" t="s">
        <v>1329</v>
      </c>
      <c r="AL21" s="1511">
        <v>53391</v>
      </c>
      <c r="AM21" s="4044">
        <v>39367</v>
      </c>
      <c r="AN21" s="1513">
        <v>0.73699999999999999</v>
      </c>
      <c r="AO21" s="1511">
        <v>66756</v>
      </c>
      <c r="AP21" s="4044">
        <v>49133</v>
      </c>
      <c r="AQ21" s="1513" t="s">
        <v>1330</v>
      </c>
      <c r="AR21" s="1511">
        <v>67367</v>
      </c>
      <c r="AS21" s="4044">
        <v>51751</v>
      </c>
      <c r="AT21" s="1513" t="s">
        <v>1325</v>
      </c>
      <c r="AV21" s="4042"/>
    </row>
    <row r="22" spans="1:48" ht="15" customHeight="1" x14ac:dyDescent="0.2">
      <c r="A22" s="3855"/>
      <c r="B22" s="3855"/>
      <c r="C22" s="3855"/>
      <c r="D22" s="4042" t="s">
        <v>282</v>
      </c>
      <c r="E22" s="1509">
        <v>30665</v>
      </c>
      <c r="F22" s="4043">
        <v>20700</v>
      </c>
      <c r="G22" s="1475">
        <f t="shared" si="0"/>
        <v>0.67503668677645523</v>
      </c>
      <c r="H22" s="1510">
        <v>28909</v>
      </c>
      <c r="I22" s="4043">
        <v>21874</v>
      </c>
      <c r="J22" s="1475">
        <f t="shared" si="1"/>
        <v>0.75665017814521429</v>
      </c>
      <c r="K22" s="1510">
        <v>25364</v>
      </c>
      <c r="L22" s="4043">
        <v>19737</v>
      </c>
      <c r="M22" s="1475">
        <f t="shared" si="2"/>
        <v>0.77815013404825739</v>
      </c>
      <c r="N22" s="1510">
        <v>27174</v>
      </c>
      <c r="O22" s="4043">
        <v>21609</v>
      </c>
      <c r="P22" s="1475">
        <f t="shared" si="3"/>
        <v>0.79520865533230289</v>
      </c>
      <c r="Q22" s="1510">
        <v>29140</v>
      </c>
      <c r="R22" s="4043">
        <v>25414</v>
      </c>
      <c r="S22" s="1475">
        <v>0.872</v>
      </c>
      <c r="T22" s="1511">
        <v>26066</v>
      </c>
      <c r="U22" s="4044">
        <v>22061</v>
      </c>
      <c r="V22" s="1512">
        <v>0.84599999999999997</v>
      </c>
      <c r="W22" s="1511">
        <v>33286</v>
      </c>
      <c r="X22" s="4044">
        <v>27118</v>
      </c>
      <c r="Y22" s="1475">
        <v>0.81499999999999995</v>
      </c>
      <c r="Z22" s="1511">
        <v>32045</v>
      </c>
      <c r="AA22" s="4044">
        <v>26448</v>
      </c>
      <c r="AB22" s="1513">
        <f t="shared" si="4"/>
        <v>0.82533936651583706</v>
      </c>
      <c r="AC22" s="1511">
        <v>30792</v>
      </c>
      <c r="AD22" s="4044">
        <v>24462</v>
      </c>
      <c r="AE22" s="1513">
        <f t="shared" si="5"/>
        <v>0.79442712392829307</v>
      </c>
      <c r="AF22" s="1511">
        <v>29061</v>
      </c>
      <c r="AG22" s="4044">
        <v>23578</v>
      </c>
      <c r="AH22" s="1513">
        <v>0.81100000000000005</v>
      </c>
      <c r="AI22" s="1511">
        <v>26819</v>
      </c>
      <c r="AJ22" s="4044">
        <v>23272</v>
      </c>
      <c r="AK22" s="1513" t="s">
        <v>1331</v>
      </c>
      <c r="AL22" s="1511">
        <v>36871</v>
      </c>
      <c r="AM22" s="4044">
        <v>28093</v>
      </c>
      <c r="AN22" s="1513">
        <v>0.76200000000000001</v>
      </c>
      <c r="AO22" s="1511">
        <v>41081</v>
      </c>
      <c r="AP22" s="4044">
        <v>32143</v>
      </c>
      <c r="AQ22" s="1513" t="s">
        <v>1332</v>
      </c>
      <c r="AR22" s="1511">
        <v>43823</v>
      </c>
      <c r="AS22" s="4044">
        <v>34960</v>
      </c>
      <c r="AT22" s="1513" t="s">
        <v>1333</v>
      </c>
      <c r="AV22" s="4042"/>
    </row>
    <row r="23" spans="1:48" ht="15" customHeight="1" x14ac:dyDescent="0.2">
      <c r="A23" s="3855"/>
      <c r="B23" s="3855"/>
      <c r="C23" s="3855"/>
      <c r="D23" s="4042" t="s">
        <v>283</v>
      </c>
      <c r="E23" s="1509">
        <v>10377</v>
      </c>
      <c r="F23" s="4043">
        <v>6356</v>
      </c>
      <c r="G23" s="1475">
        <f t="shared" si="0"/>
        <v>0.61250843210947292</v>
      </c>
      <c r="H23" s="1510">
        <v>10182</v>
      </c>
      <c r="I23" s="4043">
        <v>7366</v>
      </c>
      <c r="J23" s="1475">
        <f t="shared" si="1"/>
        <v>0.72343351011589074</v>
      </c>
      <c r="K23" s="1510">
        <v>10116</v>
      </c>
      <c r="L23" s="4043">
        <v>6957</v>
      </c>
      <c r="M23" s="1475">
        <f t="shared" si="2"/>
        <v>0.68772241992882566</v>
      </c>
      <c r="N23" s="1510">
        <v>8925</v>
      </c>
      <c r="O23" s="4043">
        <v>6661</v>
      </c>
      <c r="P23" s="1475">
        <f t="shared" si="3"/>
        <v>0.74633053221288514</v>
      </c>
      <c r="Q23" s="1510">
        <v>10403</v>
      </c>
      <c r="R23" s="4043">
        <v>7749</v>
      </c>
      <c r="S23" s="1475">
        <v>0.745</v>
      </c>
      <c r="T23" s="1511">
        <v>8794</v>
      </c>
      <c r="U23" s="4044">
        <v>6715</v>
      </c>
      <c r="V23" s="1512">
        <v>0.76400000000000001</v>
      </c>
      <c r="W23" s="1511">
        <v>11623</v>
      </c>
      <c r="X23" s="4044">
        <v>8064</v>
      </c>
      <c r="Y23" s="1475">
        <v>0.69399999999999995</v>
      </c>
      <c r="Z23" s="1511">
        <v>10041</v>
      </c>
      <c r="AA23" s="4044">
        <v>7902</v>
      </c>
      <c r="AB23" s="1513">
        <f t="shared" si="4"/>
        <v>0.78697340902300572</v>
      </c>
      <c r="AC23" s="1511">
        <v>8735</v>
      </c>
      <c r="AD23" s="4044">
        <v>6608</v>
      </c>
      <c r="AE23" s="1513">
        <f t="shared" si="5"/>
        <v>0.75649685174585002</v>
      </c>
      <c r="AF23" s="1511">
        <v>9909</v>
      </c>
      <c r="AG23" s="4044">
        <v>7264</v>
      </c>
      <c r="AH23" s="1513">
        <v>0.73299999999999998</v>
      </c>
      <c r="AI23" s="1511">
        <v>9138</v>
      </c>
      <c r="AJ23" s="4044">
        <v>6990</v>
      </c>
      <c r="AK23" s="1513" t="s">
        <v>1315</v>
      </c>
      <c r="AL23" s="1511">
        <v>11608</v>
      </c>
      <c r="AM23" s="4044">
        <v>7665</v>
      </c>
      <c r="AN23" s="1513">
        <v>0.66</v>
      </c>
      <c r="AO23" s="1511">
        <v>12726</v>
      </c>
      <c r="AP23" s="4044">
        <v>9089</v>
      </c>
      <c r="AQ23" s="1513" t="s">
        <v>1334</v>
      </c>
      <c r="AR23" s="1511">
        <v>13574</v>
      </c>
      <c r="AS23" s="4044">
        <v>10072</v>
      </c>
      <c r="AT23" s="1513" t="s">
        <v>1335</v>
      </c>
      <c r="AV23" s="4042"/>
    </row>
    <row r="24" spans="1:48" ht="15" customHeight="1" x14ac:dyDescent="0.2">
      <c r="A24" s="3855"/>
      <c r="B24" s="3855"/>
      <c r="C24" s="3855"/>
      <c r="D24" s="4045" t="s">
        <v>284</v>
      </c>
      <c r="E24" s="1514">
        <v>44931</v>
      </c>
      <c r="F24" s="4046">
        <v>34017</v>
      </c>
      <c r="G24" s="3451">
        <f t="shared" si="0"/>
        <v>0.75709421112372299</v>
      </c>
      <c r="H24" s="4047">
        <v>45764</v>
      </c>
      <c r="I24" s="4046">
        <v>34831</v>
      </c>
      <c r="J24" s="3451">
        <f t="shared" si="1"/>
        <v>0.76110042828424085</v>
      </c>
      <c r="K24" s="4047">
        <v>39960</v>
      </c>
      <c r="L24" s="4046">
        <v>33110</v>
      </c>
      <c r="M24" s="3451">
        <f t="shared" si="2"/>
        <v>0.82857857857857853</v>
      </c>
      <c r="N24" s="4047">
        <v>44670</v>
      </c>
      <c r="O24" s="4046">
        <v>36974</v>
      </c>
      <c r="P24" s="3451">
        <f t="shared" si="3"/>
        <v>0.82771434967539737</v>
      </c>
      <c r="Q24" s="4047">
        <v>47615</v>
      </c>
      <c r="R24" s="4046">
        <v>40542</v>
      </c>
      <c r="S24" s="3451">
        <v>0.85099999999999998</v>
      </c>
      <c r="T24" s="4048">
        <v>47709</v>
      </c>
      <c r="U24" s="4049">
        <v>39237</v>
      </c>
      <c r="V24" s="3452">
        <v>0.82199999999999995</v>
      </c>
      <c r="W24" s="1511">
        <v>53721</v>
      </c>
      <c r="X24" s="4044">
        <v>45489</v>
      </c>
      <c r="Y24" s="1475">
        <v>0.84699999999999998</v>
      </c>
      <c r="Z24" s="1511">
        <v>50869</v>
      </c>
      <c r="AA24" s="4044">
        <v>43716</v>
      </c>
      <c r="AB24" s="4050">
        <v>2020</v>
      </c>
      <c r="AC24" s="1511">
        <v>48867</v>
      </c>
      <c r="AD24" s="4044">
        <v>40440</v>
      </c>
      <c r="AE24" s="1513">
        <f t="shared" si="5"/>
        <v>0.82755233593222421</v>
      </c>
      <c r="AF24" s="1511">
        <v>50754</v>
      </c>
      <c r="AG24" s="4044">
        <v>41350</v>
      </c>
      <c r="AH24" s="1513">
        <v>0.81499999999999995</v>
      </c>
      <c r="AI24" s="1511">
        <v>50404</v>
      </c>
      <c r="AJ24" s="4044">
        <v>41502</v>
      </c>
      <c r="AK24" s="1513" t="s">
        <v>1336</v>
      </c>
      <c r="AL24" s="1511">
        <v>51633</v>
      </c>
      <c r="AM24" s="4044">
        <v>41250</v>
      </c>
      <c r="AN24" s="1513">
        <v>0.79900000000000004</v>
      </c>
      <c r="AO24" s="1511">
        <v>57709</v>
      </c>
      <c r="AP24" s="4044">
        <v>46875</v>
      </c>
      <c r="AQ24" s="1513" t="s">
        <v>1337</v>
      </c>
      <c r="AR24" s="1511">
        <v>60338</v>
      </c>
      <c r="AS24" s="4044">
        <v>49102</v>
      </c>
      <c r="AT24" s="1513" t="s">
        <v>1338</v>
      </c>
      <c r="AV24" s="4045"/>
    </row>
    <row r="25" spans="1:48" ht="15" customHeight="1" x14ac:dyDescent="0.2">
      <c r="A25" s="3855"/>
      <c r="B25" s="3855"/>
      <c r="C25" s="3855"/>
      <c r="D25" s="4051" t="s">
        <v>1339</v>
      </c>
      <c r="E25" s="4052">
        <f>SUM(E16:E24)</f>
        <v>552073</v>
      </c>
      <c r="F25" s="4053">
        <f>SUM(F16:F24)</f>
        <v>334716</v>
      </c>
      <c r="G25" s="3581">
        <f t="shared" si="0"/>
        <v>0.60628938564284074</v>
      </c>
      <c r="H25" s="4054">
        <f>SUM(H16:H24)</f>
        <v>537543</v>
      </c>
      <c r="I25" s="4053">
        <f>SUM(I16:I24)</f>
        <v>364147</v>
      </c>
      <c r="J25" s="3581">
        <v>0.67800000000000005</v>
      </c>
      <c r="K25" s="4054">
        <f>SUM(K16:K24)</f>
        <v>496090</v>
      </c>
      <c r="L25" s="4053">
        <f>SUM(L16:L24)</f>
        <v>348117</v>
      </c>
      <c r="M25" s="3581">
        <f t="shared" si="2"/>
        <v>0.70172146183152251</v>
      </c>
      <c r="N25" s="4054">
        <v>511152</v>
      </c>
      <c r="O25" s="4053">
        <v>377829</v>
      </c>
      <c r="P25" s="3581">
        <f t="shared" si="3"/>
        <v>0.73917151845243689</v>
      </c>
      <c r="Q25" s="4053">
        <v>562112</v>
      </c>
      <c r="R25" s="4053">
        <v>439779</v>
      </c>
      <c r="S25" s="1505">
        <v>0.78200000000000003</v>
      </c>
      <c r="T25" s="4055">
        <f>SUM(T16:T24)</f>
        <v>532860</v>
      </c>
      <c r="U25" s="4055">
        <f>SUM(U16:U24)</f>
        <v>403874</v>
      </c>
      <c r="V25" s="1507">
        <v>0.75800000000000001</v>
      </c>
      <c r="W25" s="4056">
        <v>644536</v>
      </c>
      <c r="X25" s="4057">
        <v>455825</v>
      </c>
      <c r="Y25" s="3582">
        <v>0.70699999999999996</v>
      </c>
      <c r="Z25" s="4057">
        <v>610178</v>
      </c>
      <c r="AA25" s="4057">
        <v>442672</v>
      </c>
      <c r="AB25" s="4058"/>
      <c r="AC25" s="4057">
        <v>534484</v>
      </c>
      <c r="AD25" s="4057">
        <v>401435</v>
      </c>
      <c r="AE25" s="3583">
        <f t="shared" si="5"/>
        <v>0.75107019106278206</v>
      </c>
      <c r="AF25" s="4057">
        <f>SUM(AF16:AF24)</f>
        <v>512735</v>
      </c>
      <c r="AG25" s="4057">
        <f>SUM(AG16:AG24)</f>
        <v>400761</v>
      </c>
      <c r="AH25" s="3583">
        <v>0.78200000000000003</v>
      </c>
      <c r="AI25" s="4057">
        <v>504303</v>
      </c>
      <c r="AJ25" s="4057">
        <v>409906</v>
      </c>
      <c r="AK25" s="3583" t="s">
        <v>1324</v>
      </c>
      <c r="AL25" s="4057">
        <f>SUM(AL16:AL24)</f>
        <v>578468</v>
      </c>
      <c r="AM25" s="4057">
        <f>SUM(AM16:AM24)</f>
        <v>440702</v>
      </c>
      <c r="AN25" s="3583">
        <v>0.76200000000000001</v>
      </c>
      <c r="AO25" s="4057">
        <f>SUM(AO16:AO24)</f>
        <v>704021</v>
      </c>
      <c r="AP25" s="4057">
        <f>SUM(AP16:AP24)</f>
        <v>537687</v>
      </c>
      <c r="AQ25" s="3583" t="s">
        <v>1340</v>
      </c>
      <c r="AR25" s="4057">
        <v>725146</v>
      </c>
      <c r="AS25" s="4057">
        <v>580555</v>
      </c>
      <c r="AT25" s="3583" t="s">
        <v>1341</v>
      </c>
      <c r="AV25" s="4051"/>
    </row>
    <row r="26" spans="1:48" x14ac:dyDescent="0.2">
      <c r="A26" s="3855"/>
      <c r="B26" s="3855"/>
      <c r="C26" s="3855"/>
      <c r="D26" s="4042"/>
      <c r="E26" s="4059"/>
      <c r="F26" s="4059"/>
      <c r="G26" s="1474"/>
      <c r="H26" s="4042"/>
      <c r="I26" s="4059"/>
      <c r="J26" s="1474"/>
      <c r="K26" s="4013"/>
      <c r="L26" s="4013"/>
      <c r="M26" s="4013"/>
      <c r="N26" s="4013"/>
      <c r="O26" s="4013"/>
      <c r="P26" s="4013"/>
      <c r="Q26" s="4013"/>
      <c r="R26" s="4013"/>
      <c r="S26" s="4013"/>
      <c r="T26" s="4013"/>
      <c r="U26" s="4013"/>
      <c r="V26" s="4013"/>
      <c r="W26" s="4013"/>
      <c r="X26" s="4013"/>
      <c r="AB26" s="4058"/>
    </row>
    <row r="27" spans="1:48" x14ac:dyDescent="0.2">
      <c r="A27" s="3855"/>
      <c r="B27" s="3855"/>
      <c r="C27" s="3855"/>
      <c r="D27" s="4042"/>
      <c r="E27" s="4059"/>
      <c r="F27" s="4059"/>
      <c r="G27" s="1474"/>
      <c r="H27" s="4042"/>
      <c r="I27" s="4059"/>
      <c r="J27" s="1474"/>
      <c r="K27" s="4013"/>
      <c r="L27" s="4013"/>
      <c r="M27" s="4013"/>
      <c r="N27" s="4013"/>
      <c r="O27" s="4013"/>
      <c r="P27" s="4013"/>
      <c r="Q27" s="4013"/>
      <c r="R27" s="4013"/>
      <c r="S27" s="4013"/>
      <c r="T27" s="4013"/>
      <c r="U27" s="4013"/>
      <c r="V27" s="4013"/>
      <c r="W27" s="4013"/>
      <c r="X27" s="4013"/>
      <c r="AB27" s="4058"/>
    </row>
    <row r="28" spans="1:48" x14ac:dyDescent="0.2">
      <c r="A28" s="3855"/>
      <c r="B28" s="3855"/>
      <c r="C28" s="3855"/>
      <c r="D28" s="4042"/>
      <c r="E28" s="4059"/>
      <c r="F28" s="4059"/>
      <c r="G28" s="1474"/>
      <c r="H28" s="4042"/>
      <c r="I28" s="4059"/>
      <c r="J28" s="1474"/>
      <c r="K28" s="4013"/>
      <c r="L28" s="4013"/>
      <c r="M28" s="4013"/>
      <c r="N28" s="4013"/>
      <c r="O28" s="4013"/>
      <c r="P28" s="4013"/>
      <c r="Q28" s="4013"/>
      <c r="R28" s="4013"/>
      <c r="S28" s="4013"/>
      <c r="T28" s="4013"/>
      <c r="U28" s="4013"/>
      <c r="V28" s="4013"/>
      <c r="W28" s="4013"/>
      <c r="X28" s="4013"/>
      <c r="AB28" s="4058" t="s">
        <v>1244</v>
      </c>
    </row>
    <row r="29" spans="1:48" x14ac:dyDescent="0.2">
      <c r="A29" s="3855"/>
      <c r="B29" s="3855"/>
      <c r="C29" s="3855"/>
      <c r="D29" s="4042"/>
      <c r="E29" s="4059"/>
      <c r="F29" s="4059"/>
      <c r="G29" s="1474"/>
      <c r="H29" s="4042"/>
      <c r="I29" s="4059"/>
      <c r="J29" s="1474"/>
      <c r="K29" s="4013"/>
      <c r="L29" s="4013"/>
      <c r="M29" s="4013"/>
      <c r="N29" s="4013"/>
      <c r="O29" s="4013"/>
      <c r="P29" s="4013"/>
      <c r="Q29" s="4013"/>
      <c r="R29" s="4013"/>
      <c r="S29" s="4013"/>
      <c r="T29" s="4013"/>
      <c r="U29" s="4013"/>
      <c r="V29" s="4013"/>
      <c r="W29" s="4013"/>
      <c r="X29" s="4013"/>
    </row>
    <row r="30" spans="1:48" x14ac:dyDescent="0.2">
      <c r="A30" s="3855"/>
      <c r="B30" s="3855"/>
      <c r="C30" s="3855"/>
      <c r="D30" s="4042"/>
      <c r="E30" s="4059"/>
      <c r="F30" s="4059"/>
      <c r="G30" s="1474"/>
      <c r="H30" s="4042"/>
      <c r="I30" s="4059"/>
      <c r="J30" s="1474"/>
      <c r="K30" s="4013"/>
      <c r="L30" s="4013"/>
      <c r="M30" s="4013"/>
      <c r="N30" s="4013"/>
      <c r="O30" s="4013"/>
      <c r="P30" s="4013"/>
      <c r="Q30" s="4013"/>
      <c r="R30" s="4013"/>
      <c r="S30" s="4013"/>
      <c r="T30" s="4013"/>
      <c r="U30" s="4013"/>
      <c r="V30" s="4013"/>
      <c r="W30" s="4013"/>
      <c r="X30" s="4013"/>
    </row>
    <row r="31" spans="1:48" x14ac:dyDescent="0.2">
      <c r="A31" s="3855"/>
      <c r="B31" s="3855"/>
      <c r="C31" s="3855"/>
      <c r="D31" s="4042"/>
      <c r="E31" s="4059"/>
      <c r="F31" s="4059"/>
      <c r="G31" s="1474"/>
      <c r="H31" s="4042"/>
      <c r="I31" s="4059"/>
      <c r="J31" s="1474"/>
      <c r="K31" s="4013"/>
      <c r="L31" s="4013"/>
      <c r="M31" s="4013"/>
      <c r="N31" s="4013"/>
      <c r="O31" s="4013"/>
      <c r="P31" s="4013"/>
      <c r="Q31" s="4013"/>
      <c r="R31" s="4013"/>
      <c r="S31" s="4013"/>
      <c r="T31" s="4013"/>
      <c r="U31" s="4013"/>
      <c r="V31" s="4013"/>
      <c r="W31" s="4013"/>
      <c r="X31" s="4013"/>
    </row>
    <row r="32" spans="1:48" x14ac:dyDescent="0.2">
      <c r="A32" s="3855"/>
      <c r="B32" s="3855"/>
      <c r="C32" s="3855"/>
      <c r="D32" s="4042"/>
      <c r="E32" s="4059"/>
      <c r="F32" s="4059"/>
      <c r="G32" s="1474"/>
      <c r="H32" s="4042"/>
      <c r="I32" s="4059"/>
      <c r="J32" s="1474"/>
      <c r="K32" s="4013"/>
      <c r="L32" s="4013"/>
      <c r="M32" s="4013"/>
      <c r="N32" s="4013"/>
      <c r="O32" s="4013"/>
      <c r="P32" s="4013"/>
      <c r="Q32" s="4013"/>
      <c r="R32" s="4013"/>
      <c r="S32" s="4013"/>
      <c r="T32" s="4013"/>
      <c r="U32" s="4013"/>
      <c r="V32" s="4013"/>
      <c r="W32" s="4013"/>
      <c r="X32" s="4013"/>
    </row>
    <row r="33" spans="1:34" x14ac:dyDescent="0.2">
      <c r="A33" s="3855"/>
      <c r="B33" s="3855"/>
      <c r="C33" s="3855"/>
      <c r="D33" s="4042"/>
      <c r="E33" s="4059"/>
      <c r="F33" s="4059"/>
      <c r="G33" s="1474"/>
      <c r="H33" s="4042"/>
      <c r="I33" s="4059"/>
      <c r="J33" s="1474"/>
      <c r="K33" s="4013"/>
      <c r="L33" s="4013"/>
      <c r="M33" s="4013"/>
      <c r="N33" s="4013"/>
      <c r="O33" s="4013"/>
      <c r="P33" s="4013"/>
      <c r="Q33" s="4013"/>
      <c r="R33" s="4013"/>
      <c r="S33" s="4013"/>
      <c r="T33" s="4013"/>
      <c r="U33" s="4013"/>
      <c r="V33" s="4013"/>
      <c r="W33" s="4013"/>
      <c r="X33" s="4013"/>
      <c r="AB33" s="4060">
        <v>2020</v>
      </c>
    </row>
    <row r="34" spans="1:34" x14ac:dyDescent="0.2">
      <c r="A34" s="3855"/>
      <c r="B34" s="3855"/>
      <c r="C34" s="3855"/>
      <c r="D34" s="4042"/>
      <c r="E34" s="4059"/>
      <c r="F34" s="4059"/>
      <c r="G34" s="1474"/>
      <c r="H34" s="4042"/>
      <c r="I34" s="4059"/>
      <c r="J34" s="1474"/>
      <c r="K34" s="4013"/>
      <c r="L34" s="4013"/>
      <c r="M34" s="4013"/>
      <c r="N34" s="4013"/>
      <c r="O34" s="4013"/>
      <c r="P34" s="4013"/>
      <c r="Q34" s="4013"/>
      <c r="R34" s="4013"/>
      <c r="S34" s="4013"/>
      <c r="T34" s="4013"/>
      <c r="U34" s="4013"/>
      <c r="V34" s="4013"/>
      <c r="W34" s="4013"/>
      <c r="X34" s="4013"/>
      <c r="AB34" s="4058"/>
    </row>
    <row r="35" spans="1:34" x14ac:dyDescent="0.2">
      <c r="A35" s="3855"/>
      <c r="B35" s="3855"/>
      <c r="C35" s="3855"/>
      <c r="D35" s="4042"/>
      <c r="E35" s="4059"/>
      <c r="F35" s="4059"/>
      <c r="G35" s="1474"/>
      <c r="H35" s="4042"/>
      <c r="I35" s="4059"/>
      <c r="J35" s="1474"/>
      <c r="K35" s="4013"/>
      <c r="L35" s="4013"/>
      <c r="M35" s="4013"/>
      <c r="N35" s="4013"/>
      <c r="O35" s="4013"/>
      <c r="P35" s="4013"/>
      <c r="Q35" s="4013"/>
      <c r="R35" s="4013"/>
      <c r="S35" s="4013"/>
      <c r="T35" s="4013"/>
      <c r="U35" s="4013"/>
      <c r="V35" s="4013"/>
      <c r="W35" s="4013"/>
      <c r="X35" s="4013"/>
      <c r="AB35" s="4058"/>
    </row>
    <row r="36" spans="1:34" x14ac:dyDescent="0.2">
      <c r="A36" s="3855"/>
      <c r="B36" s="3855"/>
      <c r="C36" s="3855"/>
      <c r="D36" s="4042"/>
      <c r="E36" s="4059"/>
      <c r="F36" s="4059"/>
      <c r="G36" s="1474"/>
      <c r="H36" s="4042"/>
      <c r="I36" s="4059"/>
      <c r="J36" s="1474"/>
      <c r="K36" s="4013"/>
      <c r="L36" s="4013"/>
      <c r="M36" s="4013"/>
      <c r="N36" s="4013"/>
      <c r="O36" s="4013"/>
      <c r="P36" s="4013"/>
      <c r="Q36" s="4013"/>
      <c r="R36" s="4013"/>
      <c r="S36" s="4013"/>
      <c r="T36" s="4013"/>
      <c r="U36" s="4013"/>
      <c r="V36" s="4013"/>
      <c r="W36" s="4013"/>
      <c r="X36" s="4013"/>
      <c r="AB36" s="4058"/>
    </row>
    <row r="37" spans="1:34" x14ac:dyDescent="0.2">
      <c r="A37" s="3855"/>
      <c r="B37" s="3855"/>
      <c r="C37" s="3855"/>
      <c r="D37" s="4042"/>
      <c r="E37" s="4059"/>
      <c r="F37" s="4059"/>
      <c r="G37" s="1474"/>
      <c r="H37" s="4042"/>
      <c r="I37" s="4059"/>
      <c r="J37" s="1474"/>
      <c r="K37" s="4013"/>
      <c r="L37" s="4013"/>
      <c r="M37" s="4013"/>
      <c r="N37" s="4013"/>
      <c r="O37" s="4013"/>
      <c r="P37" s="4013"/>
      <c r="Q37" s="4013"/>
      <c r="R37" s="4013"/>
      <c r="S37" s="4013"/>
      <c r="T37" s="4013"/>
      <c r="U37" s="4013"/>
      <c r="V37" s="4013"/>
      <c r="W37" s="4013"/>
      <c r="X37" s="4013"/>
      <c r="AB37" s="4058" t="s">
        <v>1244</v>
      </c>
    </row>
    <row r="38" spans="1:34" x14ac:dyDescent="0.2">
      <c r="A38" s="3855"/>
      <c r="B38" s="3855"/>
      <c r="C38" s="3855"/>
      <c r="D38" s="4042"/>
      <c r="E38" s="4059"/>
      <c r="F38" s="4059"/>
      <c r="G38" s="1474"/>
      <c r="H38" s="4042"/>
      <c r="I38" s="4059"/>
      <c r="J38" s="1474"/>
      <c r="K38" s="4013"/>
      <c r="L38" s="4013"/>
      <c r="M38" s="4013"/>
      <c r="N38" s="4013"/>
      <c r="O38" s="4013"/>
      <c r="P38" s="4013"/>
      <c r="Q38" s="4013"/>
      <c r="R38" s="4013"/>
      <c r="S38" s="4013"/>
      <c r="T38" s="4013"/>
      <c r="U38" s="4013"/>
      <c r="V38" s="4013"/>
      <c r="W38" s="4013"/>
      <c r="X38" s="4013"/>
    </row>
    <row r="39" spans="1:34" x14ac:dyDescent="0.2">
      <c r="A39" s="3855"/>
      <c r="B39" s="3855"/>
      <c r="C39" s="3855"/>
      <c r="D39" s="4042"/>
      <c r="E39" s="4059"/>
      <c r="F39" s="4059"/>
      <c r="G39" s="1474"/>
      <c r="H39" s="4042"/>
      <c r="I39" s="4059"/>
      <c r="J39" s="1474"/>
      <c r="K39" s="4013"/>
      <c r="L39" s="4013"/>
      <c r="M39" s="4013"/>
      <c r="N39" s="4013"/>
      <c r="O39" s="4013"/>
      <c r="P39" s="4013"/>
      <c r="Q39" s="4013"/>
      <c r="R39" s="4013"/>
      <c r="S39" s="4013"/>
      <c r="T39" s="4013"/>
      <c r="U39" s="4013"/>
      <c r="V39" s="4013"/>
      <c r="W39" s="4013"/>
      <c r="X39" s="4013"/>
    </row>
    <row r="40" spans="1:34" x14ac:dyDescent="0.2">
      <c r="A40" s="3855"/>
      <c r="B40" s="3855"/>
      <c r="C40" s="3855"/>
      <c r="D40" s="4042"/>
      <c r="E40" s="4059"/>
      <c r="F40" s="4059"/>
      <c r="G40" s="1474"/>
      <c r="H40" s="4042"/>
      <c r="I40" s="4059"/>
      <c r="J40" s="1474"/>
      <c r="K40" s="4013"/>
      <c r="L40" s="4013"/>
      <c r="M40" s="4013"/>
      <c r="N40" s="4013"/>
      <c r="O40" s="4013"/>
      <c r="P40" s="4013"/>
      <c r="Q40" s="4013"/>
      <c r="R40" s="4013"/>
      <c r="S40" s="4013"/>
      <c r="T40" s="4013"/>
      <c r="U40" s="4013"/>
      <c r="V40" s="4013"/>
      <c r="W40" s="4013"/>
      <c r="X40" s="4013"/>
    </row>
    <row r="41" spans="1:34" x14ac:dyDescent="0.2">
      <c r="A41" s="3855"/>
      <c r="B41" s="3855"/>
      <c r="C41" s="3855"/>
      <c r="D41" s="4042"/>
      <c r="E41" s="4059"/>
      <c r="F41" s="4061"/>
      <c r="G41" s="1474"/>
      <c r="H41" s="4042"/>
      <c r="I41" s="4061"/>
      <c r="J41" s="1474"/>
      <c r="K41" s="4013"/>
      <c r="L41" s="4013"/>
      <c r="M41" s="4013"/>
      <c r="N41" s="4013"/>
      <c r="O41" s="4013"/>
      <c r="P41" s="4013"/>
      <c r="Q41" s="4013"/>
      <c r="R41" s="4013"/>
      <c r="S41" s="4013"/>
      <c r="T41" s="4013"/>
      <c r="U41" s="4013"/>
      <c r="V41" s="4013"/>
      <c r="W41" s="4013"/>
      <c r="X41" s="4013"/>
    </row>
    <row r="42" spans="1:34" x14ac:dyDescent="0.2">
      <c r="A42" s="3855"/>
      <c r="B42" s="3855"/>
      <c r="C42" s="3855"/>
      <c r="D42" s="4013"/>
      <c r="E42" s="4013"/>
      <c r="F42" s="4013"/>
      <c r="G42" s="4013"/>
      <c r="H42" s="4013"/>
      <c r="I42" s="4013"/>
      <c r="J42" s="4013"/>
      <c r="K42" s="4013"/>
      <c r="L42" s="4013"/>
      <c r="M42" s="4013"/>
      <c r="N42" s="4013"/>
      <c r="O42" s="4013"/>
      <c r="P42" s="4013"/>
      <c r="Q42" s="4013"/>
      <c r="R42" s="4013"/>
      <c r="S42" s="4013"/>
      <c r="T42" s="4013"/>
      <c r="U42" s="4013"/>
    </row>
    <row r="43" spans="1:34" x14ac:dyDescent="0.2">
      <c r="A43" s="3855"/>
      <c r="B43" s="3855"/>
      <c r="C43" s="3855"/>
      <c r="D43" s="4013"/>
      <c r="E43" s="4013"/>
      <c r="F43" s="4013"/>
      <c r="G43" s="4013"/>
      <c r="H43" s="4013"/>
      <c r="I43" s="4013"/>
      <c r="J43" s="4013"/>
      <c r="K43" s="4013"/>
      <c r="L43" s="4013"/>
      <c r="M43" s="4013"/>
      <c r="N43" s="4013"/>
      <c r="O43" s="4013"/>
      <c r="P43" s="4013"/>
      <c r="Q43" s="4013"/>
      <c r="R43" s="4013"/>
      <c r="S43" s="4013"/>
      <c r="T43" s="4013"/>
      <c r="U43" s="4013"/>
    </row>
    <row r="44" spans="1:34" ht="14.25" customHeight="1" x14ac:dyDescent="0.2">
      <c r="A44" s="3854">
        <v>5</v>
      </c>
      <c r="B44" s="3854" t="s">
        <v>52</v>
      </c>
      <c r="C44" s="3854"/>
      <c r="D44" s="4872" t="s">
        <v>1342</v>
      </c>
      <c r="E44" s="4873"/>
      <c r="F44" s="4873"/>
      <c r="G44" s="4873"/>
      <c r="H44" s="4873"/>
      <c r="I44" s="4873"/>
      <c r="J44" s="4873"/>
      <c r="K44" s="4873"/>
      <c r="L44" s="4873"/>
      <c r="M44" s="4873"/>
      <c r="N44" s="4873"/>
      <c r="O44" s="4873"/>
      <c r="P44" s="4873"/>
      <c r="Q44" s="4873"/>
      <c r="R44" s="4873"/>
      <c r="S44" s="4873"/>
      <c r="T44" s="4873"/>
      <c r="U44" s="4873"/>
      <c r="V44" s="4873"/>
      <c r="W44" s="4873"/>
      <c r="X44" s="4873"/>
      <c r="Y44" s="4873"/>
      <c r="Z44" s="4873"/>
      <c r="AA44" s="4873"/>
      <c r="AB44" s="4873"/>
      <c r="AC44" s="4873"/>
      <c r="AD44" s="4873"/>
      <c r="AE44" s="4873"/>
      <c r="AF44" s="4873"/>
      <c r="AG44" s="4873"/>
      <c r="AH44" s="4874"/>
    </row>
    <row r="45" spans="1:34" ht="15" customHeight="1" x14ac:dyDescent="0.2">
      <c r="A45" s="3856">
        <v>6</v>
      </c>
      <c r="B45" s="3856" t="s">
        <v>54</v>
      </c>
      <c r="C45" s="3856"/>
      <c r="D45" s="4872" t="s">
        <v>1343</v>
      </c>
      <c r="E45" s="4873"/>
      <c r="F45" s="4873"/>
      <c r="G45" s="4873"/>
      <c r="H45" s="4873"/>
      <c r="I45" s="4873"/>
      <c r="J45" s="4873"/>
      <c r="K45" s="4873"/>
      <c r="L45" s="4873"/>
      <c r="M45" s="4873"/>
      <c r="N45" s="4873"/>
      <c r="O45" s="4873"/>
      <c r="P45" s="4873"/>
      <c r="Q45" s="4873"/>
      <c r="R45" s="4873"/>
      <c r="S45" s="4873"/>
      <c r="T45" s="4873"/>
      <c r="U45" s="4873"/>
      <c r="V45" s="4873"/>
      <c r="W45" s="4873"/>
      <c r="X45" s="4873"/>
      <c r="Y45" s="4873"/>
      <c r="Z45" s="4873"/>
      <c r="AA45" s="4873"/>
      <c r="AB45" s="4873"/>
      <c r="AC45" s="4873"/>
      <c r="AD45" s="4873"/>
      <c r="AE45" s="4873"/>
      <c r="AF45" s="4873"/>
      <c r="AG45" s="4873"/>
      <c r="AH45" s="4874"/>
    </row>
    <row r="46" spans="1:34" ht="14.25" customHeight="1" x14ac:dyDescent="0.2">
      <c r="A46" s="3854">
        <v>7</v>
      </c>
      <c r="B46" s="3854" t="s">
        <v>56</v>
      </c>
      <c r="C46" s="3854"/>
      <c r="D46" s="4872" t="s">
        <v>1344</v>
      </c>
      <c r="E46" s="4873"/>
      <c r="F46" s="4873"/>
      <c r="G46" s="4873"/>
      <c r="H46" s="4873"/>
      <c r="I46" s="4873"/>
      <c r="J46" s="4873"/>
      <c r="K46" s="4873"/>
      <c r="L46" s="4873"/>
      <c r="M46" s="4873"/>
      <c r="N46" s="4873"/>
      <c r="O46" s="4873"/>
      <c r="P46" s="4873"/>
      <c r="Q46" s="4873"/>
      <c r="R46" s="4873"/>
      <c r="S46" s="4873"/>
      <c r="T46" s="4873"/>
      <c r="U46" s="4873"/>
      <c r="V46" s="4873"/>
      <c r="W46" s="4873"/>
      <c r="X46" s="4873"/>
      <c r="Y46" s="4873"/>
      <c r="Z46" s="4873"/>
      <c r="AA46" s="4873"/>
      <c r="AB46" s="4873"/>
      <c r="AC46" s="4873"/>
      <c r="AD46" s="4873"/>
      <c r="AE46" s="4873"/>
      <c r="AF46" s="4873"/>
      <c r="AG46" s="4873"/>
      <c r="AH46" s="4874"/>
    </row>
    <row r="47" spans="1:34" ht="14.25" customHeight="1" x14ac:dyDescent="0.2">
      <c r="A47" s="3854">
        <v>8</v>
      </c>
      <c r="B47" s="3854" t="s">
        <v>409</v>
      </c>
      <c r="D47" s="4872" t="s">
        <v>699</v>
      </c>
      <c r="E47" s="4873"/>
      <c r="F47" s="4873"/>
      <c r="G47" s="4873"/>
      <c r="H47" s="4873"/>
      <c r="I47" s="4873"/>
      <c r="J47" s="4873"/>
      <c r="K47" s="4873"/>
      <c r="L47" s="4873"/>
      <c r="M47" s="4873"/>
      <c r="N47" s="4873"/>
      <c r="O47" s="4873"/>
      <c r="P47" s="4873"/>
      <c r="Q47" s="4873"/>
      <c r="R47" s="4873"/>
      <c r="S47" s="4873"/>
      <c r="T47" s="4873"/>
      <c r="U47" s="4873"/>
      <c r="V47" s="4873"/>
      <c r="W47" s="4873"/>
      <c r="X47" s="4873"/>
      <c r="Y47" s="4873"/>
      <c r="Z47" s="4873"/>
      <c r="AA47" s="4873"/>
      <c r="AB47" s="4873"/>
      <c r="AC47" s="4873"/>
      <c r="AD47" s="4873"/>
      <c r="AE47" s="4873"/>
      <c r="AF47" s="4873"/>
      <c r="AG47" s="4873"/>
      <c r="AH47" s="4874"/>
    </row>
    <row r="48" spans="1:34" x14ac:dyDescent="0.2">
      <c r="A48" s="4062"/>
      <c r="B48" s="4012"/>
      <c r="C48" s="4012"/>
    </row>
    <row r="49" spans="2:16" x14ac:dyDescent="0.2">
      <c r="B49" s="4063"/>
      <c r="C49" s="4063"/>
      <c r="D49" s="4064"/>
      <c r="E49" s="4064"/>
      <c r="F49" s="4064"/>
      <c r="G49" s="4064"/>
      <c r="H49" s="4064"/>
      <c r="I49" s="4064"/>
      <c r="J49" s="4064"/>
      <c r="K49" s="4064"/>
      <c r="L49" s="4064"/>
      <c r="M49" s="4064"/>
      <c r="N49" s="4064"/>
      <c r="O49" s="4064"/>
      <c r="P49" s="4064"/>
    </row>
    <row r="50" spans="2:16" x14ac:dyDescent="0.2">
      <c r="D50" s="4064"/>
      <c r="E50" s="4064"/>
      <c r="F50" s="4064"/>
      <c r="G50" s="4064"/>
      <c r="H50" s="4064"/>
      <c r="I50" s="4064"/>
      <c r="J50" s="4064"/>
      <c r="K50" s="4064"/>
      <c r="L50" s="4064"/>
      <c r="M50" s="4064"/>
      <c r="N50" s="4064"/>
      <c r="O50" s="4064"/>
      <c r="P50" s="4064"/>
    </row>
    <row r="51" spans="2:16" x14ac:dyDescent="0.2">
      <c r="D51" s="4064"/>
      <c r="E51" s="4064"/>
      <c r="F51" s="4064"/>
      <c r="G51" s="4064"/>
      <c r="H51" s="4064"/>
      <c r="I51" s="4064"/>
      <c r="J51" s="4064"/>
      <c r="K51" s="4064"/>
      <c r="L51" s="4064"/>
      <c r="M51" s="4064"/>
      <c r="N51" s="4064"/>
      <c r="O51" s="4064"/>
      <c r="P51" s="4064"/>
    </row>
    <row r="52" spans="2:16" x14ac:dyDescent="0.2">
      <c r="D52" s="4042"/>
      <c r="E52" s="4042"/>
      <c r="F52" s="4042"/>
      <c r="G52" s="4042"/>
      <c r="H52" s="4042"/>
      <c r="I52" s="4042"/>
      <c r="J52" s="4042"/>
      <c r="K52" s="4042"/>
      <c r="L52" s="4042"/>
      <c r="M52" s="4042"/>
      <c r="N52" s="4042"/>
      <c r="O52" s="4042"/>
      <c r="P52" s="4064"/>
    </row>
    <row r="53" spans="2:16" x14ac:dyDescent="0.2">
      <c r="D53" s="4880"/>
      <c r="E53" s="4042"/>
      <c r="F53" s="4059"/>
      <c r="G53" s="4059"/>
      <c r="H53" s="4059"/>
      <c r="I53" s="4059"/>
      <c r="J53" s="4059"/>
      <c r="K53" s="4059"/>
      <c r="L53" s="4059"/>
      <c r="M53" s="4059"/>
      <c r="N53" s="4059"/>
      <c r="O53" s="4059"/>
      <c r="P53" s="4064"/>
    </row>
    <row r="54" spans="2:16" x14ac:dyDescent="0.2">
      <c r="D54" s="4880"/>
      <c r="E54" s="4042"/>
      <c r="F54" s="4059"/>
      <c r="G54" s="4059"/>
      <c r="H54" s="4059"/>
      <c r="I54" s="4059"/>
      <c r="J54" s="4059"/>
      <c r="K54" s="4059"/>
      <c r="L54" s="4059"/>
      <c r="M54" s="4059"/>
      <c r="N54" s="4059"/>
      <c r="O54" s="4061"/>
      <c r="P54" s="4064"/>
    </row>
    <row r="55" spans="2:16" x14ac:dyDescent="0.2">
      <c r="D55" s="4880"/>
      <c r="E55" s="4042"/>
      <c r="F55" s="1474"/>
      <c r="G55" s="1474"/>
      <c r="H55" s="1474"/>
      <c r="I55" s="1474"/>
      <c r="J55" s="1474"/>
      <c r="K55" s="1474"/>
      <c r="L55" s="1474"/>
      <c r="M55" s="1474"/>
      <c r="N55" s="1474"/>
      <c r="O55" s="1474"/>
      <c r="P55" s="4064"/>
    </row>
    <row r="56" spans="2:16" x14ac:dyDescent="0.2">
      <c r="D56" s="4880"/>
      <c r="E56" s="4042"/>
      <c r="F56" s="4042"/>
      <c r="G56" s="4042"/>
      <c r="H56" s="4042"/>
      <c r="I56" s="4042"/>
      <c r="J56" s="4042"/>
      <c r="K56" s="4042"/>
      <c r="L56" s="4042"/>
      <c r="M56" s="4042"/>
      <c r="N56" s="4042"/>
      <c r="O56" s="4042"/>
      <c r="P56" s="4064"/>
    </row>
    <row r="57" spans="2:16" x14ac:dyDescent="0.2">
      <c r="D57" s="4880"/>
      <c r="E57" s="4042"/>
      <c r="F57" s="4059"/>
      <c r="G57" s="4059"/>
      <c r="H57" s="4059"/>
      <c r="I57" s="4059"/>
      <c r="J57" s="4059"/>
      <c r="K57" s="4059"/>
      <c r="L57" s="4059"/>
      <c r="M57" s="4059"/>
      <c r="N57" s="4059"/>
      <c r="O57" s="4061"/>
      <c r="P57" s="4064"/>
    </row>
    <row r="58" spans="2:16" x14ac:dyDescent="0.2">
      <c r="D58" s="4880"/>
      <c r="E58" s="4042"/>
      <c r="F58" s="1474"/>
      <c r="G58" s="1474"/>
      <c r="H58" s="1474"/>
      <c r="I58" s="1474"/>
      <c r="J58" s="1474"/>
      <c r="K58" s="1474"/>
      <c r="L58" s="1474"/>
      <c r="M58" s="1474"/>
      <c r="N58" s="1474"/>
      <c r="O58" s="1474"/>
      <c r="P58" s="4064"/>
    </row>
    <row r="59" spans="2:16" x14ac:dyDescent="0.2">
      <c r="D59" s="4064"/>
      <c r="E59" s="4064"/>
      <c r="F59" s="4064"/>
      <c r="G59" s="4064"/>
      <c r="H59" s="4064"/>
      <c r="I59" s="4064"/>
      <c r="J59" s="4064"/>
      <c r="K59" s="4064"/>
      <c r="L59" s="4064"/>
      <c r="M59" s="4064"/>
      <c r="N59" s="4064"/>
      <c r="O59" s="4064"/>
      <c r="P59" s="4064"/>
    </row>
    <row r="60" spans="2:16" x14ac:dyDescent="0.2">
      <c r="D60" s="4064"/>
      <c r="E60" s="4064"/>
      <c r="F60" s="4064"/>
      <c r="G60" s="4064"/>
      <c r="H60" s="4064"/>
      <c r="I60" s="4064"/>
      <c r="J60" s="4064"/>
      <c r="K60" s="4064"/>
      <c r="L60" s="4064"/>
      <c r="M60" s="4064"/>
      <c r="N60" s="4064"/>
      <c r="O60" s="4064"/>
      <c r="P60" s="4064"/>
    </row>
  </sheetData>
  <mergeCells count="24">
    <mergeCell ref="D2:AH2"/>
    <mergeCell ref="D3:AH3"/>
    <mergeCell ref="D4:AH4"/>
    <mergeCell ref="E13:J13"/>
    <mergeCell ref="E14:G14"/>
    <mergeCell ref="H14:J14"/>
    <mergeCell ref="K14:M14"/>
    <mergeCell ref="N14:P14"/>
    <mergeCell ref="Q14:S14"/>
    <mergeCell ref="T14:V14"/>
    <mergeCell ref="D53:D55"/>
    <mergeCell ref="D56:D58"/>
    <mergeCell ref="AO14:AQ14"/>
    <mergeCell ref="AR14:AT14"/>
    <mergeCell ref="D44:AH44"/>
    <mergeCell ref="D45:AH45"/>
    <mergeCell ref="D46:AH46"/>
    <mergeCell ref="D47:AH47"/>
    <mergeCell ref="W14:Y14"/>
    <mergeCell ref="Z14:AB14"/>
    <mergeCell ref="AC14:AE14"/>
    <mergeCell ref="AF14:AH14"/>
    <mergeCell ref="AI14:AK14"/>
    <mergeCell ref="AL14:AN14"/>
  </mergeCells>
  <pageMargins left="0.74803149606299202" right="0.74803149606299202" top="0.98425196850393704" bottom="0.98425196850393704" header="0.511811023622047" footer="0.511811023622047"/>
  <pageSetup paperSize="9" scale="30"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CA084-1DEC-4010-908B-DFA90AE87912}">
  <sheetPr>
    <tabColor rgb="FF0070C0"/>
    <pageSetUpPr fitToPage="1"/>
  </sheetPr>
  <dimension ref="A1:AF36"/>
  <sheetViews>
    <sheetView showGridLines="0" view="pageBreakPreview" zoomScaleNormal="100" zoomScaleSheetLayoutView="100" workbookViewId="0">
      <selection activeCell="D4" sqref="D4:V4"/>
    </sheetView>
  </sheetViews>
  <sheetFormatPr defaultColWidth="9.140625" defaultRowHeight="15" x14ac:dyDescent="0.2"/>
  <cols>
    <col min="1" max="1" width="3.85546875" style="1117" customWidth="1"/>
    <col min="2" max="2" width="14.42578125" style="1118" customWidth="1"/>
    <col min="3" max="3" width="3.140625" style="1118" customWidth="1"/>
    <col min="4" max="4" width="41" style="1081" customWidth="1"/>
    <col min="5" max="5" width="9.140625" style="1081" customWidth="1"/>
    <col min="6" max="12" width="9.140625" style="1081" hidden="1" customWidth="1"/>
    <col min="13" max="18" width="15.140625" style="1081" customWidth="1"/>
    <col min="19" max="19" width="14.42578125" style="1081" customWidth="1"/>
    <col min="20" max="21" width="15.140625" style="1081" customWidth="1"/>
    <col min="22" max="31" width="9.140625" style="1081"/>
    <col min="32" max="32" width="8.5703125" style="1081" customWidth="1"/>
    <col min="33" max="259" width="9.140625" style="1081"/>
    <col min="260" max="260" width="3.85546875" style="1081" customWidth="1"/>
    <col min="261" max="261" width="14.42578125" style="1081" customWidth="1"/>
    <col min="262" max="262" width="3.85546875" style="1081" customWidth="1"/>
    <col min="263" max="263" width="20.85546875" style="1081" customWidth="1"/>
    <col min="264" max="279" width="9.140625" style="1081" customWidth="1"/>
    <col min="280" max="515" width="9.140625" style="1081"/>
    <col min="516" max="516" width="3.85546875" style="1081" customWidth="1"/>
    <col min="517" max="517" width="14.42578125" style="1081" customWidth="1"/>
    <col min="518" max="518" width="3.85546875" style="1081" customWidth="1"/>
    <col min="519" max="519" width="20.85546875" style="1081" customWidth="1"/>
    <col min="520" max="535" width="9.140625" style="1081" customWidth="1"/>
    <col min="536" max="771" width="9.140625" style="1081"/>
    <col min="772" max="772" width="3.85546875" style="1081" customWidth="1"/>
    <col min="773" max="773" width="14.42578125" style="1081" customWidth="1"/>
    <col min="774" max="774" width="3.85546875" style="1081" customWidth="1"/>
    <col min="775" max="775" width="20.85546875" style="1081" customWidth="1"/>
    <col min="776" max="791" width="9.140625" style="1081" customWidth="1"/>
    <col min="792" max="1027" width="9.140625" style="1081"/>
    <col min="1028" max="1028" width="3.85546875" style="1081" customWidth="1"/>
    <col min="1029" max="1029" width="14.42578125" style="1081" customWidth="1"/>
    <col min="1030" max="1030" width="3.85546875" style="1081" customWidth="1"/>
    <col min="1031" max="1031" width="20.85546875" style="1081" customWidth="1"/>
    <col min="1032" max="1047" width="9.140625" style="1081" customWidth="1"/>
    <col min="1048" max="1283" width="9.140625" style="1081"/>
    <col min="1284" max="1284" width="3.85546875" style="1081" customWidth="1"/>
    <col min="1285" max="1285" width="14.42578125" style="1081" customWidth="1"/>
    <col min="1286" max="1286" width="3.85546875" style="1081" customWidth="1"/>
    <col min="1287" max="1287" width="20.85546875" style="1081" customWidth="1"/>
    <col min="1288" max="1303" width="9.140625" style="1081" customWidth="1"/>
    <col min="1304" max="1539" width="9.140625" style="1081"/>
    <col min="1540" max="1540" width="3.85546875" style="1081" customWidth="1"/>
    <col min="1541" max="1541" width="14.42578125" style="1081" customWidth="1"/>
    <col min="1542" max="1542" width="3.85546875" style="1081" customWidth="1"/>
    <col min="1543" max="1543" width="20.85546875" style="1081" customWidth="1"/>
    <col min="1544" max="1559" width="9.140625" style="1081" customWidth="1"/>
    <col min="1560" max="1795" width="9.140625" style="1081"/>
    <col min="1796" max="1796" width="3.85546875" style="1081" customWidth="1"/>
    <col min="1797" max="1797" width="14.42578125" style="1081" customWidth="1"/>
    <col min="1798" max="1798" width="3.85546875" style="1081" customWidth="1"/>
    <col min="1799" max="1799" width="20.85546875" style="1081" customWidth="1"/>
    <col min="1800" max="1815" width="9.140625" style="1081" customWidth="1"/>
    <col min="1816" max="2051" width="9.140625" style="1081"/>
    <col min="2052" max="2052" width="3.85546875" style="1081" customWidth="1"/>
    <col min="2053" max="2053" width="14.42578125" style="1081" customWidth="1"/>
    <col min="2054" max="2054" width="3.85546875" style="1081" customWidth="1"/>
    <col min="2055" max="2055" width="20.85546875" style="1081" customWidth="1"/>
    <col min="2056" max="2071" width="9.140625" style="1081" customWidth="1"/>
    <col min="2072" max="2307" width="9.140625" style="1081"/>
    <col min="2308" max="2308" width="3.85546875" style="1081" customWidth="1"/>
    <col min="2309" max="2309" width="14.42578125" style="1081" customWidth="1"/>
    <col min="2310" max="2310" width="3.85546875" style="1081" customWidth="1"/>
    <col min="2311" max="2311" width="20.85546875" style="1081" customWidth="1"/>
    <col min="2312" max="2327" width="9.140625" style="1081" customWidth="1"/>
    <col min="2328" max="2563" width="9.140625" style="1081"/>
    <col min="2564" max="2564" width="3.85546875" style="1081" customWidth="1"/>
    <col min="2565" max="2565" width="14.42578125" style="1081" customWidth="1"/>
    <col min="2566" max="2566" width="3.85546875" style="1081" customWidth="1"/>
    <col min="2567" max="2567" width="20.85546875" style="1081" customWidth="1"/>
    <col min="2568" max="2583" width="9.140625" style="1081" customWidth="1"/>
    <col min="2584" max="2819" width="9.140625" style="1081"/>
    <col min="2820" max="2820" width="3.85546875" style="1081" customWidth="1"/>
    <col min="2821" max="2821" width="14.42578125" style="1081" customWidth="1"/>
    <col min="2822" max="2822" width="3.85546875" style="1081" customWidth="1"/>
    <col min="2823" max="2823" width="20.85546875" style="1081" customWidth="1"/>
    <col min="2824" max="2839" width="9.140625" style="1081" customWidth="1"/>
    <col min="2840" max="3075" width="9.140625" style="1081"/>
    <col min="3076" max="3076" width="3.85546875" style="1081" customWidth="1"/>
    <col min="3077" max="3077" width="14.42578125" style="1081" customWidth="1"/>
    <col min="3078" max="3078" width="3.85546875" style="1081" customWidth="1"/>
    <col min="3079" max="3079" width="20.85546875" style="1081" customWidth="1"/>
    <col min="3080" max="3095" width="9.140625" style="1081" customWidth="1"/>
    <col min="3096" max="3331" width="9.140625" style="1081"/>
    <col min="3332" max="3332" width="3.85546875" style="1081" customWidth="1"/>
    <col min="3333" max="3333" width="14.42578125" style="1081" customWidth="1"/>
    <col min="3334" max="3334" width="3.85546875" style="1081" customWidth="1"/>
    <col min="3335" max="3335" width="20.85546875" style="1081" customWidth="1"/>
    <col min="3336" max="3351" width="9.140625" style="1081" customWidth="1"/>
    <col min="3352" max="3587" width="9.140625" style="1081"/>
    <col min="3588" max="3588" width="3.85546875" style="1081" customWidth="1"/>
    <col min="3589" max="3589" width="14.42578125" style="1081" customWidth="1"/>
    <col min="3590" max="3590" width="3.85546875" style="1081" customWidth="1"/>
    <col min="3591" max="3591" width="20.85546875" style="1081" customWidth="1"/>
    <col min="3592" max="3607" width="9.140625" style="1081" customWidth="1"/>
    <col min="3608" max="3843" width="9.140625" style="1081"/>
    <col min="3844" max="3844" width="3.85546875" style="1081" customWidth="1"/>
    <col min="3845" max="3845" width="14.42578125" style="1081" customWidth="1"/>
    <col min="3846" max="3846" width="3.85546875" style="1081" customWidth="1"/>
    <col min="3847" max="3847" width="20.85546875" style="1081" customWidth="1"/>
    <col min="3848" max="3863" width="9.140625" style="1081" customWidth="1"/>
    <col min="3864" max="4099" width="9.140625" style="1081"/>
    <col min="4100" max="4100" width="3.85546875" style="1081" customWidth="1"/>
    <col min="4101" max="4101" width="14.42578125" style="1081" customWidth="1"/>
    <col min="4102" max="4102" width="3.85546875" style="1081" customWidth="1"/>
    <col min="4103" max="4103" width="20.85546875" style="1081" customWidth="1"/>
    <col min="4104" max="4119" width="9.140625" style="1081" customWidth="1"/>
    <col min="4120" max="4355" width="9.140625" style="1081"/>
    <col min="4356" max="4356" width="3.85546875" style="1081" customWidth="1"/>
    <col min="4357" max="4357" width="14.42578125" style="1081" customWidth="1"/>
    <col min="4358" max="4358" width="3.85546875" style="1081" customWidth="1"/>
    <col min="4359" max="4359" width="20.85546875" style="1081" customWidth="1"/>
    <col min="4360" max="4375" width="9.140625" style="1081" customWidth="1"/>
    <col min="4376" max="4611" width="9.140625" style="1081"/>
    <col min="4612" max="4612" width="3.85546875" style="1081" customWidth="1"/>
    <col min="4613" max="4613" width="14.42578125" style="1081" customWidth="1"/>
    <col min="4614" max="4614" width="3.85546875" style="1081" customWidth="1"/>
    <col min="4615" max="4615" width="20.85546875" style="1081" customWidth="1"/>
    <col min="4616" max="4631" width="9.140625" style="1081" customWidth="1"/>
    <col min="4632" max="4867" width="9.140625" style="1081"/>
    <col min="4868" max="4868" width="3.85546875" style="1081" customWidth="1"/>
    <col min="4869" max="4869" width="14.42578125" style="1081" customWidth="1"/>
    <col min="4870" max="4870" width="3.85546875" style="1081" customWidth="1"/>
    <col min="4871" max="4871" width="20.85546875" style="1081" customWidth="1"/>
    <col min="4872" max="4887" width="9.140625" style="1081" customWidth="1"/>
    <col min="4888" max="5123" width="9.140625" style="1081"/>
    <col min="5124" max="5124" width="3.85546875" style="1081" customWidth="1"/>
    <col min="5125" max="5125" width="14.42578125" style="1081" customWidth="1"/>
    <col min="5126" max="5126" width="3.85546875" style="1081" customWidth="1"/>
    <col min="5127" max="5127" width="20.85546875" style="1081" customWidth="1"/>
    <col min="5128" max="5143" width="9.140625" style="1081" customWidth="1"/>
    <col min="5144" max="5379" width="9.140625" style="1081"/>
    <col min="5380" max="5380" width="3.85546875" style="1081" customWidth="1"/>
    <col min="5381" max="5381" width="14.42578125" style="1081" customWidth="1"/>
    <col min="5382" max="5382" width="3.85546875" style="1081" customWidth="1"/>
    <col min="5383" max="5383" width="20.85546875" style="1081" customWidth="1"/>
    <col min="5384" max="5399" width="9.140625" style="1081" customWidth="1"/>
    <col min="5400" max="5635" width="9.140625" style="1081"/>
    <col min="5636" max="5636" width="3.85546875" style="1081" customWidth="1"/>
    <col min="5637" max="5637" width="14.42578125" style="1081" customWidth="1"/>
    <col min="5638" max="5638" width="3.85546875" style="1081" customWidth="1"/>
    <col min="5639" max="5639" width="20.85546875" style="1081" customWidth="1"/>
    <col min="5640" max="5655" width="9.140625" style="1081" customWidth="1"/>
    <col min="5656" max="5891" width="9.140625" style="1081"/>
    <col min="5892" max="5892" width="3.85546875" style="1081" customWidth="1"/>
    <col min="5893" max="5893" width="14.42578125" style="1081" customWidth="1"/>
    <col min="5894" max="5894" width="3.85546875" style="1081" customWidth="1"/>
    <col min="5895" max="5895" width="20.85546875" style="1081" customWidth="1"/>
    <col min="5896" max="5911" width="9.140625" style="1081" customWidth="1"/>
    <col min="5912" max="6147" width="9.140625" style="1081"/>
    <col min="6148" max="6148" width="3.85546875" style="1081" customWidth="1"/>
    <col min="6149" max="6149" width="14.42578125" style="1081" customWidth="1"/>
    <col min="6150" max="6150" width="3.85546875" style="1081" customWidth="1"/>
    <col min="6151" max="6151" width="20.85546875" style="1081" customWidth="1"/>
    <col min="6152" max="6167" width="9.140625" style="1081" customWidth="1"/>
    <col min="6168" max="6403" width="9.140625" style="1081"/>
    <col min="6404" max="6404" width="3.85546875" style="1081" customWidth="1"/>
    <col min="6405" max="6405" width="14.42578125" style="1081" customWidth="1"/>
    <col min="6406" max="6406" width="3.85546875" style="1081" customWidth="1"/>
    <col min="6407" max="6407" width="20.85546875" style="1081" customWidth="1"/>
    <col min="6408" max="6423" width="9.140625" style="1081" customWidth="1"/>
    <col min="6424" max="6659" width="9.140625" style="1081"/>
    <col min="6660" max="6660" width="3.85546875" style="1081" customWidth="1"/>
    <col min="6661" max="6661" width="14.42578125" style="1081" customWidth="1"/>
    <col min="6662" max="6662" width="3.85546875" style="1081" customWidth="1"/>
    <col min="6663" max="6663" width="20.85546875" style="1081" customWidth="1"/>
    <col min="6664" max="6679" width="9.140625" style="1081" customWidth="1"/>
    <col min="6680" max="6915" width="9.140625" style="1081"/>
    <col min="6916" max="6916" width="3.85546875" style="1081" customWidth="1"/>
    <col min="6917" max="6917" width="14.42578125" style="1081" customWidth="1"/>
    <col min="6918" max="6918" width="3.85546875" style="1081" customWidth="1"/>
    <col min="6919" max="6919" width="20.85546875" style="1081" customWidth="1"/>
    <col min="6920" max="6935" width="9.140625" style="1081" customWidth="1"/>
    <col min="6936" max="7171" width="9.140625" style="1081"/>
    <col min="7172" max="7172" width="3.85546875" style="1081" customWidth="1"/>
    <col min="7173" max="7173" width="14.42578125" style="1081" customWidth="1"/>
    <col min="7174" max="7174" width="3.85546875" style="1081" customWidth="1"/>
    <col min="7175" max="7175" width="20.85546875" style="1081" customWidth="1"/>
    <col min="7176" max="7191" width="9.140625" style="1081" customWidth="1"/>
    <col min="7192" max="7427" width="9.140625" style="1081"/>
    <col min="7428" max="7428" width="3.85546875" style="1081" customWidth="1"/>
    <col min="7429" max="7429" width="14.42578125" style="1081" customWidth="1"/>
    <col min="7430" max="7430" width="3.85546875" style="1081" customWidth="1"/>
    <col min="7431" max="7431" width="20.85546875" style="1081" customWidth="1"/>
    <col min="7432" max="7447" width="9.140625" style="1081" customWidth="1"/>
    <col min="7448" max="7683" width="9.140625" style="1081"/>
    <col min="7684" max="7684" width="3.85546875" style="1081" customWidth="1"/>
    <col min="7685" max="7685" width="14.42578125" style="1081" customWidth="1"/>
    <col min="7686" max="7686" width="3.85546875" style="1081" customWidth="1"/>
    <col min="7687" max="7687" width="20.85546875" style="1081" customWidth="1"/>
    <col min="7688" max="7703" width="9.140625" style="1081" customWidth="1"/>
    <col min="7704" max="7939" width="9.140625" style="1081"/>
    <col min="7940" max="7940" width="3.85546875" style="1081" customWidth="1"/>
    <col min="7941" max="7941" width="14.42578125" style="1081" customWidth="1"/>
    <col min="7942" max="7942" width="3.85546875" style="1081" customWidth="1"/>
    <col min="7943" max="7943" width="20.85546875" style="1081" customWidth="1"/>
    <col min="7944" max="7959" width="9.140625" style="1081" customWidth="1"/>
    <col min="7960" max="8195" width="9.140625" style="1081"/>
    <col min="8196" max="8196" width="3.85546875" style="1081" customWidth="1"/>
    <col min="8197" max="8197" width="14.42578125" style="1081" customWidth="1"/>
    <col min="8198" max="8198" width="3.85546875" style="1081" customWidth="1"/>
    <col min="8199" max="8199" width="20.85546875" style="1081" customWidth="1"/>
    <col min="8200" max="8215" width="9.140625" style="1081" customWidth="1"/>
    <col min="8216" max="8451" width="9.140625" style="1081"/>
    <col min="8452" max="8452" width="3.85546875" style="1081" customWidth="1"/>
    <col min="8453" max="8453" width="14.42578125" style="1081" customWidth="1"/>
    <col min="8454" max="8454" width="3.85546875" style="1081" customWidth="1"/>
    <col min="8455" max="8455" width="20.85546875" style="1081" customWidth="1"/>
    <col min="8456" max="8471" width="9.140625" style="1081" customWidth="1"/>
    <col min="8472" max="8707" width="9.140625" style="1081"/>
    <col min="8708" max="8708" width="3.85546875" style="1081" customWidth="1"/>
    <col min="8709" max="8709" width="14.42578125" style="1081" customWidth="1"/>
    <col min="8710" max="8710" width="3.85546875" style="1081" customWidth="1"/>
    <col min="8711" max="8711" width="20.85546875" style="1081" customWidth="1"/>
    <col min="8712" max="8727" width="9.140625" style="1081" customWidth="1"/>
    <col min="8728" max="8963" width="9.140625" style="1081"/>
    <col min="8964" max="8964" width="3.85546875" style="1081" customWidth="1"/>
    <col min="8965" max="8965" width="14.42578125" style="1081" customWidth="1"/>
    <col min="8966" max="8966" width="3.85546875" style="1081" customWidth="1"/>
    <col min="8967" max="8967" width="20.85546875" style="1081" customWidth="1"/>
    <col min="8968" max="8983" width="9.140625" style="1081" customWidth="1"/>
    <col min="8984" max="9219" width="9.140625" style="1081"/>
    <col min="9220" max="9220" width="3.85546875" style="1081" customWidth="1"/>
    <col min="9221" max="9221" width="14.42578125" style="1081" customWidth="1"/>
    <col min="9222" max="9222" width="3.85546875" style="1081" customWidth="1"/>
    <col min="9223" max="9223" width="20.85546875" style="1081" customWidth="1"/>
    <col min="9224" max="9239" width="9.140625" style="1081" customWidth="1"/>
    <col min="9240" max="9475" width="9.140625" style="1081"/>
    <col min="9476" max="9476" width="3.85546875" style="1081" customWidth="1"/>
    <col min="9477" max="9477" width="14.42578125" style="1081" customWidth="1"/>
    <col min="9478" max="9478" width="3.85546875" style="1081" customWidth="1"/>
    <col min="9479" max="9479" width="20.85546875" style="1081" customWidth="1"/>
    <col min="9480" max="9495" width="9.140625" style="1081" customWidth="1"/>
    <col min="9496" max="9731" width="9.140625" style="1081"/>
    <col min="9732" max="9732" width="3.85546875" style="1081" customWidth="1"/>
    <col min="9733" max="9733" width="14.42578125" style="1081" customWidth="1"/>
    <col min="9734" max="9734" width="3.85546875" style="1081" customWidth="1"/>
    <col min="9735" max="9735" width="20.85546875" style="1081" customWidth="1"/>
    <col min="9736" max="9751" width="9.140625" style="1081" customWidth="1"/>
    <col min="9752" max="9987" width="9.140625" style="1081"/>
    <col min="9988" max="9988" width="3.85546875" style="1081" customWidth="1"/>
    <col min="9989" max="9989" width="14.42578125" style="1081" customWidth="1"/>
    <col min="9990" max="9990" width="3.85546875" style="1081" customWidth="1"/>
    <col min="9991" max="9991" width="20.85546875" style="1081" customWidth="1"/>
    <col min="9992" max="10007" width="9.140625" style="1081" customWidth="1"/>
    <col min="10008" max="10243" width="9.140625" style="1081"/>
    <col min="10244" max="10244" width="3.85546875" style="1081" customWidth="1"/>
    <col min="10245" max="10245" width="14.42578125" style="1081" customWidth="1"/>
    <col min="10246" max="10246" width="3.85546875" style="1081" customWidth="1"/>
    <col min="10247" max="10247" width="20.85546875" style="1081" customWidth="1"/>
    <col min="10248" max="10263" width="9.140625" style="1081" customWidth="1"/>
    <col min="10264" max="10499" width="9.140625" style="1081"/>
    <col min="10500" max="10500" width="3.85546875" style="1081" customWidth="1"/>
    <col min="10501" max="10501" width="14.42578125" style="1081" customWidth="1"/>
    <col min="10502" max="10502" width="3.85546875" style="1081" customWidth="1"/>
    <col min="10503" max="10503" width="20.85546875" style="1081" customWidth="1"/>
    <col min="10504" max="10519" width="9.140625" style="1081" customWidth="1"/>
    <col min="10520" max="10755" width="9.140625" style="1081"/>
    <col min="10756" max="10756" width="3.85546875" style="1081" customWidth="1"/>
    <col min="10757" max="10757" width="14.42578125" style="1081" customWidth="1"/>
    <col min="10758" max="10758" width="3.85546875" style="1081" customWidth="1"/>
    <col min="10759" max="10759" width="20.85546875" style="1081" customWidth="1"/>
    <col min="10760" max="10775" width="9.140625" style="1081" customWidth="1"/>
    <col min="10776" max="11011" width="9.140625" style="1081"/>
    <col min="11012" max="11012" width="3.85546875" style="1081" customWidth="1"/>
    <col min="11013" max="11013" width="14.42578125" style="1081" customWidth="1"/>
    <col min="11014" max="11014" width="3.85546875" style="1081" customWidth="1"/>
    <col min="11015" max="11015" width="20.85546875" style="1081" customWidth="1"/>
    <col min="11016" max="11031" width="9.140625" style="1081" customWidth="1"/>
    <col min="11032" max="11267" width="9.140625" style="1081"/>
    <col min="11268" max="11268" width="3.85546875" style="1081" customWidth="1"/>
    <col min="11269" max="11269" width="14.42578125" style="1081" customWidth="1"/>
    <col min="11270" max="11270" width="3.85546875" style="1081" customWidth="1"/>
    <col min="11271" max="11271" width="20.85546875" style="1081" customWidth="1"/>
    <col min="11272" max="11287" width="9.140625" style="1081" customWidth="1"/>
    <col min="11288" max="11523" width="9.140625" style="1081"/>
    <col min="11524" max="11524" width="3.85546875" style="1081" customWidth="1"/>
    <col min="11525" max="11525" width="14.42578125" style="1081" customWidth="1"/>
    <col min="11526" max="11526" width="3.85546875" style="1081" customWidth="1"/>
    <col min="11527" max="11527" width="20.85546875" style="1081" customWidth="1"/>
    <col min="11528" max="11543" width="9.140625" style="1081" customWidth="1"/>
    <col min="11544" max="11779" width="9.140625" style="1081"/>
    <col min="11780" max="11780" width="3.85546875" style="1081" customWidth="1"/>
    <col min="11781" max="11781" width="14.42578125" style="1081" customWidth="1"/>
    <col min="11782" max="11782" width="3.85546875" style="1081" customWidth="1"/>
    <col min="11783" max="11783" width="20.85546875" style="1081" customWidth="1"/>
    <col min="11784" max="11799" width="9.140625" style="1081" customWidth="1"/>
    <col min="11800" max="12035" width="9.140625" style="1081"/>
    <col min="12036" max="12036" width="3.85546875" style="1081" customWidth="1"/>
    <col min="12037" max="12037" width="14.42578125" style="1081" customWidth="1"/>
    <col min="12038" max="12038" width="3.85546875" style="1081" customWidth="1"/>
    <col min="12039" max="12039" width="20.85546875" style="1081" customWidth="1"/>
    <col min="12040" max="12055" width="9.140625" style="1081" customWidth="1"/>
    <col min="12056" max="12291" width="9.140625" style="1081"/>
    <col min="12292" max="12292" width="3.85546875" style="1081" customWidth="1"/>
    <col min="12293" max="12293" width="14.42578125" style="1081" customWidth="1"/>
    <col min="12294" max="12294" width="3.85546875" style="1081" customWidth="1"/>
    <col min="12295" max="12295" width="20.85546875" style="1081" customWidth="1"/>
    <col min="12296" max="12311" width="9.140625" style="1081" customWidth="1"/>
    <col min="12312" max="12547" width="9.140625" style="1081"/>
    <col min="12548" max="12548" width="3.85546875" style="1081" customWidth="1"/>
    <col min="12549" max="12549" width="14.42578125" style="1081" customWidth="1"/>
    <col min="12550" max="12550" width="3.85546875" style="1081" customWidth="1"/>
    <col min="12551" max="12551" width="20.85546875" style="1081" customWidth="1"/>
    <col min="12552" max="12567" width="9.140625" style="1081" customWidth="1"/>
    <col min="12568" max="12803" width="9.140625" style="1081"/>
    <col min="12804" max="12804" width="3.85546875" style="1081" customWidth="1"/>
    <col min="12805" max="12805" width="14.42578125" style="1081" customWidth="1"/>
    <col min="12806" max="12806" width="3.85546875" style="1081" customWidth="1"/>
    <col min="12807" max="12807" width="20.85546875" style="1081" customWidth="1"/>
    <col min="12808" max="12823" width="9.140625" style="1081" customWidth="1"/>
    <col min="12824" max="13059" width="9.140625" style="1081"/>
    <col min="13060" max="13060" width="3.85546875" style="1081" customWidth="1"/>
    <col min="13061" max="13061" width="14.42578125" style="1081" customWidth="1"/>
    <col min="13062" max="13062" width="3.85546875" style="1081" customWidth="1"/>
    <col min="13063" max="13063" width="20.85546875" style="1081" customWidth="1"/>
    <col min="13064" max="13079" width="9.140625" style="1081" customWidth="1"/>
    <col min="13080" max="13315" width="9.140625" style="1081"/>
    <col min="13316" max="13316" width="3.85546875" style="1081" customWidth="1"/>
    <col min="13317" max="13317" width="14.42578125" style="1081" customWidth="1"/>
    <col min="13318" max="13318" width="3.85546875" style="1081" customWidth="1"/>
    <col min="13319" max="13319" width="20.85546875" style="1081" customWidth="1"/>
    <col min="13320" max="13335" width="9.140625" style="1081" customWidth="1"/>
    <col min="13336" max="13571" width="9.140625" style="1081"/>
    <col min="13572" max="13572" width="3.85546875" style="1081" customWidth="1"/>
    <col min="13573" max="13573" width="14.42578125" style="1081" customWidth="1"/>
    <col min="13574" max="13574" width="3.85546875" style="1081" customWidth="1"/>
    <col min="13575" max="13575" width="20.85546875" style="1081" customWidth="1"/>
    <col min="13576" max="13591" width="9.140625" style="1081" customWidth="1"/>
    <col min="13592" max="13827" width="9.140625" style="1081"/>
    <col min="13828" max="13828" width="3.85546875" style="1081" customWidth="1"/>
    <col min="13829" max="13829" width="14.42578125" style="1081" customWidth="1"/>
    <col min="13830" max="13830" width="3.85546875" style="1081" customWidth="1"/>
    <col min="13831" max="13831" width="20.85546875" style="1081" customWidth="1"/>
    <col min="13832" max="13847" width="9.140625" style="1081" customWidth="1"/>
    <col min="13848" max="14083" width="9.140625" style="1081"/>
    <col min="14084" max="14084" width="3.85546875" style="1081" customWidth="1"/>
    <col min="14085" max="14085" width="14.42578125" style="1081" customWidth="1"/>
    <col min="14086" max="14086" width="3.85546875" style="1081" customWidth="1"/>
    <col min="14087" max="14087" width="20.85546875" style="1081" customWidth="1"/>
    <col min="14088" max="14103" width="9.140625" style="1081" customWidth="1"/>
    <col min="14104" max="14339" width="9.140625" style="1081"/>
    <col min="14340" max="14340" width="3.85546875" style="1081" customWidth="1"/>
    <col min="14341" max="14341" width="14.42578125" style="1081" customWidth="1"/>
    <col min="14342" max="14342" width="3.85546875" style="1081" customWidth="1"/>
    <col min="14343" max="14343" width="20.85546875" style="1081" customWidth="1"/>
    <col min="14344" max="14359" width="9.140625" style="1081" customWidth="1"/>
    <col min="14360" max="14595" width="9.140625" style="1081"/>
    <col min="14596" max="14596" width="3.85546875" style="1081" customWidth="1"/>
    <col min="14597" max="14597" width="14.42578125" style="1081" customWidth="1"/>
    <col min="14598" max="14598" width="3.85546875" style="1081" customWidth="1"/>
    <col min="14599" max="14599" width="20.85546875" style="1081" customWidth="1"/>
    <col min="14600" max="14615" width="9.140625" style="1081" customWidth="1"/>
    <col min="14616" max="14851" width="9.140625" style="1081"/>
    <col min="14852" max="14852" width="3.85546875" style="1081" customWidth="1"/>
    <col min="14853" max="14853" width="14.42578125" style="1081" customWidth="1"/>
    <col min="14854" max="14854" width="3.85546875" style="1081" customWidth="1"/>
    <col min="14855" max="14855" width="20.85546875" style="1081" customWidth="1"/>
    <col min="14856" max="14871" width="9.140625" style="1081" customWidth="1"/>
    <col min="14872" max="15107" width="9.140625" style="1081"/>
    <col min="15108" max="15108" width="3.85546875" style="1081" customWidth="1"/>
    <col min="15109" max="15109" width="14.42578125" style="1081" customWidth="1"/>
    <col min="15110" max="15110" width="3.85546875" style="1081" customWidth="1"/>
    <col min="15111" max="15111" width="20.85546875" style="1081" customWidth="1"/>
    <col min="15112" max="15127" width="9.140625" style="1081" customWidth="1"/>
    <col min="15128" max="15363" width="9.140625" style="1081"/>
    <col min="15364" max="15364" width="3.85546875" style="1081" customWidth="1"/>
    <col min="15365" max="15365" width="14.42578125" style="1081" customWidth="1"/>
    <col min="15366" max="15366" width="3.85546875" style="1081" customWidth="1"/>
    <col min="15367" max="15367" width="20.85546875" style="1081" customWidth="1"/>
    <col min="15368" max="15383" width="9.140625" style="1081" customWidth="1"/>
    <col min="15384" max="15619" width="9.140625" style="1081"/>
    <col min="15620" max="15620" width="3.85546875" style="1081" customWidth="1"/>
    <col min="15621" max="15621" width="14.42578125" style="1081" customWidth="1"/>
    <col min="15622" max="15622" width="3.85546875" style="1081" customWidth="1"/>
    <col min="15623" max="15623" width="20.85546875" style="1081" customWidth="1"/>
    <col min="15624" max="15639" width="9.140625" style="1081" customWidth="1"/>
    <col min="15640" max="15875" width="9.140625" style="1081"/>
    <col min="15876" max="15876" width="3.85546875" style="1081" customWidth="1"/>
    <col min="15877" max="15877" width="14.42578125" style="1081" customWidth="1"/>
    <col min="15878" max="15878" width="3.85546875" style="1081" customWidth="1"/>
    <col min="15879" max="15879" width="20.85546875" style="1081" customWidth="1"/>
    <col min="15880" max="15895" width="9.140625" style="1081" customWidth="1"/>
    <col min="15896" max="16131" width="9.140625" style="1081"/>
    <col min="16132" max="16132" width="3.85546875" style="1081" customWidth="1"/>
    <col min="16133" max="16133" width="14.42578125" style="1081" customWidth="1"/>
    <col min="16134" max="16134" width="3.85546875" style="1081" customWidth="1"/>
    <col min="16135" max="16135" width="20.85546875" style="1081" customWidth="1"/>
    <col min="16136" max="16151" width="9.140625" style="1081" customWidth="1"/>
    <col min="16152" max="16384" width="9.140625" style="1081"/>
  </cols>
  <sheetData>
    <row r="1" spans="1:32" ht="14.25" customHeight="1" x14ac:dyDescent="0.2">
      <c r="A1" s="509"/>
      <c r="B1" s="309"/>
      <c r="C1" s="309"/>
      <c r="D1" s="510"/>
      <c r="E1" s="510"/>
      <c r="F1" s="510"/>
      <c r="G1" s="510"/>
      <c r="H1" s="510"/>
      <c r="I1" s="510"/>
      <c r="J1" s="510"/>
      <c r="K1" s="510"/>
      <c r="L1" s="510"/>
      <c r="M1" s="510"/>
      <c r="N1" s="510"/>
      <c r="O1" s="510"/>
      <c r="P1" s="510"/>
      <c r="Q1" s="508"/>
      <c r="R1" s="508"/>
    </row>
    <row r="2" spans="1:32" ht="14.25" customHeight="1" x14ac:dyDescent="0.2">
      <c r="A2" s="509">
        <v>1</v>
      </c>
      <c r="B2" s="509" t="s">
        <v>0</v>
      </c>
      <c r="C2" s="509">
        <v>49</v>
      </c>
      <c r="D2" s="4742" t="s">
        <v>2193</v>
      </c>
      <c r="E2" s="4743"/>
      <c r="F2" s="4743"/>
      <c r="G2" s="4743"/>
      <c r="H2" s="4743"/>
      <c r="I2" s="4743"/>
      <c r="J2" s="4743"/>
      <c r="K2" s="4743"/>
      <c r="L2" s="4743"/>
      <c r="M2" s="4743"/>
      <c r="N2" s="4743"/>
      <c r="O2" s="4743"/>
      <c r="P2" s="4743"/>
      <c r="Q2" s="4743"/>
      <c r="R2" s="4743"/>
      <c r="S2" s="4743"/>
      <c r="T2" s="4743"/>
      <c r="U2" s="4743"/>
      <c r="V2" s="4743"/>
      <c r="W2" s="4743"/>
      <c r="X2" s="4743"/>
      <c r="Y2" s="4743"/>
      <c r="Z2" s="4743"/>
      <c r="AA2" s="4743"/>
      <c r="AB2" s="4847"/>
    </row>
    <row r="3" spans="1:32" ht="14.25" customHeight="1" x14ac:dyDescent="0.2">
      <c r="A3" s="509">
        <v>2</v>
      </c>
      <c r="B3" s="509" t="s">
        <v>2</v>
      </c>
      <c r="C3" s="509"/>
      <c r="D3" s="4869" t="s">
        <v>1231</v>
      </c>
      <c r="E3" s="4870"/>
      <c r="F3" s="4870"/>
      <c r="G3" s="4870"/>
      <c r="H3" s="4870"/>
      <c r="I3" s="4870"/>
      <c r="J3" s="4870"/>
      <c r="K3" s="4870"/>
      <c r="L3" s="4870"/>
      <c r="M3" s="4870"/>
      <c r="N3" s="4870"/>
      <c r="O3" s="4870"/>
      <c r="P3" s="4870"/>
      <c r="Q3" s="4870"/>
      <c r="R3" s="4870"/>
      <c r="S3" s="4870"/>
      <c r="T3" s="4870"/>
      <c r="U3" s="4870"/>
      <c r="V3" s="4870"/>
      <c r="W3" s="4870"/>
      <c r="X3" s="4870"/>
      <c r="Y3" s="4870"/>
      <c r="Z3" s="4870"/>
      <c r="AA3" s="4870"/>
      <c r="AB3" s="4871"/>
    </row>
    <row r="4" spans="1:32" ht="14.25" customHeight="1" x14ac:dyDescent="0.2">
      <c r="A4" s="509">
        <v>3</v>
      </c>
      <c r="B4" s="509" t="s">
        <v>4</v>
      </c>
      <c r="C4" s="509"/>
      <c r="D4" s="4869" t="s">
        <v>2258</v>
      </c>
      <c r="E4" s="4870"/>
      <c r="F4" s="4870"/>
      <c r="G4" s="4870"/>
      <c r="H4" s="4870"/>
      <c r="I4" s="4870"/>
      <c r="J4" s="4870"/>
      <c r="K4" s="4870"/>
      <c r="L4" s="4870"/>
      <c r="M4" s="4870"/>
      <c r="N4" s="4870"/>
      <c r="O4" s="4870"/>
      <c r="P4" s="4870"/>
      <c r="Q4" s="4870"/>
      <c r="R4" s="4870"/>
      <c r="S4" s="4870"/>
      <c r="T4" s="4870"/>
      <c r="U4" s="4870"/>
      <c r="V4" s="4870"/>
      <c r="W4" s="4870"/>
      <c r="X4" s="4870"/>
      <c r="Y4" s="4870"/>
      <c r="Z4" s="4870"/>
      <c r="AA4" s="4870"/>
      <c r="AB4" s="4871"/>
    </row>
    <row r="5" spans="1:32" ht="14.25" customHeight="1" x14ac:dyDescent="0.2">
      <c r="A5" s="509"/>
      <c r="B5" s="509"/>
      <c r="C5" s="1081"/>
      <c r="D5" s="1516"/>
      <c r="E5" s="1516"/>
      <c r="F5" s="1516"/>
      <c r="G5" s="1516"/>
      <c r="H5" s="1516"/>
      <c r="I5" s="1516"/>
      <c r="J5" s="1516"/>
      <c r="K5" s="1516"/>
      <c r="L5" s="1516"/>
      <c r="M5" s="1516"/>
      <c r="N5" s="1516"/>
      <c r="O5" s="1516"/>
      <c r="P5" s="1516"/>
      <c r="Q5" s="1516"/>
      <c r="R5" s="1516"/>
      <c r="S5" s="1516"/>
      <c r="T5" s="1516"/>
      <c r="U5" s="1516"/>
      <c r="V5" s="1516"/>
      <c r="W5" s="1516"/>
      <c r="X5" s="1516"/>
      <c r="Y5" s="1516"/>
      <c r="Z5" s="1516"/>
      <c r="AA5" s="1516"/>
    </row>
    <row r="6" spans="1:32" ht="14.25" customHeight="1" x14ac:dyDescent="0.2">
      <c r="A6" s="1081"/>
      <c r="B6" s="1081"/>
      <c r="C6" s="509"/>
      <c r="D6" s="38"/>
      <c r="E6" s="38"/>
      <c r="F6" s="38"/>
      <c r="G6" s="38"/>
      <c r="H6" s="38"/>
      <c r="I6" s="38"/>
      <c r="J6" s="38"/>
      <c r="K6" s="38"/>
      <c r="L6" s="38"/>
      <c r="M6" s="38"/>
      <c r="N6" s="38"/>
      <c r="O6" s="38"/>
      <c r="P6" s="38"/>
    </row>
    <row r="7" spans="1:32" s="10" customFormat="1" ht="11.25" customHeight="1" x14ac:dyDescent="0.2">
      <c r="A7" s="509">
        <v>4</v>
      </c>
      <c r="B7" s="509" t="s">
        <v>6</v>
      </c>
      <c r="C7" s="836"/>
      <c r="D7" s="72" t="s">
        <v>7</v>
      </c>
      <c r="E7" s="72" t="str">
        <f>D2</f>
        <v>Number of candidates  with mathematics and physical science passes</v>
      </c>
      <c r="F7" s="72"/>
      <c r="G7" s="72"/>
      <c r="H7" s="72"/>
      <c r="I7" s="72"/>
      <c r="J7" s="72"/>
      <c r="K7" s="72"/>
      <c r="L7" s="72"/>
      <c r="M7" s="95"/>
      <c r="N7" s="95"/>
      <c r="O7" s="95"/>
      <c r="P7" s="95"/>
      <c r="Q7" s="88"/>
      <c r="R7" s="88"/>
      <c r="S7" s="142"/>
      <c r="T7" s="142"/>
    </row>
    <row r="8" spans="1:32" s="10" customFormat="1" ht="12.75" customHeight="1" x14ac:dyDescent="0.25">
      <c r="A8" s="860"/>
      <c r="B8" s="836"/>
      <c r="C8" s="836"/>
      <c r="D8" s="3371"/>
      <c r="E8" s="1517">
        <v>1995</v>
      </c>
      <c r="F8" s="1517">
        <v>1996</v>
      </c>
      <c r="G8" s="1517">
        <v>1997</v>
      </c>
      <c r="H8" s="1517">
        <v>1998</v>
      </c>
      <c r="I8" s="1517">
        <v>1999</v>
      </c>
      <c r="J8" s="1517">
        <v>2000</v>
      </c>
      <c r="K8" s="1517">
        <v>2001</v>
      </c>
      <c r="L8" s="1517">
        <v>2002</v>
      </c>
      <c r="M8" s="1517">
        <v>3372</v>
      </c>
      <c r="N8" s="1517">
        <v>2004</v>
      </c>
      <c r="O8" s="1517"/>
      <c r="P8" s="1517">
        <v>2006</v>
      </c>
      <c r="Q8" s="1517">
        <v>2007</v>
      </c>
      <c r="R8" s="1517">
        <v>2008</v>
      </c>
      <c r="S8" s="1517">
        <v>2009</v>
      </c>
      <c r="T8" s="1308">
        <v>2010</v>
      </c>
      <c r="U8" s="1308">
        <v>2011</v>
      </c>
      <c r="V8" s="1308">
        <v>2012</v>
      </c>
      <c r="W8" s="1308">
        <v>2013</v>
      </c>
      <c r="X8" s="1308">
        <v>2014</v>
      </c>
      <c r="Y8" s="1308">
        <v>2015</v>
      </c>
      <c r="Z8" s="1308">
        <v>2016</v>
      </c>
      <c r="AA8" s="1432">
        <v>2017</v>
      </c>
      <c r="AB8" s="1432">
        <v>2018</v>
      </c>
      <c r="AC8" s="1432">
        <v>2019</v>
      </c>
      <c r="AD8" s="1432">
        <v>2020</v>
      </c>
      <c r="AE8" s="3342">
        <v>2021</v>
      </c>
      <c r="AF8" s="1432">
        <v>2022</v>
      </c>
    </row>
    <row r="9" spans="1:32" s="10" customFormat="1" ht="13.5" customHeight="1" x14ac:dyDescent="0.25">
      <c r="A9" s="860"/>
      <c r="B9" s="836"/>
      <c r="C9" s="836"/>
      <c r="D9" s="87" t="s">
        <v>1345</v>
      </c>
      <c r="E9" s="1518"/>
      <c r="F9" s="1518"/>
      <c r="G9" s="1518"/>
      <c r="H9" s="1518"/>
      <c r="I9" s="1518"/>
      <c r="J9" s="1518"/>
      <c r="K9" s="1518"/>
      <c r="L9" s="1518"/>
      <c r="M9" s="671"/>
      <c r="N9" s="1519"/>
      <c r="P9" s="1520"/>
      <c r="Q9" s="1518"/>
      <c r="R9" s="1521">
        <v>136184</v>
      </c>
      <c r="S9" s="1522">
        <v>133505</v>
      </c>
      <c r="T9" s="1523">
        <v>124749</v>
      </c>
      <c r="U9" s="1523">
        <v>104033</v>
      </c>
      <c r="V9" s="1523">
        <v>121970</v>
      </c>
      <c r="W9" s="1523">
        <v>142666</v>
      </c>
      <c r="X9" s="1523">
        <v>120523</v>
      </c>
      <c r="Y9" s="1523">
        <v>129481</v>
      </c>
      <c r="Z9" s="1523">
        <v>135958</v>
      </c>
      <c r="AA9" s="1524">
        <v>127197</v>
      </c>
      <c r="AB9" s="1524">
        <v>135638</v>
      </c>
      <c r="AC9" s="1524">
        <v>121179</v>
      </c>
      <c r="AD9" s="1525">
        <v>125526</v>
      </c>
      <c r="AE9" s="3343">
        <v>149177</v>
      </c>
      <c r="AF9" s="1525">
        <v>148346</v>
      </c>
    </row>
    <row r="10" spans="1:32" s="1531" customFormat="1" ht="13.5" customHeight="1" x14ac:dyDescent="0.25">
      <c r="A10" s="1526"/>
      <c r="B10" s="1527"/>
      <c r="C10" s="1527"/>
      <c r="D10" s="1528" t="s">
        <v>1346</v>
      </c>
      <c r="E10" s="1529"/>
      <c r="F10" s="1529"/>
      <c r="G10" s="1529"/>
      <c r="H10" s="1529"/>
      <c r="I10" s="1529"/>
      <c r="J10" s="1529"/>
      <c r="K10" s="1529"/>
      <c r="L10" s="1529"/>
      <c r="M10" s="1518">
        <v>9191</v>
      </c>
      <c r="N10" s="1530"/>
      <c r="P10" s="1532"/>
      <c r="Q10" s="1529"/>
      <c r="R10" s="1522"/>
      <c r="S10" s="1522"/>
      <c r="T10" s="1533"/>
      <c r="U10" s="1533">
        <v>41586</v>
      </c>
      <c r="V10" s="1533">
        <v>51231</v>
      </c>
      <c r="W10" s="1533">
        <v>63151</v>
      </c>
      <c r="X10" s="1533">
        <v>50365</v>
      </c>
      <c r="Y10" s="1533">
        <v>53588</v>
      </c>
      <c r="Z10" s="1533">
        <v>56555</v>
      </c>
      <c r="AA10" s="1524">
        <v>54359</v>
      </c>
      <c r="AB10" s="1524">
        <v>50701</v>
      </c>
      <c r="AC10" s="1524">
        <v>45090</v>
      </c>
      <c r="AD10" s="1524">
        <v>52073</v>
      </c>
      <c r="AE10" s="3344">
        <v>59073</v>
      </c>
      <c r="AF10" s="1524">
        <v>59450</v>
      </c>
    </row>
    <row r="11" spans="1:32" s="10" customFormat="1" ht="12" customHeight="1" x14ac:dyDescent="0.25">
      <c r="A11" s="860"/>
      <c r="B11" s="836"/>
      <c r="C11" s="836"/>
      <c r="D11" s="1534" t="s">
        <v>1347</v>
      </c>
      <c r="E11" s="937"/>
      <c r="F11" s="937"/>
      <c r="G11" s="937"/>
      <c r="H11" s="937"/>
      <c r="I11" s="937"/>
      <c r="J11" s="937"/>
      <c r="K11" s="937"/>
      <c r="L11" s="937"/>
      <c r="M11" s="671"/>
      <c r="N11" s="1519"/>
      <c r="P11" s="1520"/>
      <c r="Q11" s="1529"/>
      <c r="R11" s="1522"/>
      <c r="S11" s="1522"/>
      <c r="T11" s="1533"/>
      <c r="U11" s="1533">
        <v>96441</v>
      </c>
      <c r="V11" s="1533">
        <v>109918</v>
      </c>
      <c r="W11" s="1533">
        <v>124206</v>
      </c>
      <c r="X11" s="1533">
        <v>103348</v>
      </c>
      <c r="Y11" s="1533">
        <v>113121</v>
      </c>
      <c r="Z11" s="1533">
        <v>119427</v>
      </c>
      <c r="AA11" s="1535">
        <v>116862</v>
      </c>
      <c r="AB11" s="1535">
        <v>127919</v>
      </c>
      <c r="AC11" s="1535">
        <v>124237</v>
      </c>
      <c r="AD11" s="1535">
        <v>114758</v>
      </c>
      <c r="AE11" s="3345">
        <v>135915</v>
      </c>
      <c r="AF11" s="1535">
        <v>155877</v>
      </c>
    </row>
    <row r="12" spans="1:32" s="1531" customFormat="1" ht="12" customHeight="1" x14ac:dyDescent="0.25">
      <c r="A12" s="1526"/>
      <c r="B12" s="1527"/>
      <c r="C12" s="1527"/>
      <c r="D12" s="1536" t="s">
        <v>1346</v>
      </c>
      <c r="E12" s="1537"/>
      <c r="F12" s="1537"/>
      <c r="G12" s="1537"/>
      <c r="H12" s="1537"/>
      <c r="I12" s="1537"/>
      <c r="J12" s="1537"/>
      <c r="K12" s="1537"/>
      <c r="L12" s="1537"/>
      <c r="M12" s="1538"/>
      <c r="N12" s="1539"/>
      <c r="O12" s="1540"/>
      <c r="P12" s="1541"/>
      <c r="Q12" s="1537"/>
      <c r="R12" s="1542">
        <v>32524</v>
      </c>
      <c r="S12" s="1542">
        <v>22329</v>
      </c>
      <c r="T12" s="1543">
        <v>37853</v>
      </c>
      <c r="U12" s="1543">
        <v>37106</v>
      </c>
      <c r="V12" s="1543">
        <v>43639</v>
      </c>
      <c r="W12" s="1543">
        <v>47030</v>
      </c>
      <c r="X12" s="1543">
        <v>37749</v>
      </c>
      <c r="Y12" s="1543">
        <v>42433</v>
      </c>
      <c r="Z12" s="1543">
        <v>47586</v>
      </c>
      <c r="AA12" s="1544">
        <v>48260</v>
      </c>
      <c r="AB12" s="1544">
        <v>51466</v>
      </c>
      <c r="AC12" s="1544">
        <v>54467</v>
      </c>
      <c r="AD12" s="1544">
        <v>45860</v>
      </c>
      <c r="AE12" s="3346">
        <v>53844</v>
      </c>
      <c r="AF12" s="1544">
        <v>63457</v>
      </c>
    </row>
    <row r="13" spans="1:32" ht="13.5" customHeight="1" x14ac:dyDescent="0.2">
      <c r="A13" s="506"/>
      <c r="B13" s="507"/>
      <c r="C13" s="507"/>
      <c r="D13" s="87"/>
      <c r="E13" s="937"/>
      <c r="F13" s="937"/>
      <c r="G13" s="937"/>
      <c r="H13" s="937"/>
      <c r="I13" s="937"/>
      <c r="J13" s="937"/>
      <c r="K13" s="937"/>
      <c r="L13" s="937"/>
      <c r="M13" s="937"/>
      <c r="N13" s="937"/>
      <c r="O13" s="937"/>
      <c r="P13" s="937"/>
      <c r="Q13" s="937"/>
      <c r="R13" s="937"/>
      <c r="S13" s="1545"/>
      <c r="T13" s="1545"/>
      <c r="U13" s="1545"/>
      <c r="V13" s="1545"/>
      <c r="W13" s="1545"/>
      <c r="X13" s="1545"/>
    </row>
    <row r="14" spans="1:32" ht="13.5" customHeight="1" x14ac:dyDescent="0.2">
      <c r="A14" s="506"/>
      <c r="B14" s="507"/>
      <c r="C14" s="507"/>
      <c r="D14" s="87"/>
      <c r="E14" s="937"/>
      <c r="F14" s="937"/>
      <c r="G14" s="937"/>
      <c r="H14" s="937"/>
      <c r="I14" s="937"/>
      <c r="J14" s="937"/>
      <c r="K14" s="937"/>
      <c r="L14" s="937"/>
      <c r="M14" s="937"/>
      <c r="N14" s="937"/>
      <c r="O14" s="937"/>
      <c r="P14" s="937"/>
      <c r="Q14" s="937"/>
      <c r="R14" s="937"/>
    </row>
    <row r="15" spans="1:32" x14ac:dyDescent="0.2">
      <c r="C15" s="509"/>
      <c r="D15" s="508"/>
      <c r="E15" s="508"/>
      <c r="F15" s="508"/>
      <c r="G15" s="508"/>
      <c r="H15" s="508"/>
      <c r="I15" s="508"/>
      <c r="J15" s="508"/>
      <c r="K15" s="508"/>
      <c r="L15" s="508"/>
      <c r="M15" s="508"/>
      <c r="N15" s="508"/>
      <c r="O15" s="508"/>
      <c r="P15" s="508"/>
      <c r="Q15" s="508"/>
      <c r="R15" s="508"/>
    </row>
    <row r="16" spans="1:32" x14ac:dyDescent="0.2">
      <c r="A16" s="509">
        <v>5</v>
      </c>
      <c r="B16" s="509" t="s">
        <v>51</v>
      </c>
      <c r="C16" s="506"/>
      <c r="D16" s="508"/>
      <c r="E16" s="508"/>
      <c r="F16" s="508"/>
      <c r="G16" s="508"/>
      <c r="H16" s="508"/>
      <c r="I16" s="508"/>
      <c r="J16" s="508"/>
      <c r="K16" s="508"/>
      <c r="L16" s="508"/>
      <c r="M16" s="508"/>
      <c r="N16" s="508"/>
      <c r="O16" s="508"/>
      <c r="P16" s="508"/>
      <c r="Q16" s="508"/>
      <c r="R16" s="508"/>
    </row>
    <row r="17" spans="1:28" x14ac:dyDescent="0.2">
      <c r="A17" s="506"/>
      <c r="B17" s="506"/>
      <c r="C17" s="506"/>
      <c r="D17" s="508"/>
      <c r="E17" s="508"/>
      <c r="F17" s="508"/>
      <c r="G17" s="508"/>
      <c r="H17" s="508"/>
      <c r="I17" s="508"/>
      <c r="J17" s="508"/>
      <c r="K17" s="508"/>
      <c r="L17" s="508"/>
      <c r="M17" s="508"/>
      <c r="N17" s="508"/>
      <c r="O17" s="508"/>
      <c r="P17" s="508"/>
      <c r="Q17" s="508"/>
      <c r="R17" s="508"/>
    </row>
    <row r="18" spans="1:28" x14ac:dyDescent="0.2">
      <c r="A18" s="506"/>
      <c r="B18" s="506"/>
      <c r="C18" s="506"/>
      <c r="D18" s="508"/>
      <c r="E18" s="508"/>
      <c r="F18" s="508"/>
      <c r="G18" s="508"/>
      <c r="H18" s="508"/>
      <c r="I18" s="508"/>
      <c r="J18" s="508"/>
      <c r="K18" s="508"/>
      <c r="L18" s="508"/>
      <c r="M18" s="508"/>
      <c r="N18" s="508"/>
      <c r="O18" s="508"/>
      <c r="P18" s="508"/>
      <c r="Q18" s="508"/>
      <c r="R18" s="508"/>
    </row>
    <row r="19" spans="1:28" x14ac:dyDescent="0.2">
      <c r="A19" s="506"/>
      <c r="B19" s="506"/>
      <c r="C19" s="506"/>
      <c r="D19" s="508"/>
      <c r="E19" s="508"/>
      <c r="F19" s="508"/>
      <c r="G19" s="508"/>
      <c r="H19" s="508"/>
      <c r="I19" s="508"/>
      <c r="J19" s="508"/>
      <c r="K19" s="508"/>
      <c r="L19" s="508"/>
      <c r="M19" s="508"/>
      <c r="N19" s="508"/>
      <c r="O19" s="508"/>
      <c r="P19" s="508"/>
      <c r="Q19" s="508"/>
      <c r="R19" s="508"/>
    </row>
    <row r="20" spans="1:28" x14ac:dyDescent="0.2">
      <c r="A20" s="506"/>
      <c r="B20" s="506"/>
      <c r="C20" s="506"/>
      <c r="D20" s="508"/>
      <c r="E20" s="508"/>
      <c r="F20" s="508"/>
      <c r="G20" s="508"/>
      <c r="H20" s="508"/>
      <c r="I20" s="508"/>
      <c r="J20" s="508"/>
      <c r="K20" s="508"/>
      <c r="L20" s="508"/>
      <c r="M20" s="508"/>
      <c r="N20" s="508"/>
      <c r="O20" s="508"/>
      <c r="P20" s="508"/>
      <c r="Q20" s="508"/>
      <c r="R20" s="508"/>
    </row>
    <row r="21" spans="1:28" x14ac:dyDescent="0.2">
      <c r="A21" s="506"/>
      <c r="B21" s="506"/>
      <c r="C21" s="506"/>
      <c r="D21" s="508"/>
      <c r="E21" s="508"/>
      <c r="F21" s="508"/>
      <c r="G21" s="508"/>
      <c r="H21" s="508"/>
      <c r="I21" s="508"/>
      <c r="J21" s="508"/>
      <c r="K21" s="508"/>
      <c r="L21" s="508"/>
      <c r="M21" s="508"/>
      <c r="N21" s="508"/>
      <c r="O21" s="508"/>
      <c r="P21" s="508"/>
      <c r="Q21" s="508"/>
      <c r="R21" s="508"/>
    </row>
    <row r="22" spans="1:28" x14ac:dyDescent="0.2">
      <c r="A22" s="506"/>
      <c r="B22" s="506"/>
      <c r="C22" s="506"/>
      <c r="D22" s="508"/>
      <c r="E22" s="508"/>
      <c r="F22" s="508"/>
      <c r="G22" s="508"/>
      <c r="H22" s="508"/>
      <c r="I22" s="508"/>
      <c r="J22" s="508"/>
      <c r="K22" s="508"/>
      <c r="L22" s="508"/>
      <c r="M22" s="508"/>
      <c r="N22" s="508"/>
      <c r="O22" s="508"/>
      <c r="P22" s="508"/>
      <c r="Q22" s="508"/>
      <c r="R22" s="508"/>
    </row>
    <row r="23" spans="1:28" x14ac:dyDescent="0.2">
      <c r="A23" s="506"/>
      <c r="B23" s="506"/>
      <c r="C23" s="506"/>
      <c r="D23" s="508"/>
      <c r="E23" s="508"/>
      <c r="F23" s="508"/>
      <c r="G23" s="508"/>
      <c r="H23" s="508"/>
      <c r="I23" s="508"/>
      <c r="J23" s="508"/>
      <c r="K23" s="508"/>
      <c r="L23" s="508"/>
      <c r="M23" s="508"/>
      <c r="N23" s="508"/>
      <c r="O23" s="508"/>
      <c r="P23" s="508"/>
      <c r="Q23" s="508"/>
      <c r="R23" s="508"/>
    </row>
    <row r="24" spans="1:28" x14ac:dyDescent="0.2">
      <c r="A24" s="506"/>
      <c r="B24" s="506"/>
      <c r="C24" s="506"/>
      <c r="D24" s="508"/>
      <c r="E24" s="508"/>
      <c r="F24" s="508"/>
      <c r="G24" s="508"/>
      <c r="H24" s="508"/>
      <c r="I24" s="508"/>
      <c r="J24" s="508"/>
      <c r="K24" s="508"/>
      <c r="L24" s="508"/>
      <c r="M24" s="508"/>
      <c r="N24" s="508"/>
      <c r="O24" s="508"/>
      <c r="P24" s="508"/>
      <c r="Q24" s="508"/>
      <c r="R24" s="508"/>
    </row>
    <row r="25" spans="1:28" x14ac:dyDescent="0.2">
      <c r="A25" s="506"/>
      <c r="B25" s="506"/>
      <c r="C25" s="506"/>
      <c r="D25" s="508"/>
      <c r="E25" s="508"/>
      <c r="F25" s="508"/>
      <c r="G25" s="508"/>
      <c r="H25" s="508"/>
      <c r="I25" s="508"/>
      <c r="J25" s="508"/>
      <c r="K25" s="508"/>
      <c r="L25" s="508"/>
      <c r="M25" s="508"/>
      <c r="N25" s="508"/>
      <c r="O25" s="508"/>
      <c r="P25" s="508"/>
      <c r="Q25" s="508"/>
      <c r="R25" s="508"/>
    </row>
    <row r="26" spans="1:28" x14ac:dyDescent="0.2">
      <c r="A26" s="506"/>
      <c r="B26" s="506"/>
      <c r="C26" s="506"/>
      <c r="D26" s="508"/>
      <c r="E26" s="508"/>
      <c r="F26" s="508"/>
      <c r="G26" s="508"/>
      <c r="H26" s="508"/>
      <c r="I26" s="508"/>
      <c r="J26" s="508"/>
      <c r="K26" s="508"/>
      <c r="L26" s="508"/>
      <c r="M26" s="508"/>
      <c r="N26" s="508"/>
      <c r="O26" s="508"/>
      <c r="P26" s="508"/>
      <c r="Q26" s="508"/>
      <c r="R26" s="508"/>
    </row>
    <row r="27" spans="1:28" x14ac:dyDescent="0.2">
      <c r="A27" s="506"/>
      <c r="B27" s="506"/>
      <c r="C27" s="506"/>
      <c r="D27" s="508"/>
      <c r="E27" s="508"/>
      <c r="F27" s="508"/>
      <c r="G27" s="508"/>
      <c r="H27" s="508"/>
      <c r="I27" s="508"/>
      <c r="J27" s="508"/>
      <c r="K27" s="508"/>
      <c r="L27" s="508"/>
      <c r="M27" s="508"/>
      <c r="N27" s="508"/>
      <c r="O27" s="508"/>
      <c r="P27" s="508"/>
      <c r="Q27" s="508"/>
      <c r="R27" s="508"/>
    </row>
    <row r="28" spans="1:28" x14ac:dyDescent="0.2">
      <c r="A28" s="506"/>
      <c r="B28" s="506"/>
      <c r="C28" s="506"/>
      <c r="D28" s="508"/>
      <c r="E28" s="508"/>
      <c r="F28" s="508"/>
      <c r="G28" s="508"/>
      <c r="H28" s="508"/>
      <c r="I28" s="508"/>
      <c r="J28" s="508"/>
      <c r="K28" s="508"/>
      <c r="L28" s="508"/>
      <c r="M28" s="508"/>
      <c r="N28" s="508"/>
      <c r="O28" s="508"/>
      <c r="P28" s="508"/>
      <c r="Q28" s="508"/>
      <c r="R28" s="508"/>
    </row>
    <row r="29" spans="1:28" ht="22.5" customHeight="1" x14ac:dyDescent="0.2">
      <c r="A29" s="506"/>
      <c r="B29" s="506"/>
      <c r="C29" s="506"/>
      <c r="D29" s="508"/>
      <c r="E29" s="508"/>
      <c r="F29" s="508"/>
      <c r="G29" s="508"/>
      <c r="H29" s="508"/>
      <c r="I29" s="508"/>
      <c r="J29" s="508"/>
      <c r="K29" s="508"/>
      <c r="L29" s="508"/>
      <c r="M29" s="508"/>
      <c r="N29" s="508"/>
      <c r="O29" s="508"/>
      <c r="P29" s="508"/>
      <c r="Q29" s="508"/>
      <c r="R29" s="508"/>
    </row>
    <row r="30" spans="1:28" ht="15" customHeight="1" x14ac:dyDescent="0.2">
      <c r="A30" s="509">
        <v>6</v>
      </c>
      <c r="B30" s="509" t="s">
        <v>52</v>
      </c>
      <c r="C30" s="509"/>
      <c r="D30" s="4869" t="s">
        <v>642</v>
      </c>
      <c r="E30" s="4870"/>
      <c r="F30" s="4870"/>
      <c r="G30" s="4870"/>
      <c r="H30" s="4870"/>
      <c r="I30" s="4870"/>
      <c r="J30" s="4870"/>
      <c r="K30" s="4870"/>
      <c r="L30" s="4870"/>
      <c r="M30" s="4870"/>
      <c r="N30" s="4870"/>
      <c r="O30" s="4870"/>
      <c r="P30" s="4870"/>
      <c r="Q30" s="4870"/>
      <c r="R30" s="4870"/>
      <c r="S30" s="4870"/>
      <c r="T30" s="4870"/>
      <c r="U30" s="4870"/>
      <c r="V30" s="4870"/>
      <c r="W30" s="4870"/>
      <c r="X30" s="4870"/>
      <c r="Y30" s="4870"/>
      <c r="Z30" s="4870"/>
      <c r="AA30" s="4870"/>
      <c r="AB30" s="4871"/>
    </row>
    <row r="31" spans="1:28" ht="25.5" customHeight="1" x14ac:dyDescent="0.2">
      <c r="A31" s="546">
        <v>7</v>
      </c>
      <c r="B31" s="546" t="s">
        <v>54</v>
      </c>
      <c r="C31" s="546"/>
      <c r="D31" s="4869" t="s">
        <v>1348</v>
      </c>
      <c r="E31" s="4870"/>
      <c r="F31" s="4870"/>
      <c r="G31" s="4870"/>
      <c r="H31" s="4870"/>
      <c r="I31" s="4870"/>
      <c r="J31" s="4870"/>
      <c r="K31" s="4870"/>
      <c r="L31" s="4870"/>
      <c r="M31" s="4870"/>
      <c r="N31" s="4870"/>
      <c r="O31" s="4870"/>
      <c r="P31" s="4870"/>
      <c r="Q31" s="4870"/>
      <c r="R31" s="4870"/>
      <c r="S31" s="4870"/>
      <c r="T31" s="4870"/>
      <c r="U31" s="4870"/>
      <c r="V31" s="4870"/>
      <c r="W31" s="4870"/>
      <c r="X31" s="4870"/>
      <c r="Y31" s="4870"/>
      <c r="Z31" s="4870"/>
      <c r="AA31" s="4870"/>
      <c r="AB31" s="4871"/>
    </row>
    <row r="32" spans="1:28" ht="14.25" customHeight="1" x14ac:dyDescent="0.2">
      <c r="A32" s="509">
        <v>8</v>
      </c>
      <c r="B32" s="509" t="s">
        <v>56</v>
      </c>
      <c r="C32" s="509"/>
      <c r="D32" s="4869" t="s">
        <v>1344</v>
      </c>
      <c r="E32" s="4870"/>
      <c r="F32" s="4870"/>
      <c r="G32" s="4870"/>
      <c r="H32" s="4870"/>
      <c r="I32" s="4870"/>
      <c r="J32" s="4870"/>
      <c r="K32" s="4870"/>
      <c r="L32" s="4870"/>
      <c r="M32" s="4870"/>
      <c r="N32" s="4870"/>
      <c r="O32" s="4870"/>
      <c r="P32" s="4870"/>
      <c r="Q32" s="4870"/>
      <c r="R32" s="4870"/>
      <c r="S32" s="4870"/>
      <c r="T32" s="4870"/>
      <c r="U32" s="4870"/>
      <c r="V32" s="4870"/>
      <c r="W32" s="4870"/>
      <c r="X32" s="4870"/>
      <c r="Y32" s="4870"/>
      <c r="Z32" s="4870"/>
      <c r="AA32" s="4870"/>
      <c r="AB32" s="4871"/>
    </row>
    <row r="33" spans="1:28" ht="14.25" customHeight="1" x14ac:dyDescent="0.2">
      <c r="A33" s="509">
        <v>9</v>
      </c>
      <c r="B33" s="509" t="s">
        <v>409</v>
      </c>
      <c r="D33" s="4869" t="s">
        <v>699</v>
      </c>
      <c r="E33" s="4870"/>
      <c r="F33" s="4870"/>
      <c r="G33" s="4870"/>
      <c r="H33" s="4870"/>
      <c r="I33" s="4870"/>
      <c r="J33" s="4870"/>
      <c r="K33" s="4870"/>
      <c r="L33" s="4870"/>
      <c r="M33" s="4870"/>
      <c r="N33" s="4870"/>
      <c r="O33" s="4870"/>
      <c r="P33" s="4870"/>
      <c r="Q33" s="4870"/>
      <c r="R33" s="4870"/>
      <c r="S33" s="4870"/>
      <c r="T33" s="4870"/>
      <c r="U33" s="4870"/>
      <c r="V33" s="4870"/>
      <c r="W33" s="4870"/>
      <c r="X33" s="4870"/>
      <c r="Y33" s="4870"/>
      <c r="Z33" s="4870"/>
      <c r="AA33" s="4870"/>
      <c r="AB33" s="4871"/>
    </row>
    <row r="35" spans="1:28" x14ac:dyDescent="0.25">
      <c r="H35" s="1521"/>
      <c r="I35" s="1521"/>
      <c r="J35" s="1546"/>
      <c r="K35" s="1546"/>
      <c r="L35" s="1546"/>
    </row>
    <row r="36" spans="1:28" x14ac:dyDescent="0.25">
      <c r="H36" s="1547"/>
      <c r="I36" s="1547"/>
      <c r="J36" s="1548"/>
      <c r="K36" s="1548"/>
      <c r="L36" s="1548"/>
    </row>
  </sheetData>
  <mergeCells count="7">
    <mergeCell ref="D33:AB33"/>
    <mergeCell ref="D2:AB2"/>
    <mergeCell ref="D3:AB3"/>
    <mergeCell ref="D4:AB4"/>
    <mergeCell ref="D30:AB30"/>
    <mergeCell ref="D31:AB31"/>
    <mergeCell ref="D32:AB32"/>
  </mergeCells>
  <pageMargins left="0.74803149606299202" right="0.74803149606299202" top="0.98425196850393704" bottom="0.98425196850393704" header="0.511811023622047" footer="0.511811023622047"/>
  <pageSetup paperSize="9" scale="38"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7C10A-FD5D-40B9-A7B7-40D4DCC274E9}">
  <sheetPr>
    <tabColor rgb="FFFFC000"/>
    <pageSetUpPr fitToPage="1"/>
  </sheetPr>
  <dimension ref="A1:JN100"/>
  <sheetViews>
    <sheetView showGridLines="0" view="pageBreakPreview" topLeftCell="A13" zoomScale="99" zoomScaleNormal="100" zoomScaleSheetLayoutView="99" workbookViewId="0">
      <selection activeCell="BD36" sqref="BD36"/>
    </sheetView>
  </sheetViews>
  <sheetFormatPr defaultColWidth="9.140625" defaultRowHeight="12" x14ac:dyDescent="0.2"/>
  <cols>
    <col min="1" max="1" width="3.85546875" style="203" customWidth="1"/>
    <col min="2" max="2" width="14.42578125" style="527" customWidth="1"/>
    <col min="3" max="3" width="3.85546875" style="527" customWidth="1"/>
    <col min="4" max="4" width="18.140625" style="512" customWidth="1"/>
    <col min="5" max="18" width="5.85546875" style="512" customWidth="1"/>
    <col min="19" max="19" width="8.140625" style="512" customWidth="1"/>
    <col min="20" max="21" width="9.140625" style="512" customWidth="1"/>
    <col min="22" max="22" width="9.5703125" style="512" customWidth="1"/>
    <col min="23" max="23" width="9.85546875" style="512" customWidth="1"/>
    <col min="24" max="24" width="7.140625" style="512" customWidth="1"/>
    <col min="25" max="25" width="7.85546875" style="512" customWidth="1"/>
    <col min="26" max="26" width="7.42578125" style="512" customWidth="1"/>
    <col min="27" max="40" width="5.5703125" style="512" customWidth="1"/>
    <col min="41" max="41" width="6.140625" style="512" customWidth="1"/>
    <col min="42" max="42" width="5.140625" style="512" customWidth="1"/>
    <col min="43" max="43" width="6.42578125" style="512" customWidth="1"/>
    <col min="44" max="44" width="6.140625" style="512" customWidth="1"/>
    <col min="45" max="45" width="7.5703125" style="512" customWidth="1"/>
    <col min="46" max="46" width="6.85546875" style="512" customWidth="1"/>
    <col min="47" max="47" width="7.5703125" style="512" customWidth="1"/>
    <col min="48" max="48" width="6.42578125" style="512" customWidth="1"/>
    <col min="49" max="49" width="7.42578125" style="512" customWidth="1"/>
    <col min="50" max="50" width="6.42578125" style="512" customWidth="1"/>
    <col min="51" max="270" width="9.140625" style="512"/>
    <col min="271" max="271" width="3.85546875" style="512" customWidth="1"/>
    <col min="272" max="272" width="14.42578125" style="512" customWidth="1"/>
    <col min="273" max="273" width="3.85546875" style="512" customWidth="1"/>
    <col min="274" max="274" width="18.140625" style="512" customWidth="1"/>
    <col min="275" max="297" width="5.85546875" style="512" customWidth="1"/>
    <col min="298" max="526" width="9.140625" style="512"/>
    <col min="527" max="527" width="3.85546875" style="512" customWidth="1"/>
    <col min="528" max="528" width="14.42578125" style="512" customWidth="1"/>
    <col min="529" max="529" width="3.85546875" style="512" customWidth="1"/>
    <col min="530" max="530" width="18.140625" style="512" customWidth="1"/>
    <col min="531" max="553" width="5.85546875" style="512" customWidth="1"/>
    <col min="554" max="782" width="9.140625" style="512"/>
    <col min="783" max="783" width="3.85546875" style="512" customWidth="1"/>
    <col min="784" max="784" width="14.42578125" style="512" customWidth="1"/>
    <col min="785" max="785" width="3.85546875" style="512" customWidth="1"/>
    <col min="786" max="786" width="18.140625" style="512" customWidth="1"/>
    <col min="787" max="809" width="5.85546875" style="512" customWidth="1"/>
    <col min="810" max="1038" width="9.140625" style="512"/>
    <col min="1039" max="1039" width="3.85546875" style="512" customWidth="1"/>
    <col min="1040" max="1040" width="14.42578125" style="512" customWidth="1"/>
    <col min="1041" max="1041" width="3.85546875" style="512" customWidth="1"/>
    <col min="1042" max="1042" width="18.140625" style="512" customWidth="1"/>
    <col min="1043" max="1065" width="5.85546875" style="512" customWidth="1"/>
    <col min="1066" max="1294" width="9.140625" style="512"/>
    <col min="1295" max="1295" width="3.85546875" style="512" customWidth="1"/>
    <col min="1296" max="1296" width="14.42578125" style="512" customWidth="1"/>
    <col min="1297" max="1297" width="3.85546875" style="512" customWidth="1"/>
    <col min="1298" max="1298" width="18.140625" style="512" customWidth="1"/>
    <col min="1299" max="1321" width="5.85546875" style="512" customWidth="1"/>
    <col min="1322" max="1550" width="9.140625" style="512"/>
    <col min="1551" max="1551" width="3.85546875" style="512" customWidth="1"/>
    <col min="1552" max="1552" width="14.42578125" style="512" customWidth="1"/>
    <col min="1553" max="1553" width="3.85546875" style="512" customWidth="1"/>
    <col min="1554" max="1554" width="18.140625" style="512" customWidth="1"/>
    <col min="1555" max="1577" width="5.85546875" style="512" customWidth="1"/>
    <col min="1578" max="1806" width="9.140625" style="512"/>
    <col min="1807" max="1807" width="3.85546875" style="512" customWidth="1"/>
    <col min="1808" max="1808" width="14.42578125" style="512" customWidth="1"/>
    <col min="1809" max="1809" width="3.85546875" style="512" customWidth="1"/>
    <col min="1810" max="1810" width="18.140625" style="512" customWidth="1"/>
    <col min="1811" max="1833" width="5.85546875" style="512" customWidth="1"/>
    <col min="1834" max="2062" width="9.140625" style="512"/>
    <col min="2063" max="2063" width="3.85546875" style="512" customWidth="1"/>
    <col min="2064" max="2064" width="14.42578125" style="512" customWidth="1"/>
    <col min="2065" max="2065" width="3.85546875" style="512" customWidth="1"/>
    <col min="2066" max="2066" width="18.140625" style="512" customWidth="1"/>
    <col min="2067" max="2089" width="5.85546875" style="512" customWidth="1"/>
    <col min="2090" max="2318" width="9.140625" style="512"/>
    <col min="2319" max="2319" width="3.85546875" style="512" customWidth="1"/>
    <col min="2320" max="2320" width="14.42578125" style="512" customWidth="1"/>
    <col min="2321" max="2321" width="3.85546875" style="512" customWidth="1"/>
    <col min="2322" max="2322" width="18.140625" style="512" customWidth="1"/>
    <col min="2323" max="2345" width="5.85546875" style="512" customWidth="1"/>
    <col min="2346" max="2574" width="9.140625" style="512"/>
    <col min="2575" max="2575" width="3.85546875" style="512" customWidth="1"/>
    <col min="2576" max="2576" width="14.42578125" style="512" customWidth="1"/>
    <col min="2577" max="2577" width="3.85546875" style="512" customWidth="1"/>
    <col min="2578" max="2578" width="18.140625" style="512" customWidth="1"/>
    <col min="2579" max="2601" width="5.85546875" style="512" customWidth="1"/>
    <col min="2602" max="2830" width="9.140625" style="512"/>
    <col min="2831" max="2831" width="3.85546875" style="512" customWidth="1"/>
    <col min="2832" max="2832" width="14.42578125" style="512" customWidth="1"/>
    <col min="2833" max="2833" width="3.85546875" style="512" customWidth="1"/>
    <col min="2834" max="2834" width="18.140625" style="512" customWidth="1"/>
    <col min="2835" max="2857" width="5.85546875" style="512" customWidth="1"/>
    <col min="2858" max="3086" width="9.140625" style="512"/>
    <col min="3087" max="3087" width="3.85546875" style="512" customWidth="1"/>
    <col min="3088" max="3088" width="14.42578125" style="512" customWidth="1"/>
    <col min="3089" max="3089" width="3.85546875" style="512" customWidth="1"/>
    <col min="3090" max="3090" width="18.140625" style="512" customWidth="1"/>
    <col min="3091" max="3113" width="5.85546875" style="512" customWidth="1"/>
    <col min="3114" max="3342" width="9.140625" style="512"/>
    <col min="3343" max="3343" width="3.85546875" style="512" customWidth="1"/>
    <col min="3344" max="3344" width="14.42578125" style="512" customWidth="1"/>
    <col min="3345" max="3345" width="3.85546875" style="512" customWidth="1"/>
    <col min="3346" max="3346" width="18.140625" style="512" customWidth="1"/>
    <col min="3347" max="3369" width="5.85546875" style="512" customWidth="1"/>
    <col min="3370" max="3598" width="9.140625" style="512"/>
    <col min="3599" max="3599" width="3.85546875" style="512" customWidth="1"/>
    <col min="3600" max="3600" width="14.42578125" style="512" customWidth="1"/>
    <col min="3601" max="3601" width="3.85546875" style="512" customWidth="1"/>
    <col min="3602" max="3602" width="18.140625" style="512" customWidth="1"/>
    <col min="3603" max="3625" width="5.85546875" style="512" customWidth="1"/>
    <col min="3626" max="3854" width="9.140625" style="512"/>
    <col min="3855" max="3855" width="3.85546875" style="512" customWidth="1"/>
    <col min="3856" max="3856" width="14.42578125" style="512" customWidth="1"/>
    <col min="3857" max="3857" width="3.85546875" style="512" customWidth="1"/>
    <col min="3858" max="3858" width="18.140625" style="512" customWidth="1"/>
    <col min="3859" max="3881" width="5.85546875" style="512" customWidth="1"/>
    <col min="3882" max="4110" width="9.140625" style="512"/>
    <col min="4111" max="4111" width="3.85546875" style="512" customWidth="1"/>
    <col min="4112" max="4112" width="14.42578125" style="512" customWidth="1"/>
    <col min="4113" max="4113" width="3.85546875" style="512" customWidth="1"/>
    <col min="4114" max="4114" width="18.140625" style="512" customWidth="1"/>
    <col min="4115" max="4137" width="5.85546875" style="512" customWidth="1"/>
    <col min="4138" max="4366" width="9.140625" style="512"/>
    <col min="4367" max="4367" width="3.85546875" style="512" customWidth="1"/>
    <col min="4368" max="4368" width="14.42578125" style="512" customWidth="1"/>
    <col min="4369" max="4369" width="3.85546875" style="512" customWidth="1"/>
    <col min="4370" max="4370" width="18.140625" style="512" customWidth="1"/>
    <col min="4371" max="4393" width="5.85546875" style="512" customWidth="1"/>
    <col min="4394" max="4622" width="9.140625" style="512"/>
    <col min="4623" max="4623" width="3.85546875" style="512" customWidth="1"/>
    <col min="4624" max="4624" width="14.42578125" style="512" customWidth="1"/>
    <col min="4625" max="4625" width="3.85546875" style="512" customWidth="1"/>
    <col min="4626" max="4626" width="18.140625" style="512" customWidth="1"/>
    <col min="4627" max="4649" width="5.85546875" style="512" customWidth="1"/>
    <col min="4650" max="4878" width="9.140625" style="512"/>
    <col min="4879" max="4879" width="3.85546875" style="512" customWidth="1"/>
    <col min="4880" max="4880" width="14.42578125" style="512" customWidth="1"/>
    <col min="4881" max="4881" width="3.85546875" style="512" customWidth="1"/>
    <col min="4882" max="4882" width="18.140625" style="512" customWidth="1"/>
    <col min="4883" max="4905" width="5.85546875" style="512" customWidth="1"/>
    <col min="4906" max="5134" width="9.140625" style="512"/>
    <col min="5135" max="5135" width="3.85546875" style="512" customWidth="1"/>
    <col min="5136" max="5136" width="14.42578125" style="512" customWidth="1"/>
    <col min="5137" max="5137" width="3.85546875" style="512" customWidth="1"/>
    <col min="5138" max="5138" width="18.140625" style="512" customWidth="1"/>
    <col min="5139" max="5161" width="5.85546875" style="512" customWidth="1"/>
    <col min="5162" max="5390" width="9.140625" style="512"/>
    <col min="5391" max="5391" width="3.85546875" style="512" customWidth="1"/>
    <col min="5392" max="5392" width="14.42578125" style="512" customWidth="1"/>
    <col min="5393" max="5393" width="3.85546875" style="512" customWidth="1"/>
    <col min="5394" max="5394" width="18.140625" style="512" customWidth="1"/>
    <col min="5395" max="5417" width="5.85546875" style="512" customWidth="1"/>
    <col min="5418" max="5646" width="9.140625" style="512"/>
    <col min="5647" max="5647" width="3.85546875" style="512" customWidth="1"/>
    <col min="5648" max="5648" width="14.42578125" style="512" customWidth="1"/>
    <col min="5649" max="5649" width="3.85546875" style="512" customWidth="1"/>
    <col min="5650" max="5650" width="18.140625" style="512" customWidth="1"/>
    <col min="5651" max="5673" width="5.85546875" style="512" customWidth="1"/>
    <col min="5674" max="5902" width="9.140625" style="512"/>
    <col min="5903" max="5903" width="3.85546875" style="512" customWidth="1"/>
    <col min="5904" max="5904" width="14.42578125" style="512" customWidth="1"/>
    <col min="5905" max="5905" width="3.85546875" style="512" customWidth="1"/>
    <col min="5906" max="5906" width="18.140625" style="512" customWidth="1"/>
    <col min="5907" max="5929" width="5.85546875" style="512" customWidth="1"/>
    <col min="5930" max="6158" width="9.140625" style="512"/>
    <col min="6159" max="6159" width="3.85546875" style="512" customWidth="1"/>
    <col min="6160" max="6160" width="14.42578125" style="512" customWidth="1"/>
    <col min="6161" max="6161" width="3.85546875" style="512" customWidth="1"/>
    <col min="6162" max="6162" width="18.140625" style="512" customWidth="1"/>
    <col min="6163" max="6185" width="5.85546875" style="512" customWidth="1"/>
    <col min="6186" max="6414" width="9.140625" style="512"/>
    <col min="6415" max="6415" width="3.85546875" style="512" customWidth="1"/>
    <col min="6416" max="6416" width="14.42578125" style="512" customWidth="1"/>
    <col min="6417" max="6417" width="3.85546875" style="512" customWidth="1"/>
    <col min="6418" max="6418" width="18.140625" style="512" customWidth="1"/>
    <col min="6419" max="6441" width="5.85546875" style="512" customWidth="1"/>
    <col min="6442" max="6670" width="9.140625" style="512"/>
    <col min="6671" max="6671" width="3.85546875" style="512" customWidth="1"/>
    <col min="6672" max="6672" width="14.42578125" style="512" customWidth="1"/>
    <col min="6673" max="6673" width="3.85546875" style="512" customWidth="1"/>
    <col min="6674" max="6674" width="18.140625" style="512" customWidth="1"/>
    <col min="6675" max="6697" width="5.85546875" style="512" customWidth="1"/>
    <col min="6698" max="6926" width="9.140625" style="512"/>
    <col min="6927" max="6927" width="3.85546875" style="512" customWidth="1"/>
    <col min="6928" max="6928" width="14.42578125" style="512" customWidth="1"/>
    <col min="6929" max="6929" width="3.85546875" style="512" customWidth="1"/>
    <col min="6930" max="6930" width="18.140625" style="512" customWidth="1"/>
    <col min="6931" max="6953" width="5.85546875" style="512" customWidth="1"/>
    <col min="6954" max="7182" width="9.140625" style="512"/>
    <col min="7183" max="7183" width="3.85546875" style="512" customWidth="1"/>
    <col min="7184" max="7184" width="14.42578125" style="512" customWidth="1"/>
    <col min="7185" max="7185" width="3.85546875" style="512" customWidth="1"/>
    <col min="7186" max="7186" width="18.140625" style="512" customWidth="1"/>
    <col min="7187" max="7209" width="5.85546875" style="512" customWidth="1"/>
    <col min="7210" max="7438" width="9.140625" style="512"/>
    <col min="7439" max="7439" width="3.85546875" style="512" customWidth="1"/>
    <col min="7440" max="7440" width="14.42578125" style="512" customWidth="1"/>
    <col min="7441" max="7441" width="3.85546875" style="512" customWidth="1"/>
    <col min="7442" max="7442" width="18.140625" style="512" customWidth="1"/>
    <col min="7443" max="7465" width="5.85546875" style="512" customWidth="1"/>
    <col min="7466" max="7694" width="9.140625" style="512"/>
    <col min="7695" max="7695" width="3.85546875" style="512" customWidth="1"/>
    <col min="7696" max="7696" width="14.42578125" style="512" customWidth="1"/>
    <col min="7697" max="7697" width="3.85546875" style="512" customWidth="1"/>
    <col min="7698" max="7698" width="18.140625" style="512" customWidth="1"/>
    <col min="7699" max="7721" width="5.85546875" style="512" customWidth="1"/>
    <col min="7722" max="7950" width="9.140625" style="512"/>
    <col min="7951" max="7951" width="3.85546875" style="512" customWidth="1"/>
    <col min="7952" max="7952" width="14.42578125" style="512" customWidth="1"/>
    <col min="7953" max="7953" width="3.85546875" style="512" customWidth="1"/>
    <col min="7954" max="7954" width="18.140625" style="512" customWidth="1"/>
    <col min="7955" max="7977" width="5.85546875" style="512" customWidth="1"/>
    <col min="7978" max="8206" width="9.140625" style="512"/>
    <col min="8207" max="8207" width="3.85546875" style="512" customWidth="1"/>
    <col min="8208" max="8208" width="14.42578125" style="512" customWidth="1"/>
    <col min="8209" max="8209" width="3.85546875" style="512" customWidth="1"/>
    <col min="8210" max="8210" width="18.140625" style="512" customWidth="1"/>
    <col min="8211" max="8233" width="5.85546875" style="512" customWidth="1"/>
    <col min="8234" max="8462" width="9.140625" style="512"/>
    <col min="8463" max="8463" width="3.85546875" style="512" customWidth="1"/>
    <col min="8464" max="8464" width="14.42578125" style="512" customWidth="1"/>
    <col min="8465" max="8465" width="3.85546875" style="512" customWidth="1"/>
    <col min="8466" max="8466" width="18.140625" style="512" customWidth="1"/>
    <col min="8467" max="8489" width="5.85546875" style="512" customWidth="1"/>
    <col min="8490" max="8718" width="9.140625" style="512"/>
    <col min="8719" max="8719" width="3.85546875" style="512" customWidth="1"/>
    <col min="8720" max="8720" width="14.42578125" style="512" customWidth="1"/>
    <col min="8721" max="8721" width="3.85546875" style="512" customWidth="1"/>
    <col min="8722" max="8722" width="18.140625" style="512" customWidth="1"/>
    <col min="8723" max="8745" width="5.85546875" style="512" customWidth="1"/>
    <col min="8746" max="8974" width="9.140625" style="512"/>
    <col min="8975" max="8975" width="3.85546875" style="512" customWidth="1"/>
    <col min="8976" max="8976" width="14.42578125" style="512" customWidth="1"/>
    <col min="8977" max="8977" width="3.85546875" style="512" customWidth="1"/>
    <col min="8978" max="8978" width="18.140625" style="512" customWidth="1"/>
    <col min="8979" max="9001" width="5.85546875" style="512" customWidth="1"/>
    <col min="9002" max="9230" width="9.140625" style="512"/>
    <col min="9231" max="9231" width="3.85546875" style="512" customWidth="1"/>
    <col min="9232" max="9232" width="14.42578125" style="512" customWidth="1"/>
    <col min="9233" max="9233" width="3.85546875" style="512" customWidth="1"/>
    <col min="9234" max="9234" width="18.140625" style="512" customWidth="1"/>
    <col min="9235" max="9257" width="5.85546875" style="512" customWidth="1"/>
    <col min="9258" max="9486" width="9.140625" style="512"/>
    <col min="9487" max="9487" width="3.85546875" style="512" customWidth="1"/>
    <col min="9488" max="9488" width="14.42578125" style="512" customWidth="1"/>
    <col min="9489" max="9489" width="3.85546875" style="512" customWidth="1"/>
    <col min="9490" max="9490" width="18.140625" style="512" customWidth="1"/>
    <col min="9491" max="9513" width="5.85546875" style="512" customWidth="1"/>
    <col min="9514" max="9742" width="9.140625" style="512"/>
    <col min="9743" max="9743" width="3.85546875" style="512" customWidth="1"/>
    <col min="9744" max="9744" width="14.42578125" style="512" customWidth="1"/>
    <col min="9745" max="9745" width="3.85546875" style="512" customWidth="1"/>
    <col min="9746" max="9746" width="18.140625" style="512" customWidth="1"/>
    <col min="9747" max="9769" width="5.85546875" style="512" customWidth="1"/>
    <col min="9770" max="9998" width="9.140625" style="512"/>
    <col min="9999" max="9999" width="3.85546875" style="512" customWidth="1"/>
    <col min="10000" max="10000" width="14.42578125" style="512" customWidth="1"/>
    <col min="10001" max="10001" width="3.85546875" style="512" customWidth="1"/>
    <col min="10002" max="10002" width="18.140625" style="512" customWidth="1"/>
    <col min="10003" max="10025" width="5.85546875" style="512" customWidth="1"/>
    <col min="10026" max="10254" width="9.140625" style="512"/>
    <col min="10255" max="10255" width="3.85546875" style="512" customWidth="1"/>
    <col min="10256" max="10256" width="14.42578125" style="512" customWidth="1"/>
    <col min="10257" max="10257" width="3.85546875" style="512" customWidth="1"/>
    <col min="10258" max="10258" width="18.140625" style="512" customWidth="1"/>
    <col min="10259" max="10281" width="5.85546875" style="512" customWidth="1"/>
    <col min="10282" max="10510" width="9.140625" style="512"/>
    <col min="10511" max="10511" width="3.85546875" style="512" customWidth="1"/>
    <col min="10512" max="10512" width="14.42578125" style="512" customWidth="1"/>
    <col min="10513" max="10513" width="3.85546875" style="512" customWidth="1"/>
    <col min="10514" max="10514" width="18.140625" style="512" customWidth="1"/>
    <col min="10515" max="10537" width="5.85546875" style="512" customWidth="1"/>
    <col min="10538" max="10766" width="9.140625" style="512"/>
    <col min="10767" max="10767" width="3.85546875" style="512" customWidth="1"/>
    <col min="10768" max="10768" width="14.42578125" style="512" customWidth="1"/>
    <col min="10769" max="10769" width="3.85546875" style="512" customWidth="1"/>
    <col min="10770" max="10770" width="18.140625" style="512" customWidth="1"/>
    <col min="10771" max="10793" width="5.85546875" style="512" customWidth="1"/>
    <col min="10794" max="11022" width="9.140625" style="512"/>
    <col min="11023" max="11023" width="3.85546875" style="512" customWidth="1"/>
    <col min="11024" max="11024" width="14.42578125" style="512" customWidth="1"/>
    <col min="11025" max="11025" width="3.85546875" style="512" customWidth="1"/>
    <col min="11026" max="11026" width="18.140625" style="512" customWidth="1"/>
    <col min="11027" max="11049" width="5.85546875" style="512" customWidth="1"/>
    <col min="11050" max="11278" width="9.140625" style="512"/>
    <col min="11279" max="11279" width="3.85546875" style="512" customWidth="1"/>
    <col min="11280" max="11280" width="14.42578125" style="512" customWidth="1"/>
    <col min="11281" max="11281" width="3.85546875" style="512" customWidth="1"/>
    <col min="11282" max="11282" width="18.140625" style="512" customWidth="1"/>
    <col min="11283" max="11305" width="5.85546875" style="512" customWidth="1"/>
    <col min="11306" max="11534" width="9.140625" style="512"/>
    <col min="11535" max="11535" width="3.85546875" style="512" customWidth="1"/>
    <col min="11536" max="11536" width="14.42578125" style="512" customWidth="1"/>
    <col min="11537" max="11537" width="3.85546875" style="512" customWidth="1"/>
    <col min="11538" max="11538" width="18.140625" style="512" customWidth="1"/>
    <col min="11539" max="11561" width="5.85546875" style="512" customWidth="1"/>
    <col min="11562" max="11790" width="9.140625" style="512"/>
    <col min="11791" max="11791" width="3.85546875" style="512" customWidth="1"/>
    <col min="11792" max="11792" width="14.42578125" style="512" customWidth="1"/>
    <col min="11793" max="11793" width="3.85546875" style="512" customWidth="1"/>
    <col min="11794" max="11794" width="18.140625" style="512" customWidth="1"/>
    <col min="11795" max="11817" width="5.85546875" style="512" customWidth="1"/>
    <col min="11818" max="12046" width="9.140625" style="512"/>
    <col min="12047" max="12047" width="3.85546875" style="512" customWidth="1"/>
    <col min="12048" max="12048" width="14.42578125" style="512" customWidth="1"/>
    <col min="12049" max="12049" width="3.85546875" style="512" customWidth="1"/>
    <col min="12050" max="12050" width="18.140625" style="512" customWidth="1"/>
    <col min="12051" max="12073" width="5.85546875" style="512" customWidth="1"/>
    <col min="12074" max="12302" width="9.140625" style="512"/>
    <col min="12303" max="12303" width="3.85546875" style="512" customWidth="1"/>
    <col min="12304" max="12304" width="14.42578125" style="512" customWidth="1"/>
    <col min="12305" max="12305" width="3.85546875" style="512" customWidth="1"/>
    <col min="12306" max="12306" width="18.140625" style="512" customWidth="1"/>
    <col min="12307" max="12329" width="5.85546875" style="512" customWidth="1"/>
    <col min="12330" max="12558" width="9.140625" style="512"/>
    <col min="12559" max="12559" width="3.85546875" style="512" customWidth="1"/>
    <col min="12560" max="12560" width="14.42578125" style="512" customWidth="1"/>
    <col min="12561" max="12561" width="3.85546875" style="512" customWidth="1"/>
    <col min="12562" max="12562" width="18.140625" style="512" customWidth="1"/>
    <col min="12563" max="12585" width="5.85546875" style="512" customWidth="1"/>
    <col min="12586" max="12814" width="9.140625" style="512"/>
    <col min="12815" max="12815" width="3.85546875" style="512" customWidth="1"/>
    <col min="12816" max="12816" width="14.42578125" style="512" customWidth="1"/>
    <col min="12817" max="12817" width="3.85546875" style="512" customWidth="1"/>
    <col min="12818" max="12818" width="18.140625" style="512" customWidth="1"/>
    <col min="12819" max="12841" width="5.85546875" style="512" customWidth="1"/>
    <col min="12842" max="13070" width="9.140625" style="512"/>
    <col min="13071" max="13071" width="3.85546875" style="512" customWidth="1"/>
    <col min="13072" max="13072" width="14.42578125" style="512" customWidth="1"/>
    <col min="13073" max="13073" width="3.85546875" style="512" customWidth="1"/>
    <col min="13074" max="13074" width="18.140625" style="512" customWidth="1"/>
    <col min="13075" max="13097" width="5.85546875" style="512" customWidth="1"/>
    <col min="13098" max="13326" width="9.140625" style="512"/>
    <col min="13327" max="13327" width="3.85546875" style="512" customWidth="1"/>
    <col min="13328" max="13328" width="14.42578125" style="512" customWidth="1"/>
    <col min="13329" max="13329" width="3.85546875" style="512" customWidth="1"/>
    <col min="13330" max="13330" width="18.140625" style="512" customWidth="1"/>
    <col min="13331" max="13353" width="5.85546875" style="512" customWidth="1"/>
    <col min="13354" max="13582" width="9.140625" style="512"/>
    <col min="13583" max="13583" width="3.85546875" style="512" customWidth="1"/>
    <col min="13584" max="13584" width="14.42578125" style="512" customWidth="1"/>
    <col min="13585" max="13585" width="3.85546875" style="512" customWidth="1"/>
    <col min="13586" max="13586" width="18.140625" style="512" customWidth="1"/>
    <col min="13587" max="13609" width="5.85546875" style="512" customWidth="1"/>
    <col min="13610" max="13838" width="9.140625" style="512"/>
    <col min="13839" max="13839" width="3.85546875" style="512" customWidth="1"/>
    <col min="13840" max="13840" width="14.42578125" style="512" customWidth="1"/>
    <col min="13841" max="13841" width="3.85546875" style="512" customWidth="1"/>
    <col min="13842" max="13842" width="18.140625" style="512" customWidth="1"/>
    <col min="13843" max="13865" width="5.85546875" style="512" customWidth="1"/>
    <col min="13866" max="14094" width="9.140625" style="512"/>
    <col min="14095" max="14095" width="3.85546875" style="512" customWidth="1"/>
    <col min="14096" max="14096" width="14.42578125" style="512" customWidth="1"/>
    <col min="14097" max="14097" width="3.85546875" style="512" customWidth="1"/>
    <col min="14098" max="14098" width="18.140625" style="512" customWidth="1"/>
    <col min="14099" max="14121" width="5.85546875" style="512" customWidth="1"/>
    <col min="14122" max="14350" width="9.140625" style="512"/>
    <col min="14351" max="14351" width="3.85546875" style="512" customWidth="1"/>
    <col min="14352" max="14352" width="14.42578125" style="512" customWidth="1"/>
    <col min="14353" max="14353" width="3.85546875" style="512" customWidth="1"/>
    <col min="14354" max="14354" width="18.140625" style="512" customWidth="1"/>
    <col min="14355" max="14377" width="5.85546875" style="512" customWidth="1"/>
    <col min="14378" max="14606" width="9.140625" style="512"/>
    <col min="14607" max="14607" width="3.85546875" style="512" customWidth="1"/>
    <col min="14608" max="14608" width="14.42578125" style="512" customWidth="1"/>
    <col min="14609" max="14609" width="3.85546875" style="512" customWidth="1"/>
    <col min="14610" max="14610" width="18.140625" style="512" customWidth="1"/>
    <col min="14611" max="14633" width="5.85546875" style="512" customWidth="1"/>
    <col min="14634" max="14862" width="9.140625" style="512"/>
    <col min="14863" max="14863" width="3.85546875" style="512" customWidth="1"/>
    <col min="14864" max="14864" width="14.42578125" style="512" customWidth="1"/>
    <col min="14865" max="14865" width="3.85546875" style="512" customWidth="1"/>
    <col min="14866" max="14866" width="18.140625" style="512" customWidth="1"/>
    <col min="14867" max="14889" width="5.85546875" style="512" customWidth="1"/>
    <col min="14890" max="15118" width="9.140625" style="512"/>
    <col min="15119" max="15119" width="3.85546875" style="512" customWidth="1"/>
    <col min="15120" max="15120" width="14.42578125" style="512" customWidth="1"/>
    <col min="15121" max="15121" width="3.85546875" style="512" customWidth="1"/>
    <col min="15122" max="15122" width="18.140625" style="512" customWidth="1"/>
    <col min="15123" max="15145" width="5.85546875" style="512" customWidth="1"/>
    <col min="15146" max="15374" width="9.140625" style="512"/>
    <col min="15375" max="15375" width="3.85546875" style="512" customWidth="1"/>
    <col min="15376" max="15376" width="14.42578125" style="512" customWidth="1"/>
    <col min="15377" max="15377" width="3.85546875" style="512" customWidth="1"/>
    <col min="15378" max="15378" width="18.140625" style="512" customWidth="1"/>
    <col min="15379" max="15401" width="5.85546875" style="512" customWidth="1"/>
    <col min="15402" max="15630" width="9.140625" style="512"/>
    <col min="15631" max="15631" width="3.85546875" style="512" customWidth="1"/>
    <col min="15632" max="15632" width="14.42578125" style="512" customWidth="1"/>
    <col min="15633" max="15633" width="3.85546875" style="512" customWidth="1"/>
    <col min="15634" max="15634" width="18.140625" style="512" customWidth="1"/>
    <col min="15635" max="15657" width="5.85546875" style="512" customWidth="1"/>
    <col min="15658" max="15886" width="9.140625" style="512"/>
    <col min="15887" max="15887" width="3.85546875" style="512" customWidth="1"/>
    <col min="15888" max="15888" width="14.42578125" style="512" customWidth="1"/>
    <col min="15889" max="15889" width="3.85546875" style="512" customWidth="1"/>
    <col min="15890" max="15890" width="18.140625" style="512" customWidth="1"/>
    <col min="15891" max="15913" width="5.85546875" style="512" customWidth="1"/>
    <col min="15914" max="16142" width="9.140625" style="512"/>
    <col min="16143" max="16143" width="3.85546875" style="512" customWidth="1"/>
    <col min="16144" max="16144" width="14.42578125" style="512" customWidth="1"/>
    <col min="16145" max="16145" width="3.85546875" style="512" customWidth="1"/>
    <col min="16146" max="16146" width="18.140625" style="512" customWidth="1"/>
    <col min="16147" max="16169" width="5.85546875" style="512" customWidth="1"/>
    <col min="16170" max="16384" width="9.140625" style="512"/>
  </cols>
  <sheetData>
    <row r="1" spans="1:274" s="508" customFormat="1" ht="15" x14ac:dyDescent="0.2">
      <c r="A1" s="506"/>
      <c r="B1" s="507"/>
      <c r="C1" s="507"/>
    </row>
    <row r="2" spans="1:274" s="508" customFormat="1" ht="14.25" customHeight="1" x14ac:dyDescent="0.2">
      <c r="A2" s="509">
        <v>1</v>
      </c>
      <c r="B2" s="509" t="s">
        <v>0</v>
      </c>
      <c r="C2" s="509">
        <v>5</v>
      </c>
      <c r="D2" s="4624" t="s">
        <v>254</v>
      </c>
      <c r="E2" s="4625"/>
      <c r="F2" s="4625"/>
      <c r="G2" s="4625"/>
      <c r="H2" s="4625"/>
      <c r="I2" s="4625"/>
      <c r="J2" s="4625"/>
      <c r="K2" s="4625"/>
      <c r="L2" s="4625"/>
      <c r="M2" s="4625"/>
      <c r="N2" s="4625"/>
      <c r="O2" s="4625"/>
      <c r="P2" s="4625"/>
      <c r="Q2" s="4625"/>
      <c r="R2" s="4625"/>
      <c r="S2" s="4625"/>
      <c r="T2" s="4625"/>
      <c r="U2" s="4625"/>
      <c r="V2" s="4625"/>
      <c r="W2" s="4625"/>
      <c r="X2" s="4625"/>
      <c r="Y2" s="4625"/>
      <c r="Z2" s="4625"/>
      <c r="AA2" s="4625"/>
      <c r="AB2" s="4625"/>
      <c r="AC2" s="4625"/>
      <c r="AD2" s="4625"/>
      <c r="AE2" s="4625"/>
      <c r="AF2" s="4625"/>
      <c r="AG2" s="4625"/>
      <c r="AH2" s="4625"/>
      <c r="AI2" s="4625"/>
      <c r="AJ2" s="4625"/>
      <c r="AK2" s="4625"/>
      <c r="AL2" s="4625"/>
      <c r="AM2" s="4625"/>
      <c r="AN2" s="4625"/>
      <c r="AO2" s="4625"/>
      <c r="AP2" s="4626"/>
    </row>
    <row r="3" spans="1:274" s="508" customFormat="1" ht="14.25" customHeight="1" x14ac:dyDescent="0.2">
      <c r="A3" s="509">
        <v>2</v>
      </c>
      <c r="B3" s="509" t="s">
        <v>2</v>
      </c>
      <c r="C3" s="509"/>
      <c r="D3" s="4624" t="s">
        <v>3</v>
      </c>
      <c r="E3" s="4625"/>
      <c r="F3" s="4625"/>
      <c r="G3" s="4625"/>
      <c r="H3" s="4625"/>
      <c r="I3" s="4625"/>
      <c r="J3" s="4625"/>
      <c r="K3" s="4625"/>
      <c r="L3" s="4625"/>
      <c r="M3" s="4625"/>
      <c r="N3" s="4625"/>
      <c r="O3" s="4625"/>
      <c r="P3" s="4625"/>
      <c r="Q3" s="4625"/>
      <c r="R3" s="4625"/>
      <c r="S3" s="4625"/>
      <c r="T3" s="4625"/>
      <c r="U3" s="4625"/>
      <c r="V3" s="4625"/>
      <c r="W3" s="4625"/>
      <c r="X3" s="4625"/>
      <c r="Y3" s="4625"/>
      <c r="Z3" s="4625"/>
      <c r="AA3" s="4625"/>
      <c r="AB3" s="4625"/>
      <c r="AC3" s="4625"/>
      <c r="AD3" s="4625"/>
      <c r="AE3" s="4625"/>
      <c r="AF3" s="4625"/>
      <c r="AG3" s="4625"/>
      <c r="AH3" s="4625"/>
      <c r="AI3" s="4625"/>
      <c r="AJ3" s="4625"/>
      <c r="AK3" s="4625"/>
      <c r="AL3" s="4625"/>
      <c r="AM3" s="4625"/>
      <c r="AN3" s="4625"/>
      <c r="AO3" s="4625"/>
      <c r="AP3" s="4626"/>
    </row>
    <row r="4" spans="1:274" s="508" customFormat="1" ht="14.25" customHeight="1" x14ac:dyDescent="0.2">
      <c r="A4" s="509">
        <v>3</v>
      </c>
      <c r="B4" s="509" t="s">
        <v>4</v>
      </c>
      <c r="C4" s="509"/>
      <c r="D4" s="4624" t="s">
        <v>255</v>
      </c>
      <c r="E4" s="4625"/>
      <c r="F4" s="4625"/>
      <c r="G4" s="4625"/>
      <c r="H4" s="4625"/>
      <c r="I4" s="4625"/>
      <c r="J4" s="4625"/>
      <c r="K4" s="4625"/>
      <c r="L4" s="4625"/>
      <c r="M4" s="4625"/>
      <c r="N4" s="4625"/>
      <c r="O4" s="4625"/>
      <c r="P4" s="4625"/>
      <c r="Q4" s="4625"/>
      <c r="R4" s="4625"/>
      <c r="S4" s="4625"/>
      <c r="T4" s="4625"/>
      <c r="U4" s="4625"/>
      <c r="V4" s="4625"/>
      <c r="W4" s="4625"/>
      <c r="X4" s="4625"/>
      <c r="Y4" s="4625"/>
      <c r="Z4" s="4625"/>
      <c r="AA4" s="4625"/>
      <c r="AB4" s="4625"/>
      <c r="AC4" s="4625"/>
      <c r="AD4" s="4625"/>
      <c r="AE4" s="4625"/>
      <c r="AF4" s="4625"/>
      <c r="AG4" s="4625"/>
      <c r="AH4" s="4625"/>
      <c r="AI4" s="4625"/>
      <c r="AJ4" s="4625"/>
      <c r="AK4" s="4625"/>
      <c r="AL4" s="4625"/>
      <c r="AM4" s="4625"/>
      <c r="AN4" s="4625"/>
      <c r="AO4" s="4625"/>
      <c r="AP4" s="4626"/>
    </row>
    <row r="5" spans="1:274" s="508" customFormat="1" ht="14.25" x14ac:dyDescent="0.2">
      <c r="A5" s="509"/>
      <c r="B5" s="509"/>
      <c r="C5" s="509"/>
      <c r="D5" s="4624"/>
      <c r="E5" s="4625"/>
      <c r="F5" s="4625"/>
      <c r="G5" s="4625"/>
      <c r="H5" s="4625"/>
      <c r="I5" s="4625"/>
      <c r="J5" s="4625"/>
      <c r="K5" s="4625"/>
      <c r="L5" s="4625"/>
      <c r="M5" s="4625"/>
      <c r="N5" s="4625"/>
      <c r="O5" s="4625"/>
      <c r="P5" s="4625"/>
      <c r="Q5" s="4625"/>
      <c r="R5" s="4625"/>
      <c r="S5" s="4625"/>
      <c r="T5" s="4625"/>
      <c r="U5" s="4625"/>
      <c r="V5" s="4625"/>
      <c r="W5" s="4625"/>
      <c r="X5" s="4625"/>
      <c r="Y5" s="4625"/>
      <c r="Z5" s="4625"/>
      <c r="AA5" s="4625"/>
      <c r="AB5" s="4625"/>
      <c r="AC5" s="4625"/>
      <c r="AD5" s="4625"/>
      <c r="AE5" s="4625"/>
      <c r="AF5" s="4625"/>
      <c r="AG5" s="4625"/>
      <c r="AH5" s="4625"/>
      <c r="AI5" s="4625"/>
      <c r="AJ5" s="4625"/>
      <c r="AK5" s="4625"/>
      <c r="AL5" s="4625"/>
      <c r="AM5" s="4625"/>
      <c r="AN5" s="4625"/>
      <c r="AO5" s="4625"/>
      <c r="AP5" s="4626"/>
    </row>
    <row r="6" spans="1:274" s="88" customFormat="1" ht="17.25" customHeight="1" x14ac:dyDescent="0.2">
      <c r="A6" s="509">
        <v>4</v>
      </c>
      <c r="B6" s="509" t="s">
        <v>6</v>
      </c>
      <c r="C6" s="836"/>
      <c r="D6" s="71" t="s">
        <v>80</v>
      </c>
      <c r="E6" s="71" t="str">
        <f>D2</f>
        <v>Public opinion: Delivery of basic services</v>
      </c>
      <c r="G6" s="71"/>
      <c r="H6" s="71"/>
      <c r="I6" s="71"/>
      <c r="J6" s="71"/>
      <c r="K6" s="71"/>
      <c r="L6" s="71"/>
    </row>
    <row r="7" spans="1:274" s="88" customFormat="1" ht="12.75" x14ac:dyDescent="0.25">
      <c r="A7" s="509"/>
      <c r="B7" s="509"/>
      <c r="C7" s="836"/>
      <c r="D7" s="2945"/>
      <c r="E7" s="4641">
        <v>2000</v>
      </c>
      <c r="F7" s="4642"/>
      <c r="G7" s="4641">
        <v>2001</v>
      </c>
      <c r="H7" s="4642"/>
      <c r="I7" s="4641">
        <v>2002</v>
      </c>
      <c r="J7" s="4642"/>
      <c r="K7" s="4641">
        <v>2003</v>
      </c>
      <c r="L7" s="4642"/>
      <c r="M7" s="4637">
        <v>2004</v>
      </c>
      <c r="N7" s="4638"/>
      <c r="O7" s="4637">
        <v>2005</v>
      </c>
      <c r="P7" s="4638"/>
      <c r="Q7" s="4637">
        <v>2006</v>
      </c>
      <c r="R7" s="4638"/>
      <c r="S7" s="4637">
        <v>2007</v>
      </c>
      <c r="T7" s="4638"/>
      <c r="U7" s="4637">
        <v>2008</v>
      </c>
      <c r="V7" s="4638"/>
      <c r="W7" s="4637">
        <v>2009</v>
      </c>
      <c r="X7" s="4638"/>
      <c r="Y7" s="4637">
        <v>2010</v>
      </c>
      <c r="Z7" s="4638"/>
      <c r="AA7" s="4637">
        <v>2011</v>
      </c>
      <c r="AB7" s="4638"/>
      <c r="AC7" s="4637">
        <v>2012</v>
      </c>
      <c r="AD7" s="4638"/>
      <c r="AE7" s="4637">
        <v>2013</v>
      </c>
      <c r="AF7" s="4638"/>
      <c r="AG7" s="4637">
        <v>2014</v>
      </c>
      <c r="AH7" s="4638"/>
      <c r="AI7" s="4637">
        <v>2015</v>
      </c>
      <c r="AJ7" s="4638"/>
      <c r="AK7" s="4637">
        <v>2016</v>
      </c>
      <c r="AL7" s="4638"/>
      <c r="AM7" s="4637">
        <v>2017</v>
      </c>
      <c r="AN7" s="4638"/>
      <c r="AO7" s="4637">
        <v>2018</v>
      </c>
      <c r="AP7" s="4638"/>
      <c r="AQ7" s="4637">
        <v>2019</v>
      </c>
      <c r="AR7" s="4638"/>
      <c r="AS7" s="4637">
        <v>2020</v>
      </c>
      <c r="AT7" s="4638"/>
      <c r="AU7" s="4637">
        <v>2021</v>
      </c>
      <c r="AV7" s="4638"/>
      <c r="AW7" s="4637">
        <v>2022</v>
      </c>
      <c r="AX7" s="4638"/>
    </row>
    <row r="8" spans="1:274" s="413" customFormat="1" ht="12.75" x14ac:dyDescent="0.25">
      <c r="A8" s="79"/>
      <c r="B8" s="81"/>
      <c r="C8" s="81"/>
      <c r="D8" s="95"/>
      <c r="E8" s="2495" t="s">
        <v>256</v>
      </c>
      <c r="F8" s="1632" t="s">
        <v>257</v>
      </c>
      <c r="G8" s="2495" t="s">
        <v>256</v>
      </c>
      <c r="H8" s="1632" t="s">
        <v>257</v>
      </c>
      <c r="I8" s="2495" t="s">
        <v>256</v>
      </c>
      <c r="J8" s="1632" t="s">
        <v>257</v>
      </c>
      <c r="K8" s="2495" t="s">
        <v>256</v>
      </c>
      <c r="L8" s="1632" t="s">
        <v>257</v>
      </c>
      <c r="M8" s="2496" t="s">
        <v>256</v>
      </c>
      <c r="N8" s="2497" t="s">
        <v>257</v>
      </c>
      <c r="O8" s="2496" t="s">
        <v>256</v>
      </c>
      <c r="P8" s="2497" t="s">
        <v>257</v>
      </c>
      <c r="Q8" s="2496" t="s">
        <v>256</v>
      </c>
      <c r="R8" s="2497" t="s">
        <v>257</v>
      </c>
      <c r="S8" s="2496" t="s">
        <v>256</v>
      </c>
      <c r="T8" s="2497" t="s">
        <v>257</v>
      </c>
      <c r="U8" s="2496" t="s">
        <v>256</v>
      </c>
      <c r="V8" s="2497" t="s">
        <v>257</v>
      </c>
      <c r="W8" s="2496" t="s">
        <v>256</v>
      </c>
      <c r="X8" s="2497" t="s">
        <v>258</v>
      </c>
      <c r="Y8" s="2496" t="s">
        <v>259</v>
      </c>
      <c r="Z8" s="2497" t="s">
        <v>257</v>
      </c>
      <c r="AA8" s="2496" t="s">
        <v>256</v>
      </c>
      <c r="AB8" s="2497" t="s">
        <v>257</v>
      </c>
      <c r="AC8" s="2496" t="s">
        <v>256</v>
      </c>
      <c r="AD8" s="2497" t="s">
        <v>257</v>
      </c>
      <c r="AE8" s="2496" t="s">
        <v>256</v>
      </c>
      <c r="AF8" s="2497" t="s">
        <v>257</v>
      </c>
      <c r="AG8" s="2496" t="s">
        <v>256</v>
      </c>
      <c r="AH8" s="2497" t="s">
        <v>257</v>
      </c>
      <c r="AI8" s="2496" t="s">
        <v>256</v>
      </c>
      <c r="AJ8" s="2497" t="s">
        <v>257</v>
      </c>
      <c r="AK8" s="2496" t="s">
        <v>256</v>
      </c>
      <c r="AL8" s="2497" t="s">
        <v>257</v>
      </c>
      <c r="AM8" s="2496" t="s">
        <v>256</v>
      </c>
      <c r="AN8" s="2497" t="s">
        <v>257</v>
      </c>
      <c r="AO8" s="2496" t="s">
        <v>256</v>
      </c>
      <c r="AP8" s="2497" t="s">
        <v>257</v>
      </c>
      <c r="AQ8" s="2496" t="s">
        <v>256</v>
      </c>
      <c r="AR8" s="2497" t="s">
        <v>257</v>
      </c>
      <c r="AS8" s="2496" t="s">
        <v>260</v>
      </c>
      <c r="AT8" s="2497" t="s">
        <v>261</v>
      </c>
      <c r="AU8" s="2496" t="s">
        <v>262</v>
      </c>
      <c r="AV8" s="2497" t="s">
        <v>263</v>
      </c>
      <c r="AW8" s="2496" t="s">
        <v>264</v>
      </c>
      <c r="AX8" s="2497" t="s">
        <v>265</v>
      </c>
    </row>
    <row r="9" spans="1:274" s="2504" customFormat="1" ht="12.75" x14ac:dyDescent="0.25">
      <c r="A9" s="2498"/>
      <c r="B9" s="2499"/>
      <c r="C9" s="2499"/>
      <c r="D9" s="621" t="s">
        <v>266</v>
      </c>
      <c r="E9" s="2500">
        <v>72</v>
      </c>
      <c r="F9" s="2501">
        <v>67</v>
      </c>
      <c r="G9" s="2500">
        <v>65</v>
      </c>
      <c r="H9" s="2501">
        <v>63</v>
      </c>
      <c r="I9" s="2500">
        <v>74</v>
      </c>
      <c r="J9" s="2501">
        <v>71</v>
      </c>
      <c r="K9" s="2500">
        <v>75</v>
      </c>
      <c r="L9" s="2501">
        <v>72</v>
      </c>
      <c r="M9" s="2502">
        <v>81</v>
      </c>
      <c r="N9" s="2503">
        <v>77</v>
      </c>
      <c r="O9" s="2502">
        <v>73</v>
      </c>
      <c r="P9" s="2503">
        <v>73</v>
      </c>
      <c r="Q9" s="2502">
        <v>76</v>
      </c>
      <c r="R9" s="2503">
        <v>72</v>
      </c>
      <c r="S9" s="2502">
        <v>68</v>
      </c>
      <c r="T9" s="2503">
        <v>62</v>
      </c>
      <c r="U9" s="2502">
        <v>58</v>
      </c>
      <c r="V9" s="2503">
        <v>58</v>
      </c>
      <c r="W9" s="2502">
        <v>61</v>
      </c>
      <c r="X9" s="2503">
        <v>57</v>
      </c>
      <c r="Y9" s="2502">
        <v>56.8</v>
      </c>
      <c r="Z9" s="2503">
        <v>54</v>
      </c>
      <c r="AA9" s="2502">
        <v>48</v>
      </c>
      <c r="AB9" s="2503">
        <v>51</v>
      </c>
      <c r="AC9" s="2502">
        <v>53.5</v>
      </c>
      <c r="AD9" s="2503">
        <v>51</v>
      </c>
      <c r="AE9" s="2502">
        <v>53</v>
      </c>
      <c r="AF9" s="2503">
        <v>53</v>
      </c>
      <c r="AG9" s="2502">
        <v>56</v>
      </c>
      <c r="AH9" s="2503">
        <v>56</v>
      </c>
      <c r="AI9" s="2502">
        <v>52</v>
      </c>
      <c r="AJ9" s="2503">
        <v>49</v>
      </c>
      <c r="AK9" s="2502">
        <v>47</v>
      </c>
      <c r="AL9" s="2503">
        <v>49</v>
      </c>
      <c r="AM9" s="2502">
        <v>48</v>
      </c>
      <c r="AN9" s="2503">
        <v>43</v>
      </c>
      <c r="AO9" s="2502">
        <v>51</v>
      </c>
      <c r="AP9" s="2503">
        <v>53</v>
      </c>
      <c r="AQ9" s="2502">
        <v>47</v>
      </c>
      <c r="AR9" s="2503">
        <v>51</v>
      </c>
      <c r="AS9" s="2502">
        <v>51</v>
      </c>
      <c r="AT9" s="2503">
        <v>51</v>
      </c>
      <c r="AU9" s="2502">
        <v>40</v>
      </c>
      <c r="AV9" s="2503">
        <v>41</v>
      </c>
      <c r="AW9" s="2502"/>
      <c r="AX9" s="2503"/>
      <c r="AY9" s="413"/>
      <c r="AZ9" s="413"/>
      <c r="BA9" s="413"/>
      <c r="BB9" s="413"/>
      <c r="BC9" s="413"/>
      <c r="BD9" s="413"/>
      <c r="BE9" s="413"/>
      <c r="BF9" s="413"/>
      <c r="BG9" s="413"/>
      <c r="BH9" s="413"/>
      <c r="BI9" s="413"/>
      <c r="BJ9" s="413"/>
      <c r="BK9" s="413"/>
      <c r="BL9" s="413"/>
      <c r="BM9" s="413"/>
      <c r="BN9" s="413"/>
      <c r="BO9" s="413"/>
      <c r="BP9" s="413"/>
      <c r="BQ9" s="413"/>
      <c r="BR9" s="413"/>
      <c r="BS9" s="413"/>
      <c r="BT9" s="413"/>
      <c r="BU9" s="413"/>
      <c r="BV9" s="413"/>
      <c r="BW9" s="413"/>
      <c r="BX9" s="413"/>
      <c r="BY9" s="413"/>
      <c r="BZ9" s="413"/>
      <c r="CA9" s="413"/>
      <c r="CB9" s="413"/>
      <c r="CC9" s="413"/>
      <c r="CD9" s="413"/>
      <c r="CE9" s="413"/>
      <c r="CF9" s="413"/>
      <c r="CG9" s="413"/>
      <c r="CH9" s="413"/>
      <c r="CI9" s="413"/>
      <c r="CJ9" s="413"/>
      <c r="CK9" s="413"/>
      <c r="CL9" s="413"/>
      <c r="CM9" s="413"/>
      <c r="CN9" s="413"/>
      <c r="CO9" s="413"/>
      <c r="CP9" s="413"/>
      <c r="CQ9" s="413"/>
      <c r="CR9" s="413"/>
      <c r="CS9" s="413"/>
      <c r="CT9" s="413"/>
      <c r="CU9" s="413"/>
      <c r="CV9" s="413"/>
      <c r="CW9" s="413"/>
      <c r="CX9" s="413"/>
      <c r="CY9" s="413"/>
      <c r="CZ9" s="413"/>
      <c r="DA9" s="413"/>
      <c r="DB9" s="413"/>
      <c r="DC9" s="413"/>
      <c r="DD9" s="413"/>
      <c r="DE9" s="413"/>
      <c r="DF9" s="413"/>
      <c r="DG9" s="413"/>
      <c r="DH9" s="413"/>
      <c r="DI9" s="413"/>
      <c r="DJ9" s="413"/>
      <c r="DK9" s="413"/>
      <c r="DL9" s="413"/>
      <c r="DM9" s="413"/>
      <c r="DN9" s="413"/>
      <c r="DO9" s="413"/>
      <c r="DP9" s="413"/>
      <c r="DQ9" s="413"/>
      <c r="DR9" s="413"/>
      <c r="DS9" s="413"/>
      <c r="DT9" s="413"/>
      <c r="DU9" s="413"/>
      <c r="DV9" s="413"/>
      <c r="DW9" s="413"/>
      <c r="DX9" s="413"/>
      <c r="DY9" s="413"/>
      <c r="DZ9" s="413"/>
      <c r="EA9" s="413"/>
      <c r="EB9" s="413"/>
      <c r="EC9" s="413"/>
      <c r="ED9" s="413"/>
      <c r="EE9" s="413"/>
      <c r="EF9" s="413"/>
      <c r="EG9" s="413"/>
      <c r="EH9" s="413"/>
      <c r="EI9" s="413"/>
      <c r="EJ9" s="413"/>
      <c r="EK9" s="413"/>
      <c r="EL9" s="413"/>
      <c r="EM9" s="413"/>
      <c r="EN9" s="413"/>
      <c r="EO9" s="413"/>
      <c r="EP9" s="413"/>
      <c r="EQ9" s="413"/>
      <c r="ER9" s="413"/>
      <c r="ES9" s="413"/>
      <c r="ET9" s="413"/>
      <c r="EU9" s="413"/>
      <c r="EV9" s="413"/>
      <c r="EW9" s="413"/>
      <c r="EX9" s="413"/>
      <c r="EY9" s="413"/>
      <c r="EZ9" s="413"/>
      <c r="FA9" s="413"/>
      <c r="FB9" s="413"/>
      <c r="FC9" s="413"/>
      <c r="FD9" s="413"/>
      <c r="FE9" s="413"/>
      <c r="FF9" s="413"/>
      <c r="FG9" s="413"/>
      <c r="FH9" s="413"/>
      <c r="FI9" s="413"/>
      <c r="FJ9" s="413"/>
      <c r="FK9" s="413"/>
      <c r="FL9" s="413"/>
      <c r="FM9" s="413"/>
      <c r="FN9" s="413"/>
      <c r="FO9" s="413"/>
      <c r="FP9" s="413"/>
      <c r="FQ9" s="413"/>
      <c r="FR9" s="413"/>
      <c r="FS9" s="413"/>
      <c r="FT9" s="413"/>
      <c r="FU9" s="413"/>
      <c r="FV9" s="413"/>
      <c r="FW9" s="413"/>
      <c r="FX9" s="413"/>
      <c r="FY9" s="413"/>
      <c r="FZ9" s="413"/>
      <c r="GA9" s="413"/>
      <c r="GB9" s="413"/>
      <c r="GC9" s="413"/>
      <c r="GD9" s="413"/>
      <c r="GE9" s="413"/>
      <c r="GF9" s="413"/>
      <c r="GG9" s="413"/>
      <c r="GH9" s="413"/>
      <c r="GI9" s="413"/>
      <c r="GJ9" s="413"/>
      <c r="GK9" s="413"/>
      <c r="GL9" s="413"/>
      <c r="GM9" s="413"/>
      <c r="GN9" s="413"/>
      <c r="GO9" s="413"/>
      <c r="GP9" s="413"/>
      <c r="GQ9" s="413"/>
      <c r="GR9" s="413"/>
      <c r="GS9" s="413"/>
      <c r="GT9" s="413"/>
      <c r="GU9" s="413"/>
      <c r="GV9" s="413"/>
      <c r="GW9" s="413"/>
      <c r="GX9" s="413"/>
      <c r="GY9" s="413"/>
      <c r="GZ9" s="413"/>
      <c r="HA9" s="413"/>
      <c r="HB9" s="413"/>
      <c r="HC9" s="413"/>
      <c r="HD9" s="413"/>
      <c r="HE9" s="413"/>
      <c r="HF9" s="413"/>
      <c r="HG9" s="413"/>
      <c r="HH9" s="413"/>
      <c r="HI9" s="413"/>
      <c r="HJ9" s="413"/>
      <c r="HK9" s="413"/>
      <c r="HL9" s="413"/>
      <c r="HM9" s="413"/>
      <c r="HN9" s="413"/>
      <c r="HO9" s="413"/>
      <c r="HP9" s="413"/>
      <c r="HQ9" s="413"/>
      <c r="HR9" s="413"/>
      <c r="HS9" s="413"/>
      <c r="HT9" s="413"/>
      <c r="HU9" s="413"/>
      <c r="HV9" s="413"/>
      <c r="HW9" s="413"/>
      <c r="HX9" s="413"/>
      <c r="HY9" s="413"/>
      <c r="HZ9" s="413"/>
      <c r="IA9" s="413"/>
      <c r="IB9" s="413"/>
      <c r="IC9" s="413"/>
      <c r="ID9" s="413"/>
      <c r="IE9" s="413"/>
      <c r="IF9" s="413"/>
      <c r="IG9" s="413"/>
      <c r="IH9" s="413"/>
      <c r="II9" s="413"/>
      <c r="IJ9" s="413"/>
      <c r="IK9" s="413"/>
      <c r="IL9" s="413"/>
      <c r="IM9" s="413"/>
      <c r="IN9" s="413"/>
      <c r="IO9" s="413"/>
      <c r="IP9" s="413"/>
      <c r="IQ9" s="413"/>
      <c r="IR9" s="413"/>
      <c r="IS9" s="413"/>
      <c r="IT9" s="413"/>
      <c r="IU9" s="413"/>
      <c r="IV9" s="413"/>
      <c r="IW9" s="413"/>
      <c r="IX9" s="413"/>
      <c r="IY9" s="413"/>
      <c r="IZ9" s="413"/>
      <c r="JA9" s="413"/>
      <c r="JB9" s="413"/>
      <c r="JC9" s="413"/>
      <c r="JD9" s="413"/>
      <c r="JE9" s="413"/>
      <c r="JF9" s="413"/>
      <c r="JG9" s="413"/>
      <c r="JH9" s="413"/>
      <c r="JI9" s="413"/>
      <c r="JJ9" s="413"/>
      <c r="JK9" s="413"/>
      <c r="JL9" s="413"/>
      <c r="JM9" s="413"/>
      <c r="JN9" s="413"/>
    </row>
    <row r="10" spans="1:274" s="2504" customFormat="1" ht="11.25" x14ac:dyDescent="0.2">
      <c r="A10" s="2498"/>
      <c r="B10" s="2499"/>
      <c r="C10" s="2499"/>
      <c r="D10" s="87"/>
      <c r="E10" s="2504">
        <f>+AVERAGE(E9:F9)</f>
        <v>69.5</v>
      </c>
      <c r="F10" s="2185"/>
      <c r="G10" s="2504">
        <f>+AVERAGE(G9:H9)</f>
        <v>64</v>
      </c>
      <c r="H10" s="2185"/>
      <c r="I10" s="2504">
        <f>+AVERAGE(I9:J9)</f>
        <v>72.5</v>
      </c>
      <c r="J10" s="2185"/>
      <c r="K10" s="2504">
        <f>+AVERAGE(K9:L9)</f>
        <v>73.5</v>
      </c>
      <c r="L10" s="2185"/>
      <c r="M10" s="2504">
        <f>+AVERAGE(M9:N9)</f>
        <v>79</v>
      </c>
      <c r="N10" s="2185"/>
      <c r="O10" s="2504">
        <f>+AVERAGE(O9:P9)</f>
        <v>73</v>
      </c>
      <c r="P10" s="2185"/>
      <c r="Q10" s="2504">
        <f>+AVERAGE(Q9:R9)</f>
        <v>74</v>
      </c>
      <c r="R10" s="2185"/>
      <c r="S10" s="2504">
        <f>+AVERAGE(S9:T9)</f>
        <v>65</v>
      </c>
      <c r="T10" s="2185"/>
      <c r="U10" s="2504">
        <f>+AVERAGE(U9:V9)</f>
        <v>58</v>
      </c>
      <c r="V10" s="2185"/>
      <c r="W10" s="2504">
        <f>+AVERAGE(W9:X9)</f>
        <v>59</v>
      </c>
      <c r="X10" s="2185"/>
      <c r="Y10" s="2504">
        <f>+AVERAGE(Y9:Z9)</f>
        <v>55.4</v>
      </c>
      <c r="Z10" s="2185"/>
      <c r="AA10" s="2504">
        <f>+AVERAGE(AA9:AB9)</f>
        <v>49.5</v>
      </c>
      <c r="AB10" s="2185"/>
      <c r="AC10" s="2504">
        <f>+AVERAGE(AC9:AD9)</f>
        <v>52.25</v>
      </c>
      <c r="AD10" s="2185"/>
      <c r="AE10" s="2504">
        <f>+AVERAGE(AE9:AF9)</f>
        <v>53</v>
      </c>
      <c r="AF10" s="2185"/>
      <c r="AG10" s="2504">
        <f>+AVERAGE(AG9:AH9)</f>
        <v>56</v>
      </c>
      <c r="AH10" s="2185"/>
      <c r="AI10" s="2504">
        <f>+AVERAGE(AI9:AJ9)</f>
        <v>50.5</v>
      </c>
      <c r="AJ10" s="2185"/>
      <c r="AK10" s="2504">
        <f>+AVERAGE(AK9:AL9)</f>
        <v>48</v>
      </c>
      <c r="AL10" s="2185"/>
      <c r="AM10" s="2504">
        <f>+AVERAGE(AM9:AN9)</f>
        <v>45.5</v>
      </c>
      <c r="AN10" s="2185"/>
      <c r="AO10" s="2504">
        <f>+AVERAGE(AO9:AP9)</f>
        <v>52</v>
      </c>
      <c r="AP10" s="2185"/>
      <c r="AQ10" s="2504">
        <f>+AVERAGE(AQ9:AR9)</f>
        <v>49</v>
      </c>
      <c r="AR10" s="2185"/>
      <c r="AS10" s="2504">
        <f>+AVERAGE(AS9:AT9)</f>
        <v>51</v>
      </c>
      <c r="AT10" s="2185"/>
      <c r="AU10" s="2504">
        <f>+AVERAGE(AU9:AV9)</f>
        <v>40.5</v>
      </c>
      <c r="AV10" s="2185"/>
      <c r="AW10" s="2504">
        <v>35</v>
      </c>
      <c r="AX10" s="2185"/>
      <c r="AY10" s="413"/>
      <c r="AZ10" s="413"/>
      <c r="BA10" s="413"/>
      <c r="BB10" s="413"/>
      <c r="BC10" s="413"/>
      <c r="BD10" s="413"/>
      <c r="BE10" s="413"/>
      <c r="BF10" s="413"/>
      <c r="BG10" s="413"/>
      <c r="BH10" s="413"/>
      <c r="BI10" s="413"/>
      <c r="BJ10" s="413"/>
      <c r="BK10" s="413"/>
      <c r="BL10" s="413"/>
      <c r="BM10" s="413"/>
      <c r="BN10" s="413"/>
      <c r="BO10" s="413"/>
      <c r="BP10" s="413"/>
      <c r="BQ10" s="413"/>
      <c r="BR10" s="413"/>
      <c r="BS10" s="413"/>
      <c r="BT10" s="413"/>
      <c r="BU10" s="413"/>
      <c r="BV10" s="413"/>
      <c r="BW10" s="413"/>
      <c r="BX10" s="413"/>
      <c r="BY10" s="413"/>
      <c r="BZ10" s="413"/>
      <c r="CA10" s="413"/>
      <c r="CB10" s="413"/>
      <c r="CC10" s="413"/>
      <c r="CD10" s="413"/>
      <c r="CE10" s="413"/>
      <c r="CF10" s="413"/>
      <c r="CG10" s="413"/>
      <c r="CH10" s="413"/>
      <c r="CI10" s="413"/>
      <c r="CJ10" s="413"/>
      <c r="CK10" s="413"/>
      <c r="CL10" s="413"/>
      <c r="CM10" s="413"/>
      <c r="CN10" s="413"/>
      <c r="CO10" s="413"/>
      <c r="CP10" s="413"/>
      <c r="CQ10" s="413"/>
      <c r="CR10" s="413"/>
      <c r="CS10" s="413"/>
      <c r="CT10" s="413"/>
      <c r="CU10" s="413"/>
      <c r="CV10" s="413"/>
      <c r="CW10" s="413"/>
      <c r="CX10" s="413"/>
      <c r="CY10" s="413"/>
      <c r="CZ10" s="413"/>
      <c r="DA10" s="413"/>
      <c r="DB10" s="413"/>
      <c r="DC10" s="413"/>
      <c r="DD10" s="413"/>
      <c r="DE10" s="413"/>
      <c r="DF10" s="413"/>
      <c r="DG10" s="413"/>
      <c r="DH10" s="413"/>
      <c r="DI10" s="413"/>
      <c r="DJ10" s="413"/>
      <c r="DK10" s="413"/>
      <c r="DL10" s="413"/>
      <c r="DM10" s="413"/>
      <c r="DN10" s="413"/>
      <c r="DO10" s="413"/>
      <c r="DP10" s="413"/>
      <c r="DQ10" s="413"/>
      <c r="DR10" s="413"/>
      <c r="DS10" s="413"/>
      <c r="DT10" s="413"/>
      <c r="DU10" s="413"/>
      <c r="DV10" s="413"/>
      <c r="DW10" s="413"/>
      <c r="DX10" s="413"/>
      <c r="DY10" s="413"/>
      <c r="DZ10" s="413"/>
      <c r="EA10" s="413"/>
      <c r="EB10" s="413"/>
      <c r="EC10" s="413"/>
      <c r="ED10" s="413"/>
      <c r="EE10" s="413"/>
      <c r="EF10" s="413"/>
      <c r="EG10" s="413"/>
      <c r="EH10" s="413"/>
      <c r="EI10" s="413"/>
      <c r="EJ10" s="413"/>
      <c r="EK10" s="413"/>
      <c r="EL10" s="413"/>
      <c r="EM10" s="413"/>
      <c r="EN10" s="413"/>
      <c r="EO10" s="413"/>
      <c r="EP10" s="413"/>
      <c r="EQ10" s="413"/>
      <c r="ER10" s="413"/>
      <c r="ES10" s="413"/>
      <c r="ET10" s="413"/>
      <c r="EU10" s="413"/>
      <c r="EV10" s="413"/>
      <c r="EW10" s="413"/>
      <c r="EX10" s="413"/>
      <c r="EY10" s="413"/>
      <c r="EZ10" s="413"/>
      <c r="FA10" s="413"/>
      <c r="FB10" s="413"/>
      <c r="FC10" s="413"/>
      <c r="FD10" s="413"/>
      <c r="FE10" s="413"/>
      <c r="FF10" s="413"/>
      <c r="FG10" s="413"/>
      <c r="FH10" s="413"/>
      <c r="FI10" s="413"/>
      <c r="FJ10" s="413"/>
      <c r="FK10" s="413"/>
      <c r="FL10" s="413"/>
      <c r="FM10" s="413"/>
      <c r="FN10" s="413"/>
      <c r="FO10" s="413"/>
      <c r="FP10" s="413"/>
      <c r="FQ10" s="413"/>
      <c r="FR10" s="413"/>
      <c r="FS10" s="413"/>
      <c r="FT10" s="413"/>
      <c r="FU10" s="413"/>
      <c r="FV10" s="413"/>
      <c r="FW10" s="413"/>
      <c r="FX10" s="413"/>
      <c r="FY10" s="413"/>
      <c r="FZ10" s="413"/>
      <c r="GA10" s="413"/>
      <c r="GB10" s="413"/>
      <c r="GC10" s="413"/>
      <c r="GD10" s="413"/>
      <c r="GE10" s="413"/>
      <c r="GF10" s="413"/>
      <c r="GG10" s="413"/>
      <c r="GH10" s="413"/>
      <c r="GI10" s="413"/>
      <c r="GJ10" s="413"/>
      <c r="GK10" s="413"/>
      <c r="GL10" s="413"/>
      <c r="GM10" s="413"/>
      <c r="GN10" s="413"/>
      <c r="GO10" s="413"/>
      <c r="GP10" s="413"/>
      <c r="GQ10" s="413"/>
      <c r="GR10" s="413"/>
      <c r="GS10" s="413"/>
      <c r="GT10" s="413"/>
      <c r="GU10" s="413"/>
      <c r="GV10" s="413"/>
      <c r="GW10" s="413"/>
      <c r="GX10" s="413"/>
      <c r="GY10" s="413"/>
      <c r="GZ10" s="413"/>
      <c r="HA10" s="413"/>
      <c r="HB10" s="413"/>
      <c r="HC10" s="413"/>
      <c r="HD10" s="413"/>
      <c r="HE10" s="413"/>
      <c r="HF10" s="413"/>
      <c r="HG10" s="413"/>
      <c r="HH10" s="413"/>
      <c r="HI10" s="413"/>
      <c r="HJ10" s="413"/>
      <c r="HK10" s="413"/>
      <c r="HL10" s="413"/>
      <c r="HM10" s="413"/>
      <c r="HN10" s="413"/>
      <c r="HO10" s="413"/>
      <c r="HP10" s="413"/>
      <c r="HQ10" s="413"/>
      <c r="HR10" s="413"/>
      <c r="HS10" s="413"/>
      <c r="HT10" s="413"/>
      <c r="HU10" s="413"/>
      <c r="HV10" s="413"/>
      <c r="HW10" s="413"/>
      <c r="HX10" s="413"/>
      <c r="HY10" s="413"/>
      <c r="HZ10" s="413"/>
      <c r="IA10" s="413"/>
      <c r="IB10" s="413"/>
      <c r="IC10" s="413"/>
      <c r="ID10" s="413"/>
      <c r="IE10" s="413"/>
      <c r="IF10" s="413"/>
      <c r="IG10" s="413"/>
      <c r="IH10" s="413"/>
      <c r="II10" s="413"/>
      <c r="IJ10" s="413"/>
      <c r="IK10" s="413"/>
      <c r="IL10" s="413"/>
      <c r="IM10" s="413"/>
      <c r="IN10" s="413"/>
      <c r="IO10" s="413"/>
      <c r="IP10" s="413"/>
      <c r="IQ10" s="413"/>
      <c r="IR10" s="413"/>
      <c r="IS10" s="413"/>
      <c r="IT10" s="413"/>
      <c r="IU10" s="413"/>
      <c r="IV10" s="413"/>
      <c r="IW10" s="413"/>
      <c r="IX10" s="413"/>
      <c r="IY10" s="413"/>
      <c r="IZ10" s="413"/>
      <c r="JA10" s="413"/>
      <c r="JB10" s="413"/>
      <c r="JC10" s="413"/>
      <c r="JD10" s="413"/>
      <c r="JE10" s="413"/>
      <c r="JF10" s="413"/>
      <c r="JG10" s="413"/>
      <c r="JH10" s="413"/>
      <c r="JI10" s="413"/>
      <c r="JJ10" s="413"/>
      <c r="JK10" s="413"/>
      <c r="JL10" s="413"/>
      <c r="JM10" s="413"/>
      <c r="JN10" s="413"/>
    </row>
    <row r="11" spans="1:274" s="2504" customFormat="1" ht="11.25" x14ac:dyDescent="0.2">
      <c r="A11" s="2498"/>
      <c r="B11" s="2499"/>
      <c r="C11" s="2499"/>
      <c r="D11" s="71" t="s">
        <v>267</v>
      </c>
      <c r="E11" s="71" t="s">
        <v>268</v>
      </c>
      <c r="F11" s="2185"/>
      <c r="H11" s="2185"/>
      <c r="J11" s="2185"/>
      <c r="L11" s="2185"/>
      <c r="N11" s="2185"/>
      <c r="P11" s="2185"/>
      <c r="R11" s="2185"/>
      <c r="T11" s="2185"/>
      <c r="V11" s="2185"/>
      <c r="X11" s="2185"/>
      <c r="Z11" s="2185"/>
      <c r="AB11" s="2185"/>
      <c r="AD11" s="2185"/>
      <c r="AF11" s="2185"/>
      <c r="AH11" s="2185"/>
      <c r="AJ11" s="2185"/>
      <c r="AL11" s="2185"/>
      <c r="AM11" s="2185"/>
      <c r="AN11" s="2185"/>
      <c r="AO11" s="2185"/>
      <c r="AP11" s="2185"/>
      <c r="AQ11" s="2185"/>
      <c r="AR11" s="2185"/>
      <c r="AS11" s="2185"/>
      <c r="AT11" s="2185"/>
      <c r="AU11" s="413"/>
      <c r="AV11" s="413"/>
      <c r="AW11" s="413"/>
      <c r="AX11" s="413"/>
      <c r="AY11" s="413"/>
      <c r="AZ11" s="413"/>
      <c r="BA11" s="413"/>
      <c r="BB11" s="413"/>
      <c r="BC11" s="413"/>
      <c r="BD11" s="413"/>
      <c r="BE11" s="413"/>
      <c r="BF11" s="413"/>
      <c r="BG11" s="413"/>
      <c r="BH11" s="413"/>
      <c r="BI11" s="413"/>
      <c r="BJ11" s="413"/>
      <c r="BK11" s="413"/>
      <c r="BL11" s="413"/>
      <c r="BM11" s="413"/>
      <c r="BN11" s="413"/>
      <c r="BO11" s="413"/>
      <c r="BP11" s="413"/>
      <c r="BQ11" s="413"/>
      <c r="BR11" s="413"/>
      <c r="BS11" s="413"/>
      <c r="BT11" s="413"/>
      <c r="BU11" s="413"/>
      <c r="BV11" s="413"/>
      <c r="BW11" s="413"/>
      <c r="BX11" s="413"/>
      <c r="BY11" s="413"/>
      <c r="BZ11" s="413"/>
      <c r="CA11" s="413"/>
      <c r="CB11" s="413"/>
      <c r="CC11" s="413"/>
      <c r="CD11" s="413"/>
      <c r="CE11" s="413"/>
      <c r="CF11" s="413"/>
      <c r="CG11" s="413"/>
      <c r="CH11" s="413"/>
      <c r="CI11" s="413"/>
      <c r="CJ11" s="413"/>
      <c r="CK11" s="413"/>
      <c r="CL11" s="413"/>
      <c r="CM11" s="413"/>
      <c r="CN11" s="413"/>
      <c r="CO11" s="413"/>
      <c r="CP11" s="413"/>
      <c r="CQ11" s="413"/>
      <c r="CR11" s="413"/>
      <c r="CS11" s="413"/>
      <c r="CT11" s="413"/>
      <c r="CU11" s="413"/>
      <c r="CV11" s="413"/>
      <c r="CW11" s="413"/>
      <c r="CX11" s="413"/>
      <c r="CY11" s="413"/>
      <c r="CZ11" s="413"/>
      <c r="DA11" s="413"/>
      <c r="DB11" s="413"/>
      <c r="DC11" s="413"/>
      <c r="DD11" s="413"/>
      <c r="DE11" s="413"/>
      <c r="DF11" s="413"/>
      <c r="DG11" s="413"/>
      <c r="DH11" s="413"/>
      <c r="DI11" s="413"/>
      <c r="DJ11" s="413"/>
      <c r="DK11" s="413"/>
      <c r="DL11" s="413"/>
      <c r="DM11" s="413"/>
      <c r="DN11" s="413"/>
      <c r="DO11" s="413"/>
      <c r="DP11" s="413"/>
      <c r="DQ11" s="413"/>
      <c r="DR11" s="413"/>
      <c r="DS11" s="413"/>
      <c r="DT11" s="413"/>
      <c r="DU11" s="413"/>
      <c r="DV11" s="413"/>
      <c r="DW11" s="413"/>
      <c r="DX11" s="413"/>
      <c r="DY11" s="413"/>
      <c r="DZ11" s="413"/>
      <c r="EA11" s="413"/>
      <c r="EB11" s="413"/>
      <c r="EC11" s="413"/>
      <c r="ED11" s="413"/>
      <c r="EE11" s="413"/>
      <c r="EF11" s="413"/>
      <c r="EG11" s="413"/>
      <c r="EH11" s="413"/>
      <c r="EI11" s="413"/>
      <c r="EJ11" s="413"/>
      <c r="EK11" s="413"/>
      <c r="EL11" s="413"/>
      <c r="EM11" s="413"/>
      <c r="EN11" s="413"/>
      <c r="EO11" s="413"/>
      <c r="EP11" s="413"/>
      <c r="EQ11" s="413"/>
      <c r="ER11" s="413"/>
      <c r="ES11" s="413"/>
      <c r="ET11" s="413"/>
      <c r="EU11" s="413"/>
      <c r="EV11" s="413"/>
      <c r="EW11" s="413"/>
      <c r="EX11" s="413"/>
      <c r="EY11" s="413"/>
      <c r="EZ11" s="413"/>
      <c r="FA11" s="413"/>
      <c r="FB11" s="413"/>
      <c r="FC11" s="413"/>
      <c r="FD11" s="413"/>
      <c r="FE11" s="413"/>
      <c r="FF11" s="413"/>
      <c r="FG11" s="413"/>
      <c r="FH11" s="413"/>
      <c r="FI11" s="413"/>
      <c r="FJ11" s="413"/>
      <c r="FK11" s="413"/>
      <c r="FL11" s="413"/>
      <c r="FM11" s="413"/>
      <c r="FN11" s="413"/>
      <c r="FO11" s="413"/>
      <c r="FP11" s="413"/>
      <c r="FQ11" s="413"/>
      <c r="FR11" s="413"/>
      <c r="FS11" s="413"/>
      <c r="FT11" s="413"/>
      <c r="FU11" s="413"/>
      <c r="FV11" s="413"/>
      <c r="FW11" s="413"/>
      <c r="FX11" s="413"/>
      <c r="FY11" s="413"/>
      <c r="FZ11" s="413"/>
      <c r="GA11" s="413"/>
      <c r="GB11" s="413"/>
      <c r="GC11" s="413"/>
      <c r="GD11" s="413"/>
      <c r="GE11" s="413"/>
      <c r="GF11" s="413"/>
      <c r="GG11" s="413"/>
      <c r="GH11" s="413"/>
      <c r="GI11" s="413"/>
      <c r="GJ11" s="413"/>
      <c r="GK11" s="413"/>
      <c r="GL11" s="413"/>
      <c r="GM11" s="413"/>
      <c r="GN11" s="413"/>
      <c r="GO11" s="413"/>
      <c r="GP11" s="413"/>
      <c r="GQ11" s="413"/>
      <c r="GR11" s="413"/>
      <c r="GS11" s="413"/>
      <c r="GT11" s="413"/>
      <c r="GU11" s="413"/>
      <c r="GV11" s="413"/>
      <c r="GW11" s="413"/>
      <c r="GX11" s="413"/>
      <c r="GY11" s="413"/>
      <c r="GZ11" s="413"/>
      <c r="HA11" s="413"/>
      <c r="HB11" s="413"/>
      <c r="HC11" s="413"/>
      <c r="HD11" s="413"/>
      <c r="HE11" s="413"/>
      <c r="HF11" s="413"/>
      <c r="HG11" s="413"/>
      <c r="HH11" s="413"/>
      <c r="HI11" s="413"/>
      <c r="HJ11" s="413"/>
      <c r="HK11" s="413"/>
      <c r="HL11" s="413"/>
      <c r="HM11" s="413"/>
      <c r="HN11" s="413"/>
      <c r="HO11" s="413"/>
      <c r="HP11" s="413"/>
      <c r="HQ11" s="413"/>
      <c r="HR11" s="413"/>
      <c r="HS11" s="413"/>
      <c r="HT11" s="413"/>
      <c r="HU11" s="413"/>
      <c r="HV11" s="413"/>
      <c r="HW11" s="413"/>
      <c r="HX11" s="413"/>
      <c r="HY11" s="413"/>
      <c r="HZ11" s="413"/>
      <c r="IA11" s="413"/>
      <c r="IB11" s="413"/>
      <c r="IC11" s="413"/>
      <c r="ID11" s="413"/>
      <c r="IE11" s="413"/>
      <c r="IF11" s="413"/>
      <c r="IG11" s="413"/>
      <c r="IH11" s="413"/>
      <c r="II11" s="413"/>
      <c r="IJ11" s="413"/>
      <c r="IK11" s="413"/>
      <c r="IL11" s="413"/>
      <c r="IM11" s="413"/>
      <c r="IN11" s="413"/>
      <c r="IO11" s="413"/>
      <c r="IP11" s="413"/>
      <c r="IQ11" s="413"/>
      <c r="IR11" s="413"/>
      <c r="IS11" s="413"/>
      <c r="IT11" s="413"/>
      <c r="IU11" s="413"/>
      <c r="IV11" s="413"/>
      <c r="IW11" s="413"/>
      <c r="IX11" s="413"/>
      <c r="IY11" s="413"/>
      <c r="IZ11" s="413"/>
      <c r="JA11" s="413"/>
      <c r="JB11" s="413"/>
      <c r="JC11" s="413"/>
      <c r="JD11" s="413"/>
      <c r="JE11" s="413"/>
      <c r="JF11" s="413"/>
      <c r="JG11" s="413"/>
      <c r="JH11" s="413"/>
      <c r="JI11" s="413"/>
      <c r="JJ11" s="413"/>
      <c r="JK11" s="413"/>
      <c r="JL11" s="413"/>
    </row>
    <row r="12" spans="1:274" s="88" customFormat="1" ht="12.75" x14ac:dyDescent="0.2">
      <c r="A12" s="509"/>
      <c r="B12" s="509"/>
      <c r="C12" s="836"/>
      <c r="D12" s="404"/>
      <c r="E12" s="4639">
        <v>2000</v>
      </c>
      <c r="F12" s="4639"/>
      <c r="G12" s="4639">
        <v>2001</v>
      </c>
      <c r="H12" s="4639"/>
      <c r="I12" s="4639">
        <v>2002</v>
      </c>
      <c r="J12" s="4639"/>
      <c r="K12" s="4639">
        <v>2003</v>
      </c>
      <c r="L12" s="4639"/>
      <c r="M12" s="4639">
        <v>2004</v>
      </c>
      <c r="N12" s="4639"/>
      <c r="O12" s="4639">
        <v>2005</v>
      </c>
      <c r="P12" s="4639"/>
      <c r="Q12" s="4639">
        <v>2006</v>
      </c>
      <c r="R12" s="4639"/>
      <c r="S12" s="4639">
        <v>2007</v>
      </c>
      <c r="T12" s="4639"/>
      <c r="U12" s="4639">
        <v>2008</v>
      </c>
      <c r="V12" s="4639"/>
      <c r="W12" s="4639">
        <v>2009</v>
      </c>
      <c r="X12" s="4639"/>
      <c r="Y12" s="4639">
        <v>2010</v>
      </c>
      <c r="Z12" s="4639"/>
      <c r="AA12" s="4639">
        <v>2011</v>
      </c>
      <c r="AB12" s="4639"/>
      <c r="AC12" s="4639">
        <v>2012</v>
      </c>
      <c r="AD12" s="4639"/>
      <c r="AE12" s="4639">
        <v>2013</v>
      </c>
      <c r="AF12" s="4639" t="s">
        <v>269</v>
      </c>
      <c r="AG12" s="4639">
        <v>2014</v>
      </c>
      <c r="AH12" s="4639">
        <v>2015</v>
      </c>
      <c r="AI12" s="4639">
        <v>2015</v>
      </c>
      <c r="AJ12" s="4639">
        <v>2015</v>
      </c>
      <c r="AK12" s="4639">
        <v>2016</v>
      </c>
      <c r="AL12" s="4639"/>
      <c r="AM12" s="4639">
        <v>2017</v>
      </c>
      <c r="AN12" s="4639">
        <v>2015</v>
      </c>
      <c r="AO12" s="4639">
        <v>2018</v>
      </c>
      <c r="AP12" s="4639"/>
      <c r="AQ12" s="4639">
        <v>2019</v>
      </c>
      <c r="AR12" s="4639"/>
      <c r="AS12" s="4639">
        <v>2020</v>
      </c>
      <c r="AT12" s="4639"/>
      <c r="AU12" s="4639">
        <v>2021</v>
      </c>
      <c r="AV12" s="4639"/>
      <c r="AW12" s="4639">
        <v>2022</v>
      </c>
      <c r="AX12" s="4639"/>
    </row>
    <row r="13" spans="1:274" s="2504" customFormat="1" ht="11.25" x14ac:dyDescent="0.2">
      <c r="A13" s="2498"/>
      <c r="B13" s="2499"/>
      <c r="C13" s="2499"/>
      <c r="D13" s="72" t="s">
        <v>270</v>
      </c>
      <c r="E13" s="4643"/>
      <c r="F13" s="4643"/>
      <c r="G13" s="4643"/>
      <c r="H13" s="4643"/>
      <c r="I13" s="4643"/>
      <c r="J13" s="4643"/>
      <c r="K13" s="4643"/>
      <c r="L13" s="4643"/>
      <c r="M13" s="4640">
        <v>10</v>
      </c>
      <c r="N13" s="4640"/>
      <c r="O13" s="4640">
        <v>34</v>
      </c>
      <c r="P13" s="4640"/>
      <c r="Q13" s="4640">
        <v>2</v>
      </c>
      <c r="R13" s="4640"/>
      <c r="S13" s="4640">
        <v>32</v>
      </c>
      <c r="T13" s="4640"/>
      <c r="U13" s="4640">
        <v>27</v>
      </c>
      <c r="V13" s="4640"/>
      <c r="W13" s="4640">
        <v>107</v>
      </c>
      <c r="X13" s="4640"/>
      <c r="Y13" s="4640">
        <v>111</v>
      </c>
      <c r="Z13" s="4640"/>
      <c r="AA13" s="4640">
        <v>82</v>
      </c>
      <c r="AB13" s="4640"/>
      <c r="AC13" s="4640">
        <v>173</v>
      </c>
      <c r="AD13" s="4640"/>
      <c r="AE13" s="4640">
        <v>155</v>
      </c>
      <c r="AF13" s="4640">
        <v>134</v>
      </c>
      <c r="AG13" s="4640">
        <v>191</v>
      </c>
      <c r="AH13" s="4640"/>
      <c r="AI13" s="4640">
        <v>164</v>
      </c>
      <c r="AJ13" s="4640"/>
      <c r="AK13" s="4640">
        <v>137</v>
      </c>
      <c r="AL13" s="4640"/>
      <c r="AM13" s="4640">
        <v>173</v>
      </c>
      <c r="AN13" s="4640"/>
      <c r="AO13" s="4640">
        <v>237</v>
      </c>
      <c r="AP13" s="4640"/>
      <c r="AQ13" s="4640">
        <v>218</v>
      </c>
      <c r="AR13" s="4640"/>
      <c r="AS13" s="4640">
        <v>102</v>
      </c>
      <c r="AT13" s="4640"/>
      <c r="AU13" s="4640">
        <v>121</v>
      </c>
      <c r="AV13" s="4640"/>
      <c r="AW13" s="4640">
        <v>146</v>
      </c>
      <c r="AX13" s="4640"/>
      <c r="AY13" s="413"/>
      <c r="AZ13" s="413"/>
      <c r="BA13" s="413"/>
      <c r="BB13" s="413"/>
      <c r="BC13" s="413"/>
      <c r="BD13" s="413"/>
      <c r="BE13" s="413"/>
      <c r="BF13" s="413"/>
      <c r="BG13" s="413"/>
      <c r="BH13" s="413"/>
      <c r="BI13" s="413"/>
      <c r="BJ13" s="413"/>
      <c r="BK13" s="413"/>
      <c r="BL13" s="413"/>
      <c r="BM13" s="413"/>
      <c r="BN13" s="413"/>
      <c r="BO13" s="413"/>
      <c r="BP13" s="413"/>
      <c r="BQ13" s="413"/>
      <c r="BR13" s="413"/>
      <c r="BS13" s="413"/>
      <c r="BT13" s="413"/>
      <c r="BU13" s="413"/>
      <c r="BV13" s="413"/>
      <c r="BW13" s="413"/>
      <c r="BX13" s="413"/>
      <c r="BY13" s="413"/>
      <c r="BZ13" s="413"/>
      <c r="CA13" s="413"/>
      <c r="CB13" s="413"/>
      <c r="CC13" s="413"/>
      <c r="CD13" s="413"/>
      <c r="CE13" s="413"/>
      <c r="CF13" s="413"/>
      <c r="CG13" s="413"/>
      <c r="CH13" s="413"/>
      <c r="CI13" s="413"/>
      <c r="CJ13" s="413"/>
      <c r="CK13" s="413"/>
      <c r="CL13" s="413"/>
      <c r="CM13" s="413"/>
      <c r="CN13" s="413"/>
      <c r="CO13" s="413"/>
      <c r="CP13" s="413"/>
      <c r="CQ13" s="413"/>
      <c r="CR13" s="413"/>
      <c r="CS13" s="413"/>
      <c r="CT13" s="413"/>
      <c r="CU13" s="413"/>
      <c r="CV13" s="413"/>
      <c r="CW13" s="413"/>
      <c r="CX13" s="413"/>
      <c r="CY13" s="413"/>
      <c r="CZ13" s="413"/>
      <c r="DA13" s="413"/>
      <c r="DB13" s="413"/>
      <c r="DC13" s="413"/>
      <c r="DD13" s="413"/>
      <c r="DE13" s="413"/>
      <c r="DF13" s="413"/>
      <c r="DG13" s="413"/>
      <c r="DH13" s="413"/>
      <c r="DI13" s="413"/>
      <c r="DJ13" s="413"/>
      <c r="DK13" s="413"/>
      <c r="DL13" s="413"/>
      <c r="DM13" s="413"/>
      <c r="DN13" s="413"/>
      <c r="DO13" s="413"/>
      <c r="DP13" s="413"/>
      <c r="DQ13" s="413"/>
      <c r="DR13" s="413"/>
      <c r="DS13" s="413"/>
      <c r="DT13" s="413"/>
      <c r="DU13" s="413"/>
      <c r="DV13" s="413"/>
      <c r="DW13" s="413"/>
      <c r="DX13" s="413"/>
      <c r="DY13" s="413"/>
      <c r="DZ13" s="413"/>
      <c r="EA13" s="413"/>
      <c r="EB13" s="413"/>
      <c r="EC13" s="413"/>
      <c r="ED13" s="413"/>
      <c r="EE13" s="413"/>
      <c r="EF13" s="413"/>
      <c r="EG13" s="413"/>
      <c r="EH13" s="413"/>
      <c r="EI13" s="413"/>
      <c r="EJ13" s="413"/>
      <c r="EK13" s="413"/>
      <c r="EL13" s="413"/>
      <c r="EM13" s="413"/>
      <c r="EN13" s="413"/>
      <c r="EO13" s="413"/>
      <c r="EP13" s="413"/>
      <c r="EQ13" s="413"/>
      <c r="ER13" s="413"/>
      <c r="ES13" s="413"/>
      <c r="ET13" s="413"/>
      <c r="EU13" s="413"/>
      <c r="EV13" s="413"/>
      <c r="EW13" s="413"/>
      <c r="EX13" s="413"/>
      <c r="EY13" s="413"/>
      <c r="EZ13" s="413"/>
      <c r="FA13" s="413"/>
      <c r="FB13" s="413"/>
      <c r="FC13" s="413"/>
      <c r="FD13" s="413"/>
      <c r="FE13" s="413"/>
      <c r="FF13" s="413"/>
      <c r="FG13" s="413"/>
      <c r="FH13" s="413"/>
      <c r="FI13" s="413"/>
      <c r="FJ13" s="413"/>
      <c r="FK13" s="413"/>
      <c r="FL13" s="413"/>
      <c r="FM13" s="413"/>
      <c r="FN13" s="413"/>
      <c r="FO13" s="413"/>
      <c r="FP13" s="413"/>
      <c r="FQ13" s="413"/>
      <c r="FR13" s="413"/>
      <c r="FS13" s="413"/>
      <c r="FT13" s="413"/>
      <c r="FU13" s="413"/>
      <c r="FV13" s="413"/>
      <c r="FW13" s="413"/>
      <c r="FX13" s="413"/>
      <c r="FY13" s="413"/>
      <c r="FZ13" s="413"/>
      <c r="GA13" s="413"/>
      <c r="GB13" s="413"/>
      <c r="GC13" s="413"/>
      <c r="GD13" s="413"/>
      <c r="GE13" s="413"/>
      <c r="GF13" s="413"/>
      <c r="GG13" s="413"/>
      <c r="GH13" s="413"/>
      <c r="GI13" s="413"/>
      <c r="GJ13" s="413"/>
      <c r="GK13" s="413"/>
      <c r="GL13" s="413"/>
      <c r="GM13" s="413"/>
      <c r="GN13" s="413"/>
      <c r="GO13" s="413"/>
      <c r="GP13" s="413"/>
      <c r="GQ13" s="413"/>
      <c r="GR13" s="413"/>
      <c r="GS13" s="413"/>
      <c r="GT13" s="413"/>
      <c r="GU13" s="413"/>
      <c r="GV13" s="413"/>
      <c r="GW13" s="413"/>
      <c r="GX13" s="413"/>
      <c r="GY13" s="413"/>
      <c r="GZ13" s="413"/>
      <c r="HA13" s="413"/>
      <c r="HB13" s="413"/>
      <c r="HC13" s="413"/>
      <c r="HD13" s="413"/>
      <c r="HE13" s="413"/>
      <c r="HF13" s="413"/>
      <c r="HG13" s="413"/>
      <c r="HH13" s="413"/>
      <c r="HI13" s="413"/>
      <c r="HJ13" s="413"/>
      <c r="HK13" s="413"/>
      <c r="HL13" s="413"/>
      <c r="HM13" s="413"/>
      <c r="HN13" s="413"/>
      <c r="HO13" s="413"/>
      <c r="HP13" s="413"/>
      <c r="HQ13" s="413"/>
      <c r="HR13" s="413"/>
      <c r="HS13" s="413"/>
      <c r="HT13" s="413"/>
      <c r="HU13" s="413"/>
      <c r="HV13" s="413"/>
      <c r="HW13" s="413"/>
      <c r="HX13" s="413"/>
      <c r="HY13" s="413"/>
      <c r="HZ13" s="413"/>
      <c r="IA13" s="413"/>
      <c r="IB13" s="413"/>
      <c r="IC13" s="413"/>
      <c r="ID13" s="413"/>
      <c r="IE13" s="413"/>
      <c r="IF13" s="413"/>
      <c r="IG13" s="413"/>
      <c r="IH13" s="413"/>
      <c r="II13" s="413"/>
      <c r="IJ13" s="413"/>
      <c r="IK13" s="413"/>
      <c r="IL13" s="413"/>
      <c r="IM13" s="413"/>
      <c r="IN13" s="413"/>
      <c r="IO13" s="413"/>
      <c r="IP13" s="413"/>
      <c r="IQ13" s="413"/>
      <c r="IR13" s="413"/>
      <c r="IS13" s="413"/>
      <c r="IT13" s="413"/>
      <c r="IU13" s="413"/>
      <c r="IV13" s="413"/>
      <c r="IW13" s="413"/>
      <c r="IX13" s="413"/>
      <c r="IY13" s="413"/>
      <c r="IZ13" s="413"/>
      <c r="JA13" s="413"/>
      <c r="JB13" s="413"/>
      <c r="JC13" s="413"/>
      <c r="JD13" s="413"/>
      <c r="JE13" s="413"/>
      <c r="JF13" s="413"/>
      <c r="JG13" s="413"/>
      <c r="JH13" s="413"/>
      <c r="JI13" s="413"/>
      <c r="JJ13" s="413"/>
      <c r="JK13" s="413"/>
      <c r="JL13" s="413"/>
    </row>
    <row r="14" spans="1:274" s="2504" customFormat="1" ht="11.25" x14ac:dyDescent="0.2">
      <c r="A14" s="2498"/>
      <c r="B14" s="2499"/>
      <c r="C14" s="2499"/>
      <c r="D14" s="87"/>
      <c r="F14" s="2185">
        <v>69.5</v>
      </c>
      <c r="G14" s="2504">
        <v>64</v>
      </c>
      <c r="H14" s="2185">
        <v>72.5</v>
      </c>
      <c r="I14" s="2504">
        <v>73.5</v>
      </c>
      <c r="J14" s="2185">
        <v>79</v>
      </c>
      <c r="K14" s="2504">
        <v>73</v>
      </c>
      <c r="L14" s="2185">
        <v>74</v>
      </c>
      <c r="M14" s="2504">
        <v>65</v>
      </c>
      <c r="N14" s="2185">
        <v>58</v>
      </c>
      <c r="O14" s="2504">
        <v>59</v>
      </c>
      <c r="P14" s="2185">
        <v>55.4</v>
      </c>
      <c r="Q14" s="2504">
        <v>49.5</v>
      </c>
      <c r="R14" s="2185">
        <v>52.25</v>
      </c>
      <c r="S14" s="2504">
        <v>53</v>
      </c>
      <c r="T14" s="2185">
        <v>56</v>
      </c>
      <c r="U14" s="2504">
        <v>50.5</v>
      </c>
      <c r="V14" s="2185">
        <v>48</v>
      </c>
      <c r="X14" s="2185"/>
      <c r="Z14" s="2185"/>
      <c r="AB14" s="2185"/>
      <c r="AD14" s="2185"/>
      <c r="AF14" s="2185"/>
      <c r="AH14" s="2185"/>
      <c r="AI14" s="413"/>
      <c r="AJ14" s="413"/>
      <c r="AK14" s="413"/>
      <c r="AL14" s="413"/>
      <c r="AM14" s="413"/>
      <c r="AN14" s="413"/>
      <c r="AO14" s="413"/>
      <c r="AP14" s="413"/>
      <c r="AQ14" s="413"/>
      <c r="AR14" s="413"/>
      <c r="AS14" s="413"/>
      <c r="AT14" s="413"/>
      <c r="AU14" s="413"/>
      <c r="AV14" s="413"/>
      <c r="AW14" s="413"/>
      <c r="AX14" s="413"/>
      <c r="AY14" s="413"/>
      <c r="AZ14" s="413"/>
      <c r="BA14" s="413"/>
      <c r="BB14" s="413"/>
      <c r="BC14" s="413"/>
      <c r="BD14" s="413"/>
      <c r="BE14" s="413"/>
      <c r="BF14" s="413"/>
      <c r="BG14" s="413"/>
      <c r="BH14" s="413"/>
      <c r="BI14" s="413"/>
      <c r="BJ14" s="413"/>
      <c r="BK14" s="413"/>
      <c r="BL14" s="413"/>
      <c r="BM14" s="413"/>
      <c r="BN14" s="413"/>
      <c r="BO14" s="413"/>
      <c r="BP14" s="413"/>
      <c r="BQ14" s="413"/>
      <c r="BR14" s="413"/>
      <c r="BS14" s="413"/>
      <c r="BT14" s="413"/>
      <c r="BU14" s="413"/>
      <c r="BV14" s="413"/>
      <c r="BW14" s="413"/>
      <c r="BX14" s="413"/>
      <c r="BY14" s="413"/>
      <c r="BZ14" s="413"/>
      <c r="CA14" s="413"/>
      <c r="CB14" s="413"/>
      <c r="CC14" s="413"/>
      <c r="CD14" s="413"/>
      <c r="CE14" s="413"/>
      <c r="CF14" s="413"/>
      <c r="CG14" s="413"/>
      <c r="CH14" s="413"/>
      <c r="CI14" s="413"/>
      <c r="CJ14" s="413"/>
      <c r="CK14" s="413"/>
      <c r="CL14" s="413"/>
      <c r="CM14" s="413"/>
      <c r="CN14" s="413"/>
      <c r="CO14" s="413"/>
      <c r="CP14" s="413"/>
      <c r="CQ14" s="413"/>
      <c r="CR14" s="413"/>
      <c r="CS14" s="413"/>
      <c r="CT14" s="413"/>
      <c r="CU14" s="413"/>
      <c r="CV14" s="413"/>
      <c r="CW14" s="413"/>
      <c r="CX14" s="413"/>
      <c r="CY14" s="413"/>
      <c r="CZ14" s="413"/>
      <c r="DA14" s="413"/>
      <c r="DB14" s="413"/>
      <c r="DC14" s="413"/>
      <c r="DD14" s="413"/>
      <c r="DE14" s="413"/>
      <c r="DF14" s="413"/>
      <c r="DG14" s="413"/>
      <c r="DH14" s="413"/>
      <c r="DI14" s="413"/>
      <c r="DJ14" s="413"/>
      <c r="DK14" s="413"/>
      <c r="DL14" s="413"/>
      <c r="DM14" s="413"/>
      <c r="DN14" s="413"/>
      <c r="DO14" s="413"/>
      <c r="DP14" s="413"/>
      <c r="DQ14" s="413"/>
      <c r="DR14" s="413"/>
      <c r="DS14" s="413"/>
      <c r="DT14" s="413"/>
      <c r="DU14" s="413"/>
      <c r="DV14" s="413"/>
      <c r="DW14" s="413"/>
      <c r="DX14" s="413"/>
      <c r="DY14" s="413"/>
      <c r="DZ14" s="413"/>
      <c r="EA14" s="413"/>
      <c r="EB14" s="413"/>
      <c r="EC14" s="413"/>
      <c r="ED14" s="413"/>
      <c r="EE14" s="413"/>
      <c r="EF14" s="413"/>
      <c r="EG14" s="413"/>
      <c r="EH14" s="413"/>
      <c r="EI14" s="413"/>
      <c r="EJ14" s="413"/>
      <c r="EK14" s="413"/>
      <c r="EL14" s="413"/>
      <c r="EM14" s="413"/>
      <c r="EN14" s="413"/>
      <c r="EO14" s="413"/>
      <c r="EP14" s="413"/>
      <c r="EQ14" s="413"/>
      <c r="ER14" s="413"/>
      <c r="ES14" s="413"/>
      <c r="ET14" s="413"/>
      <c r="EU14" s="413"/>
      <c r="EV14" s="413"/>
      <c r="EW14" s="413"/>
      <c r="EX14" s="413"/>
      <c r="EY14" s="413"/>
      <c r="EZ14" s="413"/>
      <c r="FA14" s="413"/>
      <c r="FB14" s="413"/>
      <c r="FC14" s="413"/>
      <c r="FD14" s="413"/>
      <c r="FE14" s="413"/>
      <c r="FF14" s="413"/>
      <c r="FG14" s="413"/>
      <c r="FH14" s="413"/>
      <c r="FI14" s="413"/>
      <c r="FJ14" s="413"/>
      <c r="FK14" s="413"/>
      <c r="FL14" s="413"/>
      <c r="FM14" s="413"/>
      <c r="FN14" s="413"/>
      <c r="FO14" s="413"/>
      <c r="FP14" s="413"/>
      <c r="FQ14" s="413"/>
      <c r="FR14" s="413"/>
      <c r="FS14" s="413"/>
      <c r="FT14" s="413"/>
      <c r="FU14" s="413"/>
      <c r="FV14" s="413"/>
      <c r="FW14" s="413"/>
      <c r="FX14" s="413"/>
      <c r="FY14" s="413"/>
      <c r="FZ14" s="413"/>
      <c r="GA14" s="413"/>
      <c r="GB14" s="413"/>
      <c r="GC14" s="413"/>
      <c r="GD14" s="413"/>
      <c r="GE14" s="413"/>
      <c r="GF14" s="413"/>
      <c r="GG14" s="413"/>
      <c r="GH14" s="413"/>
      <c r="GI14" s="413"/>
      <c r="GJ14" s="413"/>
      <c r="GK14" s="413"/>
      <c r="GL14" s="413"/>
      <c r="GM14" s="413"/>
      <c r="GN14" s="413"/>
      <c r="GO14" s="413"/>
      <c r="GP14" s="413"/>
      <c r="GQ14" s="413"/>
      <c r="GR14" s="413"/>
      <c r="GS14" s="413"/>
      <c r="GT14" s="413"/>
      <c r="GU14" s="413"/>
      <c r="GV14" s="413"/>
      <c r="GW14" s="413"/>
      <c r="GX14" s="413"/>
      <c r="GY14" s="413"/>
      <c r="GZ14" s="413"/>
      <c r="HA14" s="413"/>
      <c r="HB14" s="413"/>
      <c r="HC14" s="413"/>
      <c r="HD14" s="413"/>
      <c r="HE14" s="413"/>
      <c r="HF14" s="413"/>
      <c r="HG14" s="413"/>
      <c r="HH14" s="413"/>
      <c r="HI14" s="413"/>
      <c r="HJ14" s="413"/>
      <c r="HK14" s="413"/>
      <c r="HL14" s="413"/>
      <c r="HM14" s="413"/>
      <c r="HN14" s="413"/>
      <c r="HO14" s="413"/>
      <c r="HP14" s="413"/>
      <c r="HQ14" s="413"/>
      <c r="HR14" s="413"/>
      <c r="HS14" s="413"/>
      <c r="HT14" s="413"/>
      <c r="HU14" s="413"/>
      <c r="HV14" s="413"/>
      <c r="HW14" s="413"/>
      <c r="HX14" s="413"/>
      <c r="HY14" s="413"/>
      <c r="HZ14" s="413"/>
      <c r="IA14" s="413"/>
      <c r="IB14" s="413"/>
      <c r="IC14" s="413"/>
      <c r="ID14" s="413"/>
      <c r="IE14" s="413"/>
      <c r="IF14" s="413"/>
      <c r="IG14" s="413"/>
      <c r="IH14" s="413"/>
      <c r="II14" s="413"/>
      <c r="IJ14" s="413"/>
      <c r="IK14" s="413"/>
      <c r="IL14" s="413"/>
      <c r="IM14" s="413"/>
      <c r="IN14" s="413"/>
      <c r="IO14" s="413"/>
      <c r="IP14" s="413"/>
      <c r="IQ14" s="413"/>
      <c r="IR14" s="413"/>
      <c r="IS14" s="413"/>
      <c r="IT14" s="413"/>
      <c r="IU14" s="413"/>
      <c r="IV14" s="413"/>
      <c r="IW14" s="413"/>
      <c r="IX14" s="413"/>
      <c r="IY14" s="413"/>
      <c r="IZ14" s="413"/>
      <c r="JA14" s="413"/>
      <c r="JB14" s="413"/>
      <c r="JC14" s="413"/>
      <c r="JD14" s="413"/>
      <c r="JE14" s="413"/>
      <c r="JF14" s="413"/>
      <c r="JG14" s="413"/>
      <c r="JH14" s="413"/>
      <c r="JI14" s="413"/>
      <c r="JJ14" s="413"/>
    </row>
    <row r="15" spans="1:274" s="2504" customFormat="1" ht="11.25" x14ac:dyDescent="0.2">
      <c r="A15" s="2498"/>
      <c r="B15" s="2499"/>
      <c r="C15" s="2499"/>
      <c r="D15" s="87"/>
      <c r="F15" s="2185"/>
      <c r="H15" s="2185"/>
      <c r="J15" s="2185"/>
      <c r="L15" s="2185"/>
      <c r="N15" s="2185"/>
      <c r="P15" s="2185"/>
      <c r="R15" s="2185"/>
      <c r="T15" s="2185"/>
      <c r="V15" s="2185"/>
      <c r="X15" s="2185"/>
      <c r="Z15" s="2185"/>
      <c r="AB15" s="2185"/>
      <c r="AD15" s="2185"/>
      <c r="AF15" s="2185"/>
      <c r="AH15" s="2185"/>
      <c r="AI15" s="413"/>
      <c r="AJ15" s="413"/>
      <c r="AK15" s="413"/>
      <c r="AL15" s="413"/>
      <c r="AM15" s="413"/>
      <c r="AN15" s="413"/>
      <c r="AO15" s="413"/>
      <c r="AP15" s="413"/>
      <c r="AQ15" s="413"/>
      <c r="AR15" s="413"/>
      <c r="AS15" s="413"/>
      <c r="AT15" s="413"/>
      <c r="AU15" s="413"/>
      <c r="AV15" s="413"/>
      <c r="AW15" s="413"/>
      <c r="AX15" s="413"/>
      <c r="AY15" s="413"/>
      <c r="AZ15" s="413"/>
      <c r="BA15" s="413"/>
      <c r="BB15" s="413"/>
      <c r="BC15" s="413"/>
      <c r="BD15" s="413"/>
      <c r="BE15" s="413"/>
      <c r="BF15" s="413"/>
      <c r="BG15" s="413"/>
      <c r="BH15" s="413"/>
      <c r="BI15" s="413"/>
      <c r="BJ15" s="413"/>
      <c r="BK15" s="413"/>
      <c r="BL15" s="413"/>
      <c r="BM15" s="413"/>
      <c r="BN15" s="413"/>
      <c r="BO15" s="413"/>
      <c r="BP15" s="413"/>
      <c r="BQ15" s="413"/>
      <c r="BR15" s="413"/>
      <c r="BS15" s="413"/>
      <c r="BT15" s="413"/>
      <c r="BU15" s="413"/>
      <c r="BV15" s="413"/>
      <c r="BW15" s="413"/>
      <c r="BX15" s="413"/>
      <c r="BY15" s="413"/>
      <c r="BZ15" s="413"/>
      <c r="CA15" s="413"/>
      <c r="CB15" s="413"/>
      <c r="CC15" s="413"/>
      <c r="CD15" s="413"/>
      <c r="CE15" s="413"/>
      <c r="CF15" s="413"/>
      <c r="CG15" s="413"/>
      <c r="CH15" s="413"/>
      <c r="CI15" s="413"/>
      <c r="CJ15" s="413"/>
      <c r="CK15" s="413"/>
      <c r="CL15" s="413"/>
      <c r="CM15" s="413"/>
      <c r="CN15" s="413"/>
      <c r="CO15" s="413"/>
      <c r="CP15" s="413"/>
      <c r="CQ15" s="413"/>
      <c r="CR15" s="413"/>
      <c r="CS15" s="413"/>
      <c r="CT15" s="413"/>
      <c r="CU15" s="413"/>
      <c r="CV15" s="413"/>
      <c r="CW15" s="413"/>
      <c r="CX15" s="413"/>
      <c r="CY15" s="413"/>
      <c r="CZ15" s="413"/>
      <c r="DA15" s="413"/>
      <c r="DB15" s="413"/>
      <c r="DC15" s="413"/>
      <c r="DD15" s="413"/>
      <c r="DE15" s="413"/>
      <c r="DF15" s="413"/>
      <c r="DG15" s="413"/>
      <c r="DH15" s="413"/>
      <c r="DI15" s="413"/>
      <c r="DJ15" s="413"/>
      <c r="DK15" s="413"/>
      <c r="DL15" s="413"/>
      <c r="DM15" s="413"/>
      <c r="DN15" s="413"/>
      <c r="DO15" s="413"/>
      <c r="DP15" s="413"/>
      <c r="DQ15" s="413"/>
      <c r="DR15" s="413"/>
      <c r="DS15" s="413"/>
      <c r="DT15" s="413"/>
      <c r="DU15" s="413"/>
      <c r="DV15" s="413"/>
      <c r="DW15" s="413"/>
      <c r="DX15" s="413"/>
      <c r="DY15" s="413"/>
      <c r="DZ15" s="413"/>
      <c r="EA15" s="413"/>
      <c r="EB15" s="413"/>
      <c r="EC15" s="413"/>
      <c r="ED15" s="413"/>
      <c r="EE15" s="413"/>
      <c r="EF15" s="413"/>
      <c r="EG15" s="413"/>
      <c r="EH15" s="413"/>
      <c r="EI15" s="413"/>
      <c r="EJ15" s="413"/>
      <c r="EK15" s="413"/>
      <c r="EL15" s="413"/>
      <c r="EM15" s="413"/>
      <c r="EN15" s="413"/>
      <c r="EO15" s="413"/>
      <c r="EP15" s="413"/>
      <c r="EQ15" s="413"/>
      <c r="ER15" s="413"/>
      <c r="ES15" s="413"/>
      <c r="ET15" s="413"/>
      <c r="EU15" s="413"/>
      <c r="EV15" s="413"/>
      <c r="EW15" s="413"/>
      <c r="EX15" s="413"/>
      <c r="EY15" s="413"/>
      <c r="EZ15" s="413"/>
      <c r="FA15" s="413"/>
      <c r="FB15" s="413"/>
      <c r="FC15" s="413"/>
      <c r="FD15" s="413"/>
      <c r="FE15" s="413"/>
      <c r="FF15" s="413"/>
      <c r="FG15" s="413"/>
      <c r="FH15" s="413"/>
      <c r="FI15" s="413"/>
      <c r="FJ15" s="413"/>
      <c r="FK15" s="413"/>
      <c r="FL15" s="413"/>
      <c r="FM15" s="413"/>
      <c r="FN15" s="413"/>
      <c r="FO15" s="413"/>
      <c r="FP15" s="413"/>
      <c r="FQ15" s="413"/>
      <c r="FR15" s="413"/>
      <c r="FS15" s="413"/>
      <c r="FT15" s="413"/>
      <c r="FU15" s="413"/>
      <c r="FV15" s="413"/>
      <c r="FW15" s="413"/>
      <c r="FX15" s="413"/>
      <c r="FY15" s="413"/>
      <c r="FZ15" s="413"/>
      <c r="GA15" s="413"/>
      <c r="GB15" s="413"/>
      <c r="GC15" s="413"/>
      <c r="GD15" s="413"/>
      <c r="GE15" s="413"/>
      <c r="GF15" s="413"/>
      <c r="GG15" s="413"/>
      <c r="GH15" s="413"/>
      <c r="GI15" s="413"/>
      <c r="GJ15" s="413"/>
      <c r="GK15" s="413"/>
      <c r="GL15" s="413"/>
      <c r="GM15" s="413"/>
      <c r="GN15" s="413"/>
      <c r="GO15" s="413"/>
      <c r="GP15" s="413"/>
      <c r="GQ15" s="413"/>
      <c r="GR15" s="413"/>
      <c r="GS15" s="413"/>
      <c r="GT15" s="413"/>
      <c r="GU15" s="413"/>
      <c r="GV15" s="413"/>
      <c r="GW15" s="413"/>
      <c r="GX15" s="413"/>
      <c r="GY15" s="413"/>
      <c r="GZ15" s="413"/>
      <c r="HA15" s="413"/>
      <c r="HB15" s="413"/>
      <c r="HC15" s="413"/>
      <c r="HD15" s="413"/>
      <c r="HE15" s="413"/>
      <c r="HF15" s="413"/>
      <c r="HG15" s="413"/>
      <c r="HH15" s="413"/>
      <c r="HI15" s="413"/>
      <c r="HJ15" s="413"/>
      <c r="HK15" s="413"/>
      <c r="HL15" s="413"/>
      <c r="HM15" s="413"/>
      <c r="HN15" s="413"/>
      <c r="HO15" s="413"/>
      <c r="HP15" s="413"/>
      <c r="HQ15" s="413"/>
      <c r="HR15" s="413"/>
      <c r="HS15" s="413"/>
      <c r="HT15" s="413"/>
      <c r="HU15" s="413"/>
      <c r="HV15" s="413"/>
      <c r="HW15" s="413"/>
      <c r="HX15" s="413"/>
      <c r="HY15" s="413"/>
      <c r="HZ15" s="413"/>
      <c r="IA15" s="413"/>
      <c r="IB15" s="413"/>
      <c r="IC15" s="413"/>
      <c r="ID15" s="413"/>
      <c r="IE15" s="413"/>
      <c r="IF15" s="413"/>
      <c r="IG15" s="413"/>
      <c r="IH15" s="413"/>
      <c r="II15" s="413"/>
      <c r="IJ15" s="413"/>
      <c r="IK15" s="413"/>
      <c r="IL15" s="413"/>
      <c r="IM15" s="413"/>
      <c r="IN15" s="413"/>
      <c r="IO15" s="413"/>
      <c r="IP15" s="413"/>
      <c r="IQ15" s="413"/>
      <c r="IR15" s="413"/>
      <c r="IS15" s="413"/>
      <c r="IT15" s="413"/>
      <c r="IU15" s="413"/>
      <c r="IV15" s="413"/>
      <c r="IW15" s="413"/>
      <c r="IX15" s="413"/>
      <c r="IY15" s="413"/>
      <c r="IZ15" s="413"/>
      <c r="JA15" s="413"/>
      <c r="JB15" s="413"/>
      <c r="JC15" s="413"/>
      <c r="JD15" s="413"/>
      <c r="JE15" s="413"/>
      <c r="JF15" s="413"/>
      <c r="JG15" s="413"/>
      <c r="JH15" s="413"/>
      <c r="JI15" s="413"/>
      <c r="JJ15" s="413"/>
    </row>
    <row r="16" spans="1:274" s="2504" customFormat="1" ht="11.25" x14ac:dyDescent="0.2">
      <c r="A16" s="2498"/>
      <c r="B16" s="2499"/>
      <c r="C16" s="2499"/>
      <c r="D16" s="87"/>
      <c r="F16" s="2185"/>
      <c r="H16" s="2185"/>
      <c r="J16" s="2185"/>
      <c r="L16" s="2185"/>
      <c r="N16" s="2185"/>
      <c r="P16" s="2185"/>
      <c r="R16" s="2185"/>
      <c r="T16" s="2185"/>
      <c r="V16" s="2185"/>
      <c r="X16" s="2185"/>
      <c r="Z16" s="2185"/>
      <c r="AB16" s="2185"/>
      <c r="AD16" s="2185"/>
      <c r="AF16" s="2185"/>
      <c r="AH16" s="2185"/>
      <c r="AI16" s="413"/>
      <c r="AJ16" s="413"/>
      <c r="AK16" s="413"/>
      <c r="AL16" s="413"/>
      <c r="AM16" s="413"/>
      <c r="AN16" s="413"/>
      <c r="AO16" s="413"/>
      <c r="AP16" s="413"/>
      <c r="AQ16" s="413"/>
      <c r="AR16" s="413"/>
      <c r="AS16" s="413"/>
      <c r="AT16" s="413"/>
      <c r="AU16" s="413"/>
      <c r="AV16" s="413"/>
      <c r="AW16" s="413"/>
      <c r="AX16" s="413"/>
      <c r="AY16" s="413"/>
      <c r="AZ16" s="413"/>
      <c r="BA16" s="413"/>
      <c r="BB16" s="413"/>
      <c r="BC16" s="413"/>
      <c r="BD16" s="413"/>
      <c r="BE16" s="413"/>
      <c r="BF16" s="413"/>
      <c r="BG16" s="413"/>
      <c r="BH16" s="413"/>
      <c r="BI16" s="413"/>
      <c r="BJ16" s="413"/>
      <c r="BK16" s="413"/>
      <c r="BL16" s="413"/>
      <c r="BM16" s="413"/>
      <c r="BN16" s="413"/>
      <c r="BO16" s="413"/>
      <c r="BP16" s="413"/>
      <c r="BQ16" s="413"/>
      <c r="BR16" s="413"/>
      <c r="BS16" s="413"/>
      <c r="BT16" s="413"/>
      <c r="BU16" s="413"/>
      <c r="BV16" s="413"/>
      <c r="BW16" s="413"/>
      <c r="BX16" s="413"/>
      <c r="BY16" s="413"/>
      <c r="BZ16" s="413"/>
      <c r="CA16" s="413"/>
      <c r="CB16" s="413"/>
      <c r="CC16" s="413"/>
      <c r="CD16" s="413"/>
      <c r="CE16" s="413"/>
      <c r="CF16" s="413"/>
      <c r="CG16" s="413"/>
      <c r="CH16" s="413"/>
      <c r="CI16" s="413"/>
      <c r="CJ16" s="413"/>
      <c r="CK16" s="413"/>
      <c r="CL16" s="413"/>
      <c r="CM16" s="413"/>
      <c r="CN16" s="413"/>
      <c r="CO16" s="413"/>
      <c r="CP16" s="413"/>
      <c r="CQ16" s="413"/>
      <c r="CR16" s="413"/>
      <c r="CS16" s="413"/>
      <c r="CT16" s="413"/>
      <c r="CU16" s="413"/>
      <c r="CV16" s="413"/>
      <c r="CW16" s="413"/>
      <c r="CX16" s="413"/>
      <c r="CY16" s="413"/>
      <c r="CZ16" s="413"/>
      <c r="DA16" s="413"/>
      <c r="DB16" s="413"/>
      <c r="DC16" s="413"/>
      <c r="DD16" s="413"/>
      <c r="DE16" s="413"/>
      <c r="DF16" s="413"/>
      <c r="DG16" s="413"/>
      <c r="DH16" s="413"/>
      <c r="DI16" s="413"/>
      <c r="DJ16" s="413"/>
      <c r="DK16" s="413"/>
      <c r="DL16" s="413"/>
      <c r="DM16" s="413"/>
      <c r="DN16" s="413"/>
      <c r="DO16" s="413"/>
      <c r="DP16" s="413"/>
      <c r="DQ16" s="413"/>
      <c r="DR16" s="413"/>
      <c r="DS16" s="413"/>
      <c r="DT16" s="413"/>
      <c r="DU16" s="413"/>
      <c r="DV16" s="413"/>
      <c r="DW16" s="413"/>
      <c r="DX16" s="413"/>
      <c r="DY16" s="413"/>
      <c r="DZ16" s="413"/>
      <c r="EA16" s="413"/>
      <c r="EB16" s="413"/>
      <c r="EC16" s="413"/>
      <c r="ED16" s="413"/>
      <c r="EE16" s="413"/>
      <c r="EF16" s="413"/>
      <c r="EG16" s="413"/>
      <c r="EH16" s="413"/>
      <c r="EI16" s="413"/>
      <c r="EJ16" s="413"/>
      <c r="EK16" s="413"/>
      <c r="EL16" s="413"/>
      <c r="EM16" s="413"/>
      <c r="EN16" s="413"/>
      <c r="EO16" s="413"/>
      <c r="EP16" s="413"/>
      <c r="EQ16" s="413"/>
      <c r="ER16" s="413"/>
      <c r="ES16" s="413"/>
      <c r="ET16" s="413"/>
      <c r="EU16" s="413"/>
      <c r="EV16" s="413"/>
      <c r="EW16" s="413"/>
      <c r="EX16" s="413"/>
      <c r="EY16" s="413"/>
      <c r="EZ16" s="413"/>
      <c r="FA16" s="413"/>
      <c r="FB16" s="413"/>
      <c r="FC16" s="413"/>
      <c r="FD16" s="413"/>
      <c r="FE16" s="413"/>
      <c r="FF16" s="413"/>
      <c r="FG16" s="413"/>
      <c r="FH16" s="413"/>
      <c r="FI16" s="413"/>
      <c r="FJ16" s="413"/>
      <c r="FK16" s="413"/>
      <c r="FL16" s="413"/>
      <c r="FM16" s="413"/>
      <c r="FN16" s="413"/>
      <c r="FO16" s="413"/>
      <c r="FP16" s="413"/>
      <c r="FQ16" s="413"/>
      <c r="FR16" s="413"/>
      <c r="FS16" s="413"/>
      <c r="FT16" s="413"/>
      <c r="FU16" s="413"/>
      <c r="FV16" s="413"/>
      <c r="FW16" s="413"/>
      <c r="FX16" s="413"/>
      <c r="FY16" s="413"/>
      <c r="FZ16" s="413"/>
      <c r="GA16" s="413"/>
      <c r="GB16" s="413"/>
      <c r="GC16" s="413"/>
      <c r="GD16" s="413"/>
      <c r="GE16" s="413"/>
      <c r="GF16" s="413"/>
      <c r="GG16" s="413"/>
      <c r="GH16" s="413"/>
      <c r="GI16" s="413"/>
      <c r="GJ16" s="413"/>
      <c r="GK16" s="413"/>
      <c r="GL16" s="413"/>
      <c r="GM16" s="413"/>
      <c r="GN16" s="413"/>
      <c r="GO16" s="413"/>
      <c r="GP16" s="413"/>
      <c r="GQ16" s="413"/>
      <c r="GR16" s="413"/>
      <c r="GS16" s="413"/>
      <c r="GT16" s="413"/>
      <c r="GU16" s="413"/>
      <c r="GV16" s="413"/>
      <c r="GW16" s="413"/>
      <c r="GX16" s="413"/>
      <c r="GY16" s="413"/>
      <c r="GZ16" s="413"/>
      <c r="HA16" s="413"/>
      <c r="HB16" s="413"/>
      <c r="HC16" s="413"/>
      <c r="HD16" s="413"/>
      <c r="HE16" s="413"/>
      <c r="HF16" s="413"/>
      <c r="HG16" s="413"/>
      <c r="HH16" s="413"/>
      <c r="HI16" s="413"/>
      <c r="HJ16" s="413"/>
      <c r="HK16" s="413"/>
      <c r="HL16" s="413"/>
      <c r="HM16" s="413"/>
      <c r="HN16" s="413"/>
      <c r="HO16" s="413"/>
      <c r="HP16" s="413"/>
      <c r="HQ16" s="413"/>
      <c r="HR16" s="413"/>
      <c r="HS16" s="413"/>
      <c r="HT16" s="413"/>
      <c r="HU16" s="413"/>
      <c r="HV16" s="413"/>
      <c r="HW16" s="413"/>
      <c r="HX16" s="413"/>
      <c r="HY16" s="413"/>
      <c r="HZ16" s="413"/>
      <c r="IA16" s="413"/>
      <c r="IB16" s="413"/>
      <c r="IC16" s="413"/>
      <c r="ID16" s="413"/>
      <c r="IE16" s="413"/>
      <c r="IF16" s="413"/>
      <c r="IG16" s="413"/>
      <c r="IH16" s="413"/>
      <c r="II16" s="413"/>
      <c r="IJ16" s="413"/>
      <c r="IK16" s="413"/>
      <c r="IL16" s="413"/>
      <c r="IM16" s="413"/>
      <c r="IN16" s="413"/>
      <c r="IO16" s="413"/>
      <c r="IP16" s="413"/>
      <c r="IQ16" s="413"/>
      <c r="IR16" s="413"/>
      <c r="IS16" s="413"/>
      <c r="IT16" s="413"/>
      <c r="IU16" s="413"/>
      <c r="IV16" s="413"/>
      <c r="IW16" s="413"/>
      <c r="IX16" s="413"/>
      <c r="IY16" s="413"/>
      <c r="IZ16" s="413"/>
      <c r="JA16" s="413"/>
      <c r="JB16" s="413"/>
      <c r="JC16" s="413"/>
      <c r="JD16" s="413"/>
      <c r="JE16" s="413"/>
      <c r="JF16" s="413"/>
      <c r="JG16" s="413"/>
      <c r="JH16" s="413"/>
      <c r="JI16" s="413"/>
      <c r="JJ16" s="413"/>
    </row>
    <row r="17" spans="1:19" ht="12.75" x14ac:dyDescent="0.2">
      <c r="A17" s="509">
        <v>5</v>
      </c>
      <c r="B17" s="509" t="s">
        <v>51</v>
      </c>
      <c r="C17" s="509"/>
    </row>
    <row r="18" spans="1:19" x14ac:dyDescent="0.2">
      <c r="M18" s="529"/>
      <c r="N18" s="529"/>
      <c r="O18" s="529"/>
      <c r="P18" s="529"/>
      <c r="Q18" s="529"/>
      <c r="R18" s="529"/>
      <c r="S18" s="529"/>
    </row>
    <row r="19" spans="1:19" x14ac:dyDescent="0.2">
      <c r="M19" s="2505"/>
      <c r="N19" s="529"/>
      <c r="O19" s="529"/>
      <c r="P19" s="529"/>
      <c r="Q19" s="529"/>
      <c r="R19" s="529"/>
      <c r="S19" s="529"/>
    </row>
    <row r="20" spans="1:19" x14ac:dyDescent="0.2">
      <c r="M20" s="2506"/>
      <c r="N20" s="529"/>
      <c r="O20" s="529"/>
      <c r="P20" s="529"/>
      <c r="Q20" s="529"/>
      <c r="R20" s="529"/>
      <c r="S20" s="529"/>
    </row>
    <row r="21" spans="1:19" x14ac:dyDescent="0.2">
      <c r="O21" s="532"/>
    </row>
    <row r="22" spans="1:19" x14ac:dyDescent="0.2">
      <c r="O22" s="532"/>
    </row>
    <row r="23" spans="1:19" x14ac:dyDescent="0.2">
      <c r="A23" s="512"/>
      <c r="B23" s="512"/>
      <c r="C23" s="512"/>
      <c r="O23" s="532"/>
    </row>
    <row r="24" spans="1:19" x14ac:dyDescent="0.2">
      <c r="A24" s="512"/>
      <c r="B24" s="512"/>
      <c r="C24" s="512"/>
      <c r="O24" s="532"/>
    </row>
    <row r="25" spans="1:19" x14ac:dyDescent="0.2">
      <c r="A25" s="512"/>
      <c r="B25" s="512"/>
      <c r="C25" s="512"/>
      <c r="O25" s="532"/>
    </row>
    <row r="26" spans="1:19" x14ac:dyDescent="0.2">
      <c r="A26" s="512"/>
      <c r="B26" s="512"/>
      <c r="C26" s="512"/>
      <c r="O26" s="545"/>
    </row>
    <row r="27" spans="1:19" x14ac:dyDescent="0.2">
      <c r="A27" s="512"/>
      <c r="B27" s="512"/>
      <c r="C27" s="512"/>
      <c r="M27" s="545"/>
    </row>
    <row r="28" spans="1:19" x14ac:dyDescent="0.2">
      <c r="A28" s="512"/>
      <c r="B28" s="512"/>
      <c r="C28" s="512"/>
      <c r="M28" s="545"/>
    </row>
    <row r="29" spans="1:19" x14ac:dyDescent="0.2">
      <c r="A29" s="512"/>
      <c r="B29" s="512"/>
      <c r="C29" s="512"/>
      <c r="M29" s="545"/>
    </row>
    <row r="30" spans="1:19" x14ac:dyDescent="0.2">
      <c r="A30" s="512"/>
      <c r="B30" s="512"/>
      <c r="C30" s="512"/>
      <c r="M30" s="545"/>
    </row>
    <row r="31" spans="1:19" x14ac:dyDescent="0.2">
      <c r="A31" s="512"/>
      <c r="B31" s="512"/>
      <c r="C31" s="512"/>
      <c r="M31" s="545"/>
    </row>
    <row r="32" spans="1:19" x14ac:dyDescent="0.2">
      <c r="A32" s="512"/>
      <c r="B32" s="512"/>
      <c r="C32" s="512"/>
      <c r="M32" s="545"/>
    </row>
    <row r="33" spans="1:42" x14ac:dyDescent="0.2">
      <c r="A33" s="512"/>
      <c r="B33" s="512"/>
      <c r="C33" s="512"/>
      <c r="M33" s="545"/>
    </row>
    <row r="34" spans="1:42" x14ac:dyDescent="0.2">
      <c r="A34" s="512"/>
      <c r="B34" s="512"/>
      <c r="C34" s="512"/>
      <c r="M34" s="545"/>
    </row>
    <row r="35" spans="1:42" x14ac:dyDescent="0.2">
      <c r="A35" s="512"/>
      <c r="B35" s="512"/>
      <c r="C35" s="512"/>
      <c r="M35" s="545"/>
    </row>
    <row r="36" spans="1:42" x14ac:dyDescent="0.2">
      <c r="A36" s="512"/>
      <c r="B36" s="512"/>
      <c r="C36" s="512"/>
      <c r="M36" s="545"/>
    </row>
    <row r="37" spans="1:42" x14ac:dyDescent="0.2">
      <c r="A37" s="512"/>
      <c r="B37" s="512"/>
      <c r="C37" s="512"/>
      <c r="M37" s="2445"/>
    </row>
    <row r="38" spans="1:42" x14ac:dyDescent="0.2">
      <c r="A38" s="512"/>
      <c r="B38" s="512"/>
      <c r="C38" s="512"/>
      <c r="M38" s="545"/>
    </row>
    <row r="41" spans="1:42" s="508" customFormat="1" ht="14.25" x14ac:dyDescent="0.2">
      <c r="A41" s="509">
        <v>6</v>
      </c>
      <c r="B41" s="509" t="s">
        <v>52</v>
      </c>
      <c r="C41" s="509"/>
      <c r="D41" s="4624" t="s">
        <v>75</v>
      </c>
      <c r="E41" s="4625"/>
      <c r="F41" s="4625"/>
      <c r="G41" s="4625"/>
      <c r="H41" s="4625"/>
      <c r="I41" s="4625"/>
      <c r="J41" s="4625"/>
      <c r="K41" s="4625"/>
      <c r="L41" s="4625"/>
      <c r="M41" s="4625"/>
      <c r="N41" s="4625"/>
      <c r="O41" s="4625"/>
      <c r="P41" s="4625"/>
      <c r="Q41" s="4625"/>
      <c r="R41" s="4625"/>
      <c r="S41" s="4625"/>
      <c r="T41" s="4625"/>
      <c r="U41" s="4625"/>
      <c r="V41" s="4625"/>
      <c r="W41" s="4625"/>
      <c r="X41" s="4625"/>
      <c r="Y41" s="4625"/>
      <c r="Z41" s="4625"/>
      <c r="AA41" s="4625"/>
      <c r="AB41" s="4625"/>
      <c r="AC41" s="4625"/>
      <c r="AD41" s="4625"/>
      <c r="AE41" s="4625"/>
      <c r="AF41" s="4625"/>
      <c r="AG41" s="4625"/>
      <c r="AH41" s="4625"/>
      <c r="AI41" s="4625"/>
      <c r="AJ41" s="4625"/>
      <c r="AK41" s="4625"/>
      <c r="AL41" s="4625"/>
      <c r="AM41" s="4625"/>
      <c r="AN41" s="4625"/>
      <c r="AO41" s="4625"/>
      <c r="AP41" s="4626"/>
    </row>
    <row r="42" spans="1:42" ht="66" customHeight="1" x14ac:dyDescent="0.2">
      <c r="A42" s="546">
        <v>7</v>
      </c>
      <c r="B42" s="509" t="s">
        <v>58</v>
      </c>
      <c r="C42" s="547"/>
      <c r="D42" s="4624" t="s">
        <v>271</v>
      </c>
      <c r="E42" s="4625"/>
      <c r="F42" s="4625"/>
      <c r="G42" s="4625"/>
      <c r="H42" s="4625"/>
      <c r="I42" s="4625"/>
      <c r="J42" s="4625"/>
      <c r="K42" s="4625"/>
      <c r="L42" s="4625"/>
      <c r="M42" s="4625"/>
      <c r="N42" s="4625"/>
      <c r="O42" s="4625"/>
      <c r="P42" s="4625"/>
      <c r="Q42" s="4625"/>
      <c r="R42" s="4625"/>
      <c r="S42" s="4625"/>
      <c r="T42" s="4625"/>
      <c r="U42" s="4625"/>
      <c r="V42" s="4625"/>
      <c r="W42" s="4625"/>
      <c r="X42" s="4625"/>
      <c r="Y42" s="4625"/>
      <c r="Z42" s="4625"/>
      <c r="AA42" s="4625"/>
      <c r="AB42" s="4625"/>
      <c r="AC42" s="4625"/>
      <c r="AD42" s="4625"/>
      <c r="AE42" s="4625"/>
      <c r="AF42" s="4625"/>
      <c r="AG42" s="4625"/>
      <c r="AH42" s="4625"/>
      <c r="AI42" s="4625"/>
      <c r="AJ42" s="4625"/>
      <c r="AK42" s="4625"/>
      <c r="AL42" s="4625"/>
      <c r="AM42" s="4625"/>
      <c r="AN42" s="4625"/>
      <c r="AO42" s="4625"/>
      <c r="AP42" s="4626"/>
    </row>
    <row r="43" spans="1:42" s="508" customFormat="1" ht="32.1" customHeight="1" x14ac:dyDescent="0.2">
      <c r="A43" s="546">
        <v>8</v>
      </c>
      <c r="B43" s="509" t="s">
        <v>56</v>
      </c>
      <c r="C43" s="509"/>
      <c r="D43" s="4624" t="s">
        <v>272</v>
      </c>
      <c r="E43" s="4625"/>
      <c r="F43" s="4625"/>
      <c r="G43" s="4625"/>
      <c r="H43" s="4625"/>
      <c r="I43" s="4625"/>
      <c r="J43" s="4625"/>
      <c r="K43" s="4625"/>
      <c r="L43" s="4625"/>
      <c r="M43" s="4625"/>
      <c r="N43" s="4625"/>
      <c r="O43" s="4625"/>
      <c r="P43" s="4625"/>
      <c r="Q43" s="4625"/>
      <c r="R43" s="4625"/>
      <c r="S43" s="4625"/>
      <c r="T43" s="4625"/>
      <c r="U43" s="4625"/>
      <c r="V43" s="4625"/>
      <c r="W43" s="4625"/>
      <c r="X43" s="4625"/>
      <c r="Y43" s="4625"/>
      <c r="Z43" s="4625"/>
      <c r="AA43" s="4625"/>
      <c r="AB43" s="4625"/>
      <c r="AC43" s="4625"/>
      <c r="AD43" s="4625"/>
      <c r="AE43" s="4625"/>
      <c r="AF43" s="4625"/>
      <c r="AG43" s="4625"/>
      <c r="AH43" s="4625"/>
      <c r="AI43" s="4625"/>
      <c r="AJ43" s="4625"/>
      <c r="AK43" s="4625"/>
      <c r="AL43" s="4625"/>
      <c r="AM43" s="4625"/>
      <c r="AN43" s="4625"/>
      <c r="AO43" s="4625"/>
      <c r="AP43" s="4626"/>
    </row>
    <row r="46" spans="1:42" ht="12.75" x14ac:dyDescent="0.25">
      <c r="E46" s="3371"/>
      <c r="F46" s="3371"/>
      <c r="G46" s="3371"/>
      <c r="H46" s="3371"/>
      <c r="I46" s="3371"/>
      <c r="J46" s="3371"/>
      <c r="K46" s="3371"/>
      <c r="L46" s="3371"/>
      <c r="M46" s="3371"/>
      <c r="N46" s="3371"/>
      <c r="O46" s="3371"/>
      <c r="P46" s="3371"/>
      <c r="Q46" s="3371"/>
      <c r="R46" s="3371"/>
    </row>
    <row r="47" spans="1:42" ht="12.75" x14ac:dyDescent="0.25">
      <c r="E47" s="2145">
        <v>2000</v>
      </c>
      <c r="F47" s="2145">
        <v>2001</v>
      </c>
      <c r="G47" s="2145">
        <v>2002</v>
      </c>
      <c r="H47" s="2145">
        <v>2003</v>
      </c>
      <c r="I47" s="2145">
        <v>2004</v>
      </c>
      <c r="J47" s="2145">
        <v>2005</v>
      </c>
      <c r="K47" s="2145">
        <v>2006</v>
      </c>
      <c r="L47" s="2145">
        <v>2007</v>
      </c>
      <c r="M47" s="2145">
        <v>2008</v>
      </c>
      <c r="N47" s="2145">
        <v>2009</v>
      </c>
      <c r="O47" s="2145">
        <v>2010</v>
      </c>
      <c r="P47" s="2145">
        <v>2011</v>
      </c>
      <c r="Q47" s="2145">
        <v>2012</v>
      </c>
      <c r="R47" s="2145">
        <v>2013</v>
      </c>
      <c r="S47" s="2145">
        <v>2014</v>
      </c>
      <c r="T47" s="2145">
        <v>2015</v>
      </c>
      <c r="U47" s="2145">
        <v>2016</v>
      </c>
      <c r="V47" s="2507">
        <v>2017</v>
      </c>
      <c r="W47" s="512">
        <v>2018</v>
      </c>
      <c r="X47" s="512">
        <v>2019</v>
      </c>
      <c r="Y47" s="512">
        <v>2020</v>
      </c>
      <c r="Z47" s="512">
        <v>2021</v>
      </c>
      <c r="AA47" s="512">
        <v>2022</v>
      </c>
    </row>
    <row r="48" spans="1:42" ht="11.45" hidden="1" customHeight="1" x14ac:dyDescent="0.25">
      <c r="E48" s="2508"/>
      <c r="F48" s="2508"/>
      <c r="G48" s="2508"/>
      <c r="H48" s="2508"/>
      <c r="I48" s="2508"/>
      <c r="J48" s="2508"/>
      <c r="K48" s="2508"/>
      <c r="L48" s="2508"/>
      <c r="M48" s="2508"/>
      <c r="N48" s="2508"/>
      <c r="O48" s="2508"/>
      <c r="P48" s="2508"/>
      <c r="Q48" s="2508"/>
      <c r="R48" s="2508"/>
      <c r="V48" s="2509"/>
    </row>
    <row r="49" spans="4:22" ht="11.45" hidden="1" customHeight="1" x14ac:dyDescent="0.2">
      <c r="V49" s="2509"/>
    </row>
    <row r="50" spans="4:22" ht="11.45" hidden="1" customHeight="1" x14ac:dyDescent="0.2">
      <c r="V50" s="2509"/>
    </row>
    <row r="51" spans="4:22" ht="11.45" hidden="1" customHeight="1" x14ac:dyDescent="0.2">
      <c r="E51" s="512">
        <v>2000</v>
      </c>
      <c r="F51" s="512">
        <v>2001</v>
      </c>
      <c r="G51" s="512">
        <v>2002</v>
      </c>
      <c r="H51" s="512">
        <v>2003</v>
      </c>
      <c r="I51" s="512">
        <v>2004</v>
      </c>
      <c r="J51" s="512">
        <v>2005</v>
      </c>
      <c r="K51" s="512">
        <v>2006</v>
      </c>
      <c r="L51" s="512">
        <v>2007</v>
      </c>
      <c r="M51" s="512">
        <v>2008</v>
      </c>
      <c r="N51" s="512">
        <v>2009</v>
      </c>
      <c r="O51" s="512">
        <v>2010</v>
      </c>
      <c r="P51" s="512">
        <v>2011</v>
      </c>
      <c r="Q51" s="512">
        <v>2012</v>
      </c>
      <c r="R51" s="512">
        <v>2013</v>
      </c>
      <c r="S51" s="512">
        <v>2014</v>
      </c>
      <c r="V51" s="2509"/>
    </row>
    <row r="52" spans="4:22" ht="11.45" hidden="1" customHeight="1" x14ac:dyDescent="0.2">
      <c r="D52" s="512" t="s">
        <v>266</v>
      </c>
      <c r="E52" s="512">
        <v>70</v>
      </c>
      <c r="F52" s="512">
        <v>64</v>
      </c>
      <c r="G52" s="512">
        <v>73</v>
      </c>
      <c r="H52" s="512">
        <v>74</v>
      </c>
      <c r="I52" s="512">
        <v>79</v>
      </c>
      <c r="J52" s="512">
        <v>73</v>
      </c>
      <c r="K52" s="512">
        <v>74</v>
      </c>
      <c r="L52" s="512">
        <v>65</v>
      </c>
      <c r="M52" s="512">
        <v>58</v>
      </c>
      <c r="N52" s="512">
        <v>59</v>
      </c>
      <c r="O52" s="512">
        <v>55</v>
      </c>
      <c r="P52" s="512">
        <v>50</v>
      </c>
      <c r="Q52" s="512">
        <v>52</v>
      </c>
      <c r="R52" s="512">
        <v>53</v>
      </c>
      <c r="S52" s="512">
        <v>56</v>
      </c>
      <c r="V52" s="2509"/>
    </row>
    <row r="53" spans="4:22" ht="11.45" hidden="1" customHeight="1" x14ac:dyDescent="0.2">
      <c r="D53" s="512" t="s">
        <v>273</v>
      </c>
      <c r="I53" s="512">
        <v>10</v>
      </c>
      <c r="J53" s="512">
        <v>34</v>
      </c>
      <c r="K53" s="512">
        <v>2</v>
      </c>
      <c r="L53" s="512">
        <v>32</v>
      </c>
      <c r="M53" s="512">
        <v>27</v>
      </c>
      <c r="N53" s="512">
        <v>107</v>
      </c>
      <c r="O53" s="512">
        <v>111</v>
      </c>
      <c r="P53" s="512">
        <v>82</v>
      </c>
      <c r="Q53" s="512">
        <v>173</v>
      </c>
      <c r="R53" s="512">
        <v>155</v>
      </c>
      <c r="S53" s="512">
        <v>134</v>
      </c>
      <c r="V53" s="2509"/>
    </row>
    <row r="54" spans="4:22" ht="11.45" hidden="1" customHeight="1" x14ac:dyDescent="0.2">
      <c r="V54" s="2509"/>
    </row>
    <row r="55" spans="4:22" ht="11.45" hidden="1" customHeight="1" x14ac:dyDescent="0.2">
      <c r="V55" s="2509"/>
    </row>
    <row r="56" spans="4:22" ht="11.45" hidden="1" customHeight="1" x14ac:dyDescent="0.2">
      <c r="V56" s="2509"/>
    </row>
    <row r="57" spans="4:22" ht="11.45" hidden="1" customHeight="1" x14ac:dyDescent="0.2">
      <c r="V57" s="2509"/>
    </row>
    <row r="58" spans="4:22" ht="11.45" hidden="1" customHeight="1" x14ac:dyDescent="0.2">
      <c r="V58" s="2509"/>
    </row>
    <row r="59" spans="4:22" ht="11.45" hidden="1" customHeight="1" x14ac:dyDescent="0.2">
      <c r="V59" s="2509"/>
    </row>
    <row r="60" spans="4:22" ht="11.45" hidden="1" customHeight="1" x14ac:dyDescent="0.2">
      <c r="V60" s="2509"/>
    </row>
    <row r="61" spans="4:22" ht="11.45" hidden="1" customHeight="1" x14ac:dyDescent="0.2">
      <c r="V61" s="2509"/>
    </row>
    <row r="62" spans="4:22" ht="11.45" hidden="1" customHeight="1" x14ac:dyDescent="0.2">
      <c r="V62" s="2509"/>
    </row>
    <row r="63" spans="4:22" ht="11.45" hidden="1" customHeight="1" x14ac:dyDescent="0.2">
      <c r="V63" s="2509"/>
    </row>
    <row r="64" spans="4:22" ht="11.45" hidden="1" customHeight="1" x14ac:dyDescent="0.2">
      <c r="V64" s="2509"/>
    </row>
    <row r="65" spans="4:35" ht="11.45" hidden="1" customHeight="1" x14ac:dyDescent="0.2">
      <c r="V65" s="2509"/>
    </row>
    <row r="66" spans="4:35" ht="11.45" hidden="1" customHeight="1" x14ac:dyDescent="0.2">
      <c r="V66" s="2509"/>
    </row>
    <row r="67" spans="4:35" ht="11.45" hidden="1" customHeight="1" x14ac:dyDescent="0.2">
      <c r="V67" s="2509"/>
    </row>
    <row r="68" spans="4:35" ht="11.45" hidden="1" customHeight="1" x14ac:dyDescent="0.2">
      <c r="V68" s="2509"/>
    </row>
    <row r="69" spans="4:35" ht="11.45" hidden="1" customHeight="1" x14ac:dyDescent="0.2">
      <c r="V69" s="2509"/>
    </row>
    <row r="70" spans="4:35" ht="11.45" hidden="1" customHeight="1" x14ac:dyDescent="0.2">
      <c r="V70" s="2509"/>
    </row>
    <row r="71" spans="4:35" ht="11.45" hidden="1" customHeight="1" x14ac:dyDescent="0.2">
      <c r="V71" s="2509"/>
    </row>
    <row r="72" spans="4:35" ht="12" hidden="1" customHeight="1" x14ac:dyDescent="0.2">
      <c r="D72" s="2945"/>
      <c r="E72" s="4641">
        <v>2000</v>
      </c>
      <c r="F72" s="4642"/>
      <c r="G72" s="4641">
        <v>2001</v>
      </c>
      <c r="H72" s="4642"/>
      <c r="I72" s="4641">
        <v>2002</v>
      </c>
      <c r="J72" s="4642"/>
      <c r="K72" s="4641">
        <v>2003</v>
      </c>
      <c r="L72" s="4642"/>
      <c r="M72" s="4641">
        <v>2004</v>
      </c>
      <c r="N72" s="4642"/>
      <c r="O72" s="4641">
        <v>2005</v>
      </c>
      <c r="P72" s="4642"/>
      <c r="Q72" s="4641">
        <v>2006</v>
      </c>
      <c r="R72" s="4642"/>
      <c r="S72" s="4650">
        <v>2007</v>
      </c>
      <c r="T72" s="4642"/>
      <c r="U72" s="2945">
        <v>2008</v>
      </c>
      <c r="V72" s="3372">
        <v>2008</v>
      </c>
      <c r="W72" s="2510"/>
      <c r="X72" s="4641">
        <v>2009</v>
      </c>
      <c r="Y72" s="4642"/>
      <c r="Z72" s="4641">
        <v>2010</v>
      </c>
      <c r="AA72" s="4642"/>
      <c r="AB72" s="4641">
        <v>2011</v>
      </c>
      <c r="AC72" s="4642"/>
      <c r="AD72" s="4641">
        <v>2011</v>
      </c>
      <c r="AE72" s="4642"/>
      <c r="AF72" s="4641">
        <v>2011</v>
      </c>
      <c r="AG72" s="4642"/>
      <c r="AH72" s="4641">
        <v>2012</v>
      </c>
      <c r="AI72" s="4642"/>
    </row>
    <row r="73" spans="4:35" ht="11.45" hidden="1" customHeight="1" x14ac:dyDescent="0.2">
      <c r="D73" s="88"/>
      <c r="E73" s="1762" t="s">
        <v>256</v>
      </c>
      <c r="F73" s="1761" t="s">
        <v>257</v>
      </c>
      <c r="G73" s="1762" t="s">
        <v>256</v>
      </c>
      <c r="H73" s="1761" t="s">
        <v>257</v>
      </c>
      <c r="I73" s="1762" t="s">
        <v>256</v>
      </c>
      <c r="J73" s="1761" t="s">
        <v>257</v>
      </c>
      <c r="K73" s="1762" t="s">
        <v>256</v>
      </c>
      <c r="L73" s="1761" t="s">
        <v>257</v>
      </c>
      <c r="M73" s="1762" t="s">
        <v>256</v>
      </c>
      <c r="N73" s="1761" t="s">
        <v>257</v>
      </c>
      <c r="O73" s="1762" t="s">
        <v>256</v>
      </c>
      <c r="P73" s="1761" t="s">
        <v>257</v>
      </c>
      <c r="Q73" s="1762" t="s">
        <v>256</v>
      </c>
      <c r="R73" s="1761" t="s">
        <v>257</v>
      </c>
      <c r="S73" s="1762" t="s">
        <v>256</v>
      </c>
      <c r="T73" s="1761" t="s">
        <v>257</v>
      </c>
      <c r="U73" s="1762" t="s">
        <v>256</v>
      </c>
      <c r="V73" s="2511" t="s">
        <v>256</v>
      </c>
      <c r="W73" s="1761" t="s">
        <v>257</v>
      </c>
      <c r="X73" s="1762" t="s">
        <v>256</v>
      </c>
      <c r="Y73" s="1761" t="s">
        <v>258</v>
      </c>
      <c r="Z73" s="1762" t="s">
        <v>259</v>
      </c>
      <c r="AA73" s="1761" t="s">
        <v>257</v>
      </c>
      <c r="AB73" s="1762" t="s">
        <v>256</v>
      </c>
      <c r="AC73" s="1761" t="s">
        <v>257</v>
      </c>
      <c r="AD73" s="1762" t="s">
        <v>256</v>
      </c>
      <c r="AE73" s="1761" t="s">
        <v>257</v>
      </c>
      <c r="AF73" s="1762" t="s">
        <v>256</v>
      </c>
      <c r="AG73" s="1761" t="s">
        <v>257</v>
      </c>
      <c r="AH73" s="1762" t="s">
        <v>256</v>
      </c>
      <c r="AI73" s="1761" t="s">
        <v>257</v>
      </c>
    </row>
    <row r="74" spans="4:35" ht="11.45" hidden="1" customHeight="1" x14ac:dyDescent="0.2">
      <c r="D74" s="621" t="s">
        <v>266</v>
      </c>
      <c r="E74" s="2500">
        <v>72</v>
      </c>
      <c r="F74" s="2501">
        <v>67</v>
      </c>
      <c r="G74" s="2500">
        <v>65</v>
      </c>
      <c r="H74" s="2501">
        <v>63</v>
      </c>
      <c r="I74" s="2500">
        <v>74</v>
      </c>
      <c r="J74" s="2501">
        <v>71</v>
      </c>
      <c r="K74" s="2500">
        <v>75</v>
      </c>
      <c r="L74" s="2501">
        <v>72</v>
      </c>
      <c r="M74" s="2500">
        <v>81</v>
      </c>
      <c r="N74" s="2501">
        <v>77</v>
      </c>
      <c r="O74" s="2500">
        <v>73</v>
      </c>
      <c r="P74" s="2501">
        <v>73</v>
      </c>
      <c r="Q74" s="2500">
        <v>76</v>
      </c>
      <c r="R74" s="2501">
        <v>72</v>
      </c>
      <c r="S74" s="2500">
        <v>68</v>
      </c>
      <c r="T74" s="2501">
        <v>62</v>
      </c>
      <c r="U74" s="2500">
        <v>58</v>
      </c>
      <c r="V74" s="2512">
        <v>58</v>
      </c>
      <c r="W74" s="2501">
        <v>58</v>
      </c>
      <c r="X74" s="2500">
        <v>61</v>
      </c>
      <c r="Y74" s="2501">
        <v>57</v>
      </c>
      <c r="Z74" s="2500">
        <v>56.8</v>
      </c>
      <c r="AA74" s="2501">
        <v>54</v>
      </c>
      <c r="AB74" s="2500">
        <v>48</v>
      </c>
      <c r="AC74" s="2501">
        <v>51</v>
      </c>
      <c r="AD74" s="2500">
        <v>48</v>
      </c>
      <c r="AE74" s="2501">
        <v>51</v>
      </c>
      <c r="AF74" s="2500">
        <v>48</v>
      </c>
      <c r="AG74" s="2501">
        <v>51</v>
      </c>
      <c r="AH74" s="2500">
        <v>53.5</v>
      </c>
      <c r="AI74" s="2501"/>
    </row>
    <row r="75" spans="4:35" ht="11.45" hidden="1" customHeight="1" x14ac:dyDescent="0.2">
      <c r="E75" s="512">
        <f>+AVERAGE(E74:F74)</f>
        <v>69.5</v>
      </c>
      <c r="G75" s="512">
        <f>+AVERAGE(G74:H74)</f>
        <v>64</v>
      </c>
      <c r="I75" s="512">
        <f>+AVERAGE(I74:J74)</f>
        <v>72.5</v>
      </c>
      <c r="K75" s="512">
        <f>+AVERAGE(K74:L74)</f>
        <v>73.5</v>
      </c>
      <c r="M75" s="512">
        <f>+AVERAGE(M74:N74)</f>
        <v>79</v>
      </c>
      <c r="O75" s="512">
        <f>+AVERAGE(O74:P74)</f>
        <v>73</v>
      </c>
      <c r="Q75" s="512">
        <f>+AVERAGE(Q74:R74)</f>
        <v>74</v>
      </c>
      <c r="S75" s="512">
        <f>+AVERAGE(S74:T74)</f>
        <v>65</v>
      </c>
      <c r="U75" s="512">
        <f>+AVERAGE(U74:V74)</f>
        <v>58</v>
      </c>
      <c r="V75" s="2509">
        <f>+AVERAGE(V74:W74)</f>
        <v>58</v>
      </c>
      <c r="X75" s="512">
        <f>+AVERAGE(X74:Y74)</f>
        <v>59</v>
      </c>
      <c r="Z75" s="512">
        <f>+AVERAGE(Z74:AA74)</f>
        <v>55.4</v>
      </c>
      <c r="AB75" s="512">
        <f>+AVERAGE(AB74:AC74)</f>
        <v>49.5</v>
      </c>
      <c r="AD75" s="512">
        <f>+AVERAGE(AD74:AE74)</f>
        <v>49.5</v>
      </c>
      <c r="AF75" s="512">
        <f>+AVERAGE(AF74:AG74)</f>
        <v>49.5</v>
      </c>
      <c r="AH75" s="512">
        <f>+AVERAGE(AH74:AI74)</f>
        <v>53.5</v>
      </c>
    </row>
    <row r="76" spans="4:35" ht="11.45" hidden="1" customHeight="1" x14ac:dyDescent="0.2">
      <c r="V76" s="2509"/>
    </row>
    <row r="77" spans="4:35" ht="11.45" hidden="1" customHeight="1" x14ac:dyDescent="0.2">
      <c r="V77" s="2509"/>
    </row>
    <row r="78" spans="4:35" ht="11.45" hidden="1" customHeight="1" x14ac:dyDescent="0.2">
      <c r="V78" s="2509"/>
    </row>
    <row r="79" spans="4:35" ht="11.45" hidden="1" customHeight="1" x14ac:dyDescent="0.2">
      <c r="V79" s="2509"/>
    </row>
    <row r="80" spans="4:35" ht="11.45" hidden="1" customHeight="1" x14ac:dyDescent="0.2">
      <c r="V80" s="2509"/>
    </row>
    <row r="81" spans="5:27" x14ac:dyDescent="0.2">
      <c r="E81" s="2185">
        <v>69.5</v>
      </c>
      <c r="F81" s="2504">
        <v>64</v>
      </c>
      <c r="G81" s="2185">
        <v>72.5</v>
      </c>
      <c r="H81" s="2504">
        <v>73.5</v>
      </c>
      <c r="I81" s="2185">
        <v>79</v>
      </c>
      <c r="J81" s="2504">
        <v>73</v>
      </c>
      <c r="K81" s="2185">
        <v>74</v>
      </c>
      <c r="L81" s="2504">
        <v>65</v>
      </c>
      <c r="M81" s="2185">
        <v>58</v>
      </c>
      <c r="N81" s="2504">
        <v>59</v>
      </c>
      <c r="O81" s="2185">
        <v>55.4</v>
      </c>
      <c r="P81" s="2504">
        <v>49.5</v>
      </c>
      <c r="Q81" s="2185">
        <v>52.25</v>
      </c>
      <c r="R81" s="2504">
        <v>53</v>
      </c>
      <c r="S81" s="2185">
        <v>56</v>
      </c>
      <c r="T81" s="2504">
        <v>50.5</v>
      </c>
      <c r="U81" s="2185">
        <v>48</v>
      </c>
      <c r="V81" s="2513">
        <v>46</v>
      </c>
      <c r="W81" s="512">
        <v>52</v>
      </c>
      <c r="X81" s="512">
        <v>49</v>
      </c>
      <c r="Y81" s="512">
        <v>51</v>
      </c>
      <c r="Z81" s="512">
        <v>41</v>
      </c>
      <c r="AA81" s="512">
        <v>35</v>
      </c>
    </row>
    <row r="82" spans="5:27" x14ac:dyDescent="0.2">
      <c r="I82" s="2185">
        <v>10</v>
      </c>
      <c r="J82" s="2185">
        <v>34</v>
      </c>
      <c r="K82" s="2185">
        <v>2</v>
      </c>
      <c r="L82" s="2185">
        <v>32</v>
      </c>
      <c r="M82" s="2185">
        <v>27</v>
      </c>
      <c r="N82" s="2185">
        <v>107</v>
      </c>
      <c r="O82" s="2185">
        <v>111</v>
      </c>
      <c r="P82" s="2185">
        <v>82</v>
      </c>
      <c r="Q82" s="2185">
        <v>173</v>
      </c>
      <c r="R82" s="2185">
        <v>155</v>
      </c>
      <c r="S82" s="2185">
        <v>191</v>
      </c>
      <c r="T82" s="2185">
        <v>164</v>
      </c>
      <c r="U82" s="2185">
        <v>137</v>
      </c>
      <c r="V82" s="2513">
        <v>173</v>
      </c>
      <c r="W82" s="512">
        <v>237</v>
      </c>
      <c r="X82" s="512">
        <v>218</v>
      </c>
      <c r="Y82" s="512">
        <v>102</v>
      </c>
      <c r="Z82" s="512">
        <v>121</v>
      </c>
      <c r="AA82" s="512">
        <v>146</v>
      </c>
    </row>
    <row r="83" spans="5:27" x14ac:dyDescent="0.2">
      <c r="I83" s="2185"/>
      <c r="J83" s="2185"/>
      <c r="K83" s="2185"/>
      <c r="L83" s="2185"/>
      <c r="M83" s="2185"/>
      <c r="N83" s="2185"/>
      <c r="O83" s="2185"/>
      <c r="P83" s="2185"/>
      <c r="Q83" s="2185"/>
      <c r="R83" s="2185"/>
      <c r="S83" s="2185"/>
      <c r="T83" s="2185"/>
      <c r="U83" s="2185"/>
      <c r="V83" s="2513"/>
    </row>
    <row r="84" spans="5:27" x14ac:dyDescent="0.2">
      <c r="I84" s="2185"/>
      <c r="J84" s="2185"/>
      <c r="K84" s="2185"/>
      <c r="L84" s="2185"/>
      <c r="M84" s="2185"/>
      <c r="N84" s="2185"/>
      <c r="O84" s="2185"/>
      <c r="P84" s="2185"/>
      <c r="Q84" s="2185"/>
      <c r="R84" s="2185"/>
    </row>
    <row r="85" spans="5:27" x14ac:dyDescent="0.2">
      <c r="E85" s="2514"/>
      <c r="F85" s="2514"/>
      <c r="G85" s="2514"/>
      <c r="H85" s="2514"/>
      <c r="I85" s="2514"/>
      <c r="J85" s="2514"/>
      <c r="K85" s="2514"/>
      <c r="L85" s="2514"/>
      <c r="M85" s="2514"/>
      <c r="N85" s="2514"/>
      <c r="O85" s="2514"/>
      <c r="P85" s="2514"/>
      <c r="Q85" s="2514"/>
      <c r="R85" s="2514"/>
      <c r="S85" s="2515"/>
      <c r="T85" s="2515"/>
    </row>
    <row r="86" spans="5:27" x14ac:dyDescent="0.2">
      <c r="F86" s="1901" t="s">
        <v>274</v>
      </c>
    </row>
    <row r="88" spans="5:27" x14ac:dyDescent="0.2">
      <c r="G88" s="4644" t="s">
        <v>275</v>
      </c>
      <c r="H88" s="4645"/>
      <c r="I88" s="4648">
        <v>2014</v>
      </c>
      <c r="J88" s="4649"/>
      <c r="K88" s="4648">
        <v>2015</v>
      </c>
      <c r="L88" s="4649"/>
      <c r="M88" s="4648">
        <v>2016</v>
      </c>
      <c r="N88" s="4649"/>
      <c r="O88" s="4648">
        <v>2017</v>
      </c>
      <c r="P88" s="4649"/>
      <c r="Q88" s="4648">
        <v>2018</v>
      </c>
      <c r="R88" s="4649"/>
      <c r="S88" s="4648">
        <v>2019</v>
      </c>
      <c r="T88" s="4649"/>
      <c r="U88" s="4648">
        <v>2020</v>
      </c>
      <c r="V88" s="4649"/>
      <c r="W88" s="4648">
        <v>2021</v>
      </c>
      <c r="X88" s="4649"/>
      <c r="Y88" s="4648">
        <v>2022</v>
      </c>
      <c r="Z88" s="4649"/>
    </row>
    <row r="89" spans="5:27" x14ac:dyDescent="0.2">
      <c r="G89" s="4646"/>
      <c r="H89" s="4647"/>
      <c r="I89" s="1811" t="s">
        <v>256</v>
      </c>
      <c r="J89" s="1811" t="s">
        <v>257</v>
      </c>
      <c r="K89" s="1811" t="s">
        <v>256</v>
      </c>
      <c r="L89" s="1811" t="s">
        <v>257</v>
      </c>
      <c r="M89" s="1811" t="s">
        <v>259</v>
      </c>
      <c r="N89" s="1811" t="s">
        <v>257</v>
      </c>
      <c r="O89" s="1811" t="s">
        <v>259</v>
      </c>
      <c r="P89" s="1811" t="s">
        <v>257</v>
      </c>
      <c r="Q89" s="1811" t="s">
        <v>259</v>
      </c>
      <c r="R89" s="1811" t="s">
        <v>257</v>
      </c>
      <c r="S89" s="1811" t="s">
        <v>259</v>
      </c>
      <c r="T89" s="1811" t="s">
        <v>257</v>
      </c>
      <c r="U89" s="3010">
        <v>44075</v>
      </c>
      <c r="V89" s="3010">
        <v>44197</v>
      </c>
      <c r="W89" s="3010">
        <v>44501</v>
      </c>
      <c r="X89" s="3010">
        <v>44583</v>
      </c>
      <c r="Y89" s="3010">
        <v>44866</v>
      </c>
      <c r="Z89" s="3010">
        <v>44948</v>
      </c>
    </row>
    <row r="90" spans="5:27" x14ac:dyDescent="0.2">
      <c r="G90" s="1811" t="s">
        <v>276</v>
      </c>
      <c r="H90" s="1811"/>
      <c r="I90" s="2516">
        <v>54.01</v>
      </c>
      <c r="J90" s="2516">
        <v>56.17</v>
      </c>
      <c r="K90" s="2516">
        <v>51.58</v>
      </c>
      <c r="L90" s="2516">
        <v>43.01</v>
      </c>
      <c r="M90" s="2516">
        <v>38.35</v>
      </c>
      <c r="N90" s="2516">
        <v>40.299999999999997</v>
      </c>
      <c r="O90" s="2516">
        <v>41.74</v>
      </c>
      <c r="P90" s="2516">
        <v>39.22</v>
      </c>
      <c r="Q90" s="2516">
        <v>54.85</v>
      </c>
      <c r="R90" s="2516">
        <v>58.62</v>
      </c>
      <c r="S90" s="2517">
        <v>53</v>
      </c>
      <c r="T90" s="2517">
        <v>57</v>
      </c>
      <c r="U90" s="2517"/>
      <c r="V90" s="2517"/>
      <c r="W90" s="2517">
        <v>39</v>
      </c>
      <c r="X90" s="2517">
        <v>41</v>
      </c>
      <c r="Y90" s="3009"/>
      <c r="Z90" s="3009"/>
    </row>
    <row r="91" spans="5:27" x14ac:dyDescent="0.2">
      <c r="G91" s="1811" t="s">
        <v>277</v>
      </c>
      <c r="H91" s="1811"/>
      <c r="I91" s="2516">
        <v>65.099999999999994</v>
      </c>
      <c r="J91" s="2516">
        <v>59.48</v>
      </c>
      <c r="K91" s="2516">
        <v>59.03</v>
      </c>
      <c r="L91" s="2516">
        <v>47.37</v>
      </c>
      <c r="M91" s="2516">
        <v>44.48</v>
      </c>
      <c r="N91" s="2516">
        <v>50</v>
      </c>
      <c r="O91" s="2516">
        <v>45.65</v>
      </c>
      <c r="P91" s="2516">
        <v>23.71</v>
      </c>
      <c r="Q91" s="2516">
        <v>53.52</v>
      </c>
      <c r="R91" s="2516">
        <v>41.77</v>
      </c>
      <c r="S91" s="2517">
        <v>56</v>
      </c>
      <c r="T91" s="2517">
        <v>39</v>
      </c>
      <c r="U91" s="2517"/>
      <c r="V91" s="2517"/>
      <c r="W91" s="2517">
        <v>37</v>
      </c>
      <c r="X91" s="2517">
        <v>25</v>
      </c>
      <c r="Y91" s="3009"/>
      <c r="Z91" s="3009"/>
    </row>
    <row r="92" spans="5:27" x14ac:dyDescent="0.2">
      <c r="G92" s="1811" t="s">
        <v>278</v>
      </c>
      <c r="H92" s="1811"/>
      <c r="I92" s="2516">
        <v>51.81</v>
      </c>
      <c r="J92" s="2516">
        <v>56.6</v>
      </c>
      <c r="K92" s="2516">
        <v>56.21</v>
      </c>
      <c r="L92" s="2516">
        <v>59.19</v>
      </c>
      <c r="M92" s="2516">
        <v>56.12</v>
      </c>
      <c r="N92" s="2516">
        <v>56.48</v>
      </c>
      <c r="O92" s="2516">
        <v>62.23</v>
      </c>
      <c r="P92" s="2516">
        <v>41.57</v>
      </c>
      <c r="Q92" s="2516">
        <v>54.1</v>
      </c>
      <c r="R92" s="2516">
        <v>55.8</v>
      </c>
      <c r="S92" s="2517">
        <v>58</v>
      </c>
      <c r="T92" s="2517">
        <v>54</v>
      </c>
      <c r="U92" s="2517"/>
      <c r="V92" s="2517"/>
      <c r="W92" s="2517">
        <v>40</v>
      </c>
      <c r="X92" s="2517">
        <v>48</v>
      </c>
      <c r="Y92" s="3009"/>
      <c r="Z92" s="3009"/>
    </row>
    <row r="93" spans="5:27" x14ac:dyDescent="0.2">
      <c r="G93" s="1811" t="s">
        <v>279</v>
      </c>
      <c r="H93" s="1811"/>
      <c r="I93" s="2516">
        <v>59.68</v>
      </c>
      <c r="J93" s="2516">
        <v>65.39</v>
      </c>
      <c r="K93" s="2516">
        <v>54.8</v>
      </c>
      <c r="L93" s="2516">
        <v>41.12</v>
      </c>
      <c r="M93" s="2516">
        <v>45.76</v>
      </c>
      <c r="N93" s="2516">
        <v>40.43</v>
      </c>
      <c r="O93" s="2516">
        <v>42.24</v>
      </c>
      <c r="P93" s="2516">
        <v>60.77</v>
      </c>
      <c r="Q93" s="2516">
        <v>37.200000000000003</v>
      </c>
      <c r="R93" s="2516">
        <v>44.83</v>
      </c>
      <c r="S93" s="2517">
        <v>33</v>
      </c>
      <c r="T93" s="2517">
        <v>43</v>
      </c>
      <c r="U93" s="2517"/>
      <c r="V93" s="2517"/>
      <c r="W93" s="2517">
        <v>39</v>
      </c>
      <c r="X93" s="2517">
        <v>27</v>
      </c>
      <c r="Y93" s="3009"/>
      <c r="Z93" s="3009"/>
    </row>
    <row r="94" spans="5:27" x14ac:dyDescent="0.2">
      <c r="G94" s="1811" t="s">
        <v>280</v>
      </c>
      <c r="H94" s="1811"/>
      <c r="I94" s="2516">
        <v>77.66</v>
      </c>
      <c r="J94" s="2516">
        <v>41.58</v>
      </c>
      <c r="K94" s="2516">
        <v>49.54</v>
      </c>
      <c r="L94" s="2516">
        <v>41.16</v>
      </c>
      <c r="M94" s="2516">
        <v>36.57</v>
      </c>
      <c r="N94" s="2516">
        <v>63.89</v>
      </c>
      <c r="O94" s="2516">
        <v>40.340000000000003</v>
      </c>
      <c r="P94" s="2516">
        <v>39.31</v>
      </c>
      <c r="Q94" s="2516">
        <v>38.68</v>
      </c>
      <c r="R94" s="2516">
        <v>44.41</v>
      </c>
      <c r="S94" s="2517">
        <v>41</v>
      </c>
      <c r="T94" s="2517">
        <v>50</v>
      </c>
      <c r="U94" s="2517"/>
      <c r="V94" s="2517"/>
      <c r="W94" s="2517">
        <v>41</v>
      </c>
      <c r="X94" s="2517">
        <v>40</v>
      </c>
      <c r="Y94" s="3009"/>
      <c r="Z94" s="3009"/>
    </row>
    <row r="95" spans="5:27" x14ac:dyDescent="0.2">
      <c r="G95" s="1811" t="s">
        <v>281</v>
      </c>
      <c r="H95" s="1811"/>
      <c r="I95" s="2516">
        <v>51.8</v>
      </c>
      <c r="J95" s="2516">
        <v>55.63</v>
      </c>
      <c r="K95" s="2516">
        <v>48.4</v>
      </c>
      <c r="L95" s="2516">
        <v>58.96</v>
      </c>
      <c r="M95" s="2516">
        <v>47.32</v>
      </c>
      <c r="N95" s="2516">
        <v>43.81</v>
      </c>
      <c r="O95" s="2516">
        <v>39.049999999999997</v>
      </c>
      <c r="P95" s="2516">
        <v>40.31</v>
      </c>
      <c r="Q95" s="2516">
        <v>55.81</v>
      </c>
      <c r="R95" s="2516">
        <v>67.83</v>
      </c>
      <c r="S95" s="2517">
        <v>32</v>
      </c>
      <c r="T95" s="2517">
        <v>58</v>
      </c>
      <c r="U95" s="2517"/>
      <c r="V95" s="2517"/>
      <c r="W95" s="2517">
        <v>39</v>
      </c>
      <c r="X95" s="2517">
        <v>44</v>
      </c>
      <c r="Y95" s="3009"/>
      <c r="Z95" s="3009"/>
    </row>
    <row r="96" spans="5:27" x14ac:dyDescent="0.2">
      <c r="G96" s="1811" t="s">
        <v>282</v>
      </c>
      <c r="H96" s="1811"/>
      <c r="I96" s="2516">
        <v>59.01</v>
      </c>
      <c r="J96" s="2516">
        <v>73.34</v>
      </c>
      <c r="K96" s="2516">
        <v>53.97</v>
      </c>
      <c r="L96" s="2516">
        <v>56.28</v>
      </c>
      <c r="M96" s="2516">
        <v>47.15</v>
      </c>
      <c r="N96" s="2516">
        <v>44.64</v>
      </c>
      <c r="O96" s="2516">
        <v>39</v>
      </c>
      <c r="P96" s="2516">
        <v>60.24</v>
      </c>
      <c r="Q96" s="2516">
        <v>65.47</v>
      </c>
      <c r="R96" s="2516">
        <v>48.74</v>
      </c>
      <c r="S96" s="2517">
        <v>38</v>
      </c>
      <c r="T96" s="2517">
        <v>32</v>
      </c>
      <c r="U96" s="2517"/>
      <c r="V96" s="2517"/>
      <c r="W96" s="2517">
        <v>40</v>
      </c>
      <c r="X96" s="2517">
        <v>38</v>
      </c>
      <c r="Y96" s="3009"/>
      <c r="Z96" s="3009"/>
    </row>
    <row r="97" spans="7:26" x14ac:dyDescent="0.2">
      <c r="G97" s="1811" t="s">
        <v>283</v>
      </c>
      <c r="H97" s="1811"/>
      <c r="I97" s="2516">
        <v>48.96</v>
      </c>
      <c r="J97" s="2516">
        <v>30.67</v>
      </c>
      <c r="K97" s="2516">
        <v>71.44</v>
      </c>
      <c r="L97" s="2516">
        <v>42.59</v>
      </c>
      <c r="M97" s="2516">
        <v>34.880000000000003</v>
      </c>
      <c r="N97" s="2516">
        <v>27.78</v>
      </c>
      <c r="O97" s="2516">
        <v>25.88</v>
      </c>
      <c r="P97" s="2516">
        <v>40.46</v>
      </c>
      <c r="Q97" s="2516">
        <v>21.47</v>
      </c>
      <c r="R97" s="2516">
        <v>84.95</v>
      </c>
      <c r="S97" s="2517">
        <v>28</v>
      </c>
      <c r="T97" s="2517">
        <v>47</v>
      </c>
      <c r="U97" s="2517"/>
      <c r="V97" s="2517"/>
      <c r="W97" s="2517">
        <v>28</v>
      </c>
      <c r="X97" s="2517">
        <v>36</v>
      </c>
      <c r="Y97" s="3009"/>
      <c r="Z97" s="3009"/>
    </row>
    <row r="98" spans="7:26" x14ac:dyDescent="0.2">
      <c r="G98" s="1811" t="s">
        <v>284</v>
      </c>
      <c r="H98" s="1811"/>
      <c r="I98" s="2516">
        <v>42.53</v>
      </c>
      <c r="J98" s="2516">
        <v>37.409999999999997</v>
      </c>
      <c r="K98" s="2516">
        <v>37.299999999999997</v>
      </c>
      <c r="L98" s="2516">
        <v>35.53</v>
      </c>
      <c r="M98" s="2516">
        <v>46.49</v>
      </c>
      <c r="N98" s="2516">
        <v>44.74</v>
      </c>
      <c r="O98" s="2516">
        <v>48.49</v>
      </c>
      <c r="P98" s="2516">
        <v>34.96</v>
      </c>
      <c r="Q98" s="2516">
        <v>68.02</v>
      </c>
      <c r="R98" s="2516">
        <v>57.72</v>
      </c>
      <c r="S98" s="2517">
        <v>56</v>
      </c>
      <c r="T98" s="2517">
        <v>59</v>
      </c>
      <c r="U98" s="2517"/>
      <c r="V98" s="2517"/>
      <c r="W98" s="2517">
        <v>42</v>
      </c>
      <c r="X98" s="2517">
        <v>56</v>
      </c>
      <c r="Y98" s="3009"/>
      <c r="Z98" s="3009"/>
    </row>
    <row r="99" spans="7:26" x14ac:dyDescent="0.2">
      <c r="G99" s="1901"/>
      <c r="H99" s="1901"/>
      <c r="I99" s="2518"/>
      <c r="J99" s="2518"/>
      <c r="K99" s="2518"/>
      <c r="L99" s="2518"/>
      <c r="M99" s="2518"/>
      <c r="N99" s="2518"/>
      <c r="O99" s="2518"/>
      <c r="P99" s="2518"/>
      <c r="Q99" s="2518"/>
      <c r="R99" s="2518"/>
    </row>
    <row r="100" spans="7:26" x14ac:dyDescent="0.2">
      <c r="G100" s="1901"/>
      <c r="H100" s="1901"/>
      <c r="I100" s="2518"/>
      <c r="J100" s="2518"/>
      <c r="K100" s="2518"/>
      <c r="L100" s="2518"/>
      <c r="M100" s="2518"/>
      <c r="N100" s="2518"/>
      <c r="O100" s="2518"/>
      <c r="P100" s="2518"/>
      <c r="Q100" s="2518"/>
      <c r="R100" s="2518"/>
    </row>
  </sheetData>
  <mergeCells count="100">
    <mergeCell ref="AW7:AX7"/>
    <mergeCell ref="AW12:AX12"/>
    <mergeCell ref="AW13:AX13"/>
    <mergeCell ref="Y88:Z88"/>
    <mergeCell ref="AU12:AV12"/>
    <mergeCell ref="AU13:AV13"/>
    <mergeCell ref="AU7:AV7"/>
    <mergeCell ref="Z72:AA72"/>
    <mergeCell ref="AF72:AG72"/>
    <mergeCell ref="AH72:AI72"/>
    <mergeCell ref="AB72:AC72"/>
    <mergeCell ref="AD72:AE72"/>
    <mergeCell ref="AO13:AP13"/>
    <mergeCell ref="AQ13:AR13"/>
    <mergeCell ref="AK12:AL12"/>
    <mergeCell ref="AM12:AN12"/>
    <mergeCell ref="AI13:AJ13"/>
    <mergeCell ref="AK13:AL13"/>
    <mergeCell ref="AE12:AF12"/>
    <mergeCell ref="W88:X88"/>
    <mergeCell ref="Q88:R88"/>
    <mergeCell ref="Q72:R72"/>
    <mergeCell ref="S72:T72"/>
    <mergeCell ref="X72:Y72"/>
    <mergeCell ref="S88:T88"/>
    <mergeCell ref="U88:V88"/>
    <mergeCell ref="E72:F72"/>
    <mergeCell ref="G72:H72"/>
    <mergeCell ref="I72:J72"/>
    <mergeCell ref="K72:L72"/>
    <mergeCell ref="M72:N72"/>
    <mergeCell ref="G88:H89"/>
    <mergeCell ref="I88:J88"/>
    <mergeCell ref="K88:L88"/>
    <mergeCell ref="M88:N88"/>
    <mergeCell ref="O88:P88"/>
    <mergeCell ref="O72:P72"/>
    <mergeCell ref="G13:H13"/>
    <mergeCell ref="I13:J13"/>
    <mergeCell ref="O13:P13"/>
    <mergeCell ref="Q13:R13"/>
    <mergeCell ref="D43:AP43"/>
    <mergeCell ref="AA13:AB13"/>
    <mergeCell ref="AC13:AD13"/>
    <mergeCell ref="AE13:AF13"/>
    <mergeCell ref="AG13:AH13"/>
    <mergeCell ref="S13:T13"/>
    <mergeCell ref="U13:V13"/>
    <mergeCell ref="W13:X13"/>
    <mergeCell ref="D41:AP41"/>
    <mergeCell ref="D42:AP42"/>
    <mergeCell ref="Y13:Z13"/>
    <mergeCell ref="K13:L13"/>
    <mergeCell ref="M13:N13"/>
    <mergeCell ref="E13:F13"/>
    <mergeCell ref="AM13:AN13"/>
    <mergeCell ref="O12:P12"/>
    <mergeCell ref="W12:X12"/>
    <mergeCell ref="AC12:AD12"/>
    <mergeCell ref="E12:F12"/>
    <mergeCell ref="G12:H12"/>
    <mergeCell ref="I12:J12"/>
    <mergeCell ref="K12:L12"/>
    <mergeCell ref="M12:N12"/>
    <mergeCell ref="Q12:R12"/>
    <mergeCell ref="S12:T12"/>
    <mergeCell ref="U12:V12"/>
    <mergeCell ref="Y12:Z12"/>
    <mergeCell ref="AQ12:AR12"/>
    <mergeCell ref="AM7:AN7"/>
    <mergeCell ref="AI12:AJ12"/>
    <mergeCell ref="Y7:Z7"/>
    <mergeCell ref="AA7:AB7"/>
    <mergeCell ref="AE7:AF7"/>
    <mergeCell ref="AC7:AD7"/>
    <mergeCell ref="AA12:AB12"/>
    <mergeCell ref="AS7:AT7"/>
    <mergeCell ref="AS12:AT12"/>
    <mergeCell ref="AS13:AT13"/>
    <mergeCell ref="D2:AP2"/>
    <mergeCell ref="D3:AP3"/>
    <mergeCell ref="D4:AP4"/>
    <mergeCell ref="E7:F7"/>
    <mergeCell ref="G7:H7"/>
    <mergeCell ref="I7:J7"/>
    <mergeCell ref="K7:L7"/>
    <mergeCell ref="AQ7:AR7"/>
    <mergeCell ref="AG7:AH7"/>
    <mergeCell ref="AI7:AJ7"/>
    <mergeCell ref="AK7:AL7"/>
    <mergeCell ref="AG12:AH12"/>
    <mergeCell ref="AO12:AP12"/>
    <mergeCell ref="O7:P7"/>
    <mergeCell ref="Q7:R7"/>
    <mergeCell ref="AO7:AP7"/>
    <mergeCell ref="S7:T7"/>
    <mergeCell ref="D5:AP5"/>
    <mergeCell ref="M7:N7"/>
    <mergeCell ref="U7:V7"/>
    <mergeCell ref="W7:X7"/>
  </mergeCells>
  <pageMargins left="0.74803149606299213" right="0.74803149606299213" top="0.98425196850393704" bottom="0.98425196850393704" header="0.51181102362204722" footer="0.51181102362204722"/>
  <pageSetup paperSize="9" scale="37" orientation="landscape" r:id="rId1"/>
  <headerFooter alignWithMargins="0">
    <oddHeader>&amp;C&amp;"-,Bold"DEVELOPMENT INDICATORS 2014</oddHeader>
    <oddFooter>&amp;LDepartment of Planning, Monitoring and Evaluation (DPME). &amp;CPage &amp;P of &amp;N&amp;R&amp;D</oddFooter>
  </headerFooter>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D8382-6EC1-48CC-B38D-6CDCE24060C9}">
  <sheetPr>
    <tabColor rgb="FF0070C0"/>
    <pageSetUpPr fitToPage="1"/>
  </sheetPr>
  <dimension ref="A1:AE80"/>
  <sheetViews>
    <sheetView showGridLines="0" view="pageBreakPreview" topLeftCell="A22" zoomScaleNormal="100" zoomScaleSheetLayoutView="100" workbookViewId="0">
      <selection activeCell="D4" sqref="D4:V4"/>
    </sheetView>
  </sheetViews>
  <sheetFormatPr defaultColWidth="9.140625" defaultRowHeight="15" x14ac:dyDescent="0.2"/>
  <cols>
    <col min="1" max="1" width="3.85546875" style="1117" customWidth="1"/>
    <col min="2" max="2" width="8.85546875" style="1118" customWidth="1"/>
    <col min="3" max="3" width="3.85546875" style="1118" customWidth="1"/>
    <col min="4" max="4" width="20" style="1081" customWidth="1"/>
    <col min="5" max="16" width="8.85546875" style="1081" customWidth="1"/>
    <col min="17" max="17" width="10.42578125" style="1081" bestFit="1" customWidth="1"/>
    <col min="18" max="18" width="9.140625" style="1081"/>
    <col min="19" max="19" width="10.85546875" style="1081" customWidth="1"/>
    <col min="20" max="259" width="9.140625" style="1081"/>
    <col min="260" max="260" width="3.85546875" style="1081" customWidth="1"/>
    <col min="261" max="261" width="14.42578125" style="1081" customWidth="1"/>
    <col min="262" max="262" width="3.85546875" style="1081" customWidth="1"/>
    <col min="263" max="263" width="20" style="1081" customWidth="1"/>
    <col min="264" max="275" width="8.85546875" style="1081" customWidth="1"/>
    <col min="276" max="276" width="10.42578125" style="1081" bestFit="1" customWidth="1"/>
    <col min="277" max="515" width="9.140625" style="1081"/>
    <col min="516" max="516" width="3.85546875" style="1081" customWidth="1"/>
    <col min="517" max="517" width="14.42578125" style="1081" customWidth="1"/>
    <col min="518" max="518" width="3.85546875" style="1081" customWidth="1"/>
    <col min="519" max="519" width="20" style="1081" customWidth="1"/>
    <col min="520" max="531" width="8.85546875" style="1081" customWidth="1"/>
    <col min="532" max="532" width="10.42578125" style="1081" bestFit="1" customWidth="1"/>
    <col min="533" max="771" width="9.140625" style="1081"/>
    <col min="772" max="772" width="3.85546875" style="1081" customWidth="1"/>
    <col min="773" max="773" width="14.42578125" style="1081" customWidth="1"/>
    <col min="774" max="774" width="3.85546875" style="1081" customWidth="1"/>
    <col min="775" max="775" width="20" style="1081" customWidth="1"/>
    <col min="776" max="787" width="8.85546875" style="1081" customWidth="1"/>
    <col min="788" max="788" width="10.42578125" style="1081" bestFit="1" customWidth="1"/>
    <col min="789" max="1027" width="9.140625" style="1081"/>
    <col min="1028" max="1028" width="3.85546875" style="1081" customWidth="1"/>
    <col min="1029" max="1029" width="14.42578125" style="1081" customWidth="1"/>
    <col min="1030" max="1030" width="3.85546875" style="1081" customWidth="1"/>
    <col min="1031" max="1031" width="20" style="1081" customWidth="1"/>
    <col min="1032" max="1043" width="8.85546875" style="1081" customWidth="1"/>
    <col min="1044" max="1044" width="10.42578125" style="1081" bestFit="1" customWidth="1"/>
    <col min="1045" max="1283" width="9.140625" style="1081"/>
    <col min="1284" max="1284" width="3.85546875" style="1081" customWidth="1"/>
    <col min="1285" max="1285" width="14.42578125" style="1081" customWidth="1"/>
    <col min="1286" max="1286" width="3.85546875" style="1081" customWidth="1"/>
    <col min="1287" max="1287" width="20" style="1081" customWidth="1"/>
    <col min="1288" max="1299" width="8.85546875" style="1081" customWidth="1"/>
    <col min="1300" max="1300" width="10.42578125" style="1081" bestFit="1" customWidth="1"/>
    <col min="1301" max="1539" width="9.140625" style="1081"/>
    <col min="1540" max="1540" width="3.85546875" style="1081" customWidth="1"/>
    <col min="1541" max="1541" width="14.42578125" style="1081" customWidth="1"/>
    <col min="1542" max="1542" width="3.85546875" style="1081" customWidth="1"/>
    <col min="1543" max="1543" width="20" style="1081" customWidth="1"/>
    <col min="1544" max="1555" width="8.85546875" style="1081" customWidth="1"/>
    <col min="1556" max="1556" width="10.42578125" style="1081" bestFit="1" customWidth="1"/>
    <col min="1557" max="1795" width="9.140625" style="1081"/>
    <col min="1796" max="1796" width="3.85546875" style="1081" customWidth="1"/>
    <col min="1797" max="1797" width="14.42578125" style="1081" customWidth="1"/>
    <col min="1798" max="1798" width="3.85546875" style="1081" customWidth="1"/>
    <col min="1799" max="1799" width="20" style="1081" customWidth="1"/>
    <col min="1800" max="1811" width="8.85546875" style="1081" customWidth="1"/>
    <col min="1812" max="1812" width="10.42578125" style="1081" bestFit="1" customWidth="1"/>
    <col min="1813" max="2051" width="9.140625" style="1081"/>
    <col min="2052" max="2052" width="3.85546875" style="1081" customWidth="1"/>
    <col min="2053" max="2053" width="14.42578125" style="1081" customWidth="1"/>
    <col min="2054" max="2054" width="3.85546875" style="1081" customWidth="1"/>
    <col min="2055" max="2055" width="20" style="1081" customWidth="1"/>
    <col min="2056" max="2067" width="8.85546875" style="1081" customWidth="1"/>
    <col min="2068" max="2068" width="10.42578125" style="1081" bestFit="1" customWidth="1"/>
    <col min="2069" max="2307" width="9.140625" style="1081"/>
    <col min="2308" max="2308" width="3.85546875" style="1081" customWidth="1"/>
    <col min="2309" max="2309" width="14.42578125" style="1081" customWidth="1"/>
    <col min="2310" max="2310" width="3.85546875" style="1081" customWidth="1"/>
    <col min="2311" max="2311" width="20" style="1081" customWidth="1"/>
    <col min="2312" max="2323" width="8.85546875" style="1081" customWidth="1"/>
    <col min="2324" max="2324" width="10.42578125" style="1081" bestFit="1" customWidth="1"/>
    <col min="2325" max="2563" width="9.140625" style="1081"/>
    <col min="2564" max="2564" width="3.85546875" style="1081" customWidth="1"/>
    <col min="2565" max="2565" width="14.42578125" style="1081" customWidth="1"/>
    <col min="2566" max="2566" width="3.85546875" style="1081" customWidth="1"/>
    <col min="2567" max="2567" width="20" style="1081" customWidth="1"/>
    <col min="2568" max="2579" width="8.85546875" style="1081" customWidth="1"/>
    <col min="2580" max="2580" width="10.42578125" style="1081" bestFit="1" customWidth="1"/>
    <col min="2581" max="2819" width="9.140625" style="1081"/>
    <col min="2820" max="2820" width="3.85546875" style="1081" customWidth="1"/>
    <col min="2821" max="2821" width="14.42578125" style="1081" customWidth="1"/>
    <col min="2822" max="2822" width="3.85546875" style="1081" customWidth="1"/>
    <col min="2823" max="2823" width="20" style="1081" customWidth="1"/>
    <col min="2824" max="2835" width="8.85546875" style="1081" customWidth="1"/>
    <col min="2836" max="2836" width="10.42578125" style="1081" bestFit="1" customWidth="1"/>
    <col min="2837" max="3075" width="9.140625" style="1081"/>
    <col min="3076" max="3076" width="3.85546875" style="1081" customWidth="1"/>
    <col min="3077" max="3077" width="14.42578125" style="1081" customWidth="1"/>
    <col min="3078" max="3078" width="3.85546875" style="1081" customWidth="1"/>
    <col min="3079" max="3079" width="20" style="1081" customWidth="1"/>
    <col min="3080" max="3091" width="8.85546875" style="1081" customWidth="1"/>
    <col min="3092" max="3092" width="10.42578125" style="1081" bestFit="1" customWidth="1"/>
    <col min="3093" max="3331" width="9.140625" style="1081"/>
    <col min="3332" max="3332" width="3.85546875" style="1081" customWidth="1"/>
    <col min="3333" max="3333" width="14.42578125" style="1081" customWidth="1"/>
    <col min="3334" max="3334" width="3.85546875" style="1081" customWidth="1"/>
    <col min="3335" max="3335" width="20" style="1081" customWidth="1"/>
    <col min="3336" max="3347" width="8.85546875" style="1081" customWidth="1"/>
    <col min="3348" max="3348" width="10.42578125" style="1081" bestFit="1" customWidth="1"/>
    <col min="3349" max="3587" width="9.140625" style="1081"/>
    <col min="3588" max="3588" width="3.85546875" style="1081" customWidth="1"/>
    <col min="3589" max="3589" width="14.42578125" style="1081" customWidth="1"/>
    <col min="3590" max="3590" width="3.85546875" style="1081" customWidth="1"/>
    <col min="3591" max="3591" width="20" style="1081" customWidth="1"/>
    <col min="3592" max="3603" width="8.85546875" style="1081" customWidth="1"/>
    <col min="3604" max="3604" width="10.42578125" style="1081" bestFit="1" customWidth="1"/>
    <col min="3605" max="3843" width="9.140625" style="1081"/>
    <col min="3844" max="3844" width="3.85546875" style="1081" customWidth="1"/>
    <col min="3845" max="3845" width="14.42578125" style="1081" customWidth="1"/>
    <col min="3846" max="3846" width="3.85546875" style="1081" customWidth="1"/>
    <col min="3847" max="3847" width="20" style="1081" customWidth="1"/>
    <col min="3848" max="3859" width="8.85546875" style="1081" customWidth="1"/>
    <col min="3860" max="3860" width="10.42578125" style="1081" bestFit="1" customWidth="1"/>
    <col min="3861" max="4099" width="9.140625" style="1081"/>
    <col min="4100" max="4100" width="3.85546875" style="1081" customWidth="1"/>
    <col min="4101" max="4101" width="14.42578125" style="1081" customWidth="1"/>
    <col min="4102" max="4102" width="3.85546875" style="1081" customWidth="1"/>
    <col min="4103" max="4103" width="20" style="1081" customWidth="1"/>
    <col min="4104" max="4115" width="8.85546875" style="1081" customWidth="1"/>
    <col min="4116" max="4116" width="10.42578125" style="1081" bestFit="1" customWidth="1"/>
    <col min="4117" max="4355" width="9.140625" style="1081"/>
    <col min="4356" max="4356" width="3.85546875" style="1081" customWidth="1"/>
    <col min="4357" max="4357" width="14.42578125" style="1081" customWidth="1"/>
    <col min="4358" max="4358" width="3.85546875" style="1081" customWidth="1"/>
    <col min="4359" max="4359" width="20" style="1081" customWidth="1"/>
    <col min="4360" max="4371" width="8.85546875" style="1081" customWidth="1"/>
    <col min="4372" max="4372" width="10.42578125" style="1081" bestFit="1" customWidth="1"/>
    <col min="4373" max="4611" width="9.140625" style="1081"/>
    <col min="4612" max="4612" width="3.85546875" style="1081" customWidth="1"/>
    <col min="4613" max="4613" width="14.42578125" style="1081" customWidth="1"/>
    <col min="4614" max="4614" width="3.85546875" style="1081" customWidth="1"/>
    <col min="4615" max="4615" width="20" style="1081" customWidth="1"/>
    <col min="4616" max="4627" width="8.85546875" style="1081" customWidth="1"/>
    <col min="4628" max="4628" width="10.42578125" style="1081" bestFit="1" customWidth="1"/>
    <col min="4629" max="4867" width="9.140625" style="1081"/>
    <col min="4868" max="4868" width="3.85546875" style="1081" customWidth="1"/>
    <col min="4869" max="4869" width="14.42578125" style="1081" customWidth="1"/>
    <col min="4870" max="4870" width="3.85546875" style="1081" customWidth="1"/>
    <col min="4871" max="4871" width="20" style="1081" customWidth="1"/>
    <col min="4872" max="4883" width="8.85546875" style="1081" customWidth="1"/>
    <col min="4884" max="4884" width="10.42578125" style="1081" bestFit="1" customWidth="1"/>
    <col min="4885" max="5123" width="9.140625" style="1081"/>
    <col min="5124" max="5124" width="3.85546875" style="1081" customWidth="1"/>
    <col min="5125" max="5125" width="14.42578125" style="1081" customWidth="1"/>
    <col min="5126" max="5126" width="3.85546875" style="1081" customWidth="1"/>
    <col min="5127" max="5127" width="20" style="1081" customWidth="1"/>
    <col min="5128" max="5139" width="8.85546875" style="1081" customWidth="1"/>
    <col min="5140" max="5140" width="10.42578125" style="1081" bestFit="1" customWidth="1"/>
    <col min="5141" max="5379" width="9.140625" style="1081"/>
    <col min="5380" max="5380" width="3.85546875" style="1081" customWidth="1"/>
    <col min="5381" max="5381" width="14.42578125" style="1081" customWidth="1"/>
    <col min="5382" max="5382" width="3.85546875" style="1081" customWidth="1"/>
    <col min="5383" max="5383" width="20" style="1081" customWidth="1"/>
    <col min="5384" max="5395" width="8.85546875" style="1081" customWidth="1"/>
    <col min="5396" max="5396" width="10.42578125" style="1081" bestFit="1" customWidth="1"/>
    <col min="5397" max="5635" width="9.140625" style="1081"/>
    <col min="5636" max="5636" width="3.85546875" style="1081" customWidth="1"/>
    <col min="5637" max="5637" width="14.42578125" style="1081" customWidth="1"/>
    <col min="5638" max="5638" width="3.85546875" style="1081" customWidth="1"/>
    <col min="5639" max="5639" width="20" style="1081" customWidth="1"/>
    <col min="5640" max="5651" width="8.85546875" style="1081" customWidth="1"/>
    <col min="5652" max="5652" width="10.42578125" style="1081" bestFit="1" customWidth="1"/>
    <col min="5653" max="5891" width="9.140625" style="1081"/>
    <col min="5892" max="5892" width="3.85546875" style="1081" customWidth="1"/>
    <col min="5893" max="5893" width="14.42578125" style="1081" customWidth="1"/>
    <col min="5894" max="5894" width="3.85546875" style="1081" customWidth="1"/>
    <col min="5895" max="5895" width="20" style="1081" customWidth="1"/>
    <col min="5896" max="5907" width="8.85546875" style="1081" customWidth="1"/>
    <col min="5908" max="5908" width="10.42578125" style="1081" bestFit="1" customWidth="1"/>
    <col min="5909" max="6147" width="9.140625" style="1081"/>
    <col min="6148" max="6148" width="3.85546875" style="1081" customWidth="1"/>
    <col min="6149" max="6149" width="14.42578125" style="1081" customWidth="1"/>
    <col min="6150" max="6150" width="3.85546875" style="1081" customWidth="1"/>
    <col min="6151" max="6151" width="20" style="1081" customWidth="1"/>
    <col min="6152" max="6163" width="8.85546875" style="1081" customWidth="1"/>
    <col min="6164" max="6164" width="10.42578125" style="1081" bestFit="1" customWidth="1"/>
    <col min="6165" max="6403" width="9.140625" style="1081"/>
    <col min="6404" max="6404" width="3.85546875" style="1081" customWidth="1"/>
    <col min="6405" max="6405" width="14.42578125" style="1081" customWidth="1"/>
    <col min="6406" max="6406" width="3.85546875" style="1081" customWidth="1"/>
    <col min="6407" max="6407" width="20" style="1081" customWidth="1"/>
    <col min="6408" max="6419" width="8.85546875" style="1081" customWidth="1"/>
    <col min="6420" max="6420" width="10.42578125" style="1081" bestFit="1" customWidth="1"/>
    <col min="6421" max="6659" width="9.140625" style="1081"/>
    <col min="6660" max="6660" width="3.85546875" style="1081" customWidth="1"/>
    <col min="6661" max="6661" width="14.42578125" style="1081" customWidth="1"/>
    <col min="6662" max="6662" width="3.85546875" style="1081" customWidth="1"/>
    <col min="6663" max="6663" width="20" style="1081" customWidth="1"/>
    <col min="6664" max="6675" width="8.85546875" style="1081" customWidth="1"/>
    <col min="6676" max="6676" width="10.42578125" style="1081" bestFit="1" customWidth="1"/>
    <col min="6677" max="6915" width="9.140625" style="1081"/>
    <col min="6916" max="6916" width="3.85546875" style="1081" customWidth="1"/>
    <col min="6917" max="6917" width="14.42578125" style="1081" customWidth="1"/>
    <col min="6918" max="6918" width="3.85546875" style="1081" customWidth="1"/>
    <col min="6919" max="6919" width="20" style="1081" customWidth="1"/>
    <col min="6920" max="6931" width="8.85546875" style="1081" customWidth="1"/>
    <col min="6932" max="6932" width="10.42578125" style="1081" bestFit="1" customWidth="1"/>
    <col min="6933" max="7171" width="9.140625" style="1081"/>
    <col min="7172" max="7172" width="3.85546875" style="1081" customWidth="1"/>
    <col min="7173" max="7173" width="14.42578125" style="1081" customWidth="1"/>
    <col min="7174" max="7174" width="3.85546875" style="1081" customWidth="1"/>
    <col min="7175" max="7175" width="20" style="1081" customWidth="1"/>
    <col min="7176" max="7187" width="8.85546875" style="1081" customWidth="1"/>
    <col min="7188" max="7188" width="10.42578125" style="1081" bestFit="1" customWidth="1"/>
    <col min="7189" max="7427" width="9.140625" style="1081"/>
    <col min="7428" max="7428" width="3.85546875" style="1081" customWidth="1"/>
    <col min="7429" max="7429" width="14.42578125" style="1081" customWidth="1"/>
    <col min="7430" max="7430" width="3.85546875" style="1081" customWidth="1"/>
    <col min="7431" max="7431" width="20" style="1081" customWidth="1"/>
    <col min="7432" max="7443" width="8.85546875" style="1081" customWidth="1"/>
    <col min="7444" max="7444" width="10.42578125" style="1081" bestFit="1" customWidth="1"/>
    <col min="7445" max="7683" width="9.140625" style="1081"/>
    <col min="7684" max="7684" width="3.85546875" style="1081" customWidth="1"/>
    <col min="7685" max="7685" width="14.42578125" style="1081" customWidth="1"/>
    <col min="7686" max="7686" width="3.85546875" style="1081" customWidth="1"/>
    <col min="7687" max="7687" width="20" style="1081" customWidth="1"/>
    <col min="7688" max="7699" width="8.85546875" style="1081" customWidth="1"/>
    <col min="7700" max="7700" width="10.42578125" style="1081" bestFit="1" customWidth="1"/>
    <col min="7701" max="7939" width="9.140625" style="1081"/>
    <col min="7940" max="7940" width="3.85546875" style="1081" customWidth="1"/>
    <col min="7941" max="7941" width="14.42578125" style="1081" customWidth="1"/>
    <col min="7942" max="7942" width="3.85546875" style="1081" customWidth="1"/>
    <col min="7943" max="7943" width="20" style="1081" customWidth="1"/>
    <col min="7944" max="7955" width="8.85546875" style="1081" customWidth="1"/>
    <col min="7956" max="7956" width="10.42578125" style="1081" bestFit="1" customWidth="1"/>
    <col min="7957" max="8195" width="9.140625" style="1081"/>
    <col min="8196" max="8196" width="3.85546875" style="1081" customWidth="1"/>
    <col min="8197" max="8197" width="14.42578125" style="1081" customWidth="1"/>
    <col min="8198" max="8198" width="3.85546875" style="1081" customWidth="1"/>
    <col min="8199" max="8199" width="20" style="1081" customWidth="1"/>
    <col min="8200" max="8211" width="8.85546875" style="1081" customWidth="1"/>
    <col min="8212" max="8212" width="10.42578125" style="1081" bestFit="1" customWidth="1"/>
    <col min="8213" max="8451" width="9.140625" style="1081"/>
    <col min="8452" max="8452" width="3.85546875" style="1081" customWidth="1"/>
    <col min="8453" max="8453" width="14.42578125" style="1081" customWidth="1"/>
    <col min="8454" max="8454" width="3.85546875" style="1081" customWidth="1"/>
    <col min="8455" max="8455" width="20" style="1081" customWidth="1"/>
    <col min="8456" max="8467" width="8.85546875" style="1081" customWidth="1"/>
    <col min="8468" max="8468" width="10.42578125" style="1081" bestFit="1" customWidth="1"/>
    <col min="8469" max="8707" width="9.140625" style="1081"/>
    <col min="8708" max="8708" width="3.85546875" style="1081" customWidth="1"/>
    <col min="8709" max="8709" width="14.42578125" style="1081" customWidth="1"/>
    <col min="8710" max="8710" width="3.85546875" style="1081" customWidth="1"/>
    <col min="8711" max="8711" width="20" style="1081" customWidth="1"/>
    <col min="8712" max="8723" width="8.85546875" style="1081" customWidth="1"/>
    <col min="8724" max="8724" width="10.42578125" style="1081" bestFit="1" customWidth="1"/>
    <col min="8725" max="8963" width="9.140625" style="1081"/>
    <col min="8964" max="8964" width="3.85546875" style="1081" customWidth="1"/>
    <col min="8965" max="8965" width="14.42578125" style="1081" customWidth="1"/>
    <col min="8966" max="8966" width="3.85546875" style="1081" customWidth="1"/>
    <col min="8967" max="8967" width="20" style="1081" customWidth="1"/>
    <col min="8968" max="8979" width="8.85546875" style="1081" customWidth="1"/>
    <col min="8980" max="8980" width="10.42578125" style="1081" bestFit="1" customWidth="1"/>
    <col min="8981" max="9219" width="9.140625" style="1081"/>
    <col min="9220" max="9220" width="3.85546875" style="1081" customWidth="1"/>
    <col min="9221" max="9221" width="14.42578125" style="1081" customWidth="1"/>
    <col min="9222" max="9222" width="3.85546875" style="1081" customWidth="1"/>
    <col min="9223" max="9223" width="20" style="1081" customWidth="1"/>
    <col min="9224" max="9235" width="8.85546875" style="1081" customWidth="1"/>
    <col min="9236" max="9236" width="10.42578125" style="1081" bestFit="1" customWidth="1"/>
    <col min="9237" max="9475" width="9.140625" style="1081"/>
    <col min="9476" max="9476" width="3.85546875" style="1081" customWidth="1"/>
    <col min="9477" max="9477" width="14.42578125" style="1081" customWidth="1"/>
    <col min="9478" max="9478" width="3.85546875" style="1081" customWidth="1"/>
    <col min="9479" max="9479" width="20" style="1081" customWidth="1"/>
    <col min="9480" max="9491" width="8.85546875" style="1081" customWidth="1"/>
    <col min="9492" max="9492" width="10.42578125" style="1081" bestFit="1" customWidth="1"/>
    <col min="9493" max="9731" width="9.140625" style="1081"/>
    <col min="9732" max="9732" width="3.85546875" style="1081" customWidth="1"/>
    <col min="9733" max="9733" width="14.42578125" style="1081" customWidth="1"/>
    <col min="9734" max="9734" width="3.85546875" style="1081" customWidth="1"/>
    <col min="9735" max="9735" width="20" style="1081" customWidth="1"/>
    <col min="9736" max="9747" width="8.85546875" style="1081" customWidth="1"/>
    <col min="9748" max="9748" width="10.42578125" style="1081" bestFit="1" customWidth="1"/>
    <col min="9749" max="9987" width="9.140625" style="1081"/>
    <col min="9988" max="9988" width="3.85546875" style="1081" customWidth="1"/>
    <col min="9989" max="9989" width="14.42578125" style="1081" customWidth="1"/>
    <col min="9990" max="9990" width="3.85546875" style="1081" customWidth="1"/>
    <col min="9991" max="9991" width="20" style="1081" customWidth="1"/>
    <col min="9992" max="10003" width="8.85546875" style="1081" customWidth="1"/>
    <col min="10004" max="10004" width="10.42578125" style="1081" bestFit="1" customWidth="1"/>
    <col min="10005" max="10243" width="9.140625" style="1081"/>
    <col min="10244" max="10244" width="3.85546875" style="1081" customWidth="1"/>
    <col min="10245" max="10245" width="14.42578125" style="1081" customWidth="1"/>
    <col min="10246" max="10246" width="3.85546875" style="1081" customWidth="1"/>
    <col min="10247" max="10247" width="20" style="1081" customWidth="1"/>
    <col min="10248" max="10259" width="8.85546875" style="1081" customWidth="1"/>
    <col min="10260" max="10260" width="10.42578125" style="1081" bestFit="1" customWidth="1"/>
    <col min="10261" max="10499" width="9.140625" style="1081"/>
    <col min="10500" max="10500" width="3.85546875" style="1081" customWidth="1"/>
    <col min="10501" max="10501" width="14.42578125" style="1081" customWidth="1"/>
    <col min="10502" max="10502" width="3.85546875" style="1081" customWidth="1"/>
    <col min="10503" max="10503" width="20" style="1081" customWidth="1"/>
    <col min="10504" max="10515" width="8.85546875" style="1081" customWidth="1"/>
    <col min="10516" max="10516" width="10.42578125" style="1081" bestFit="1" customWidth="1"/>
    <col min="10517" max="10755" width="9.140625" style="1081"/>
    <col min="10756" max="10756" width="3.85546875" style="1081" customWidth="1"/>
    <col min="10757" max="10757" width="14.42578125" style="1081" customWidth="1"/>
    <col min="10758" max="10758" width="3.85546875" style="1081" customWidth="1"/>
    <col min="10759" max="10759" width="20" style="1081" customWidth="1"/>
    <col min="10760" max="10771" width="8.85546875" style="1081" customWidth="1"/>
    <col min="10772" max="10772" width="10.42578125" style="1081" bestFit="1" customWidth="1"/>
    <col min="10773" max="11011" width="9.140625" style="1081"/>
    <col min="11012" max="11012" width="3.85546875" style="1081" customWidth="1"/>
    <col min="11013" max="11013" width="14.42578125" style="1081" customWidth="1"/>
    <col min="11014" max="11014" width="3.85546875" style="1081" customWidth="1"/>
    <col min="11015" max="11015" width="20" style="1081" customWidth="1"/>
    <col min="11016" max="11027" width="8.85546875" style="1081" customWidth="1"/>
    <col min="11028" max="11028" width="10.42578125" style="1081" bestFit="1" customWidth="1"/>
    <col min="11029" max="11267" width="9.140625" style="1081"/>
    <col min="11268" max="11268" width="3.85546875" style="1081" customWidth="1"/>
    <col min="11269" max="11269" width="14.42578125" style="1081" customWidth="1"/>
    <col min="11270" max="11270" width="3.85546875" style="1081" customWidth="1"/>
    <col min="11271" max="11271" width="20" style="1081" customWidth="1"/>
    <col min="11272" max="11283" width="8.85546875" style="1081" customWidth="1"/>
    <col min="11284" max="11284" width="10.42578125" style="1081" bestFit="1" customWidth="1"/>
    <col min="11285" max="11523" width="9.140625" style="1081"/>
    <col min="11524" max="11524" width="3.85546875" style="1081" customWidth="1"/>
    <col min="11525" max="11525" width="14.42578125" style="1081" customWidth="1"/>
    <col min="11526" max="11526" width="3.85546875" style="1081" customWidth="1"/>
    <col min="11527" max="11527" width="20" style="1081" customWidth="1"/>
    <col min="11528" max="11539" width="8.85546875" style="1081" customWidth="1"/>
    <col min="11540" max="11540" width="10.42578125" style="1081" bestFit="1" customWidth="1"/>
    <col min="11541" max="11779" width="9.140625" style="1081"/>
    <col min="11780" max="11780" width="3.85546875" style="1081" customWidth="1"/>
    <col min="11781" max="11781" width="14.42578125" style="1081" customWidth="1"/>
    <col min="11782" max="11782" width="3.85546875" style="1081" customWidth="1"/>
    <col min="11783" max="11783" width="20" style="1081" customWidth="1"/>
    <col min="11784" max="11795" width="8.85546875" style="1081" customWidth="1"/>
    <col min="11796" max="11796" width="10.42578125" style="1081" bestFit="1" customWidth="1"/>
    <col min="11797" max="12035" width="9.140625" style="1081"/>
    <col min="12036" max="12036" width="3.85546875" style="1081" customWidth="1"/>
    <col min="12037" max="12037" width="14.42578125" style="1081" customWidth="1"/>
    <col min="12038" max="12038" width="3.85546875" style="1081" customWidth="1"/>
    <col min="12039" max="12039" width="20" style="1081" customWidth="1"/>
    <col min="12040" max="12051" width="8.85546875" style="1081" customWidth="1"/>
    <col min="12052" max="12052" width="10.42578125" style="1081" bestFit="1" customWidth="1"/>
    <col min="12053" max="12291" width="9.140625" style="1081"/>
    <col min="12292" max="12292" width="3.85546875" style="1081" customWidth="1"/>
    <col min="12293" max="12293" width="14.42578125" style="1081" customWidth="1"/>
    <col min="12294" max="12294" width="3.85546875" style="1081" customWidth="1"/>
    <col min="12295" max="12295" width="20" style="1081" customWidth="1"/>
    <col min="12296" max="12307" width="8.85546875" style="1081" customWidth="1"/>
    <col min="12308" max="12308" width="10.42578125" style="1081" bestFit="1" customWidth="1"/>
    <col min="12309" max="12547" width="9.140625" style="1081"/>
    <col min="12548" max="12548" width="3.85546875" style="1081" customWidth="1"/>
    <col min="12549" max="12549" width="14.42578125" style="1081" customWidth="1"/>
    <col min="12550" max="12550" width="3.85546875" style="1081" customWidth="1"/>
    <col min="12551" max="12551" width="20" style="1081" customWidth="1"/>
    <col min="12552" max="12563" width="8.85546875" style="1081" customWidth="1"/>
    <col min="12564" max="12564" width="10.42578125" style="1081" bestFit="1" customWidth="1"/>
    <col min="12565" max="12803" width="9.140625" style="1081"/>
    <col min="12804" max="12804" width="3.85546875" style="1081" customWidth="1"/>
    <col min="12805" max="12805" width="14.42578125" style="1081" customWidth="1"/>
    <col min="12806" max="12806" width="3.85546875" style="1081" customWidth="1"/>
    <col min="12807" max="12807" width="20" style="1081" customWidth="1"/>
    <col min="12808" max="12819" width="8.85546875" style="1081" customWidth="1"/>
    <col min="12820" max="12820" width="10.42578125" style="1081" bestFit="1" customWidth="1"/>
    <col min="12821" max="13059" width="9.140625" style="1081"/>
    <col min="13060" max="13060" width="3.85546875" style="1081" customWidth="1"/>
    <col min="13061" max="13061" width="14.42578125" style="1081" customWidth="1"/>
    <col min="13062" max="13062" width="3.85546875" style="1081" customWidth="1"/>
    <col min="13063" max="13063" width="20" style="1081" customWidth="1"/>
    <col min="13064" max="13075" width="8.85546875" style="1081" customWidth="1"/>
    <col min="13076" max="13076" width="10.42578125" style="1081" bestFit="1" customWidth="1"/>
    <col min="13077" max="13315" width="9.140625" style="1081"/>
    <col min="13316" max="13316" width="3.85546875" style="1081" customWidth="1"/>
    <col min="13317" max="13317" width="14.42578125" style="1081" customWidth="1"/>
    <col min="13318" max="13318" width="3.85546875" style="1081" customWidth="1"/>
    <col min="13319" max="13319" width="20" style="1081" customWidth="1"/>
    <col min="13320" max="13331" width="8.85546875" style="1081" customWidth="1"/>
    <col min="13332" max="13332" width="10.42578125" style="1081" bestFit="1" customWidth="1"/>
    <col min="13333" max="13571" width="9.140625" style="1081"/>
    <col min="13572" max="13572" width="3.85546875" style="1081" customWidth="1"/>
    <col min="13573" max="13573" width="14.42578125" style="1081" customWidth="1"/>
    <col min="13574" max="13574" width="3.85546875" style="1081" customWidth="1"/>
    <col min="13575" max="13575" width="20" style="1081" customWidth="1"/>
    <col min="13576" max="13587" width="8.85546875" style="1081" customWidth="1"/>
    <col min="13588" max="13588" width="10.42578125" style="1081" bestFit="1" customWidth="1"/>
    <col min="13589" max="13827" width="9.140625" style="1081"/>
    <col min="13828" max="13828" width="3.85546875" style="1081" customWidth="1"/>
    <col min="13829" max="13829" width="14.42578125" style="1081" customWidth="1"/>
    <col min="13830" max="13830" width="3.85546875" style="1081" customWidth="1"/>
    <col min="13831" max="13831" width="20" style="1081" customWidth="1"/>
    <col min="13832" max="13843" width="8.85546875" style="1081" customWidth="1"/>
    <col min="13844" max="13844" width="10.42578125" style="1081" bestFit="1" customWidth="1"/>
    <col min="13845" max="14083" width="9.140625" style="1081"/>
    <col min="14084" max="14084" width="3.85546875" style="1081" customWidth="1"/>
    <col min="14085" max="14085" width="14.42578125" style="1081" customWidth="1"/>
    <col min="14086" max="14086" width="3.85546875" style="1081" customWidth="1"/>
    <col min="14087" max="14087" width="20" style="1081" customWidth="1"/>
    <col min="14088" max="14099" width="8.85546875" style="1081" customWidth="1"/>
    <col min="14100" max="14100" width="10.42578125" style="1081" bestFit="1" customWidth="1"/>
    <col min="14101" max="14339" width="9.140625" style="1081"/>
    <col min="14340" max="14340" width="3.85546875" style="1081" customWidth="1"/>
    <col min="14341" max="14341" width="14.42578125" style="1081" customWidth="1"/>
    <col min="14342" max="14342" width="3.85546875" style="1081" customWidth="1"/>
    <col min="14343" max="14343" width="20" style="1081" customWidth="1"/>
    <col min="14344" max="14355" width="8.85546875" style="1081" customWidth="1"/>
    <col min="14356" max="14356" width="10.42578125" style="1081" bestFit="1" customWidth="1"/>
    <col min="14357" max="14595" width="9.140625" style="1081"/>
    <col min="14596" max="14596" width="3.85546875" style="1081" customWidth="1"/>
    <col min="14597" max="14597" width="14.42578125" style="1081" customWidth="1"/>
    <col min="14598" max="14598" width="3.85546875" style="1081" customWidth="1"/>
    <col min="14599" max="14599" width="20" style="1081" customWidth="1"/>
    <col min="14600" max="14611" width="8.85546875" style="1081" customWidth="1"/>
    <col min="14612" max="14612" width="10.42578125" style="1081" bestFit="1" customWidth="1"/>
    <col min="14613" max="14851" width="9.140625" style="1081"/>
    <col min="14852" max="14852" width="3.85546875" style="1081" customWidth="1"/>
    <col min="14853" max="14853" width="14.42578125" style="1081" customWidth="1"/>
    <col min="14854" max="14854" width="3.85546875" style="1081" customWidth="1"/>
    <col min="14855" max="14855" width="20" style="1081" customWidth="1"/>
    <col min="14856" max="14867" width="8.85546875" style="1081" customWidth="1"/>
    <col min="14868" max="14868" width="10.42578125" style="1081" bestFit="1" customWidth="1"/>
    <col min="14869" max="15107" width="9.140625" style="1081"/>
    <col min="15108" max="15108" width="3.85546875" style="1081" customWidth="1"/>
    <col min="15109" max="15109" width="14.42578125" style="1081" customWidth="1"/>
    <col min="15110" max="15110" width="3.85546875" style="1081" customWidth="1"/>
    <col min="15111" max="15111" width="20" style="1081" customWidth="1"/>
    <col min="15112" max="15123" width="8.85546875" style="1081" customWidth="1"/>
    <col min="15124" max="15124" width="10.42578125" style="1081" bestFit="1" customWidth="1"/>
    <col min="15125" max="15363" width="9.140625" style="1081"/>
    <col min="15364" max="15364" width="3.85546875" style="1081" customWidth="1"/>
    <col min="15365" max="15365" width="14.42578125" style="1081" customWidth="1"/>
    <col min="15366" max="15366" width="3.85546875" style="1081" customWidth="1"/>
    <col min="15367" max="15367" width="20" style="1081" customWidth="1"/>
    <col min="15368" max="15379" width="8.85546875" style="1081" customWidth="1"/>
    <col min="15380" max="15380" width="10.42578125" style="1081" bestFit="1" customWidth="1"/>
    <col min="15381" max="15619" width="9.140625" style="1081"/>
    <col min="15620" max="15620" width="3.85546875" style="1081" customWidth="1"/>
    <col min="15621" max="15621" width="14.42578125" style="1081" customWidth="1"/>
    <col min="15622" max="15622" width="3.85546875" style="1081" customWidth="1"/>
    <col min="15623" max="15623" width="20" style="1081" customWidth="1"/>
    <col min="15624" max="15635" width="8.85546875" style="1081" customWidth="1"/>
    <col min="15636" max="15636" width="10.42578125" style="1081" bestFit="1" customWidth="1"/>
    <col min="15637" max="15875" width="9.140625" style="1081"/>
    <col min="15876" max="15876" width="3.85546875" style="1081" customWidth="1"/>
    <col min="15877" max="15877" width="14.42578125" style="1081" customWidth="1"/>
    <col min="15878" max="15878" width="3.85546875" style="1081" customWidth="1"/>
    <col min="15879" max="15879" width="20" style="1081" customWidth="1"/>
    <col min="15880" max="15891" width="8.85546875" style="1081" customWidth="1"/>
    <col min="15892" max="15892" width="10.42578125" style="1081" bestFit="1" customWidth="1"/>
    <col min="15893" max="16131" width="9.140625" style="1081"/>
    <col min="16132" max="16132" width="3.85546875" style="1081" customWidth="1"/>
    <col min="16133" max="16133" width="14.42578125" style="1081" customWidth="1"/>
    <col min="16134" max="16134" width="3.85546875" style="1081" customWidth="1"/>
    <col min="16135" max="16135" width="20" style="1081" customWidth="1"/>
    <col min="16136" max="16147" width="8.85546875" style="1081" customWidth="1"/>
    <col min="16148" max="16148" width="10.42578125" style="1081" bestFit="1" customWidth="1"/>
    <col min="16149" max="16384" width="9.140625" style="1081"/>
  </cols>
  <sheetData>
    <row r="1" spans="1:31" x14ac:dyDescent="0.2">
      <c r="A1" s="506"/>
      <c r="B1" s="507"/>
      <c r="C1" s="507"/>
      <c r="D1" s="508"/>
      <c r="E1" s="508"/>
      <c r="F1" s="508"/>
      <c r="G1" s="508"/>
      <c r="H1" s="508"/>
      <c r="I1" s="508"/>
      <c r="J1" s="508"/>
      <c r="K1" s="508"/>
      <c r="L1" s="508"/>
      <c r="M1" s="508"/>
      <c r="N1" s="508"/>
      <c r="O1" s="508"/>
      <c r="P1" s="508"/>
      <c r="Q1" s="508"/>
      <c r="R1" s="508"/>
      <c r="S1" s="508"/>
      <c r="T1" s="508"/>
      <c r="U1" s="508"/>
    </row>
    <row r="2" spans="1:31" ht="14.25" customHeight="1" x14ac:dyDescent="0.2">
      <c r="A2" s="509">
        <v>1</v>
      </c>
      <c r="B2" s="509" t="s">
        <v>0</v>
      </c>
      <c r="C2" s="509">
        <v>50</v>
      </c>
      <c r="D2" s="4603" t="s">
        <v>1349</v>
      </c>
      <c r="E2" s="4604"/>
      <c r="F2" s="4604"/>
      <c r="G2" s="4604"/>
      <c r="H2" s="4604"/>
      <c r="I2" s="4604"/>
      <c r="J2" s="4604"/>
      <c r="K2" s="4604"/>
      <c r="L2" s="4604"/>
      <c r="M2" s="4604"/>
      <c r="N2" s="4604"/>
      <c r="O2" s="4604"/>
      <c r="P2" s="4604"/>
      <c r="Q2" s="4604"/>
      <c r="R2" s="4604"/>
      <c r="S2" s="4604"/>
      <c r="T2" s="4604"/>
      <c r="U2" s="4604"/>
      <c r="V2" s="4604"/>
      <c r="W2" s="4604"/>
      <c r="X2" s="4604"/>
      <c r="Y2" s="4604"/>
      <c r="Z2" s="4604"/>
      <c r="AA2" s="4604"/>
      <c r="AB2" s="4605"/>
    </row>
    <row r="3" spans="1:31" ht="15" customHeight="1" x14ac:dyDescent="0.2">
      <c r="A3" s="509">
        <v>2</v>
      </c>
      <c r="B3" s="509" t="s">
        <v>2</v>
      </c>
      <c r="C3" s="509"/>
      <c r="D3" s="4603" t="s">
        <v>1231</v>
      </c>
      <c r="E3" s="4604"/>
      <c r="F3" s="4604"/>
      <c r="G3" s="4604"/>
      <c r="H3" s="4604"/>
      <c r="I3" s="4604"/>
      <c r="J3" s="4604"/>
      <c r="K3" s="4604"/>
      <c r="L3" s="4604"/>
      <c r="M3" s="4604"/>
      <c r="N3" s="4604"/>
      <c r="O3" s="4604"/>
      <c r="P3" s="4604"/>
      <c r="Q3" s="4604"/>
      <c r="R3" s="4604"/>
      <c r="S3" s="4604"/>
      <c r="T3" s="4604"/>
      <c r="U3" s="4604"/>
      <c r="V3" s="4604"/>
      <c r="W3" s="4604"/>
      <c r="X3" s="4604"/>
      <c r="Y3" s="4604"/>
      <c r="Z3" s="4604"/>
      <c r="AA3" s="4604"/>
      <c r="AB3" s="4605"/>
    </row>
    <row r="4" spans="1:31" ht="14.25" customHeight="1" x14ac:dyDescent="0.2">
      <c r="A4" s="509">
        <v>3</v>
      </c>
      <c r="B4" s="509" t="s">
        <v>4</v>
      </c>
      <c r="C4" s="509"/>
      <c r="D4" s="4603" t="s">
        <v>1350</v>
      </c>
      <c r="E4" s="4604"/>
      <c r="F4" s="4604"/>
      <c r="G4" s="4604"/>
      <c r="H4" s="4604"/>
      <c r="I4" s="4604"/>
      <c r="J4" s="4604"/>
      <c r="K4" s="4604"/>
      <c r="L4" s="4604"/>
      <c r="M4" s="4604"/>
      <c r="N4" s="4604"/>
      <c r="O4" s="4604"/>
      <c r="P4" s="4604"/>
      <c r="Q4" s="4604"/>
      <c r="R4" s="4604"/>
      <c r="S4" s="4604"/>
      <c r="T4" s="4604"/>
      <c r="U4" s="4604"/>
      <c r="V4" s="4604"/>
      <c r="W4" s="4604"/>
      <c r="X4" s="4604"/>
      <c r="Y4" s="4604"/>
      <c r="Z4" s="4604"/>
      <c r="AA4" s="4604"/>
      <c r="AB4" s="4605"/>
    </row>
    <row r="5" spans="1:31" ht="14.25" customHeight="1" x14ac:dyDescent="0.25">
      <c r="A5" s="509"/>
      <c r="B5" s="509"/>
      <c r="C5" s="509"/>
      <c r="D5" s="880"/>
      <c r="E5" s="880"/>
      <c r="F5" s="880"/>
      <c r="G5" s="344"/>
      <c r="H5" s="344"/>
      <c r="I5" s="344"/>
      <c r="J5" s="344"/>
      <c r="K5" s="344"/>
      <c r="L5" s="344"/>
      <c r="M5" s="344"/>
      <c r="N5" s="344"/>
      <c r="O5" s="344"/>
      <c r="P5" s="344"/>
      <c r="Q5" s="344"/>
      <c r="R5" s="344"/>
      <c r="S5" s="344"/>
      <c r="T5" s="344"/>
      <c r="U5" s="1549"/>
    </row>
    <row r="6" spans="1:31" s="10" customFormat="1" ht="12.75" customHeight="1" x14ac:dyDescent="0.2">
      <c r="A6" s="860"/>
      <c r="B6" s="1456"/>
      <c r="C6" s="1456"/>
      <c r="D6" s="1550"/>
      <c r="E6" s="1550"/>
      <c r="F6" s="1550"/>
      <c r="G6" s="1550"/>
      <c r="H6" s="1550"/>
      <c r="I6" s="1550"/>
      <c r="J6" s="1550"/>
      <c r="K6" s="1550"/>
      <c r="L6" s="1550"/>
      <c r="M6" s="1550"/>
      <c r="N6" s="1550"/>
      <c r="O6" s="1550"/>
      <c r="P6" s="1550"/>
      <c r="V6" s="1551"/>
    </row>
    <row r="7" spans="1:31" s="10" customFormat="1" ht="12.75" customHeight="1" x14ac:dyDescent="0.2">
      <c r="A7" s="509">
        <v>4</v>
      </c>
      <c r="B7" s="509" t="s">
        <v>6</v>
      </c>
      <c r="C7" s="836"/>
      <c r="D7" s="1123" t="s">
        <v>80</v>
      </c>
      <c r="E7" s="1123"/>
      <c r="F7" s="1123"/>
      <c r="G7" s="1552" t="s">
        <v>1351</v>
      </c>
      <c r="H7" s="1553"/>
      <c r="I7" s="1553"/>
      <c r="J7" s="1553"/>
      <c r="K7" s="1553"/>
      <c r="L7" s="1553"/>
      <c r="M7" s="1553"/>
      <c r="N7" s="1553"/>
      <c r="O7" s="1553"/>
      <c r="P7" s="1553"/>
      <c r="Q7" s="1553"/>
      <c r="S7" s="88"/>
      <c r="T7" s="88"/>
      <c r="U7" s="88"/>
    </row>
    <row r="8" spans="1:31" s="10" customFormat="1" ht="12.75" customHeight="1" x14ac:dyDescent="0.2">
      <c r="A8" s="865"/>
      <c r="B8" s="836"/>
      <c r="C8" s="836"/>
      <c r="D8" s="1554"/>
      <c r="E8" s="1193">
        <v>1995</v>
      </c>
      <c r="F8" s="1193">
        <v>1996</v>
      </c>
      <c r="G8" s="1193">
        <v>1997</v>
      </c>
      <c r="H8" s="1193">
        <v>1998</v>
      </c>
      <c r="I8" s="1193">
        <v>1999</v>
      </c>
      <c r="J8" s="1193">
        <v>2000</v>
      </c>
      <c r="K8" s="1193">
        <v>2001</v>
      </c>
      <c r="L8" s="1193">
        <v>2002</v>
      </c>
      <c r="M8" s="1193">
        <v>3372</v>
      </c>
      <c r="N8" s="1193">
        <v>2004</v>
      </c>
      <c r="O8" s="1193"/>
      <c r="P8" s="1193">
        <v>2006</v>
      </c>
      <c r="Q8" s="1193">
        <v>2007</v>
      </c>
      <c r="R8" s="1193">
        <v>2008</v>
      </c>
      <c r="S8" s="1193">
        <v>2009</v>
      </c>
      <c r="T8" s="1193">
        <v>2010</v>
      </c>
      <c r="U8" s="1193">
        <v>2011</v>
      </c>
      <c r="V8" s="1193">
        <v>2012</v>
      </c>
      <c r="W8" s="1193">
        <v>2013</v>
      </c>
      <c r="X8" s="1193">
        <v>2014</v>
      </c>
      <c r="Y8" s="1193">
        <v>2015</v>
      </c>
      <c r="Z8" s="1193">
        <v>2016</v>
      </c>
      <c r="AA8" s="1237">
        <v>2017</v>
      </c>
      <c r="AB8" s="1237">
        <v>2018</v>
      </c>
      <c r="AC8" s="1237">
        <v>2019</v>
      </c>
      <c r="AD8" s="1237">
        <v>2020</v>
      </c>
      <c r="AE8" s="1237">
        <v>2021</v>
      </c>
    </row>
    <row r="9" spans="1:31" s="10" customFormat="1" ht="12.75" customHeight="1" x14ac:dyDescent="0.2">
      <c r="A9" s="865"/>
      <c r="B9" s="836"/>
      <c r="C9" s="1555">
        <v>1</v>
      </c>
      <c r="D9" s="1534" t="s">
        <v>1352</v>
      </c>
      <c r="E9" s="1556"/>
      <c r="F9" s="1556"/>
      <c r="G9" s="1557"/>
      <c r="H9" s="1557"/>
      <c r="I9" s="1557"/>
      <c r="J9" s="1558"/>
      <c r="K9" s="1558"/>
      <c r="L9" s="1559">
        <v>71.5</v>
      </c>
      <c r="M9" s="1559">
        <v>73.400000000000006</v>
      </c>
      <c r="N9" s="1559">
        <v>74.2</v>
      </c>
      <c r="O9" s="1559">
        <v>75.099999999999994</v>
      </c>
      <c r="P9" s="1559">
        <v>75.7</v>
      </c>
      <c r="Q9" s="1559">
        <v>77</v>
      </c>
      <c r="R9" s="1559">
        <v>77.599999999999994</v>
      </c>
      <c r="S9" s="1559">
        <v>80.7</v>
      </c>
      <c r="T9" s="1559">
        <v>81.3</v>
      </c>
      <c r="U9" s="1559">
        <v>82.5</v>
      </c>
      <c r="V9" s="1559">
        <v>83.8</v>
      </c>
      <c r="W9" s="1559">
        <v>84.2</v>
      </c>
      <c r="X9" s="1559">
        <v>84.6</v>
      </c>
      <c r="Y9" s="1559">
        <v>85</v>
      </c>
      <c r="Z9" s="1559">
        <v>85.8</v>
      </c>
      <c r="AA9" s="1559">
        <v>86.3</v>
      </c>
      <c r="AB9" s="1559">
        <v>87</v>
      </c>
      <c r="AC9" s="1559">
        <f>100-AC13</f>
        <v>87.9</v>
      </c>
      <c r="AD9" s="1559">
        <v>90</v>
      </c>
      <c r="AE9" s="1559">
        <v>89.5</v>
      </c>
    </row>
    <row r="10" spans="1:31" s="10" customFormat="1" ht="12.75" customHeight="1" x14ac:dyDescent="0.2">
      <c r="A10" s="865"/>
      <c r="B10" s="836"/>
      <c r="C10" s="1555">
        <v>2</v>
      </c>
      <c r="D10" s="87" t="s">
        <v>1353</v>
      </c>
      <c r="E10" s="1558">
        <v>0.69582114118507699</v>
      </c>
      <c r="F10" s="1556"/>
      <c r="G10" s="1558">
        <v>0.69258781105587497</v>
      </c>
      <c r="H10" s="1558">
        <v>0.68703930601276797</v>
      </c>
      <c r="I10" s="1558">
        <v>0.69049620076509899</v>
      </c>
      <c r="J10" s="1558"/>
      <c r="K10" s="1558"/>
      <c r="L10" s="1558"/>
      <c r="M10" s="1558">
        <v>9191</v>
      </c>
      <c r="N10" s="1558"/>
      <c r="O10" s="1558"/>
      <c r="P10" s="1558"/>
      <c r="Q10" s="1558"/>
      <c r="R10" s="1558"/>
      <c r="S10" s="1558"/>
      <c r="T10" s="1558"/>
      <c r="U10" s="1558"/>
      <c r="V10" s="1558"/>
      <c r="W10" s="1558"/>
      <c r="X10" s="1558"/>
      <c r="Y10" s="1558"/>
      <c r="Z10" s="1558"/>
      <c r="AA10" s="1560"/>
      <c r="AB10" s="1560"/>
      <c r="AC10" s="1560"/>
      <c r="AD10" s="1560"/>
      <c r="AE10" s="4359"/>
    </row>
    <row r="11" spans="1:31" s="10" customFormat="1" ht="12.75" customHeight="1" x14ac:dyDescent="0.2">
      <c r="A11" s="865"/>
      <c r="B11" s="836"/>
      <c r="C11" s="1555">
        <v>3</v>
      </c>
      <c r="D11" s="1534" t="s">
        <v>1354</v>
      </c>
      <c r="E11" s="1556"/>
      <c r="F11" s="1556"/>
      <c r="G11" s="1561"/>
      <c r="H11" s="1561"/>
      <c r="I11" s="1561"/>
      <c r="J11" s="1558"/>
      <c r="K11" s="1558"/>
      <c r="L11" s="1558">
        <v>0.69379092021008704</v>
      </c>
      <c r="M11" s="1558">
        <v>0.70300464922628603</v>
      </c>
      <c r="N11" s="1558">
        <v>0.71803278688524597</v>
      </c>
      <c r="O11" s="1558">
        <v>0.73699999999999999</v>
      </c>
      <c r="P11" s="1558">
        <v>0.745</v>
      </c>
      <c r="Q11" s="1558"/>
      <c r="R11" s="1558"/>
      <c r="S11" s="1558"/>
      <c r="T11" s="1558"/>
      <c r="U11" s="1558">
        <v>0.80700000000000005</v>
      </c>
      <c r="V11" s="1558">
        <v>0.82</v>
      </c>
      <c r="W11" s="1558">
        <v>0.82499999999999996</v>
      </c>
      <c r="X11" s="1558">
        <v>0.83</v>
      </c>
      <c r="Y11" s="1558">
        <v>0.83199999999999996</v>
      </c>
      <c r="Z11" s="1558">
        <v>0.83923060999999999</v>
      </c>
      <c r="AA11" s="1562">
        <v>0.85250806000000001</v>
      </c>
      <c r="AB11" s="1560"/>
      <c r="AC11" s="1563">
        <f>100-12.5</f>
        <v>87.5</v>
      </c>
      <c r="AD11" s="4358"/>
      <c r="AE11" s="1563" t="s">
        <v>475</v>
      </c>
    </row>
    <row r="12" spans="1:31" s="10" customFormat="1" ht="12.75" customHeight="1" x14ac:dyDescent="0.2">
      <c r="A12" s="865"/>
      <c r="B12" s="836"/>
      <c r="C12" s="1555">
        <v>4</v>
      </c>
      <c r="D12" s="3453" t="s">
        <v>1355</v>
      </c>
      <c r="E12" s="1564">
        <v>0.67228661749209695</v>
      </c>
      <c r="F12" s="1565"/>
      <c r="G12" s="1564">
        <v>0.675676991430467</v>
      </c>
      <c r="H12" s="1564">
        <v>0.67219802920879301</v>
      </c>
      <c r="I12" s="1564">
        <v>0.67376959649273205</v>
      </c>
      <c r="J12" s="1564"/>
      <c r="K12" s="1564"/>
      <c r="L12" s="1564"/>
      <c r="M12" s="1564"/>
      <c r="N12" s="1564"/>
      <c r="O12" s="1564"/>
      <c r="P12" s="1564"/>
      <c r="Q12" s="1564"/>
      <c r="R12" s="1564"/>
      <c r="S12" s="1564"/>
      <c r="T12" s="1564"/>
      <c r="U12" s="1564"/>
      <c r="V12" s="1564"/>
      <c r="W12" s="1564"/>
      <c r="X12" s="1564"/>
      <c r="Y12" s="1564"/>
      <c r="Z12" s="1564"/>
      <c r="AA12" s="1566"/>
      <c r="AB12" s="1566"/>
      <c r="AC12" s="1566"/>
      <c r="AD12" s="1566"/>
      <c r="AE12" s="4347"/>
    </row>
    <row r="13" spans="1:31" s="10" customFormat="1" ht="12.75" customHeight="1" x14ac:dyDescent="0.25">
      <c r="A13" s="865"/>
      <c r="B13" s="836"/>
      <c r="C13" s="1555"/>
      <c r="D13" s="1567" t="s">
        <v>1356</v>
      </c>
      <c r="E13" s="1500">
        <f>1-E10</f>
        <v>0.30417885881492301</v>
      </c>
      <c r="F13" s="1500"/>
      <c r="G13" s="1500">
        <f>1-G10</f>
        <v>0.30741218894412503</v>
      </c>
      <c r="H13" s="1500">
        <f>1-H10</f>
        <v>0.31296069398723203</v>
      </c>
      <c r="I13" s="1500">
        <f>1-I10</f>
        <v>0.30950379923490101</v>
      </c>
      <c r="J13" s="1500"/>
      <c r="K13" s="1500"/>
      <c r="L13" s="1568">
        <v>28.5</v>
      </c>
      <c r="M13" s="1569">
        <v>26.6</v>
      </c>
      <c r="N13" s="1569">
        <v>25.8</v>
      </c>
      <c r="O13" s="1569">
        <v>24.9</v>
      </c>
      <c r="P13" s="1569">
        <v>24.3</v>
      </c>
      <c r="Q13" s="1569">
        <v>23</v>
      </c>
      <c r="R13" s="1570">
        <v>22.4</v>
      </c>
      <c r="S13" s="1570">
        <v>19.3</v>
      </c>
      <c r="T13" s="1570">
        <v>18.7</v>
      </c>
      <c r="U13" s="1570">
        <v>17.5</v>
      </c>
      <c r="V13" s="1570">
        <v>16.2</v>
      </c>
      <c r="W13" s="1570">
        <v>15.8</v>
      </c>
      <c r="X13" s="1570">
        <v>15.4</v>
      </c>
      <c r="Y13" s="1570">
        <v>15</v>
      </c>
      <c r="Z13" s="1570">
        <v>14.2</v>
      </c>
      <c r="AA13" s="1570">
        <v>13.7</v>
      </c>
      <c r="AB13" s="1571">
        <v>13</v>
      </c>
      <c r="AC13" s="1571">
        <v>12.1</v>
      </c>
      <c r="AD13" s="1571" t="s">
        <v>1357</v>
      </c>
      <c r="AE13" s="1571">
        <v>10.5</v>
      </c>
    </row>
    <row r="14" spans="1:31" s="10" customFormat="1" ht="12.75" customHeight="1" x14ac:dyDescent="0.2">
      <c r="A14" s="865"/>
      <c r="B14" s="836"/>
      <c r="C14" s="1555"/>
      <c r="D14" s="1534"/>
      <c r="E14" s="1474"/>
      <c r="F14" s="135"/>
      <c r="G14" s="1474"/>
      <c r="H14" s="1474"/>
      <c r="I14" s="1474"/>
      <c r="J14" s="1474"/>
      <c r="K14" s="1474"/>
      <c r="L14" s="1474"/>
      <c r="M14" s="1474"/>
      <c r="N14" s="1474"/>
      <c r="O14" s="1474"/>
      <c r="P14" s="1474"/>
      <c r="Q14" s="1474"/>
      <c r="R14" s="1474"/>
      <c r="S14" s="1474"/>
      <c r="T14" s="1474"/>
      <c r="U14" s="1474"/>
      <c r="V14" s="1474"/>
      <c r="W14" s="1474"/>
      <c r="X14" s="1474"/>
      <c r="AE14" s="4562"/>
    </row>
    <row r="15" spans="1:31" s="10" customFormat="1" ht="12.75" customHeight="1" x14ac:dyDescent="0.2">
      <c r="A15" s="865"/>
      <c r="B15" s="836"/>
      <c r="C15" s="1555"/>
      <c r="D15" s="861" t="s">
        <v>267</v>
      </c>
      <c r="E15" s="1552"/>
      <c r="F15" s="135"/>
      <c r="G15" s="1552" t="s">
        <v>1358</v>
      </c>
      <c r="H15" s="1474"/>
      <c r="I15" s="1474"/>
      <c r="J15" s="1474"/>
      <c r="K15" s="1474"/>
      <c r="L15" s="1474"/>
      <c r="M15" s="1474"/>
      <c r="N15" s="1474"/>
      <c r="O15" s="1474"/>
      <c r="P15" s="1474"/>
    </row>
    <row r="16" spans="1:31" s="10" customFormat="1" ht="12.75" customHeight="1" x14ac:dyDescent="0.2">
      <c r="A16" s="865"/>
      <c r="B16" s="836"/>
      <c r="C16" s="836"/>
      <c r="D16" s="1554"/>
      <c r="E16" s="128">
        <v>1995</v>
      </c>
      <c r="F16" s="128">
        <v>1996</v>
      </c>
      <c r="G16" s="128">
        <v>1997</v>
      </c>
      <c r="H16" s="128">
        <v>1998</v>
      </c>
      <c r="I16" s="128">
        <v>1999</v>
      </c>
      <c r="J16" s="128">
        <v>2000</v>
      </c>
      <c r="K16" s="128">
        <v>2001</v>
      </c>
      <c r="L16" s="128">
        <v>2002</v>
      </c>
      <c r="M16" s="128">
        <v>2003</v>
      </c>
      <c r="N16" s="128">
        <v>2004</v>
      </c>
      <c r="O16" s="128">
        <v>2005</v>
      </c>
      <c r="P16" s="128">
        <v>2006</v>
      </c>
      <c r="Q16" s="128">
        <v>2007</v>
      </c>
      <c r="R16" s="128">
        <v>2008</v>
      </c>
      <c r="S16" s="128">
        <v>2009</v>
      </c>
      <c r="T16" s="128">
        <v>2010</v>
      </c>
      <c r="U16" s="128">
        <v>2011</v>
      </c>
    </row>
    <row r="17" spans="1:28" s="10" customFormat="1" ht="12.75" customHeight="1" x14ac:dyDescent="0.2">
      <c r="A17" s="865"/>
      <c r="B17" s="836"/>
      <c r="C17" s="836"/>
      <c r="D17" s="1207" t="s">
        <v>276</v>
      </c>
      <c r="E17" s="1572"/>
      <c r="F17" s="1573">
        <f>(100-40.4)/100</f>
        <v>0.59599999999999997</v>
      </c>
      <c r="G17" s="1574"/>
      <c r="H17" s="1574"/>
      <c r="I17" s="1574"/>
      <c r="J17" s="1574"/>
      <c r="K17" s="1573">
        <f>(100-39.7)/100</f>
        <v>0.60299999999999998</v>
      </c>
      <c r="L17" s="1574"/>
      <c r="M17" s="1574"/>
      <c r="N17" s="1574"/>
      <c r="O17" s="1574"/>
      <c r="P17" s="1574"/>
      <c r="Q17" s="1574"/>
      <c r="R17" s="1574"/>
      <c r="S17" s="1574"/>
      <c r="T17" s="1574"/>
      <c r="U17" s="1573">
        <f>(100-26.5)/100</f>
        <v>0.73499999999999999</v>
      </c>
    </row>
    <row r="18" spans="1:28" s="10" customFormat="1" ht="12.75" customHeight="1" x14ac:dyDescent="0.2">
      <c r="A18" s="865"/>
      <c r="B18" s="836"/>
      <c r="C18" s="836"/>
      <c r="D18" s="1207" t="s">
        <v>277</v>
      </c>
      <c r="E18" s="1572"/>
      <c r="F18" s="1573">
        <f>(100-36.2)/100</f>
        <v>0.63800000000000001</v>
      </c>
      <c r="G18" s="1574"/>
      <c r="H18" s="1574"/>
      <c r="I18" s="1574"/>
      <c r="J18" s="1574"/>
      <c r="K18" s="1573">
        <f>(100-34.7)/100</f>
        <v>0.65300000000000002</v>
      </c>
      <c r="L18" s="1574"/>
      <c r="M18" s="1574"/>
      <c r="N18" s="1574"/>
      <c r="O18" s="1574"/>
      <c r="P18" s="1574"/>
      <c r="Q18" s="1574"/>
      <c r="R18" s="1574"/>
      <c r="S18" s="1574"/>
      <c r="T18" s="1574"/>
      <c r="U18" s="1573">
        <f>(100-21.1)/100</f>
        <v>0.78900000000000003</v>
      </c>
    </row>
    <row r="19" spans="1:28" s="10" customFormat="1" ht="12.75" customHeight="1" x14ac:dyDescent="0.2">
      <c r="A19" s="865"/>
      <c r="B19" s="836"/>
      <c r="C19" s="836"/>
      <c r="D19" s="1207" t="s">
        <v>278</v>
      </c>
      <c r="E19" s="1572"/>
      <c r="F19" s="1573">
        <f>(100-20.5)/100</f>
        <v>0.79500000000000004</v>
      </c>
      <c r="G19" s="1574"/>
      <c r="H19" s="1574"/>
      <c r="I19" s="1574"/>
      <c r="J19" s="1574"/>
      <c r="K19" s="1573">
        <f>(100-19.2)/100</f>
        <v>0.80799999999999994</v>
      </c>
      <c r="L19" s="1574"/>
      <c r="M19" s="1574"/>
      <c r="N19" s="1574"/>
      <c r="O19" s="1574"/>
      <c r="P19" s="1574"/>
      <c r="Q19" s="1574"/>
      <c r="R19" s="1574"/>
      <c r="S19" s="1574"/>
      <c r="T19" s="1574"/>
      <c r="U19" s="1573">
        <f>(100-10.4)/100</f>
        <v>0.89599999999999991</v>
      </c>
    </row>
    <row r="20" spans="1:28" s="10" customFormat="1" ht="12.75" customHeight="1" x14ac:dyDescent="0.2">
      <c r="A20" s="865"/>
      <c r="B20" s="836"/>
      <c r="C20" s="836"/>
      <c r="D20" s="1207" t="s">
        <v>641</v>
      </c>
      <c r="E20" s="1572"/>
      <c r="F20" s="1573">
        <f>(100-37.7)/100</f>
        <v>0.623</v>
      </c>
      <c r="G20" s="1574"/>
      <c r="H20" s="1574"/>
      <c r="I20" s="1574"/>
      <c r="J20" s="1574"/>
      <c r="K20" s="1573">
        <f>(100-35.4)/100</f>
        <v>0.64599999999999991</v>
      </c>
      <c r="L20" s="1574"/>
      <c r="M20" s="1574"/>
      <c r="N20" s="1574"/>
      <c r="O20" s="1574"/>
      <c r="P20" s="1574"/>
      <c r="Q20" s="1574"/>
      <c r="R20" s="1574"/>
      <c r="S20" s="1574"/>
      <c r="T20" s="1574"/>
      <c r="U20" s="1573">
        <f>(100-21.8)/100</f>
        <v>0.78200000000000003</v>
      </c>
    </row>
    <row r="21" spans="1:28" s="10" customFormat="1" ht="12.75" customHeight="1" x14ac:dyDescent="0.2">
      <c r="A21" s="865"/>
      <c r="B21" s="836"/>
      <c r="C21" s="836"/>
      <c r="D21" s="1207" t="s">
        <v>280</v>
      </c>
      <c r="E21" s="1572"/>
      <c r="F21" s="1573">
        <f>(100-42.2)/100</f>
        <v>0.57799999999999996</v>
      </c>
      <c r="G21" s="1574"/>
      <c r="H21" s="1574"/>
      <c r="I21" s="1574"/>
      <c r="J21" s="1574"/>
      <c r="K21" s="1573">
        <f>(100-41)/100</f>
        <v>0.59</v>
      </c>
      <c r="L21" s="1574"/>
      <c r="M21" s="1574"/>
      <c r="N21" s="1574"/>
      <c r="O21" s="1574"/>
      <c r="P21" s="1574"/>
      <c r="Q21" s="1574"/>
      <c r="R21" s="1574"/>
      <c r="S21" s="1574"/>
      <c r="T21" s="1574"/>
      <c r="U21" s="1573">
        <f>(100-25)/100</f>
        <v>0.75</v>
      </c>
    </row>
    <row r="22" spans="1:28" s="10" customFormat="1" ht="12.75" customHeight="1" x14ac:dyDescent="0.2">
      <c r="A22" s="865"/>
      <c r="B22" s="836"/>
      <c r="C22" s="836"/>
      <c r="D22" s="1207" t="s">
        <v>281</v>
      </c>
      <c r="E22" s="1572"/>
      <c r="F22" s="1573">
        <f>(100-40.9)/100</f>
        <v>0.59099999999999997</v>
      </c>
      <c r="G22" s="1574"/>
      <c r="H22" s="1574"/>
      <c r="I22" s="1574"/>
      <c r="J22" s="1574"/>
      <c r="K22" s="1573">
        <f>(100-39.9)/100</f>
        <v>0.60099999999999998</v>
      </c>
      <c r="L22" s="1574"/>
      <c r="M22" s="1574"/>
      <c r="N22" s="1574"/>
      <c r="O22" s="1574"/>
      <c r="P22" s="1574"/>
      <c r="Q22" s="1574"/>
      <c r="R22" s="1574"/>
      <c r="S22" s="1574"/>
      <c r="T22" s="1574"/>
      <c r="U22" s="1573">
        <f>(100-23.1)/100</f>
        <v>0.76900000000000002</v>
      </c>
    </row>
    <row r="23" spans="1:28" s="10" customFormat="1" ht="12.75" customHeight="1" x14ac:dyDescent="0.2">
      <c r="A23" s="865"/>
      <c r="B23" s="836"/>
      <c r="C23" s="836"/>
      <c r="D23" s="1207" t="s">
        <v>282</v>
      </c>
      <c r="E23" s="1572"/>
      <c r="F23" s="1573">
        <f>(100-41.2)/100</f>
        <v>0.58799999999999997</v>
      </c>
      <c r="G23" s="1574"/>
      <c r="H23" s="1574"/>
      <c r="I23" s="1574"/>
      <c r="J23" s="1574"/>
      <c r="K23" s="1573">
        <f>(100-38)/100</f>
        <v>0.62</v>
      </c>
      <c r="L23" s="1574"/>
      <c r="M23" s="1574"/>
      <c r="N23" s="1574"/>
      <c r="O23" s="1574"/>
      <c r="P23" s="1574"/>
      <c r="Q23" s="1574"/>
      <c r="R23" s="1574"/>
      <c r="S23" s="1574"/>
      <c r="T23" s="1574"/>
      <c r="U23" s="1573">
        <f>(100-26.4)/100</f>
        <v>0.73599999999999999</v>
      </c>
    </row>
    <row r="24" spans="1:28" s="10" customFormat="1" ht="12.75" customHeight="1" x14ac:dyDescent="0.2">
      <c r="A24" s="865"/>
      <c r="B24" s="836"/>
      <c r="C24" s="1555"/>
      <c r="D24" s="1207" t="s">
        <v>283</v>
      </c>
      <c r="E24" s="1575"/>
      <c r="F24" s="1576">
        <f>(100-42.1)/100</f>
        <v>0.57899999999999996</v>
      </c>
      <c r="G24" s="1577"/>
      <c r="H24" s="1577"/>
      <c r="I24" s="1577"/>
      <c r="J24" s="1574"/>
      <c r="K24" s="1573">
        <f>(100-38.1)/100</f>
        <v>0.61899999999999999</v>
      </c>
      <c r="L24" s="1574"/>
      <c r="M24" s="1574"/>
      <c r="N24" s="1574"/>
      <c r="O24" s="1574"/>
      <c r="P24" s="1574"/>
      <c r="Q24" s="1574"/>
      <c r="R24" s="1574"/>
      <c r="S24" s="1574"/>
      <c r="T24" s="1574"/>
      <c r="U24" s="1573">
        <f>(100-26)/100</f>
        <v>0.74</v>
      </c>
    </row>
    <row r="25" spans="1:28" s="10" customFormat="1" ht="12.75" customHeight="1" x14ac:dyDescent="0.2">
      <c r="A25" s="865"/>
      <c r="B25" s="836"/>
      <c r="C25" s="1555"/>
      <c r="D25" s="3450" t="s">
        <v>284</v>
      </c>
      <c r="E25" s="3454"/>
      <c r="F25" s="3455">
        <f>(100-21.1)/100</f>
        <v>0.78900000000000003</v>
      </c>
      <c r="G25" s="3456"/>
      <c r="H25" s="3456"/>
      <c r="I25" s="3456"/>
      <c r="J25" s="3456"/>
      <c r="K25" s="3457">
        <f>(100-19.6)/100</f>
        <v>0.80400000000000005</v>
      </c>
      <c r="L25" s="3456"/>
      <c r="M25" s="3456"/>
      <c r="N25" s="3456"/>
      <c r="O25" s="3456"/>
      <c r="P25" s="3456"/>
      <c r="Q25" s="3456"/>
      <c r="R25" s="3456"/>
      <c r="S25" s="3456"/>
      <c r="T25" s="3456"/>
      <c r="U25" s="3457">
        <f>(100-12.6)/100</f>
        <v>0.87400000000000011</v>
      </c>
    </row>
    <row r="26" spans="1:28" s="10" customFormat="1" ht="12.75" customHeight="1" x14ac:dyDescent="0.2">
      <c r="A26" s="865"/>
      <c r="B26" s="836"/>
      <c r="C26" s="1555"/>
      <c r="D26" s="1567" t="s">
        <v>1359</v>
      </c>
      <c r="E26" s="1578"/>
      <c r="F26" s="1579">
        <f>(100-33.6)/100</f>
        <v>0.66400000000000003</v>
      </c>
      <c r="G26" s="1580"/>
      <c r="H26" s="1580"/>
      <c r="I26" s="1580"/>
      <c r="J26" s="1580"/>
      <c r="K26" s="1581">
        <f>(100-31.5)/100</f>
        <v>0.68500000000000005</v>
      </c>
      <c r="L26" s="1580"/>
      <c r="M26" s="1580"/>
      <c r="N26" s="1580"/>
      <c r="O26" s="1580"/>
      <c r="P26" s="1580"/>
      <c r="Q26" s="1580"/>
      <c r="R26" s="1580"/>
      <c r="S26" s="1580"/>
      <c r="T26" s="1580"/>
      <c r="U26" s="1581">
        <f>(100-19.1)/100</f>
        <v>0.80900000000000005</v>
      </c>
    </row>
    <row r="27" spans="1:28" s="9" customFormat="1" ht="12.75" customHeight="1" x14ac:dyDescent="0.2">
      <c r="A27" s="865"/>
      <c r="B27" s="865"/>
      <c r="C27" s="1555"/>
      <c r="D27" s="861" t="s">
        <v>1356</v>
      </c>
      <c r="E27" s="1582"/>
      <c r="F27" s="1583">
        <v>0.33600000000000002</v>
      </c>
      <c r="G27" s="1584"/>
      <c r="H27" s="1584"/>
      <c r="I27" s="1584"/>
      <c r="J27" s="1584"/>
      <c r="K27" s="1583">
        <v>0.315</v>
      </c>
      <c r="L27" s="1584"/>
      <c r="M27" s="1584"/>
      <c r="N27" s="1584"/>
      <c r="O27" s="1584"/>
      <c r="P27" s="1584"/>
      <c r="Q27" s="1584"/>
      <c r="R27" s="1584"/>
      <c r="S27" s="1584"/>
      <c r="T27" s="1584"/>
      <c r="U27" s="1583">
        <v>0.191</v>
      </c>
      <c r="AB27" s="10"/>
    </row>
    <row r="28" spans="1:28" s="10" customFormat="1" ht="12.75" customHeight="1" x14ac:dyDescent="0.2">
      <c r="A28" s="865"/>
      <c r="B28" s="836"/>
      <c r="C28" s="1555"/>
      <c r="D28" s="1534"/>
      <c r="E28" s="1474"/>
      <c r="F28" s="135"/>
      <c r="G28" s="135"/>
      <c r="H28" s="135"/>
      <c r="I28" s="135"/>
      <c r="J28" s="135"/>
      <c r="K28" s="135"/>
      <c r="L28" s="135"/>
      <c r="M28" s="135"/>
      <c r="N28" s="135"/>
      <c r="O28" s="135"/>
      <c r="P28" s="135"/>
      <c r="Q28" s="135"/>
      <c r="R28" s="135"/>
      <c r="S28" s="135"/>
      <c r="T28" s="135"/>
      <c r="U28" s="135"/>
    </row>
    <row r="29" spans="1:28" s="10" customFormat="1" ht="12.75" customHeight="1" x14ac:dyDescent="0.2">
      <c r="A29" s="509">
        <v>5</v>
      </c>
      <c r="B29" s="509" t="s">
        <v>51</v>
      </c>
      <c r="C29" s="1555"/>
      <c r="D29" s="1534"/>
      <c r="E29" s="1474"/>
      <c r="F29" s="135"/>
      <c r="G29" s="1474"/>
      <c r="H29" s="1474"/>
      <c r="I29" s="1474"/>
      <c r="J29" s="1474"/>
      <c r="K29" s="1474"/>
      <c r="L29" s="1474"/>
      <c r="M29" s="1474"/>
      <c r="N29" s="1474"/>
      <c r="O29" s="1474"/>
      <c r="P29" s="1474"/>
    </row>
    <row r="30" spans="1:28" s="10" customFormat="1" ht="12.75" customHeight="1" x14ac:dyDescent="0.2">
      <c r="A30" s="865"/>
      <c r="B30" s="836"/>
      <c r="C30" s="1555"/>
      <c r="D30" s="1534"/>
      <c r="E30" s="1474"/>
      <c r="F30" s="135"/>
      <c r="G30" s="1474"/>
      <c r="H30" s="1474"/>
      <c r="I30" s="1474"/>
      <c r="J30" s="1474"/>
      <c r="K30" s="1474"/>
      <c r="L30" s="1474"/>
      <c r="M30" s="1474"/>
      <c r="N30" s="1474"/>
      <c r="O30" s="1474"/>
      <c r="P30" s="1474"/>
    </row>
    <row r="31" spans="1:28" s="10" customFormat="1" ht="12.75" customHeight="1" x14ac:dyDescent="0.2">
      <c r="A31" s="865"/>
      <c r="B31" s="836"/>
      <c r="C31" s="1555"/>
      <c r="D31" s="1534"/>
      <c r="E31" s="1474"/>
      <c r="F31" s="135"/>
      <c r="G31" s="1474"/>
      <c r="H31" s="1474"/>
      <c r="I31" s="1474"/>
      <c r="J31" s="1474"/>
      <c r="K31" s="1474"/>
      <c r="L31" s="1474"/>
      <c r="M31" s="1474"/>
      <c r="N31" s="1474"/>
      <c r="O31" s="1474"/>
      <c r="P31" s="1474"/>
    </row>
    <row r="32" spans="1:28" s="10" customFormat="1" ht="12.75" customHeight="1" x14ac:dyDescent="0.2">
      <c r="A32" s="865"/>
      <c r="B32" s="836"/>
      <c r="C32" s="1555"/>
      <c r="D32" s="1534"/>
      <c r="E32" s="1474"/>
      <c r="F32" s="135"/>
      <c r="G32" s="1474"/>
      <c r="H32" s="1474"/>
      <c r="I32" s="1474"/>
      <c r="J32" s="1474"/>
      <c r="K32" s="1474"/>
      <c r="L32" s="1474"/>
      <c r="M32" s="1474"/>
      <c r="N32" s="1474"/>
      <c r="O32" s="1474"/>
      <c r="P32" s="1474"/>
    </row>
    <row r="33" spans="1:28" s="10" customFormat="1" ht="12.75" customHeight="1" x14ac:dyDescent="0.2">
      <c r="A33" s="865"/>
      <c r="B33" s="836"/>
      <c r="C33" s="1555"/>
      <c r="D33" s="1534"/>
      <c r="E33" s="1474"/>
      <c r="F33" s="135"/>
      <c r="G33" s="1474"/>
      <c r="H33" s="1474"/>
      <c r="I33" s="1474"/>
      <c r="J33" s="1474"/>
      <c r="K33" s="1474"/>
      <c r="L33" s="1474"/>
      <c r="M33" s="1474"/>
      <c r="N33" s="1474"/>
      <c r="O33" s="1474"/>
      <c r="P33" s="1474"/>
    </row>
    <row r="34" spans="1:28" s="10" customFormat="1" ht="12.75" customHeight="1" x14ac:dyDescent="0.2">
      <c r="A34" s="865"/>
      <c r="B34" s="836"/>
      <c r="C34" s="1555"/>
      <c r="D34" s="1534"/>
      <c r="E34" s="1474"/>
      <c r="F34" s="135"/>
      <c r="G34" s="1474"/>
      <c r="H34" s="1474"/>
      <c r="I34" s="1474"/>
      <c r="J34" s="1474"/>
      <c r="K34" s="1474"/>
      <c r="L34" s="1474"/>
      <c r="M34" s="1474"/>
      <c r="N34" s="1474"/>
      <c r="O34" s="1474"/>
      <c r="P34" s="1474"/>
    </row>
    <row r="35" spans="1:28" s="10" customFormat="1" ht="12.75" customHeight="1" x14ac:dyDescent="0.2">
      <c r="A35" s="865"/>
      <c r="B35" s="836"/>
      <c r="C35" s="1555"/>
      <c r="D35" s="1534"/>
      <c r="E35" s="1474"/>
      <c r="F35" s="135"/>
      <c r="G35" s="1474"/>
      <c r="H35" s="1474"/>
      <c r="I35" s="1474"/>
      <c r="J35" s="1474"/>
      <c r="K35" s="1474"/>
      <c r="L35" s="1474"/>
      <c r="M35" s="1474"/>
      <c r="N35" s="1474"/>
      <c r="O35" s="1474"/>
      <c r="P35" s="1474"/>
    </row>
    <row r="36" spans="1:28" s="10" customFormat="1" ht="12.75" customHeight="1" x14ac:dyDescent="0.2">
      <c r="A36" s="865"/>
      <c r="B36" s="836"/>
      <c r="C36" s="1555"/>
      <c r="D36" s="1534"/>
      <c r="E36" s="1474"/>
      <c r="F36" s="135"/>
      <c r="G36" s="1474"/>
      <c r="H36" s="1474"/>
      <c r="I36" s="1474"/>
      <c r="J36" s="1474"/>
      <c r="K36" s="1474"/>
      <c r="L36" s="1474"/>
      <c r="M36" s="1474"/>
      <c r="N36" s="1474"/>
      <c r="O36" s="1474"/>
      <c r="P36" s="1474"/>
    </row>
    <row r="37" spans="1:28" s="10" customFormat="1" ht="12.75" customHeight="1" x14ac:dyDescent="0.2">
      <c r="A37" s="865"/>
      <c r="B37" s="836"/>
      <c r="C37" s="1555"/>
      <c r="D37" s="1534"/>
      <c r="E37" s="1474"/>
      <c r="F37" s="135"/>
      <c r="G37" s="1474"/>
      <c r="H37" s="1474"/>
      <c r="I37" s="1474"/>
      <c r="J37" s="1474"/>
      <c r="K37" s="1474"/>
      <c r="L37" s="1474"/>
      <c r="M37" s="1474"/>
      <c r="N37" s="1474"/>
      <c r="O37" s="1474"/>
      <c r="P37" s="1474"/>
    </row>
    <row r="38" spans="1:28" s="10" customFormat="1" ht="12.75" customHeight="1" x14ac:dyDescent="0.2">
      <c r="A38" s="865"/>
      <c r="B38" s="836"/>
      <c r="C38" s="1555"/>
      <c r="D38" s="1534"/>
      <c r="E38" s="1474"/>
      <c r="F38" s="135"/>
      <c r="G38" s="1474"/>
      <c r="H38" s="1474"/>
      <c r="I38" s="1474"/>
      <c r="J38" s="1474"/>
      <c r="K38" s="1474"/>
      <c r="L38" s="1474"/>
      <c r="M38" s="1474"/>
      <c r="N38" s="1474"/>
      <c r="O38" s="1474"/>
      <c r="P38" s="1474"/>
    </row>
    <row r="39" spans="1:28" s="10" customFormat="1" ht="12.75" customHeight="1" x14ac:dyDescent="0.2">
      <c r="A39" s="865"/>
      <c r="B39" s="836"/>
      <c r="C39" s="1555"/>
      <c r="D39" s="1534"/>
      <c r="E39" s="1474"/>
      <c r="F39" s="135"/>
      <c r="G39" s="1474"/>
      <c r="H39" s="1474"/>
      <c r="I39" s="1474"/>
      <c r="J39" s="1474"/>
      <c r="K39" s="1474"/>
      <c r="L39" s="1474"/>
      <c r="M39" s="1474"/>
      <c r="N39" s="1474"/>
      <c r="O39" s="1474"/>
      <c r="P39" s="1474"/>
    </row>
    <row r="40" spans="1:28" s="10" customFormat="1" ht="12.75" customHeight="1" x14ac:dyDescent="0.2">
      <c r="A40" s="865"/>
      <c r="B40" s="836"/>
      <c r="C40" s="1555"/>
      <c r="D40" s="1534"/>
      <c r="E40" s="1474"/>
      <c r="F40" s="135"/>
      <c r="G40" s="1474"/>
      <c r="H40" s="1474"/>
      <c r="I40" s="1474"/>
      <c r="J40" s="1474"/>
      <c r="K40" s="1474"/>
      <c r="L40" s="1474"/>
      <c r="M40" s="1474"/>
      <c r="N40" s="1474"/>
      <c r="O40" s="1474"/>
      <c r="P40" s="1474"/>
    </row>
    <row r="41" spans="1:28" s="10" customFormat="1" ht="12.75" customHeight="1" x14ac:dyDescent="0.2">
      <c r="A41" s="865"/>
      <c r="B41" s="836"/>
      <c r="C41" s="1555"/>
      <c r="D41" s="1534"/>
      <c r="E41" s="1474"/>
      <c r="F41" s="135"/>
      <c r="G41" s="1474"/>
      <c r="H41" s="1474"/>
      <c r="I41" s="1474"/>
      <c r="J41" s="1474"/>
      <c r="K41" s="1474"/>
      <c r="L41" s="1474"/>
      <c r="M41" s="1474"/>
      <c r="N41" s="1474"/>
      <c r="O41" s="1474"/>
      <c r="P41" s="1474"/>
    </row>
    <row r="42" spans="1:28" s="10" customFormat="1" ht="12.75" customHeight="1" x14ac:dyDescent="0.2">
      <c r="A42" s="865"/>
      <c r="B42" s="836"/>
      <c r="C42" s="1555"/>
      <c r="D42" s="1534"/>
      <c r="E42" s="1474"/>
      <c r="F42" s="135"/>
      <c r="G42" s="1474"/>
      <c r="H42" s="1474"/>
      <c r="I42" s="1474"/>
      <c r="J42" s="1474"/>
      <c r="K42" s="1474"/>
      <c r="L42" s="1474"/>
      <c r="M42" s="1474"/>
      <c r="N42" s="1474"/>
      <c r="O42" s="1474"/>
      <c r="P42" s="1474"/>
    </row>
    <row r="43" spans="1:28" s="10" customFormat="1" ht="12.75" customHeight="1" x14ac:dyDescent="0.2">
      <c r="A43" s="865"/>
      <c r="B43" s="836"/>
      <c r="C43" s="1555"/>
      <c r="D43" s="1534"/>
      <c r="E43" s="1474"/>
      <c r="F43" s="135"/>
      <c r="G43" s="1474"/>
      <c r="H43" s="1474"/>
      <c r="I43" s="1474"/>
      <c r="J43" s="1474"/>
      <c r="K43" s="1474"/>
      <c r="L43" s="1474"/>
      <c r="M43" s="1474"/>
      <c r="N43" s="1474"/>
      <c r="O43" s="1474"/>
      <c r="P43" s="1474"/>
    </row>
    <row r="44" spans="1:28" s="10" customFormat="1" ht="12.75" customHeight="1" x14ac:dyDescent="0.2">
      <c r="A44" s="865"/>
      <c r="B44" s="836"/>
      <c r="C44" s="836"/>
      <c r="D44" s="87"/>
      <c r="E44" s="87"/>
      <c r="F44" s="87"/>
      <c r="G44" s="71"/>
      <c r="H44" s="71"/>
      <c r="I44" s="71"/>
      <c r="J44" s="71"/>
      <c r="K44" s="71"/>
      <c r="L44" s="71"/>
      <c r="M44" s="71"/>
      <c r="N44" s="71"/>
      <c r="O44" s="71"/>
      <c r="P44" s="71"/>
      <c r="Q44" s="71"/>
      <c r="R44" s="71"/>
      <c r="S44" s="71"/>
      <c r="T44" s="71"/>
      <c r="U44" s="71"/>
    </row>
    <row r="45" spans="1:28" ht="15" customHeight="1" x14ac:dyDescent="0.2">
      <c r="A45" s="509">
        <v>6</v>
      </c>
      <c r="B45" s="509" t="s">
        <v>52</v>
      </c>
      <c r="C45" s="509"/>
      <c r="D45" s="4603" t="s">
        <v>533</v>
      </c>
      <c r="E45" s="4604"/>
      <c r="F45" s="4604"/>
      <c r="G45" s="4604"/>
      <c r="H45" s="4604"/>
      <c r="I45" s="4604"/>
      <c r="J45" s="4604"/>
      <c r="K45" s="4604"/>
      <c r="L45" s="4604"/>
      <c r="M45" s="4604"/>
      <c r="N45" s="4604"/>
      <c r="O45" s="4604"/>
      <c r="P45" s="4604"/>
      <c r="Q45" s="4604"/>
      <c r="R45" s="4604"/>
      <c r="S45" s="4604"/>
      <c r="T45" s="4604"/>
      <c r="U45" s="4604"/>
      <c r="V45" s="4604"/>
      <c r="W45" s="4604"/>
      <c r="X45" s="4604"/>
      <c r="Y45" s="4604"/>
      <c r="Z45" s="4604"/>
      <c r="AA45" s="4604"/>
      <c r="AB45" s="4605"/>
    </row>
    <row r="46" spans="1:28" ht="36.75" customHeight="1" x14ac:dyDescent="0.2">
      <c r="A46" s="546">
        <v>7</v>
      </c>
      <c r="B46" s="546" t="s">
        <v>54</v>
      </c>
      <c r="C46" s="546"/>
      <c r="D46" s="4603" t="s">
        <v>1360</v>
      </c>
      <c r="E46" s="4604"/>
      <c r="F46" s="4604"/>
      <c r="G46" s="4604"/>
      <c r="H46" s="4604"/>
      <c r="I46" s="4604"/>
      <c r="J46" s="4604"/>
      <c r="K46" s="4604"/>
      <c r="L46" s="4604"/>
      <c r="M46" s="4604"/>
      <c r="N46" s="4604"/>
      <c r="O46" s="4604"/>
      <c r="P46" s="4604"/>
      <c r="Q46" s="4604"/>
      <c r="R46" s="4604"/>
      <c r="S46" s="4604"/>
      <c r="T46" s="4604"/>
      <c r="U46" s="4604"/>
      <c r="V46" s="4604"/>
      <c r="W46" s="4604"/>
      <c r="X46" s="4604"/>
      <c r="Y46" s="4604"/>
      <c r="Z46" s="4604"/>
      <c r="AA46" s="4604"/>
      <c r="AB46" s="4605"/>
    </row>
    <row r="47" spans="1:28" ht="14.25" customHeight="1" x14ac:dyDescent="0.2">
      <c r="A47" s="509">
        <v>8</v>
      </c>
      <c r="B47" s="509" t="s">
        <v>56</v>
      </c>
      <c r="C47" s="509"/>
      <c r="D47" s="4603" t="s">
        <v>2247</v>
      </c>
      <c r="E47" s="4604"/>
      <c r="F47" s="4604"/>
      <c r="G47" s="4604"/>
      <c r="H47" s="4604"/>
      <c r="I47" s="4604"/>
      <c r="J47" s="4604"/>
      <c r="K47" s="4604"/>
      <c r="L47" s="4604"/>
      <c r="M47" s="4604"/>
      <c r="N47" s="4604"/>
      <c r="O47" s="4604"/>
      <c r="P47" s="4604"/>
      <c r="Q47" s="4604"/>
      <c r="R47" s="4604"/>
      <c r="S47" s="4604"/>
      <c r="T47" s="4604"/>
      <c r="U47" s="4604"/>
      <c r="V47" s="4604"/>
      <c r="W47" s="4604"/>
      <c r="X47" s="4604"/>
      <c r="Y47" s="4604"/>
      <c r="Z47" s="4604"/>
      <c r="AA47" s="4604"/>
      <c r="AB47" s="4605"/>
    </row>
    <row r="48" spans="1:28" ht="14.25" customHeight="1" x14ac:dyDescent="0.2">
      <c r="A48" s="509">
        <v>9</v>
      </c>
      <c r="B48" s="509" t="s">
        <v>409</v>
      </c>
      <c r="D48" s="4603" t="s">
        <v>1361</v>
      </c>
      <c r="E48" s="4604"/>
      <c r="F48" s="4604"/>
      <c r="G48" s="4604"/>
      <c r="H48" s="4604"/>
      <c r="I48" s="4604"/>
      <c r="J48" s="4604"/>
      <c r="K48" s="4604"/>
      <c r="L48" s="4604"/>
      <c r="M48" s="4604"/>
      <c r="N48" s="4604"/>
      <c r="O48" s="4604"/>
      <c r="P48" s="4604"/>
      <c r="Q48" s="4604"/>
      <c r="R48" s="4604"/>
      <c r="S48" s="4604"/>
      <c r="T48" s="4604"/>
      <c r="U48" s="4604"/>
      <c r="V48" s="4604"/>
      <c r="W48" s="4604"/>
      <c r="X48" s="4604"/>
      <c r="Y48" s="4604"/>
      <c r="Z48" s="4604"/>
      <c r="AA48" s="4604"/>
      <c r="AB48" s="4605"/>
    </row>
    <row r="49" spans="4:31" x14ac:dyDescent="0.2">
      <c r="E49" s="1585"/>
    </row>
    <row r="54" spans="4:31" x14ac:dyDescent="0.2">
      <c r="D54" s="1123" t="s">
        <v>365</v>
      </c>
      <c r="E54" s="1123"/>
      <c r="F54" s="1123"/>
      <c r="G54" s="1552" t="s">
        <v>1351</v>
      </c>
      <c r="H54" s="1553"/>
      <c r="I54" s="1553"/>
      <c r="J54" s="1553"/>
      <c r="K54" s="1553"/>
      <c r="L54" s="1553"/>
      <c r="M54" s="1553"/>
      <c r="N54" s="1553"/>
      <c r="O54" s="1553"/>
      <c r="P54" s="1553"/>
      <c r="Q54" s="1553"/>
      <c r="R54" s="10"/>
    </row>
    <row r="55" spans="4:31" x14ac:dyDescent="0.2">
      <c r="D55" s="3386"/>
      <c r="E55" s="2424">
        <v>1995</v>
      </c>
      <c r="F55" s="2424">
        <v>1996</v>
      </c>
      <c r="G55" s="2424">
        <v>1997</v>
      </c>
      <c r="H55" s="2424">
        <v>1998</v>
      </c>
      <c r="I55" s="2424">
        <v>1999</v>
      </c>
      <c r="J55" s="2424">
        <v>2000</v>
      </c>
      <c r="K55" s="2424">
        <v>2001</v>
      </c>
      <c r="L55" s="2424">
        <v>2002</v>
      </c>
      <c r="M55" s="2424">
        <v>2003</v>
      </c>
      <c r="N55" s="2424">
        <v>2004</v>
      </c>
      <c r="O55" s="2424">
        <v>2005</v>
      </c>
      <c r="P55" s="2424">
        <v>2006</v>
      </c>
      <c r="Q55" s="2424">
        <v>2007</v>
      </c>
      <c r="R55" s="2424">
        <v>2008</v>
      </c>
      <c r="S55" s="2424">
        <v>2009</v>
      </c>
      <c r="T55" s="2424">
        <v>2010</v>
      </c>
      <c r="U55" s="2424">
        <v>2011</v>
      </c>
      <c r="V55" s="2424">
        <v>2012</v>
      </c>
      <c r="W55" s="2424">
        <v>2013</v>
      </c>
      <c r="X55" s="2424">
        <v>2014</v>
      </c>
      <c r="Y55" s="2424">
        <v>2015</v>
      </c>
      <c r="Z55" s="3458">
        <v>2016</v>
      </c>
      <c r="AA55" s="3458">
        <v>2017</v>
      </c>
      <c r="AB55" s="1237">
        <v>2018</v>
      </c>
      <c r="AC55" s="1237">
        <v>2019</v>
      </c>
      <c r="AD55" s="1237">
        <v>2020</v>
      </c>
      <c r="AE55" s="1237">
        <v>2021</v>
      </c>
    </row>
    <row r="56" spans="4:31" x14ac:dyDescent="0.2">
      <c r="D56" s="1534" t="s">
        <v>1362</v>
      </c>
      <c r="E56" s="135"/>
      <c r="F56" s="135"/>
      <c r="G56" s="857"/>
      <c r="H56" s="857"/>
      <c r="I56" s="857"/>
      <c r="J56" s="1474"/>
      <c r="K56" s="1474"/>
      <c r="L56" s="1559">
        <v>71.5</v>
      </c>
      <c r="M56" s="1559">
        <v>73.400000000000006</v>
      </c>
      <c r="N56" s="1559">
        <v>74.2</v>
      </c>
      <c r="O56" s="1559">
        <v>75.099999999999994</v>
      </c>
      <c r="P56" s="1559">
        <v>75.7</v>
      </c>
      <c r="Q56" s="1559">
        <v>77</v>
      </c>
      <c r="R56" s="1559">
        <v>77.599999999999994</v>
      </c>
      <c r="S56" s="1559">
        <v>80.7</v>
      </c>
      <c r="T56" s="1559">
        <v>81.3</v>
      </c>
      <c r="U56" s="1559">
        <v>82.5</v>
      </c>
      <c r="V56" s="1559">
        <v>83.8</v>
      </c>
      <c r="W56" s="1559">
        <v>84.2</v>
      </c>
      <c r="X56" s="1559">
        <v>84.6</v>
      </c>
      <c r="Y56" s="1559">
        <v>85</v>
      </c>
      <c r="Z56" s="1559">
        <v>85.8</v>
      </c>
      <c r="AA56" s="1559">
        <v>86.3</v>
      </c>
      <c r="AB56" s="1559">
        <v>87</v>
      </c>
      <c r="AC56" s="1559">
        <f>100-AC60</f>
        <v>87.9</v>
      </c>
      <c r="AD56" s="1559">
        <v>90</v>
      </c>
      <c r="AE56" s="1559">
        <v>85.5</v>
      </c>
    </row>
    <row r="57" spans="4:31" x14ac:dyDescent="0.2">
      <c r="D57" s="87" t="s">
        <v>1353</v>
      </c>
      <c r="E57" s="1474">
        <v>0.69582114118507699</v>
      </c>
      <c r="F57" s="135"/>
      <c r="G57" s="1474">
        <v>0.69258781105587497</v>
      </c>
      <c r="H57" s="1474">
        <v>0.68703930601276797</v>
      </c>
      <c r="I57" s="1474">
        <v>0.69049620076509899</v>
      </c>
      <c r="J57" s="1474"/>
      <c r="K57" s="1474"/>
      <c r="L57" s="1474"/>
      <c r="M57" s="1474"/>
      <c r="N57" s="1474"/>
      <c r="O57" s="1474"/>
      <c r="P57" s="1474"/>
      <c r="Q57" s="1474"/>
      <c r="R57" s="1474"/>
      <c r="S57" s="1474"/>
      <c r="T57" s="1474"/>
      <c r="U57" s="1474"/>
      <c r="V57" s="1474"/>
      <c r="W57" s="1474"/>
      <c r="X57" s="1474"/>
      <c r="Y57" s="1474"/>
      <c r="Z57" s="1586"/>
      <c r="AA57" s="1587"/>
      <c r="AB57" s="1560"/>
      <c r="AC57" s="1560"/>
      <c r="AD57" s="1560"/>
      <c r="AE57" s="10"/>
    </row>
    <row r="58" spans="4:31" x14ac:dyDescent="0.2">
      <c r="D58" s="1534" t="s">
        <v>1363</v>
      </c>
      <c r="E58" s="135"/>
      <c r="F58" s="135"/>
      <c r="G58" s="1588"/>
      <c r="H58" s="1588"/>
      <c r="I58" s="1588"/>
      <c r="J58" s="1474"/>
      <c r="K58" s="1474"/>
      <c r="L58" s="1474">
        <v>0.69379092021008704</v>
      </c>
      <c r="M58" s="1474">
        <v>0.70300464922628603</v>
      </c>
      <c r="N58" s="1474">
        <v>0.71803278688524597</v>
      </c>
      <c r="O58" s="1474">
        <v>0.73699999999999999</v>
      </c>
      <c r="P58" s="1474">
        <v>0.745</v>
      </c>
      <c r="Q58" s="1474">
        <v>0.75700000000000001</v>
      </c>
      <c r="R58" s="1474">
        <v>0.753</v>
      </c>
      <c r="S58" s="1474">
        <v>0.78800000000000003</v>
      </c>
      <c r="T58" s="1474">
        <v>0.79500000000000004</v>
      </c>
      <c r="U58" s="1474">
        <v>0.80700000000000005</v>
      </c>
      <c r="V58" s="1474">
        <v>0.82</v>
      </c>
      <c r="W58" s="1474">
        <v>0.82499999999999996</v>
      </c>
      <c r="X58" s="1474">
        <v>0.83</v>
      </c>
      <c r="Y58" s="1474">
        <v>0.83199999999999996</v>
      </c>
      <c r="Z58" s="1586">
        <v>0.83923060999999999</v>
      </c>
      <c r="AA58" s="1587">
        <v>0.85250806000000001</v>
      </c>
      <c r="AB58" s="1560"/>
      <c r="AC58" s="1563">
        <f>100-12.5</f>
        <v>87.5</v>
      </c>
      <c r="AD58" s="1563"/>
      <c r="AE58" s="1563" t="s">
        <v>475</v>
      </c>
    </row>
    <row r="59" spans="4:31" x14ac:dyDescent="0.2">
      <c r="D59" s="3453" t="s">
        <v>1355</v>
      </c>
      <c r="E59" s="3459">
        <v>0.67228661749209695</v>
      </c>
      <c r="F59" s="3460"/>
      <c r="G59" s="3459">
        <v>0.675676991430467</v>
      </c>
      <c r="H59" s="3459">
        <v>0.67219802920879301</v>
      </c>
      <c r="I59" s="3459">
        <v>0.67376959649273205</v>
      </c>
      <c r="J59" s="3459"/>
      <c r="K59" s="3459"/>
      <c r="L59" s="3459"/>
      <c r="M59" s="3459"/>
      <c r="N59" s="3459"/>
      <c r="O59" s="3459"/>
      <c r="P59" s="3459"/>
      <c r="Q59" s="3459"/>
      <c r="R59" s="3459"/>
      <c r="S59" s="3459"/>
      <c r="T59" s="3459"/>
      <c r="U59" s="3459"/>
      <c r="V59" s="3459"/>
      <c r="W59" s="3459"/>
      <c r="X59" s="3459"/>
      <c r="Y59" s="3459"/>
      <c r="Z59" s="1589"/>
      <c r="AA59" s="1590"/>
      <c r="AB59" s="1566"/>
      <c r="AC59" s="1566"/>
      <c r="AD59" s="1566"/>
      <c r="AE59" s="10"/>
    </row>
    <row r="60" spans="4:31" x14ac:dyDescent="0.25">
      <c r="D60" s="1567" t="s">
        <v>1356</v>
      </c>
      <c r="E60" s="1591">
        <v>0.30417885881492301</v>
      </c>
      <c r="F60" s="1591"/>
      <c r="G60" s="1591">
        <v>0.30741218894412503</v>
      </c>
      <c r="H60" s="1591">
        <v>0.31296069398723203</v>
      </c>
      <c r="I60" s="1591">
        <v>0.30950379923490101</v>
      </c>
      <c r="J60" s="1591"/>
      <c r="K60" s="1591"/>
      <c r="L60" s="1568">
        <v>28.5</v>
      </c>
      <c r="M60" s="1569">
        <v>26.6</v>
      </c>
      <c r="N60" s="1569">
        <v>25.8</v>
      </c>
      <c r="O60" s="1569">
        <v>24.9</v>
      </c>
      <c r="P60" s="1569">
        <v>24.3</v>
      </c>
      <c r="Q60" s="1569">
        <v>23</v>
      </c>
      <c r="R60" s="1569">
        <v>22.4</v>
      </c>
      <c r="S60" s="1569">
        <v>19.3</v>
      </c>
      <c r="T60" s="1569">
        <v>18.7</v>
      </c>
      <c r="U60" s="1569">
        <v>17.5</v>
      </c>
      <c r="V60" s="1569">
        <v>16.2</v>
      </c>
      <c r="W60" s="1569">
        <v>15.8</v>
      </c>
      <c r="X60" s="1569">
        <v>15.4</v>
      </c>
      <c r="Y60" s="1569">
        <v>15</v>
      </c>
      <c r="Z60" s="1569">
        <v>14.2</v>
      </c>
      <c r="AA60" s="1569">
        <v>13.7</v>
      </c>
      <c r="AB60" s="1568">
        <v>13</v>
      </c>
      <c r="AC60" s="1571">
        <v>12.1</v>
      </c>
      <c r="AD60" s="1571">
        <v>10</v>
      </c>
      <c r="AE60" s="1571">
        <v>10.5</v>
      </c>
    </row>
    <row r="71" spans="8:13" x14ac:dyDescent="0.2">
      <c r="H71" s="1592"/>
    </row>
    <row r="79" spans="8:13" x14ac:dyDescent="0.25">
      <c r="L79" s="1593"/>
      <c r="M79" s="1594"/>
    </row>
    <row r="80" spans="8:13" x14ac:dyDescent="0.25">
      <c r="L80" s="1593"/>
    </row>
  </sheetData>
  <mergeCells count="7">
    <mergeCell ref="D48:AB48"/>
    <mergeCell ref="D2:AB2"/>
    <mergeCell ref="D3:AB3"/>
    <mergeCell ref="D4:AB4"/>
    <mergeCell ref="D45:AB45"/>
    <mergeCell ref="D46:AB46"/>
    <mergeCell ref="D47:AB47"/>
  </mergeCells>
  <pageMargins left="0.74803149606299202" right="0.74803149606299202" top="0.98425196850393704" bottom="0.98425196850393704" header="0.511811023622047" footer="0.511811023622047"/>
  <pageSetup paperSize="9" scale="44"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7D811-4177-470A-9EE5-308972A35DF8}">
  <sheetPr>
    <tabColor rgb="FF0070C0"/>
    <pageSetUpPr fitToPage="1"/>
  </sheetPr>
  <dimension ref="A1:BH49"/>
  <sheetViews>
    <sheetView showGridLines="0" view="pageBreakPreview" topLeftCell="A5" zoomScaleNormal="100" zoomScaleSheetLayoutView="100" workbookViewId="0">
      <selection activeCell="D4" sqref="D4:V4"/>
    </sheetView>
  </sheetViews>
  <sheetFormatPr defaultColWidth="9.140625" defaultRowHeight="15" x14ac:dyDescent="0.25"/>
  <cols>
    <col min="1" max="1" width="3.85546875" style="1595" customWidth="1"/>
    <col min="2" max="2" width="14.42578125" style="1596" customWidth="1"/>
    <col min="3" max="3" width="3.85546875" style="1596" customWidth="1"/>
    <col min="4" max="4" width="20.140625" style="1437" customWidth="1"/>
    <col min="5" max="5" width="25.5703125" style="1437" customWidth="1"/>
    <col min="6" max="7" width="7.85546875" style="1437" customWidth="1"/>
    <col min="8" max="18" width="7.85546875" style="1437" hidden="1" customWidth="1"/>
    <col min="19" max="19" width="14.42578125" style="1437" customWidth="1"/>
    <col min="20" max="20" width="7.85546875" style="1437" hidden="1" customWidth="1"/>
    <col min="21" max="23" width="7.85546875" style="1437" customWidth="1"/>
    <col min="24" max="26" width="9.140625" style="1437"/>
    <col min="27" max="27" width="10.85546875" style="1437" bestFit="1" customWidth="1"/>
    <col min="28" max="34" width="9.140625" style="1437"/>
    <col min="35" max="35" width="9.5703125" style="1437" bestFit="1" customWidth="1"/>
    <col min="36" max="55" width="9.85546875" style="1437" bestFit="1" customWidth="1"/>
    <col min="56" max="56" width="9.5703125" style="1437" bestFit="1" customWidth="1"/>
    <col min="57" max="59" width="9.140625" style="1437" bestFit="1" customWidth="1"/>
    <col min="60" max="16384" width="9.140625" style="1437"/>
  </cols>
  <sheetData>
    <row r="1" spans="1:60" x14ac:dyDescent="0.25">
      <c r="A1" s="3960"/>
      <c r="B1" s="3961"/>
      <c r="C1" s="3961"/>
      <c r="D1" s="3962"/>
      <c r="E1" s="3962"/>
      <c r="F1" s="3962"/>
      <c r="G1" s="3962"/>
      <c r="H1" s="3962"/>
      <c r="I1" s="3962"/>
      <c r="J1" s="3962"/>
      <c r="K1" s="3962"/>
      <c r="L1" s="3962"/>
      <c r="M1" s="3962"/>
      <c r="N1" s="3962"/>
      <c r="O1" s="3962"/>
      <c r="P1" s="3962"/>
      <c r="Q1" s="3962"/>
      <c r="R1" s="3962"/>
      <c r="S1" s="3962"/>
      <c r="T1" s="3962"/>
      <c r="U1" s="3962"/>
      <c r="V1" s="3963"/>
      <c r="W1" s="3963"/>
    </row>
    <row r="2" spans="1:60" ht="14.45" customHeight="1" x14ac:dyDescent="0.25">
      <c r="A2" s="3960">
        <v>1</v>
      </c>
      <c r="B2" s="3960" t="s">
        <v>0</v>
      </c>
      <c r="C2" s="3960">
        <v>51</v>
      </c>
      <c r="D2" s="4890" t="s">
        <v>1364</v>
      </c>
      <c r="E2" s="4891"/>
      <c r="F2" s="4891"/>
      <c r="G2" s="4891"/>
      <c r="H2" s="4891"/>
      <c r="I2" s="4891"/>
      <c r="J2" s="4891"/>
      <c r="K2" s="4891"/>
      <c r="L2" s="4891"/>
      <c r="M2" s="4891"/>
      <c r="N2" s="4891"/>
      <c r="O2" s="4891"/>
      <c r="P2" s="4891"/>
      <c r="Q2" s="4891"/>
      <c r="R2" s="4891"/>
      <c r="S2" s="4891"/>
      <c r="T2" s="4891"/>
      <c r="U2" s="4891"/>
      <c r="V2" s="4891"/>
      <c r="W2" s="4891"/>
      <c r="X2" s="4891"/>
      <c r="Y2" s="4891"/>
      <c r="Z2" s="4891"/>
      <c r="AA2" s="4891"/>
      <c r="AB2" s="4891"/>
      <c r="AC2" s="4892"/>
    </row>
    <row r="3" spans="1:60" ht="15" customHeight="1" x14ac:dyDescent="0.25">
      <c r="A3" s="3960">
        <v>2</v>
      </c>
      <c r="B3" s="3960" t="s">
        <v>2</v>
      </c>
      <c r="C3" s="3960"/>
      <c r="D3" s="4890" t="s">
        <v>1365</v>
      </c>
      <c r="E3" s="4891"/>
      <c r="F3" s="4891"/>
      <c r="G3" s="4891"/>
      <c r="H3" s="4891"/>
      <c r="I3" s="4891"/>
      <c r="J3" s="4891"/>
      <c r="K3" s="4891"/>
      <c r="L3" s="4891"/>
      <c r="M3" s="4891"/>
      <c r="N3" s="4891"/>
      <c r="O3" s="4891"/>
      <c r="P3" s="4891"/>
      <c r="Q3" s="4891"/>
      <c r="R3" s="4891"/>
      <c r="S3" s="4891"/>
      <c r="T3" s="4891"/>
      <c r="U3" s="4891"/>
      <c r="V3" s="4891"/>
      <c r="W3" s="4891"/>
      <c r="X3" s="4891"/>
      <c r="Y3" s="4891"/>
      <c r="Z3" s="4891"/>
      <c r="AA3" s="4891"/>
      <c r="AB3" s="4891"/>
      <c r="AC3" s="4892"/>
    </row>
    <row r="4" spans="1:60" ht="12.75" customHeight="1" x14ac:dyDescent="0.25">
      <c r="A4" s="3960">
        <v>3</v>
      </c>
      <c r="B4" s="3960" t="s">
        <v>4</v>
      </c>
      <c r="C4" s="3960"/>
      <c r="D4" s="4890" t="s">
        <v>1366</v>
      </c>
      <c r="E4" s="4891"/>
      <c r="F4" s="4891"/>
      <c r="G4" s="4891"/>
      <c r="H4" s="4891"/>
      <c r="I4" s="4891"/>
      <c r="J4" s="4891"/>
      <c r="K4" s="4891"/>
      <c r="L4" s="4891"/>
      <c r="M4" s="4891"/>
      <c r="N4" s="4891"/>
      <c r="O4" s="4891"/>
      <c r="P4" s="4891"/>
      <c r="Q4" s="4891"/>
      <c r="R4" s="4891"/>
      <c r="S4" s="4891"/>
      <c r="T4" s="4891"/>
      <c r="U4" s="4891"/>
      <c r="V4" s="4891"/>
      <c r="W4" s="4891"/>
      <c r="X4" s="4891"/>
      <c r="Y4" s="4891"/>
      <c r="Z4" s="4891"/>
      <c r="AA4" s="4891"/>
      <c r="AB4" s="4891"/>
      <c r="AC4" s="4892"/>
    </row>
    <row r="5" spans="1:60" x14ac:dyDescent="0.25">
      <c r="C5" s="3960"/>
      <c r="D5" s="3964"/>
      <c r="E5" s="3964"/>
      <c r="F5" s="3964"/>
      <c r="G5" s="3964"/>
      <c r="H5" s="3964"/>
      <c r="I5" s="3964"/>
      <c r="J5" s="3964"/>
      <c r="K5" s="3964"/>
      <c r="L5" s="3964"/>
      <c r="M5" s="3964"/>
      <c r="N5" s="3964"/>
      <c r="O5" s="3964"/>
      <c r="P5" s="3964"/>
      <c r="Q5" s="3964"/>
      <c r="R5" s="3964"/>
      <c r="S5" s="3964"/>
      <c r="T5" s="426"/>
      <c r="U5" s="426"/>
      <c r="V5" s="3965"/>
      <c r="W5" s="3965"/>
      <c r="AD5" s="290"/>
      <c r="AE5" s="290"/>
      <c r="AF5" s="290"/>
      <c r="AG5" s="290"/>
      <c r="AH5" s="290"/>
      <c r="AI5" s="290"/>
      <c r="AJ5" s="290"/>
      <c r="AK5" s="290"/>
      <c r="AL5" s="290"/>
      <c r="AM5" s="290"/>
      <c r="AN5" s="290"/>
      <c r="AO5" s="290"/>
      <c r="AP5" s="290"/>
      <c r="AQ5" s="290"/>
      <c r="AR5" s="290"/>
      <c r="AS5" s="290"/>
      <c r="AT5" s="290"/>
      <c r="AU5" s="290"/>
      <c r="AV5" s="290"/>
      <c r="AW5" s="290"/>
      <c r="AX5" s="290"/>
      <c r="AY5" s="290"/>
      <c r="AZ5" s="290"/>
      <c r="BA5" s="290"/>
      <c r="BB5" s="290"/>
      <c r="BC5" s="290"/>
      <c r="BD5" s="290"/>
      <c r="BE5" s="290"/>
      <c r="BF5" s="290"/>
      <c r="BG5" s="290"/>
      <c r="BH5" s="290"/>
    </row>
    <row r="6" spans="1:60" x14ac:dyDescent="0.25">
      <c r="A6" s="3960">
        <v>4</v>
      </c>
      <c r="B6" s="3960" t="s">
        <v>6</v>
      </c>
      <c r="C6" s="3961"/>
      <c r="D6" s="3966" t="s">
        <v>80</v>
      </c>
      <c r="E6" s="3966"/>
      <c r="F6" s="3966" t="s">
        <v>1289</v>
      </c>
      <c r="G6" s="3966"/>
      <c r="H6" s="3966"/>
      <c r="I6" s="3966"/>
      <c r="J6" s="3966"/>
      <c r="K6" s="3966"/>
      <c r="L6" s="3966"/>
      <c r="M6" s="3966"/>
      <c r="N6" s="3967"/>
      <c r="O6" s="3967"/>
      <c r="P6" s="3967"/>
      <c r="Q6" s="3967"/>
      <c r="R6" s="3967"/>
      <c r="S6" s="3967"/>
      <c r="T6" s="3967"/>
      <c r="U6" s="3967"/>
      <c r="V6" s="3967"/>
      <c r="W6" s="3967"/>
      <c r="AD6" s="290"/>
      <c r="AE6" s="290" t="s">
        <v>7</v>
      </c>
      <c r="AF6" s="290"/>
      <c r="AG6" s="290"/>
      <c r="AH6" s="290"/>
      <c r="AI6" s="290" t="s">
        <v>1367</v>
      </c>
      <c r="AJ6" s="290"/>
      <c r="AK6" s="290"/>
      <c r="AL6" s="290"/>
      <c r="AM6" s="290"/>
      <c r="AN6" s="290"/>
      <c r="AO6" s="290"/>
      <c r="AP6" s="290"/>
      <c r="AQ6" s="290"/>
      <c r="AR6" s="290"/>
      <c r="AS6" s="290"/>
      <c r="AT6" s="290"/>
      <c r="AU6" s="290"/>
      <c r="AV6" s="290"/>
      <c r="AW6" s="290"/>
      <c r="AX6" s="290"/>
      <c r="AY6" s="290"/>
      <c r="AZ6" s="290"/>
      <c r="BA6" s="290"/>
      <c r="BB6" s="290"/>
      <c r="BC6" s="290"/>
      <c r="BD6" s="290"/>
      <c r="BE6" s="290"/>
      <c r="BF6" s="290"/>
      <c r="BG6" s="290"/>
      <c r="BH6" s="290"/>
    </row>
    <row r="7" spans="1:60" x14ac:dyDescent="0.25">
      <c r="A7" s="3960"/>
      <c r="B7" s="3961"/>
      <c r="C7" s="3961"/>
      <c r="D7" s="3968"/>
      <c r="E7" s="3968"/>
      <c r="F7" s="3969">
        <v>1994</v>
      </c>
      <c r="G7" s="3969">
        <v>1995</v>
      </c>
      <c r="H7" s="3969">
        <v>1996</v>
      </c>
      <c r="I7" s="3969">
        <v>1997</v>
      </c>
      <c r="J7" s="3969">
        <v>1998</v>
      </c>
      <c r="K7" s="3969">
        <v>1999</v>
      </c>
      <c r="L7" s="3969">
        <v>2000</v>
      </c>
      <c r="M7" s="3969">
        <v>2001</v>
      </c>
      <c r="N7" s="3969">
        <v>2002</v>
      </c>
      <c r="O7" s="3969">
        <v>2003</v>
      </c>
      <c r="P7" s="3969">
        <v>2004</v>
      </c>
      <c r="Q7" s="3969">
        <v>2005</v>
      </c>
      <c r="R7" s="3969">
        <v>2006</v>
      </c>
      <c r="S7" s="3969">
        <v>2007</v>
      </c>
      <c r="T7" s="3969">
        <v>2008</v>
      </c>
      <c r="U7" s="3969">
        <v>2009</v>
      </c>
      <c r="V7" s="3969">
        <v>2010</v>
      </c>
      <c r="W7" s="3969">
        <v>2011</v>
      </c>
      <c r="X7" s="3969">
        <v>2012</v>
      </c>
      <c r="Y7" s="3969">
        <v>2013</v>
      </c>
      <c r="Z7" s="3970">
        <v>2014</v>
      </c>
      <c r="AA7" s="3971">
        <v>2015</v>
      </c>
      <c r="AB7" s="3971">
        <v>2016</v>
      </c>
      <c r="AC7" s="3971">
        <v>2017</v>
      </c>
      <c r="AD7" s="3971">
        <v>2018</v>
      </c>
      <c r="AE7" s="3971">
        <v>2019</v>
      </c>
      <c r="AF7" s="3972">
        <v>2020</v>
      </c>
      <c r="AG7" s="1334">
        <v>2021</v>
      </c>
      <c r="AH7" s="290"/>
      <c r="AI7" s="290"/>
      <c r="AJ7" s="290">
        <v>1994</v>
      </c>
      <c r="AK7" s="290">
        <v>1995</v>
      </c>
      <c r="AL7" s="290">
        <v>1996</v>
      </c>
      <c r="AM7" s="290">
        <v>1997</v>
      </c>
      <c r="AN7" s="290">
        <v>1998</v>
      </c>
      <c r="AO7" s="290">
        <v>1999</v>
      </c>
      <c r="AP7" s="290">
        <v>2000</v>
      </c>
      <c r="AQ7" s="290">
        <v>2001</v>
      </c>
      <c r="AR7" s="290">
        <v>2002</v>
      </c>
      <c r="AS7" s="290">
        <v>2003</v>
      </c>
      <c r="AT7" s="290">
        <v>2004</v>
      </c>
      <c r="AU7" s="290">
        <v>2005</v>
      </c>
      <c r="AV7" s="290">
        <v>2006</v>
      </c>
      <c r="AW7" s="290">
        <v>2007</v>
      </c>
      <c r="AX7" s="290">
        <v>2008</v>
      </c>
      <c r="AY7" s="290">
        <v>2009</v>
      </c>
      <c r="AZ7" s="290">
        <v>2010</v>
      </c>
      <c r="BA7" s="290">
        <v>2011</v>
      </c>
      <c r="BB7" s="290">
        <v>2012</v>
      </c>
      <c r="BC7" s="290">
        <v>2013</v>
      </c>
      <c r="BD7" s="290">
        <v>2014</v>
      </c>
      <c r="BE7" s="290">
        <v>2015</v>
      </c>
      <c r="BF7" s="290">
        <v>2016</v>
      </c>
      <c r="BG7" s="290">
        <v>2017</v>
      </c>
      <c r="BH7" s="290"/>
    </row>
    <row r="8" spans="1:60" x14ac:dyDescent="0.25">
      <c r="A8" s="3960"/>
      <c r="B8" s="3961"/>
      <c r="C8" s="3973">
        <v>1</v>
      </c>
      <c r="D8" s="3974" t="s">
        <v>1368</v>
      </c>
      <c r="E8" s="3975"/>
      <c r="F8" s="1597">
        <v>495356</v>
      </c>
      <c r="G8" s="1597">
        <v>557383</v>
      </c>
      <c r="H8" s="1597">
        <v>574771</v>
      </c>
      <c r="I8" s="1597">
        <v>569814</v>
      </c>
      <c r="J8" s="1597">
        <v>559309</v>
      </c>
      <c r="K8" s="1597">
        <v>553800</v>
      </c>
      <c r="L8" s="1597">
        <v>578134</v>
      </c>
      <c r="M8" s="1597">
        <v>3372</v>
      </c>
      <c r="N8" s="1597">
        <v>667182</v>
      </c>
      <c r="O8" s="1597"/>
      <c r="P8" s="1597">
        <v>744478</v>
      </c>
      <c r="Q8" s="1597">
        <v>735073</v>
      </c>
      <c r="R8" s="1597">
        <v>741380</v>
      </c>
      <c r="S8" s="1597" t="s">
        <v>1369</v>
      </c>
      <c r="T8" s="1597">
        <v>799490</v>
      </c>
      <c r="U8" s="1597">
        <v>837776</v>
      </c>
      <c r="V8" s="1597">
        <v>892936</v>
      </c>
      <c r="W8" s="1597">
        <v>938200</v>
      </c>
      <c r="X8" s="1597">
        <v>953373</v>
      </c>
      <c r="Y8" s="1597">
        <v>983698</v>
      </c>
      <c r="Z8" s="1598">
        <v>969154</v>
      </c>
      <c r="AA8" s="3976">
        <v>985212.00000000023</v>
      </c>
      <c r="AB8" s="3976">
        <v>975836.99999999965</v>
      </c>
      <c r="AC8" s="3976">
        <v>1036984</v>
      </c>
      <c r="AD8" s="3976">
        <v>1085568</v>
      </c>
      <c r="AE8" s="3976">
        <v>1074912</v>
      </c>
      <c r="AF8" s="3976">
        <v>1094808</v>
      </c>
      <c r="AG8" s="1599">
        <v>1068046</v>
      </c>
      <c r="AH8" s="290" t="s">
        <v>1368</v>
      </c>
      <c r="AI8" s="290"/>
      <c r="AJ8" s="1600">
        <v>495356</v>
      </c>
      <c r="AK8" s="1600">
        <v>557383</v>
      </c>
      <c r="AL8" s="1600">
        <v>574771</v>
      </c>
      <c r="AM8" s="1600">
        <v>569814</v>
      </c>
      <c r="AN8" s="1600">
        <v>559309</v>
      </c>
      <c r="AO8" s="1600">
        <v>553800</v>
      </c>
      <c r="AP8" s="1600">
        <v>578134</v>
      </c>
      <c r="AQ8" s="1600">
        <v>627277</v>
      </c>
      <c r="AR8" s="1600">
        <v>667182</v>
      </c>
      <c r="AS8" s="1600">
        <v>705255</v>
      </c>
      <c r="AT8" s="1600">
        <v>744478</v>
      </c>
      <c r="AU8" s="1600">
        <v>735073</v>
      </c>
      <c r="AV8" s="1600">
        <v>741380</v>
      </c>
      <c r="AW8" s="1600">
        <v>760889</v>
      </c>
      <c r="AX8" s="1600">
        <v>799490</v>
      </c>
      <c r="AY8" s="1600">
        <v>837779</v>
      </c>
      <c r="AZ8" s="1600">
        <v>892936</v>
      </c>
      <c r="BA8" s="1600">
        <v>937454</v>
      </c>
      <c r="BB8" s="1600">
        <v>953373</v>
      </c>
      <c r="BC8" s="1600">
        <v>983698</v>
      </c>
      <c r="BD8" s="1600">
        <v>969154</v>
      </c>
      <c r="BE8" s="1600"/>
      <c r="BF8" s="1600"/>
      <c r="BG8" s="1600"/>
      <c r="BH8" s="290"/>
    </row>
    <row r="9" spans="1:60" x14ac:dyDescent="0.25">
      <c r="A9" s="3960"/>
      <c r="B9" s="3961"/>
      <c r="C9" s="3973"/>
      <c r="D9" s="3680" t="s">
        <v>648</v>
      </c>
      <c r="E9" s="3681"/>
      <c r="F9" s="1601">
        <v>224230</v>
      </c>
      <c r="G9" s="1601">
        <v>256349</v>
      </c>
      <c r="H9" s="1601">
        <v>274610</v>
      </c>
      <c r="I9" s="1601">
        <v>282147</v>
      </c>
      <c r="J9" s="1601">
        <v>284693</v>
      </c>
      <c r="K9" s="1601">
        <v>282332</v>
      </c>
      <c r="L9" s="1601">
        <v>303794</v>
      </c>
      <c r="M9" s="1601">
        <v>336541</v>
      </c>
      <c r="N9" s="1601">
        <v>359250</v>
      </c>
      <c r="O9" s="1601">
        <v>378960</v>
      </c>
      <c r="P9" s="1601">
        <v>403454</v>
      </c>
      <c r="Q9" s="1601">
        <v>401042</v>
      </c>
      <c r="R9" s="3584">
        <v>408718</v>
      </c>
      <c r="S9" s="3584" t="s">
        <v>1370</v>
      </c>
      <c r="T9" s="3584">
        <v>450651</v>
      </c>
      <c r="U9" s="3584">
        <v>478175</v>
      </c>
      <c r="V9" s="3584">
        <v>512573</v>
      </c>
      <c r="W9" s="3584">
        <v>542704</v>
      </c>
      <c r="X9" s="3584">
        <v>554840</v>
      </c>
      <c r="Y9" s="3584">
        <v>573698</v>
      </c>
      <c r="Z9" s="3585">
        <v>564784</v>
      </c>
      <c r="AA9" s="3977">
        <v>574677.00000000035</v>
      </c>
      <c r="AB9" s="3977">
        <v>567118.99999999977</v>
      </c>
      <c r="AC9" s="3977">
        <v>606898</v>
      </c>
      <c r="AD9" s="3977">
        <v>641492</v>
      </c>
      <c r="AE9" s="3977">
        <v>640333</v>
      </c>
      <c r="AF9" s="3978">
        <v>665629</v>
      </c>
      <c r="AG9" s="2776">
        <v>655427</v>
      </c>
      <c r="AH9" s="290" t="s">
        <v>1371</v>
      </c>
      <c r="AI9" s="290"/>
      <c r="AJ9" s="1600">
        <v>74137</v>
      </c>
      <c r="AK9" s="1600">
        <v>81684</v>
      </c>
      <c r="AL9" s="1600">
        <v>86215</v>
      </c>
      <c r="AM9" s="1600">
        <v>88221</v>
      </c>
      <c r="AN9" s="1600">
        <v>86625</v>
      </c>
      <c r="AO9" s="1600">
        <v>92499</v>
      </c>
      <c r="AP9" s="1600">
        <v>92819</v>
      </c>
      <c r="AQ9" s="1600">
        <v>95940</v>
      </c>
      <c r="AR9" s="1600">
        <v>101047</v>
      </c>
      <c r="AS9" s="1600">
        <v>108263</v>
      </c>
      <c r="AT9" s="1600">
        <v>117240</v>
      </c>
      <c r="AU9" s="1600">
        <v>120385</v>
      </c>
      <c r="AV9" s="1600">
        <v>124676</v>
      </c>
      <c r="AW9" s="1600">
        <v>126618</v>
      </c>
      <c r="AX9" s="1600">
        <v>133241</v>
      </c>
      <c r="AY9" s="1600">
        <v>144852</v>
      </c>
      <c r="AZ9" s="1600">
        <v>153325</v>
      </c>
      <c r="BA9" s="1600">
        <v>160300</v>
      </c>
      <c r="BB9" s="1600">
        <v>165995</v>
      </c>
      <c r="BC9" s="1600">
        <v>180823</v>
      </c>
      <c r="BD9" s="1600">
        <v>185375</v>
      </c>
      <c r="BE9" s="1600"/>
      <c r="BF9" s="1600"/>
      <c r="BG9" s="1600"/>
      <c r="BH9" s="290"/>
    </row>
    <row r="10" spans="1:60" x14ac:dyDescent="0.25">
      <c r="A10" s="3960"/>
      <c r="B10" s="3961"/>
      <c r="C10" s="3973"/>
      <c r="D10" s="3979" t="s">
        <v>647</v>
      </c>
      <c r="E10" s="3980"/>
      <c r="F10" s="1601">
        <v>271126</v>
      </c>
      <c r="G10" s="1601">
        <v>301034</v>
      </c>
      <c r="H10" s="1601">
        <v>300161</v>
      </c>
      <c r="I10" s="1601">
        <v>287667</v>
      </c>
      <c r="J10" s="1601">
        <v>274616</v>
      </c>
      <c r="K10" s="1601">
        <v>266460</v>
      </c>
      <c r="L10" s="1601">
        <v>274159</v>
      </c>
      <c r="M10" s="1601">
        <v>9191</v>
      </c>
      <c r="N10" s="1601">
        <v>307922</v>
      </c>
      <c r="O10" s="1601"/>
      <c r="P10" s="1601">
        <v>341019</v>
      </c>
      <c r="Q10" s="1601"/>
      <c r="R10" s="1601"/>
      <c r="S10" s="1601"/>
      <c r="T10" s="1601"/>
      <c r="U10" s="1601">
        <v>359580</v>
      </c>
      <c r="V10" s="1601">
        <v>380350</v>
      </c>
      <c r="W10" s="1601">
        <v>394664</v>
      </c>
      <c r="X10" s="1601">
        <v>398368</v>
      </c>
      <c r="Y10" s="1601">
        <v>409988</v>
      </c>
      <c r="Z10" s="1602">
        <v>404365</v>
      </c>
      <c r="AA10" s="3981">
        <v>410522.99999999988</v>
      </c>
      <c r="AB10" s="3981">
        <v>408696.99999999988</v>
      </c>
      <c r="AC10" s="3981">
        <v>430065</v>
      </c>
      <c r="AD10" s="3981">
        <v>444040</v>
      </c>
      <c r="AE10" s="3981">
        <v>434514</v>
      </c>
      <c r="AF10" s="3978">
        <v>429088</v>
      </c>
      <c r="AG10" s="2776">
        <v>412428</v>
      </c>
      <c r="AH10" s="290" t="s">
        <v>1372</v>
      </c>
      <c r="AI10" s="290"/>
      <c r="AJ10" s="1600">
        <v>20598</v>
      </c>
      <c r="AK10" s="1600">
        <v>20456</v>
      </c>
      <c r="AL10" s="1600">
        <v>21682</v>
      </c>
      <c r="AM10" s="1600">
        <v>22904</v>
      </c>
      <c r="AN10" s="1600">
        <v>22506</v>
      </c>
      <c r="AO10" s="1600">
        <v>23269</v>
      </c>
      <c r="AP10" s="1600">
        <v>23679</v>
      </c>
      <c r="AQ10" s="1600">
        <v>24907</v>
      </c>
      <c r="AR10" s="1600">
        <v>27240</v>
      </c>
      <c r="AS10" s="1600">
        <v>29495</v>
      </c>
      <c r="AT10" s="1600">
        <v>31436</v>
      </c>
      <c r="AU10" s="1600">
        <v>33506</v>
      </c>
      <c r="AV10" s="1600">
        <v>35562</v>
      </c>
      <c r="AW10" s="1600">
        <v>36429</v>
      </c>
      <c r="AX10" s="1600">
        <v>38819</v>
      </c>
      <c r="AY10" s="1600">
        <v>40973</v>
      </c>
      <c r="AZ10" s="1600">
        <v>42759.582999999999</v>
      </c>
      <c r="BA10" s="1600">
        <v>45841</v>
      </c>
      <c r="BB10" s="1600">
        <v>48848.75</v>
      </c>
      <c r="BC10" s="1600">
        <v>53176</v>
      </c>
      <c r="BD10" s="1600">
        <v>55574</v>
      </c>
      <c r="BE10" s="1600"/>
      <c r="BF10" s="1600"/>
      <c r="BG10" s="1600"/>
      <c r="BH10" s="290"/>
    </row>
    <row r="11" spans="1:60" x14ac:dyDescent="0.25">
      <c r="A11" s="3960"/>
      <c r="B11" s="3961"/>
      <c r="C11" s="3973"/>
      <c r="D11" s="3982" t="s">
        <v>1373</v>
      </c>
      <c r="E11" s="3983"/>
      <c r="F11" s="1603" t="s">
        <v>1374</v>
      </c>
      <c r="G11" s="1603" t="s">
        <v>1374</v>
      </c>
      <c r="H11" s="1603" t="s">
        <v>1374</v>
      </c>
      <c r="I11" s="1603" t="s">
        <v>1374</v>
      </c>
      <c r="J11" s="1603" t="s">
        <v>1374</v>
      </c>
      <c r="K11" s="1603">
        <v>5008</v>
      </c>
      <c r="L11" s="1603">
        <v>181</v>
      </c>
      <c r="M11" s="1603">
        <v>197</v>
      </c>
      <c r="N11" s="1603">
        <v>10</v>
      </c>
      <c r="O11" s="1603">
        <v>1</v>
      </c>
      <c r="P11" s="1603">
        <v>5</v>
      </c>
      <c r="Q11" s="1601"/>
      <c r="R11" s="1601"/>
      <c r="S11" s="1601"/>
      <c r="T11" s="1601"/>
      <c r="U11" s="1603">
        <v>24</v>
      </c>
      <c r="V11" s="1603">
        <v>13</v>
      </c>
      <c r="W11" s="1603">
        <v>87</v>
      </c>
      <c r="X11" s="1603">
        <v>165</v>
      </c>
      <c r="Y11" s="1603">
        <v>12</v>
      </c>
      <c r="Z11" s="1604">
        <v>5</v>
      </c>
      <c r="AA11" s="3984">
        <v>12</v>
      </c>
      <c r="AB11" s="3984">
        <v>21</v>
      </c>
      <c r="AC11" s="3984">
        <v>21</v>
      </c>
      <c r="AD11" s="3984">
        <v>36</v>
      </c>
      <c r="AE11" s="3984">
        <v>65</v>
      </c>
      <c r="AF11" s="3985">
        <v>2</v>
      </c>
      <c r="AG11" s="3986">
        <v>191</v>
      </c>
      <c r="AH11" s="290" t="s">
        <v>1375</v>
      </c>
      <c r="AI11" s="290"/>
      <c r="AJ11" s="290">
        <v>27.8</v>
      </c>
      <c r="AK11" s="290">
        <v>25</v>
      </c>
      <c r="AL11" s="290">
        <v>25.2</v>
      </c>
      <c r="AM11" s="290">
        <v>26</v>
      </c>
      <c r="AN11" s="290">
        <v>26</v>
      </c>
      <c r="AO11" s="290">
        <v>25.2</v>
      </c>
      <c r="AP11" s="290">
        <v>25.5</v>
      </c>
      <c r="AQ11" s="290">
        <v>26</v>
      </c>
      <c r="AR11" s="290">
        <v>27</v>
      </c>
      <c r="AS11" s="290">
        <v>27.2</v>
      </c>
      <c r="AT11" s="290">
        <v>26.8</v>
      </c>
      <c r="AU11" s="290">
        <v>27.8</v>
      </c>
      <c r="AV11" s="290">
        <v>28.5</v>
      </c>
      <c r="AW11" s="290">
        <v>28.8</v>
      </c>
      <c r="AX11" s="290">
        <v>29.1</v>
      </c>
      <c r="AY11" s="290">
        <v>28.3</v>
      </c>
      <c r="AZ11" s="290">
        <v>27.9</v>
      </c>
      <c r="BA11" s="290">
        <v>28.597005614472863</v>
      </c>
      <c r="BB11" s="290">
        <v>29.427844212175064</v>
      </c>
      <c r="BC11" s="290">
        <v>29.407763392931209</v>
      </c>
      <c r="BD11" s="290">
        <v>29.979231287929871</v>
      </c>
      <c r="BE11" s="290"/>
      <c r="BF11" s="290"/>
      <c r="BG11" s="290"/>
      <c r="BH11" s="290"/>
    </row>
    <row r="12" spans="1:60" x14ac:dyDescent="0.25">
      <c r="A12" s="3960"/>
      <c r="B12" s="3961"/>
      <c r="C12" s="3973">
        <v>2</v>
      </c>
      <c r="D12" s="3987" t="s">
        <v>1371</v>
      </c>
      <c r="E12" s="3988"/>
      <c r="F12" s="3989">
        <v>74137</v>
      </c>
      <c r="G12" s="3989">
        <v>81684</v>
      </c>
      <c r="H12" s="3989">
        <v>86215</v>
      </c>
      <c r="I12" s="3989">
        <v>88221</v>
      </c>
      <c r="J12" s="3989">
        <v>86625</v>
      </c>
      <c r="K12" s="3989">
        <v>92499</v>
      </c>
      <c r="L12" s="3989">
        <v>92819</v>
      </c>
      <c r="M12" s="3989">
        <v>95940</v>
      </c>
      <c r="N12" s="3989">
        <v>101047</v>
      </c>
      <c r="O12" s="3989">
        <v>108263</v>
      </c>
      <c r="P12" s="3989">
        <v>117240</v>
      </c>
      <c r="Q12" s="3989">
        <v>120385</v>
      </c>
      <c r="R12" s="3989">
        <v>124615</v>
      </c>
      <c r="S12" s="3989">
        <v>126617</v>
      </c>
      <c r="T12" s="3989">
        <v>133757</v>
      </c>
      <c r="U12" s="3989">
        <v>145426</v>
      </c>
      <c r="V12" s="3989">
        <v>153325</v>
      </c>
      <c r="W12" s="3989">
        <v>160300</v>
      </c>
      <c r="X12" s="3989">
        <v>165995</v>
      </c>
      <c r="Y12" s="3989">
        <v>180822</v>
      </c>
      <c r="Z12" s="3990">
        <v>185375</v>
      </c>
      <c r="AA12" s="3991">
        <v>191523.99999999994</v>
      </c>
      <c r="AB12" s="3991">
        <v>203076</v>
      </c>
      <c r="AC12" s="3991">
        <v>210931</v>
      </c>
      <c r="AD12" s="3991">
        <v>227188</v>
      </c>
      <c r="AE12" s="3991">
        <v>221942</v>
      </c>
      <c r="AF12" s="3991">
        <v>237882</v>
      </c>
      <c r="AG12" s="3992">
        <v>233257</v>
      </c>
      <c r="AH12" s="290"/>
      <c r="AI12" s="290"/>
      <c r="AJ12" s="290"/>
      <c r="AK12" s="290"/>
      <c r="AL12" s="290"/>
      <c r="AM12" s="290"/>
      <c r="AN12" s="290"/>
      <c r="AO12" s="290"/>
      <c r="AP12" s="290"/>
      <c r="AQ12" s="290"/>
      <c r="AR12" s="290"/>
      <c r="AS12" s="290"/>
      <c r="AT12" s="290"/>
      <c r="AU12" s="290"/>
      <c r="AV12" s="290"/>
      <c r="AW12" s="290"/>
      <c r="AX12" s="290"/>
      <c r="AY12" s="290"/>
      <c r="AZ12" s="290"/>
      <c r="BA12" s="290"/>
      <c r="BB12" s="290"/>
      <c r="BC12" s="290"/>
      <c r="BD12" s="290"/>
      <c r="BE12" s="290"/>
      <c r="BF12" s="290"/>
      <c r="BG12" s="290"/>
      <c r="BH12" s="290"/>
    </row>
    <row r="13" spans="1:60" x14ac:dyDescent="0.25">
      <c r="A13" s="3960"/>
      <c r="B13" s="3961"/>
      <c r="C13" s="3973"/>
      <c r="D13" s="3680" t="s">
        <v>648</v>
      </c>
      <c r="E13" s="3681"/>
      <c r="F13" s="1601">
        <v>36195</v>
      </c>
      <c r="G13" s="1601">
        <v>41194</v>
      </c>
      <c r="H13" s="1601">
        <v>44721</v>
      </c>
      <c r="I13" s="1601">
        <v>46395</v>
      </c>
      <c r="J13" s="1601">
        <v>47390</v>
      </c>
      <c r="K13" s="1601">
        <v>49653</v>
      </c>
      <c r="L13" s="1601">
        <v>52389</v>
      </c>
      <c r="M13" s="1601">
        <v>54978</v>
      </c>
      <c r="N13" s="1601">
        <v>58561</v>
      </c>
      <c r="O13" s="1601">
        <v>62397</v>
      </c>
      <c r="P13" s="1601">
        <v>68157</v>
      </c>
      <c r="Q13" s="1601">
        <v>70845</v>
      </c>
      <c r="R13" s="1601">
        <v>73959</v>
      </c>
      <c r="S13" s="1601" t="s">
        <v>1376</v>
      </c>
      <c r="T13" s="1601">
        <v>79320</v>
      </c>
      <c r="U13" s="1601">
        <v>88073</v>
      </c>
      <c r="V13" s="1601">
        <v>93062</v>
      </c>
      <c r="W13" s="1601">
        <v>96816</v>
      </c>
      <c r="X13" s="1601">
        <v>99945</v>
      </c>
      <c r="Y13" s="1601">
        <v>109979</v>
      </c>
      <c r="Z13" s="1602">
        <v>112629</v>
      </c>
      <c r="AA13" s="3981">
        <v>116404.99999999996</v>
      </c>
      <c r="AB13" s="3981">
        <v>124302</v>
      </c>
      <c r="AC13" s="3981">
        <v>129681</v>
      </c>
      <c r="AD13" s="3981">
        <v>141876</v>
      </c>
      <c r="AE13" s="3981">
        <v>138816</v>
      </c>
      <c r="AF13" s="3978">
        <v>151165</v>
      </c>
      <c r="AG13" s="2776">
        <v>148841</v>
      </c>
      <c r="AH13" s="290"/>
      <c r="AI13" s="290"/>
      <c r="AJ13" s="290"/>
      <c r="AK13" s="290"/>
      <c r="AL13" s="290"/>
      <c r="AM13" s="290"/>
      <c r="AN13" s="290"/>
      <c r="AO13" s="290"/>
      <c r="AP13" s="290"/>
      <c r="AQ13" s="290"/>
      <c r="AR13" s="290"/>
      <c r="AS13" s="290"/>
      <c r="AT13" s="290"/>
      <c r="AU13" s="290"/>
      <c r="AV13" s="290"/>
      <c r="AW13" s="290"/>
      <c r="AX13" s="290"/>
      <c r="AY13" s="290"/>
      <c r="AZ13" s="290"/>
      <c r="BA13" s="290"/>
      <c r="BB13" s="290"/>
      <c r="BC13" s="290"/>
      <c r="BD13" s="290"/>
      <c r="BE13" s="290"/>
      <c r="BF13" s="290"/>
      <c r="BG13" s="290"/>
      <c r="BH13" s="290"/>
    </row>
    <row r="14" spans="1:60" x14ac:dyDescent="0.25">
      <c r="A14" s="3960"/>
      <c r="B14" s="3961"/>
      <c r="C14" s="3973"/>
      <c r="D14" s="3979" t="s">
        <v>647</v>
      </c>
      <c r="E14" s="3980"/>
      <c r="F14" s="1601">
        <v>37942</v>
      </c>
      <c r="G14" s="1601">
        <v>40490</v>
      </c>
      <c r="H14" s="1601">
        <v>41493</v>
      </c>
      <c r="I14" s="1601">
        <v>41827</v>
      </c>
      <c r="J14" s="1601">
        <v>39235</v>
      </c>
      <c r="K14" s="1601">
        <v>39913</v>
      </c>
      <c r="L14" s="1601">
        <v>40296</v>
      </c>
      <c r="M14" s="1601">
        <v>40955</v>
      </c>
      <c r="N14" s="1601">
        <v>42485</v>
      </c>
      <c r="O14" s="1601">
        <v>45866</v>
      </c>
      <c r="P14" s="1601">
        <v>49083</v>
      </c>
      <c r="Q14" s="1601">
        <v>49540</v>
      </c>
      <c r="R14" s="1601">
        <v>50717</v>
      </c>
      <c r="S14" s="1601" t="s">
        <v>1377</v>
      </c>
      <c r="T14" s="1601">
        <v>53921</v>
      </c>
      <c r="U14" s="1601">
        <v>56778</v>
      </c>
      <c r="V14" s="1601">
        <v>60260</v>
      </c>
      <c r="W14" s="1601">
        <v>63478</v>
      </c>
      <c r="X14" s="1601">
        <v>66042</v>
      </c>
      <c r="Y14" s="1601">
        <v>70844</v>
      </c>
      <c r="Z14" s="1602">
        <v>72746</v>
      </c>
      <c r="AA14" s="3981">
        <v>75116.999999999985</v>
      </c>
      <c r="AB14" s="3981">
        <v>78763.999999999985</v>
      </c>
      <c r="AC14" s="3981">
        <v>81241</v>
      </c>
      <c r="AD14" s="3981">
        <v>85296</v>
      </c>
      <c r="AE14" s="3981">
        <v>83103</v>
      </c>
      <c r="AF14" s="3978">
        <v>86683</v>
      </c>
      <c r="AG14" s="2776">
        <v>84367</v>
      </c>
      <c r="AH14" s="290"/>
      <c r="AI14" s="290"/>
      <c r="AJ14" s="290"/>
      <c r="AK14" s="290"/>
      <c r="AL14" s="290"/>
      <c r="AM14" s="290"/>
      <c r="AN14" s="290"/>
      <c r="AO14" s="290"/>
      <c r="AP14" s="290"/>
      <c r="AQ14" s="290"/>
      <c r="AR14" s="290"/>
      <c r="AS14" s="290"/>
      <c r="AT14" s="290"/>
      <c r="AU14" s="290"/>
      <c r="AV14" s="290"/>
      <c r="AW14" s="290"/>
      <c r="AX14" s="290"/>
      <c r="AY14" s="290"/>
      <c r="AZ14" s="290"/>
      <c r="BA14" s="290"/>
      <c r="BB14" s="290"/>
      <c r="BC14" s="290"/>
      <c r="BD14" s="290"/>
      <c r="BE14" s="290"/>
      <c r="BF14" s="290"/>
      <c r="BG14" s="290"/>
      <c r="BH14" s="290"/>
    </row>
    <row r="15" spans="1:60" x14ac:dyDescent="0.25">
      <c r="A15" s="3960"/>
      <c r="B15" s="3961"/>
      <c r="C15" s="3973"/>
      <c r="D15" s="3982" t="s">
        <v>1373</v>
      </c>
      <c r="E15" s="3983"/>
      <c r="F15" s="1603"/>
      <c r="G15" s="1603"/>
      <c r="H15" s="1603"/>
      <c r="I15" s="1603"/>
      <c r="J15" s="1603"/>
      <c r="K15" s="1603">
        <v>2933</v>
      </c>
      <c r="L15" s="1603">
        <v>134</v>
      </c>
      <c r="M15" s="1603">
        <v>7</v>
      </c>
      <c r="N15" s="1603">
        <v>1</v>
      </c>
      <c r="O15" s="1603"/>
      <c r="P15" s="1603"/>
      <c r="Q15" s="1603"/>
      <c r="R15" s="1603"/>
      <c r="S15" s="1603"/>
      <c r="T15" s="1603"/>
      <c r="U15" s="1603">
        <v>1</v>
      </c>
      <c r="V15" s="1603"/>
      <c r="W15" s="1603">
        <v>6</v>
      </c>
      <c r="X15" s="1603">
        <v>8</v>
      </c>
      <c r="Y15" s="1603">
        <v>0</v>
      </c>
      <c r="Z15" s="1606">
        <v>0</v>
      </c>
      <c r="AA15" s="3993">
        <v>2</v>
      </c>
      <c r="AB15" s="3993">
        <v>10</v>
      </c>
      <c r="AC15" s="3993">
        <v>9</v>
      </c>
      <c r="AD15" s="3993">
        <v>16</v>
      </c>
      <c r="AE15" s="3993">
        <v>23</v>
      </c>
      <c r="AF15" s="3978">
        <v>34</v>
      </c>
      <c r="AG15" s="2776">
        <v>49</v>
      </c>
      <c r="AH15" s="290"/>
      <c r="AI15" s="290"/>
      <c r="AJ15" s="290"/>
      <c r="AK15" s="290"/>
      <c r="AL15" s="290"/>
      <c r="AM15" s="290"/>
      <c r="AN15" s="290"/>
      <c r="AO15" s="290"/>
      <c r="AP15" s="290"/>
      <c r="AQ15" s="290"/>
      <c r="AR15" s="290"/>
      <c r="AS15" s="290"/>
      <c r="AT15" s="290"/>
      <c r="AU15" s="290"/>
      <c r="AV15" s="290"/>
      <c r="AW15" s="1607" t="s">
        <v>1378</v>
      </c>
      <c r="AX15" s="290"/>
      <c r="AY15" s="290"/>
      <c r="AZ15" s="290"/>
      <c r="BA15" s="290"/>
      <c r="BB15" s="290"/>
      <c r="BC15" s="290"/>
      <c r="BD15" s="290"/>
      <c r="BE15" s="290"/>
      <c r="BF15" s="290"/>
      <c r="BG15" s="290"/>
      <c r="BH15" s="290"/>
    </row>
    <row r="16" spans="1:60" x14ac:dyDescent="0.25">
      <c r="A16" s="3960"/>
      <c r="B16" s="3961"/>
      <c r="C16" s="3973">
        <v>3</v>
      </c>
      <c r="D16" s="1608" t="s">
        <v>1372</v>
      </c>
      <c r="E16" s="1609"/>
      <c r="F16" s="1610">
        <v>20598</v>
      </c>
      <c r="G16" s="1610">
        <v>20456</v>
      </c>
      <c r="H16" s="1610">
        <v>21682</v>
      </c>
      <c r="I16" s="1610">
        <v>22904</v>
      </c>
      <c r="J16" s="1610">
        <v>22506</v>
      </c>
      <c r="K16" s="1610">
        <v>23269</v>
      </c>
      <c r="L16" s="1610">
        <v>24235</v>
      </c>
      <c r="M16" s="1610">
        <v>25087</v>
      </c>
      <c r="N16" s="1610">
        <v>27014</v>
      </c>
      <c r="O16" s="1610">
        <v>29695</v>
      </c>
      <c r="P16" s="1610">
        <v>31483</v>
      </c>
      <c r="Q16" s="1610">
        <v>33506</v>
      </c>
      <c r="R16" s="1610">
        <v>35542</v>
      </c>
      <c r="S16" s="1610">
        <v>36429</v>
      </c>
      <c r="T16" s="1610">
        <v>39306</v>
      </c>
      <c r="U16" s="1610">
        <v>41509</v>
      </c>
      <c r="V16" s="3586">
        <v>42759.582999999999</v>
      </c>
      <c r="W16" s="3586">
        <v>46101</v>
      </c>
      <c r="X16" s="3586">
        <v>48848.75</v>
      </c>
      <c r="Y16" s="3586">
        <v>53176</v>
      </c>
      <c r="Z16" s="3990">
        <v>55574</v>
      </c>
      <c r="AA16" s="3991">
        <v>58090</v>
      </c>
      <c r="AB16" s="3991">
        <v>59125</v>
      </c>
      <c r="AC16" s="3991">
        <v>61581</v>
      </c>
      <c r="AD16" s="3991">
        <v>65211</v>
      </c>
      <c r="AE16" s="3991">
        <v>64636</v>
      </c>
      <c r="AF16" s="3991">
        <v>64721</v>
      </c>
      <c r="AG16" s="3992">
        <v>67422</v>
      </c>
      <c r="AH16" s="1611"/>
      <c r="AI16" s="290"/>
      <c r="AJ16" s="290"/>
      <c r="AK16" s="290"/>
      <c r="AL16" s="290"/>
      <c r="AM16" s="290"/>
      <c r="AN16" s="290"/>
      <c r="AO16" s="290"/>
      <c r="AP16" s="290"/>
      <c r="AQ16" s="290"/>
      <c r="AR16" s="290"/>
      <c r="AS16" s="290"/>
      <c r="AT16" s="290"/>
      <c r="AU16" s="290"/>
      <c r="AV16" s="290"/>
      <c r="AW16" s="1607" t="s">
        <v>1379</v>
      </c>
      <c r="AX16" s="290"/>
      <c r="AY16" s="290"/>
      <c r="AZ16" s="290"/>
      <c r="BA16" s="290"/>
      <c r="BB16" s="290"/>
      <c r="BC16" s="290"/>
      <c r="BD16" s="290"/>
      <c r="BE16" s="290"/>
      <c r="BF16" s="290"/>
      <c r="BG16" s="290"/>
      <c r="BH16" s="290"/>
    </row>
    <row r="17" spans="1:60" x14ac:dyDescent="0.25">
      <c r="A17" s="3960"/>
      <c r="B17" s="3994"/>
      <c r="C17" s="3973">
        <v>4</v>
      </c>
      <c r="D17" s="3995" t="s">
        <v>1380</v>
      </c>
      <c r="E17" s="3996"/>
      <c r="F17" s="3587"/>
      <c r="G17" s="3587"/>
      <c r="H17" s="3587"/>
      <c r="I17" s="3587"/>
      <c r="J17" s="3587"/>
      <c r="K17" s="3587"/>
      <c r="L17" s="3587"/>
      <c r="M17" s="3587"/>
      <c r="N17" s="3587"/>
      <c r="O17" s="3587"/>
      <c r="P17" s="3587"/>
      <c r="Q17" s="3587"/>
      <c r="R17" s="3587"/>
      <c r="S17" s="3587"/>
      <c r="T17" s="3997"/>
      <c r="U17" s="3998">
        <v>8424</v>
      </c>
      <c r="V17" s="3998">
        <v>8792</v>
      </c>
      <c r="W17" s="3998">
        <v>9193</v>
      </c>
      <c r="X17" s="3998">
        <v>9974</v>
      </c>
      <c r="Y17" s="3998">
        <v>11441</v>
      </c>
      <c r="Z17" s="3999">
        <v>12058</v>
      </c>
      <c r="AA17" s="4000">
        <v>12470</v>
      </c>
      <c r="AB17" s="4000">
        <v>12386</v>
      </c>
      <c r="AC17" s="4000">
        <v>12955</v>
      </c>
      <c r="AD17" s="4000">
        <v>13891</v>
      </c>
      <c r="AE17" s="4000">
        <v>13712</v>
      </c>
      <c r="AF17" s="4001">
        <v>12652</v>
      </c>
      <c r="AG17" s="3992">
        <v>67422.5</v>
      </c>
      <c r="AH17" s="290"/>
      <c r="AI17" s="290"/>
      <c r="AJ17" s="290"/>
      <c r="AK17" s="290"/>
      <c r="AL17" s="290"/>
      <c r="AM17" s="290"/>
      <c r="AN17" s="290"/>
      <c r="AO17" s="290"/>
      <c r="AP17" s="290"/>
      <c r="AQ17" s="290"/>
      <c r="AR17" s="290"/>
      <c r="AS17" s="290"/>
      <c r="AT17" s="290"/>
      <c r="AU17" s="290"/>
      <c r="AV17" s="290"/>
      <c r="AW17" s="1607">
        <v>36429</v>
      </c>
      <c r="AX17" s="290"/>
      <c r="AY17" s="290"/>
      <c r="AZ17" s="290"/>
      <c r="BA17" s="290"/>
      <c r="BB17" s="290"/>
      <c r="BC17" s="290"/>
      <c r="BD17" s="290"/>
      <c r="BE17" s="290"/>
      <c r="BF17" s="290"/>
      <c r="BG17" s="290"/>
      <c r="BH17" s="290"/>
    </row>
    <row r="18" spans="1:60" x14ac:dyDescent="0.25">
      <c r="A18" s="1437"/>
      <c r="B18" s="1437"/>
      <c r="C18" s="3973">
        <v>5</v>
      </c>
      <c r="D18" s="4360"/>
      <c r="E18" s="4360" t="s">
        <v>1381</v>
      </c>
      <c r="F18" s="4361"/>
      <c r="G18" s="4361"/>
      <c r="H18" s="4361"/>
      <c r="I18" s="4361"/>
      <c r="J18" s="4361"/>
      <c r="K18" s="4361"/>
      <c r="L18" s="4361"/>
      <c r="M18" s="4361"/>
      <c r="N18" s="4361"/>
      <c r="O18" s="4361"/>
      <c r="P18" s="4361"/>
      <c r="Q18" s="4361"/>
      <c r="R18" s="4361"/>
      <c r="S18" s="4361"/>
      <c r="T18" s="4348"/>
      <c r="U18" s="4349"/>
      <c r="V18" s="4349">
        <v>9773</v>
      </c>
      <c r="W18" s="4349">
        <v>10877</v>
      </c>
      <c r="X18" s="4349">
        <v>9387</v>
      </c>
      <c r="Y18" s="4349">
        <v>10000</v>
      </c>
      <c r="Z18" s="4002">
        <v>10100</v>
      </c>
      <c r="AA18" s="4002">
        <v>10674</v>
      </c>
      <c r="AB18" s="4002">
        <v>11494</v>
      </c>
      <c r="AC18" s="4002">
        <v>12591</v>
      </c>
      <c r="AD18" s="4002">
        <v>13044</v>
      </c>
      <c r="AE18" s="4002"/>
      <c r="AF18" s="4001"/>
      <c r="AG18" s="3978"/>
      <c r="AH18" s="4353"/>
    </row>
    <row r="19" spans="1:60" ht="12.75" customHeight="1" x14ac:dyDescent="0.25">
      <c r="A19" s="3960"/>
      <c r="B19" s="3961"/>
      <c r="C19" s="3973">
        <v>6</v>
      </c>
      <c r="D19" s="4350" t="s">
        <v>1375</v>
      </c>
      <c r="E19" s="4351"/>
      <c r="F19" s="4352">
        <v>27.8</v>
      </c>
      <c r="G19" s="4352">
        <v>25</v>
      </c>
      <c r="H19" s="4352">
        <v>25.2</v>
      </c>
      <c r="I19" s="4352">
        <v>26</v>
      </c>
      <c r="J19" s="4352">
        <v>26</v>
      </c>
      <c r="K19" s="4352">
        <v>25.2</v>
      </c>
      <c r="L19" s="4352">
        <v>25.5</v>
      </c>
      <c r="M19" s="4352">
        <v>26</v>
      </c>
      <c r="N19" s="4352">
        <v>27</v>
      </c>
      <c r="O19" s="4352">
        <v>27.2</v>
      </c>
      <c r="P19" s="4352">
        <v>26.8</v>
      </c>
      <c r="Q19" s="4352">
        <v>27.8</v>
      </c>
      <c r="R19" s="4352">
        <v>28.5</v>
      </c>
      <c r="S19" s="4352">
        <v>28.8</v>
      </c>
      <c r="T19" s="4352">
        <v>29.1</v>
      </c>
      <c r="U19" s="4352">
        <v>28.3</v>
      </c>
      <c r="V19" s="4352">
        <v>27.9</v>
      </c>
      <c r="W19" s="4352">
        <v>28.597005614472863</v>
      </c>
      <c r="X19" s="4352">
        <f t="shared" ref="X19:AB19" si="0">X16/X12*100</f>
        <v>29.427844212175064</v>
      </c>
      <c r="Y19" s="4352">
        <f t="shared" si="0"/>
        <v>29.407926026700292</v>
      </c>
      <c r="Z19" s="4003">
        <f t="shared" si="0"/>
        <v>29.979231287929871</v>
      </c>
      <c r="AA19" s="4003">
        <f t="shared" si="0"/>
        <v>30.330402456089061</v>
      </c>
      <c r="AB19" s="4003">
        <f t="shared" si="0"/>
        <v>29.11471567295003</v>
      </c>
      <c r="AC19" s="4003">
        <f>AC16/AC12*100</f>
        <v>29.194855189611769</v>
      </c>
      <c r="AD19" s="4003">
        <f>AD16/AD12*100</f>
        <v>28.703540679965489</v>
      </c>
      <c r="AE19" s="4003">
        <f>AE16/AE12*100</f>
        <v>29.122924007173047</v>
      </c>
      <c r="AF19" s="4003">
        <f>AF16/AF12*100</f>
        <v>27.207186756459084</v>
      </c>
      <c r="AG19" s="4003">
        <f>AG16/AG12*100</f>
        <v>28.904598790175644</v>
      </c>
      <c r="AH19" s="4353"/>
    </row>
    <row r="20" spans="1:60" x14ac:dyDescent="0.25">
      <c r="A20" s="3960"/>
      <c r="B20" s="3960"/>
      <c r="C20" s="3960"/>
      <c r="D20" s="4354"/>
      <c r="E20" s="4354"/>
      <c r="F20" s="4355"/>
      <c r="G20" s="4355"/>
      <c r="H20" s="4355"/>
      <c r="I20" s="4355"/>
      <c r="J20" s="4355"/>
      <c r="K20" s="4355"/>
      <c r="L20" s="4355"/>
      <c r="M20" s="4355"/>
      <c r="N20" s="4355"/>
      <c r="O20" s="4355"/>
      <c r="P20" s="4355"/>
      <c r="Q20" s="4355"/>
      <c r="R20" s="4355"/>
      <c r="S20" s="4355"/>
      <c r="T20" s="4356"/>
      <c r="U20" s="4357"/>
      <c r="V20" s="4357"/>
      <c r="W20" s="4357"/>
      <c r="X20" s="4353"/>
      <c r="Y20" s="4353"/>
      <c r="Z20" s="4353"/>
      <c r="AA20" s="4353"/>
      <c r="AB20" s="4353"/>
      <c r="AC20" s="4353"/>
      <c r="AD20" s="4353"/>
      <c r="AE20" s="4353"/>
      <c r="AF20" s="4353"/>
      <c r="AG20" s="4353"/>
      <c r="AH20" s="4353"/>
    </row>
    <row r="21" spans="1:60" x14ac:dyDescent="0.25">
      <c r="A21" s="3960"/>
      <c r="B21" s="3960"/>
      <c r="C21" s="3960"/>
      <c r="D21" s="4004"/>
      <c r="E21" s="4004"/>
      <c r="F21" s="1612"/>
      <c r="G21" s="1612"/>
      <c r="H21" s="1612"/>
      <c r="I21" s="1612"/>
      <c r="J21" s="1612"/>
      <c r="K21" s="1612"/>
      <c r="L21" s="1612"/>
      <c r="M21" s="1612"/>
      <c r="N21" s="1612"/>
      <c r="O21" s="1612"/>
      <c r="P21" s="1612"/>
      <c r="Q21" s="1612"/>
      <c r="R21" s="1612"/>
      <c r="S21" s="1612"/>
      <c r="T21" s="4005"/>
      <c r="U21" s="4006"/>
      <c r="V21" s="4006"/>
      <c r="W21" s="4006"/>
    </row>
    <row r="22" spans="1:60" x14ac:dyDescent="0.25">
      <c r="A22" s="3960"/>
      <c r="B22" s="3960"/>
      <c r="C22" s="3960"/>
      <c r="D22" s="4004"/>
      <c r="E22" s="4004"/>
      <c r="F22" s="1612"/>
      <c r="G22" s="1612"/>
      <c r="H22" s="1612"/>
      <c r="I22" s="1612"/>
      <c r="J22" s="1612"/>
      <c r="K22" s="1612"/>
      <c r="L22" s="1612"/>
      <c r="M22" s="1612"/>
      <c r="N22" s="1612"/>
      <c r="O22" s="1612"/>
      <c r="P22" s="1612"/>
      <c r="Q22" s="1612"/>
      <c r="R22" s="1612"/>
      <c r="S22" s="1612"/>
      <c r="T22" s="4005"/>
      <c r="U22" s="4006"/>
      <c r="V22" s="4006"/>
      <c r="W22" s="4006"/>
    </row>
    <row r="23" spans="1:60" x14ac:dyDescent="0.25">
      <c r="A23" s="3960"/>
      <c r="B23" s="3960"/>
      <c r="C23" s="3960"/>
      <c r="D23" s="3930" t="s">
        <v>1382</v>
      </c>
      <c r="E23" s="1614"/>
      <c r="F23" s="1615"/>
      <c r="G23" s="1615"/>
      <c r="H23" s="1615"/>
      <c r="I23" s="1615"/>
      <c r="J23" s="1615"/>
      <c r="K23" s="1615"/>
      <c r="L23" s="1615"/>
      <c r="M23" s="1615"/>
      <c r="N23" s="1615"/>
      <c r="O23" s="1615"/>
      <c r="P23" s="1615"/>
      <c r="Q23" s="1615"/>
      <c r="R23" s="1615"/>
      <c r="S23" s="1615"/>
      <c r="T23" s="4007"/>
      <c r="U23" s="3955"/>
      <c r="V23" s="3955"/>
      <c r="W23" s="4006"/>
    </row>
    <row r="24" spans="1:60" x14ac:dyDescent="0.25">
      <c r="A24" s="3960"/>
      <c r="B24" s="3960"/>
      <c r="C24" s="3960"/>
      <c r="D24" s="4564"/>
      <c r="E24" s="4565"/>
      <c r="F24" s="3969">
        <v>1994</v>
      </c>
      <c r="G24" s="3969">
        <v>1995</v>
      </c>
      <c r="H24" s="3969">
        <v>1996</v>
      </c>
      <c r="I24" s="3969">
        <v>1997</v>
      </c>
      <c r="J24" s="3969">
        <v>1998</v>
      </c>
      <c r="K24" s="3969">
        <v>1999</v>
      </c>
      <c r="L24" s="3969">
        <v>2000</v>
      </c>
      <c r="M24" s="3969">
        <v>2001</v>
      </c>
      <c r="N24" s="3969">
        <v>2002</v>
      </c>
      <c r="O24" s="3969">
        <v>2003</v>
      </c>
      <c r="P24" s="3969">
        <v>2004</v>
      </c>
      <c r="Q24" s="3969">
        <v>2005</v>
      </c>
      <c r="R24" s="3969">
        <v>2006</v>
      </c>
      <c r="S24" s="3969">
        <v>2007</v>
      </c>
      <c r="T24" s="3969">
        <v>2008</v>
      </c>
      <c r="U24" s="3969">
        <v>2009</v>
      </c>
      <c r="V24" s="3969">
        <v>2010</v>
      </c>
      <c r="W24" s="3969">
        <v>2011</v>
      </c>
      <c r="X24" s="3969">
        <v>2012</v>
      </c>
      <c r="Y24" s="3969">
        <v>2013</v>
      </c>
      <c r="Z24" s="3970">
        <v>2014</v>
      </c>
      <c r="AA24" s="3970">
        <v>2015</v>
      </c>
      <c r="AB24" s="3970">
        <v>2016</v>
      </c>
      <c r="AC24" s="3970">
        <v>2017</v>
      </c>
      <c r="AD24" s="3970">
        <v>2018</v>
      </c>
      <c r="AE24" s="3970">
        <v>2019</v>
      </c>
      <c r="AF24" s="3970">
        <v>2020</v>
      </c>
      <c r="AG24" s="1196">
        <v>2021</v>
      </c>
    </row>
    <row r="25" spans="1:60" x14ac:dyDescent="0.25">
      <c r="A25" s="3960"/>
      <c r="B25" s="3960"/>
      <c r="C25" s="3960"/>
      <c r="D25" s="4893" t="s">
        <v>2248</v>
      </c>
      <c r="E25" s="4894"/>
      <c r="F25" s="4566"/>
      <c r="G25" s="4566"/>
      <c r="H25" s="4566"/>
      <c r="I25" s="4566"/>
      <c r="J25" s="4566"/>
      <c r="K25" s="4566"/>
      <c r="L25" s="4567">
        <v>973</v>
      </c>
      <c r="M25" s="4567">
        <v>900</v>
      </c>
      <c r="N25" s="4567">
        <v>985</v>
      </c>
      <c r="O25" s="4567">
        <v>1052</v>
      </c>
      <c r="P25" s="4567">
        <v>1105</v>
      </c>
      <c r="Q25" s="4567">
        <v>1189</v>
      </c>
      <c r="R25" s="4567">
        <v>1100</v>
      </c>
      <c r="S25" s="4567">
        <v>1274</v>
      </c>
      <c r="T25" s="4567">
        <v>1182</v>
      </c>
      <c r="U25" s="4568">
        <v>1380</v>
      </c>
      <c r="V25" s="1618">
        <v>1421</v>
      </c>
      <c r="W25" s="1619">
        <v>1576</v>
      </c>
      <c r="X25" s="1618">
        <v>1879</v>
      </c>
      <c r="Y25" s="1619">
        <v>2051</v>
      </c>
      <c r="Z25" s="1618">
        <v>2258</v>
      </c>
      <c r="AA25" s="1619">
        <v>2530</v>
      </c>
      <c r="AB25" s="1619">
        <v>2797</v>
      </c>
      <c r="AC25" s="1619">
        <v>3057</v>
      </c>
      <c r="AD25" s="1619">
        <v>3344</v>
      </c>
      <c r="AE25" s="1619">
        <v>3445</v>
      </c>
      <c r="AF25" s="1619">
        <v>3552</v>
      </c>
      <c r="AG25" s="1619">
        <v>3574</v>
      </c>
    </row>
    <row r="26" spans="1:60" x14ac:dyDescent="0.25">
      <c r="A26" s="3960"/>
      <c r="B26" s="3960"/>
      <c r="C26" s="3960"/>
      <c r="D26" s="4008"/>
      <c r="E26" s="4008"/>
      <c r="F26" s="4563"/>
      <c r="G26" s="4563"/>
      <c r="H26" s="4563"/>
      <c r="I26" s="4563"/>
      <c r="J26" s="4563"/>
      <c r="K26" s="4563"/>
      <c r="L26" s="4563"/>
      <c r="M26" s="4563"/>
      <c r="N26" s="4563"/>
      <c r="O26" s="4563"/>
      <c r="P26" s="4563"/>
      <c r="Q26" s="4563"/>
      <c r="R26" s="4563"/>
      <c r="S26" s="4563"/>
      <c r="T26" s="4005"/>
      <c r="U26" s="4006"/>
      <c r="V26" s="4006"/>
      <c r="W26" s="4006"/>
      <c r="X26" s="459"/>
      <c r="Y26" s="459"/>
      <c r="Z26" s="459"/>
      <c r="AA26" s="459"/>
      <c r="AB26" s="459"/>
      <c r="AC26" s="459"/>
      <c r="AD26" s="459"/>
      <c r="AE26" s="459"/>
      <c r="AF26" s="459"/>
      <c r="AG26" s="459"/>
    </row>
    <row r="27" spans="1:60" x14ac:dyDescent="0.25">
      <c r="A27" s="3960"/>
      <c r="B27" s="3960"/>
      <c r="C27" s="3960"/>
      <c r="D27" s="4004"/>
      <c r="E27" s="4004"/>
      <c r="F27" s="1612"/>
      <c r="G27" s="1612"/>
      <c r="H27" s="1612"/>
      <c r="I27" s="1612"/>
      <c r="J27" s="1612"/>
      <c r="K27" s="1612"/>
      <c r="L27" s="1612"/>
      <c r="M27" s="1612"/>
      <c r="N27" s="1612"/>
      <c r="O27" s="1612"/>
      <c r="P27" s="1612"/>
      <c r="Q27" s="1612"/>
      <c r="R27" s="1612"/>
      <c r="S27" s="1612"/>
      <c r="T27" s="4005"/>
      <c r="U27" s="4006"/>
      <c r="V27" s="4006"/>
      <c r="W27" s="4006"/>
    </row>
    <row r="28" spans="1:60" x14ac:dyDescent="0.25">
      <c r="A28" s="3960">
        <v>5</v>
      </c>
      <c r="B28" s="3960" t="s">
        <v>51</v>
      </c>
      <c r="C28" s="3961"/>
      <c r="D28" s="3962"/>
      <c r="E28" s="3962"/>
      <c r="F28" s="4008"/>
      <c r="G28" s="4008"/>
      <c r="H28" s="4008"/>
      <c r="I28" s="4008"/>
      <c r="J28" s="4008"/>
      <c r="K28" s="4008"/>
      <c r="L28" s="4008"/>
      <c r="M28" s="4008"/>
      <c r="N28" s="4008"/>
      <c r="O28" s="4008"/>
      <c r="P28" s="4008"/>
      <c r="Q28" s="4008"/>
      <c r="R28" s="4008"/>
      <c r="S28" s="4008"/>
      <c r="T28" s="4008"/>
      <c r="U28" s="4008"/>
      <c r="V28" s="4005"/>
      <c r="W28" s="4005"/>
      <c r="AA28" s="1620"/>
    </row>
    <row r="29" spans="1:60" x14ac:dyDescent="0.25">
      <c r="A29" s="3960"/>
      <c r="B29" s="3961"/>
      <c r="C29" s="3961"/>
      <c r="D29" s="3962"/>
      <c r="E29" s="3962"/>
      <c r="F29" s="4008"/>
      <c r="G29" s="4008"/>
      <c r="H29" s="4008"/>
      <c r="I29" s="4008"/>
      <c r="J29" s="4008"/>
      <c r="K29" s="4008"/>
      <c r="L29" s="4008"/>
      <c r="M29" s="4008"/>
      <c r="N29" s="4008"/>
      <c r="O29" s="4008"/>
      <c r="P29" s="4008"/>
      <c r="Q29" s="4008"/>
      <c r="R29" s="4008"/>
      <c r="S29" s="4008"/>
      <c r="T29" s="4008"/>
      <c r="U29" s="4008"/>
      <c r="V29" s="4005"/>
      <c r="W29" s="4005"/>
    </row>
    <row r="30" spans="1:60" x14ac:dyDescent="0.25">
      <c r="A30" s="3960"/>
      <c r="B30" s="3961"/>
      <c r="C30" s="3961"/>
      <c r="D30" s="3962"/>
      <c r="E30" s="3962"/>
      <c r="F30" s="4008"/>
      <c r="G30" s="4008"/>
      <c r="H30" s="4008"/>
      <c r="I30" s="4008"/>
      <c r="J30" s="4008"/>
      <c r="K30" s="4008"/>
      <c r="L30" s="4008"/>
      <c r="M30" s="4008"/>
      <c r="N30" s="4008"/>
      <c r="O30" s="4008"/>
      <c r="P30" s="4008"/>
      <c r="Q30" s="4008"/>
      <c r="R30" s="4008"/>
      <c r="S30" s="4008"/>
      <c r="T30" s="3962"/>
      <c r="U30" s="3962"/>
      <c r="V30" s="3963"/>
      <c r="W30" s="3963"/>
    </row>
    <row r="31" spans="1:60" x14ac:dyDescent="0.25">
      <c r="A31" s="3960"/>
      <c r="B31" s="3961"/>
      <c r="C31" s="3961"/>
      <c r="D31" s="3962"/>
      <c r="E31" s="3962"/>
      <c r="F31" s="4008"/>
      <c r="G31" s="4008"/>
      <c r="H31" s="4008"/>
      <c r="I31" s="4008"/>
      <c r="J31" s="4008"/>
      <c r="K31" s="4008"/>
      <c r="L31" s="4008"/>
      <c r="M31" s="4008"/>
      <c r="N31" s="3962"/>
      <c r="O31" s="4009"/>
      <c r="P31" s="4010"/>
      <c r="Q31" s="4010"/>
      <c r="R31" s="4010"/>
      <c r="S31" s="4010"/>
      <c r="T31" s="3962"/>
      <c r="U31" s="3962"/>
      <c r="V31" s="3963"/>
      <c r="W31" s="3963"/>
    </row>
    <row r="32" spans="1:60" x14ac:dyDescent="0.25">
      <c r="A32" s="3960"/>
      <c r="B32" s="3961"/>
      <c r="C32" s="3961"/>
      <c r="D32" s="3962"/>
      <c r="E32" s="3962"/>
      <c r="F32" s="4008"/>
      <c r="G32" s="4008"/>
      <c r="H32" s="4008"/>
      <c r="I32" s="4008"/>
      <c r="J32" s="4008"/>
      <c r="K32" s="4008"/>
      <c r="L32" s="4008"/>
      <c r="M32" s="4008"/>
      <c r="N32" s="3962"/>
      <c r="O32" s="4010"/>
      <c r="P32" s="4010"/>
      <c r="Q32" s="4010"/>
      <c r="R32" s="4010"/>
      <c r="S32" s="4010"/>
      <c r="T32" s="4008"/>
      <c r="U32" s="4008"/>
      <c r="V32" s="4005"/>
      <c r="W32" s="4005"/>
    </row>
    <row r="33" spans="1:41" x14ac:dyDescent="0.25">
      <c r="A33" s="3960"/>
      <c r="B33" s="3961"/>
      <c r="C33" s="3961"/>
      <c r="D33" s="3962"/>
      <c r="E33" s="3962"/>
      <c r="F33" s="4008"/>
      <c r="G33" s="4008"/>
      <c r="H33" s="4008"/>
      <c r="I33" s="4008"/>
      <c r="J33" s="4008"/>
      <c r="K33" s="4008"/>
      <c r="L33" s="4008"/>
      <c r="M33" s="4008"/>
      <c r="N33" s="4010"/>
      <c r="O33" s="4010"/>
      <c r="P33" s="4010"/>
      <c r="Q33" s="4010"/>
      <c r="R33" s="4010"/>
      <c r="S33" s="4010"/>
      <c r="T33" s="4008"/>
      <c r="U33" s="4008"/>
      <c r="V33" s="4005"/>
      <c r="W33" s="4005"/>
    </row>
    <row r="34" spans="1:41" x14ac:dyDescent="0.25">
      <c r="A34" s="3960"/>
      <c r="B34" s="3961"/>
      <c r="C34" s="3961"/>
      <c r="D34" s="3962"/>
      <c r="E34" s="3962"/>
      <c r="F34" s="4008"/>
      <c r="G34" s="4008"/>
      <c r="H34" s="4008"/>
      <c r="I34" s="4008"/>
      <c r="J34" s="4008"/>
      <c r="K34" s="4008"/>
      <c r="L34" s="4008"/>
      <c r="M34" s="4008"/>
      <c r="N34" s="4008"/>
      <c r="O34" s="4008"/>
      <c r="P34" s="4008"/>
      <c r="Q34" s="4008"/>
      <c r="R34" s="4008"/>
      <c r="S34" s="4008"/>
      <c r="T34" s="4008"/>
      <c r="U34" s="4008"/>
      <c r="V34" s="4005"/>
      <c r="W34" s="4005"/>
    </row>
    <row r="35" spans="1:41" x14ac:dyDescent="0.25">
      <c r="A35" s="3960"/>
      <c r="B35" s="3961"/>
      <c r="C35" s="3961"/>
      <c r="D35" s="3962"/>
      <c r="E35" s="3962"/>
      <c r="F35" s="4008"/>
      <c r="G35" s="4008"/>
      <c r="H35" s="4008"/>
      <c r="I35" s="4008"/>
      <c r="J35" s="4008"/>
      <c r="K35" s="4008"/>
      <c r="L35" s="4008"/>
      <c r="M35" s="4008"/>
      <c r="N35" s="4008"/>
      <c r="O35" s="4008"/>
      <c r="P35" s="4008"/>
      <c r="Q35" s="4008"/>
      <c r="R35" s="4008"/>
      <c r="S35" s="4008"/>
      <c r="T35" s="4008"/>
      <c r="U35" s="4008"/>
      <c r="V35" s="4005"/>
      <c r="W35" s="4005"/>
    </row>
    <row r="36" spans="1:41" x14ac:dyDescent="0.25">
      <c r="A36" s="3960"/>
      <c r="B36" s="3961"/>
      <c r="C36" s="3961"/>
      <c r="D36" s="3962"/>
      <c r="E36" s="3962"/>
      <c r="F36" s="4008"/>
      <c r="G36" s="4008"/>
      <c r="H36" s="4008"/>
      <c r="I36" s="4008"/>
      <c r="J36" s="4008"/>
      <c r="K36" s="4008"/>
      <c r="L36" s="4008"/>
      <c r="M36" s="4008"/>
      <c r="N36" s="4008"/>
      <c r="O36" s="4008"/>
      <c r="P36" s="4008"/>
      <c r="Q36" s="4008"/>
      <c r="R36" s="4008"/>
      <c r="S36" s="4008"/>
      <c r="T36" s="4008"/>
      <c r="U36" s="4008"/>
      <c r="V36" s="4005"/>
      <c r="W36" s="4005"/>
    </row>
    <row r="37" spans="1:41" x14ac:dyDescent="0.25">
      <c r="A37" s="3960"/>
      <c r="B37" s="3961"/>
      <c r="C37" s="3961"/>
      <c r="D37" s="3962"/>
      <c r="E37" s="3962"/>
      <c r="F37" s="3962"/>
      <c r="G37" s="3962"/>
      <c r="H37" s="3962"/>
      <c r="I37" s="3962"/>
      <c r="J37" s="3962"/>
      <c r="K37" s="3962"/>
      <c r="L37" s="3962"/>
      <c r="M37" s="3962"/>
      <c r="N37" s="3962"/>
      <c r="O37" s="3962"/>
      <c r="P37" s="3962"/>
      <c r="Q37" s="3962"/>
      <c r="R37" s="3962"/>
      <c r="S37" s="3962"/>
      <c r="T37" s="3962"/>
      <c r="U37" s="3962"/>
      <c r="V37" s="3963"/>
      <c r="W37" s="3963"/>
    </row>
    <row r="38" spans="1:41" x14ac:dyDescent="0.25">
      <c r="A38" s="3960"/>
      <c r="B38" s="3961"/>
      <c r="C38" s="3961"/>
      <c r="D38" s="3962"/>
      <c r="E38" s="3962"/>
      <c r="F38" s="3962"/>
      <c r="G38" s="3962"/>
      <c r="H38" s="3962"/>
      <c r="I38" s="3962"/>
      <c r="J38" s="3962"/>
      <c r="K38" s="3962"/>
      <c r="L38" s="3962"/>
      <c r="M38" s="3962"/>
      <c r="N38" s="3962"/>
      <c r="O38" s="3962"/>
      <c r="P38" s="3962"/>
      <c r="Q38" s="3962"/>
      <c r="R38" s="3962"/>
      <c r="S38" s="3962"/>
      <c r="T38" s="3962"/>
      <c r="U38" s="3962"/>
      <c r="V38" s="3963"/>
      <c r="W38" s="3963"/>
    </row>
    <row r="39" spans="1:41" x14ac:dyDescent="0.25">
      <c r="A39" s="3960"/>
      <c r="B39" s="3961"/>
      <c r="C39" s="3961"/>
      <c r="D39" s="3962"/>
      <c r="E39" s="3962"/>
      <c r="F39" s="3962"/>
      <c r="G39" s="3962"/>
      <c r="H39" s="3962"/>
      <c r="I39" s="3962"/>
      <c r="J39" s="3962"/>
      <c r="K39" s="3962"/>
      <c r="L39" s="3962"/>
      <c r="M39" s="3962"/>
      <c r="N39" s="3962"/>
      <c r="O39" s="3962"/>
      <c r="P39" s="3962"/>
      <c r="Q39" s="3962"/>
      <c r="R39" s="3962"/>
      <c r="S39" s="3962"/>
      <c r="T39" s="3962"/>
      <c r="U39" s="3962"/>
      <c r="V39" s="3963"/>
      <c r="W39" s="3963"/>
    </row>
    <row r="40" spans="1:41" x14ac:dyDescent="0.25">
      <c r="A40" s="3960"/>
      <c r="B40" s="3961"/>
      <c r="C40" s="3961"/>
      <c r="D40" s="3962"/>
      <c r="E40" s="3962"/>
      <c r="F40" s="3962"/>
      <c r="G40" s="3962"/>
      <c r="H40" s="3962"/>
      <c r="I40" s="3962"/>
      <c r="J40" s="3962"/>
      <c r="K40" s="3962"/>
      <c r="L40" s="3962"/>
      <c r="M40" s="3962"/>
      <c r="N40" s="3962"/>
      <c r="O40" s="3962"/>
      <c r="P40" s="3962"/>
      <c r="Q40" s="3962"/>
      <c r="R40" s="3962"/>
      <c r="S40" s="3962"/>
      <c r="T40" s="3962"/>
      <c r="U40" s="3962"/>
      <c r="V40" s="3963"/>
      <c r="W40" s="3963"/>
      <c r="AO40" s="1437" t="s">
        <v>1383</v>
      </c>
    </row>
    <row r="41" spans="1:41" x14ac:dyDescent="0.25">
      <c r="A41" s="3960"/>
      <c r="B41" s="3961"/>
      <c r="C41" s="3961"/>
      <c r="D41" s="3962"/>
      <c r="E41" s="3962"/>
      <c r="F41" s="3962"/>
      <c r="G41" s="3962"/>
      <c r="H41" s="3962"/>
      <c r="I41" s="3962"/>
      <c r="J41" s="3962"/>
      <c r="K41" s="3962"/>
      <c r="L41" s="3962"/>
      <c r="M41" s="3962"/>
      <c r="N41" s="3962"/>
      <c r="O41" s="3962"/>
      <c r="P41" s="3962"/>
      <c r="Q41" s="3962"/>
      <c r="R41" s="3962"/>
      <c r="S41" s="3962"/>
      <c r="T41" s="3962"/>
      <c r="U41" s="3962"/>
      <c r="V41" s="3963"/>
      <c r="W41" s="3963"/>
    </row>
    <row r="42" spans="1:41" x14ac:dyDescent="0.25">
      <c r="A42" s="3960"/>
      <c r="B42" s="3961"/>
      <c r="C42" s="3961"/>
      <c r="D42" s="3962"/>
      <c r="E42" s="3962"/>
      <c r="F42" s="3962"/>
      <c r="G42" s="3962"/>
      <c r="H42" s="3962"/>
      <c r="I42" s="3962"/>
      <c r="J42" s="3962"/>
      <c r="K42" s="3962"/>
      <c r="L42" s="3962"/>
      <c r="M42" s="3962"/>
      <c r="N42" s="3962"/>
      <c r="O42" s="3962"/>
      <c r="P42" s="3962"/>
      <c r="Q42" s="3962"/>
      <c r="R42" s="3962"/>
      <c r="S42" s="3962"/>
      <c r="T42" s="3962"/>
      <c r="U42" s="3962"/>
      <c r="V42" s="3963"/>
      <c r="W42" s="3963"/>
    </row>
    <row r="43" spans="1:41" x14ac:dyDescent="0.25">
      <c r="A43" s="3960"/>
      <c r="B43" s="3961"/>
      <c r="C43" s="3961"/>
      <c r="D43" s="3962"/>
      <c r="E43" s="3962"/>
      <c r="F43" s="3962"/>
      <c r="G43" s="3962"/>
      <c r="H43" s="3962"/>
      <c r="I43" s="3962"/>
      <c r="J43" s="3962"/>
      <c r="K43" s="3962"/>
      <c r="L43" s="3962"/>
      <c r="M43" s="3962"/>
      <c r="N43" s="3962"/>
      <c r="O43" s="3962"/>
      <c r="P43" s="3962"/>
      <c r="Q43" s="3962"/>
      <c r="R43" s="3962"/>
      <c r="S43" s="3962"/>
      <c r="T43" s="3962"/>
      <c r="U43" s="3962"/>
      <c r="V43" s="3963"/>
      <c r="W43" s="3963"/>
    </row>
    <row r="44" spans="1:41" x14ac:dyDescent="0.25">
      <c r="A44" s="3960"/>
      <c r="B44" s="3961"/>
      <c r="C44" s="3961"/>
      <c r="D44" s="3962"/>
      <c r="E44" s="3962"/>
      <c r="F44" s="3962"/>
      <c r="G44" s="3962"/>
      <c r="H44" s="3962"/>
      <c r="I44" s="3962"/>
      <c r="J44" s="3962"/>
      <c r="K44" s="3962"/>
      <c r="L44" s="3962"/>
      <c r="M44" s="3962"/>
      <c r="N44" s="3962"/>
      <c r="O44" s="3962"/>
      <c r="P44" s="3962"/>
      <c r="Q44" s="3962"/>
      <c r="R44" s="3962"/>
      <c r="S44" s="3962"/>
      <c r="T44" s="3962"/>
      <c r="U44" s="3962"/>
      <c r="V44" s="3963"/>
      <c r="W44" s="3963"/>
    </row>
    <row r="45" spans="1:41" x14ac:dyDescent="0.25">
      <c r="A45" s="3960"/>
      <c r="B45" s="3961"/>
      <c r="C45" s="3961"/>
      <c r="D45" s="3962"/>
      <c r="E45" s="3962"/>
      <c r="F45" s="3962"/>
      <c r="G45" s="3962"/>
      <c r="H45" s="3962"/>
      <c r="I45" s="3962"/>
      <c r="J45" s="3962"/>
      <c r="K45" s="3962"/>
      <c r="L45" s="3962"/>
      <c r="M45" s="3962"/>
      <c r="N45" s="3962"/>
      <c r="O45" s="3962"/>
      <c r="P45" s="3962"/>
      <c r="Q45" s="3962"/>
      <c r="R45" s="3962"/>
      <c r="S45" s="3962"/>
      <c r="T45" s="3962"/>
      <c r="U45" s="3962"/>
      <c r="V45" s="3963"/>
      <c r="W45" s="3963"/>
    </row>
    <row r="46" spans="1:41" x14ac:dyDescent="0.25">
      <c r="A46" s="3960">
        <v>6</v>
      </c>
      <c r="B46" s="3960" t="s">
        <v>52</v>
      </c>
      <c r="C46" s="3960"/>
      <c r="D46" s="4890" t="s">
        <v>853</v>
      </c>
      <c r="E46" s="4891"/>
      <c r="F46" s="4891"/>
      <c r="G46" s="4891"/>
      <c r="H46" s="4891"/>
      <c r="I46" s="4891"/>
      <c r="J46" s="4891"/>
      <c r="K46" s="4891"/>
      <c r="L46" s="4891"/>
      <c r="M46" s="4891"/>
      <c r="N46" s="4891"/>
      <c r="O46" s="4891"/>
      <c r="P46" s="4891"/>
      <c r="Q46" s="4891"/>
      <c r="R46" s="4891"/>
      <c r="S46" s="4891"/>
      <c r="T46" s="4891"/>
      <c r="U46" s="4891"/>
      <c r="V46" s="4891"/>
      <c r="W46" s="4891"/>
      <c r="X46" s="4891"/>
      <c r="Y46" s="4891"/>
      <c r="Z46" s="4891"/>
      <c r="AA46" s="4891"/>
      <c r="AB46" s="4891"/>
      <c r="AC46" s="4892"/>
    </row>
    <row r="47" spans="1:41" ht="27.6" customHeight="1" x14ac:dyDescent="0.25">
      <c r="A47" s="4011">
        <v>7</v>
      </c>
      <c r="B47" s="4011" t="s">
        <v>54</v>
      </c>
      <c r="C47" s="4011"/>
      <c r="D47" s="4890" t="s">
        <v>2169</v>
      </c>
      <c r="E47" s="4891"/>
      <c r="F47" s="4891"/>
      <c r="G47" s="4891"/>
      <c r="H47" s="4891"/>
      <c r="I47" s="4891"/>
      <c r="J47" s="4891"/>
      <c r="K47" s="4891"/>
      <c r="L47" s="4891"/>
      <c r="M47" s="4891"/>
      <c r="N47" s="4891"/>
      <c r="O47" s="4891"/>
      <c r="P47" s="4891"/>
      <c r="Q47" s="4891"/>
      <c r="R47" s="4891"/>
      <c r="S47" s="4891"/>
      <c r="T47" s="4891"/>
      <c r="U47" s="4891"/>
      <c r="V47" s="4891"/>
      <c r="W47" s="4891"/>
      <c r="X47" s="4891"/>
      <c r="Y47" s="4891"/>
      <c r="Z47" s="4891"/>
      <c r="AA47" s="4891"/>
      <c r="AB47" s="4891"/>
      <c r="AC47" s="4892"/>
    </row>
    <row r="48" spans="1:41" ht="15" customHeight="1" x14ac:dyDescent="0.25">
      <c r="A48" s="3960">
        <v>8</v>
      </c>
      <c r="B48" s="3960" t="s">
        <v>56</v>
      </c>
      <c r="C48" s="3960"/>
      <c r="D48" s="4890" t="s">
        <v>2170</v>
      </c>
      <c r="E48" s="4891"/>
      <c r="F48" s="4891"/>
      <c r="G48" s="4891"/>
      <c r="H48" s="4891"/>
      <c r="I48" s="4891"/>
      <c r="J48" s="4891"/>
      <c r="K48" s="4891"/>
      <c r="L48" s="4891"/>
      <c r="M48" s="4891"/>
      <c r="N48" s="4891"/>
      <c r="O48" s="4891"/>
      <c r="P48" s="4891"/>
      <c r="Q48" s="4891"/>
      <c r="R48" s="4891"/>
      <c r="S48" s="4891"/>
      <c r="T48" s="4891"/>
      <c r="U48" s="4891"/>
      <c r="V48" s="4891"/>
      <c r="W48" s="4891"/>
      <c r="X48" s="4891"/>
      <c r="Y48" s="4891"/>
      <c r="Z48" s="4891"/>
      <c r="AA48" s="4891"/>
      <c r="AB48" s="4891"/>
      <c r="AC48" s="4892"/>
    </row>
    <row r="49" spans="1:29" ht="15" customHeight="1" x14ac:dyDescent="0.25">
      <c r="A49" s="3960">
        <v>9</v>
      </c>
      <c r="B49" s="3960" t="s">
        <v>409</v>
      </c>
      <c r="C49" s="1621"/>
      <c r="D49" s="4890" t="s">
        <v>699</v>
      </c>
      <c r="E49" s="4891"/>
      <c r="F49" s="4891"/>
      <c r="G49" s="4891"/>
      <c r="H49" s="4891"/>
      <c r="I49" s="4891"/>
      <c r="J49" s="4891"/>
      <c r="K49" s="4891"/>
      <c r="L49" s="4891"/>
      <c r="M49" s="4891"/>
      <c r="N49" s="4891"/>
      <c r="O49" s="4891"/>
      <c r="P49" s="4891"/>
      <c r="Q49" s="4891"/>
      <c r="R49" s="4891"/>
      <c r="S49" s="4891"/>
      <c r="T49" s="4891"/>
      <c r="U49" s="4891"/>
      <c r="V49" s="4891"/>
      <c r="W49" s="4891"/>
      <c r="X49" s="4891"/>
      <c r="Y49" s="4891"/>
      <c r="Z49" s="4891"/>
      <c r="AA49" s="4891"/>
      <c r="AB49" s="4891"/>
      <c r="AC49" s="4892"/>
    </row>
  </sheetData>
  <mergeCells count="8">
    <mergeCell ref="D49:AC49"/>
    <mergeCell ref="D2:AC2"/>
    <mergeCell ref="D3:AC3"/>
    <mergeCell ref="D4:AC4"/>
    <mergeCell ref="D46:AC46"/>
    <mergeCell ref="D47:AC47"/>
    <mergeCell ref="D48:AC48"/>
    <mergeCell ref="D25:E25"/>
  </mergeCells>
  <pageMargins left="0.74803149606299202" right="0.74803149606299202" top="0.98425196850393704" bottom="0.98425196850393704" header="0.511811023622047" footer="0.511811023622047"/>
  <pageSetup paperSize="9" scale="58"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81E30-158B-445C-897A-77121ABC9B32}">
  <sheetPr>
    <tabColor rgb="FF0070C0"/>
    <pageSetUpPr fitToPage="1"/>
  </sheetPr>
  <dimension ref="A1:AC86"/>
  <sheetViews>
    <sheetView showGridLines="0" view="pageBreakPreview" topLeftCell="A4" zoomScale="110" zoomScaleNormal="100" zoomScaleSheetLayoutView="110" workbookViewId="0">
      <selection activeCell="D4" sqref="D4:V4"/>
    </sheetView>
  </sheetViews>
  <sheetFormatPr defaultRowHeight="12.75" x14ac:dyDescent="0.2"/>
  <cols>
    <col min="1" max="1" width="3" style="751" bestFit="1" customWidth="1"/>
    <col min="2" max="2" width="14.140625" style="751" bestFit="1" customWidth="1"/>
    <col min="3" max="3" width="3" style="751" bestFit="1" customWidth="1"/>
    <col min="4" max="4" width="12.140625" style="751" customWidth="1"/>
    <col min="5" max="18" width="9.85546875" style="751" customWidth="1"/>
    <col min="19" max="19" width="14.42578125" style="751" customWidth="1"/>
    <col min="20" max="25" width="9.85546875" style="751" customWidth="1"/>
    <col min="26" max="26" width="8.85546875" style="751"/>
    <col min="27" max="27" width="9.140625" style="751" customWidth="1"/>
    <col min="28" max="260" width="8.85546875" style="751"/>
    <col min="261" max="261" width="3" style="751" bestFit="1" customWidth="1"/>
    <col min="262" max="262" width="14.140625" style="751" bestFit="1" customWidth="1"/>
    <col min="263" max="263" width="3" style="751" bestFit="1" customWidth="1"/>
    <col min="264" max="264" width="12.140625" style="751" customWidth="1"/>
    <col min="265" max="272" width="7.140625" style="751" customWidth="1"/>
    <col min="273" max="274" width="12.140625" style="751" customWidth="1"/>
    <col min="275" max="275" width="7.140625" style="751" customWidth="1"/>
    <col min="276" max="276" width="9.85546875" style="751" customWidth="1"/>
    <col min="277" max="516" width="8.85546875" style="751"/>
    <col min="517" max="517" width="3" style="751" bestFit="1" customWidth="1"/>
    <col min="518" max="518" width="14.140625" style="751" bestFit="1" customWidth="1"/>
    <col min="519" max="519" width="3" style="751" bestFit="1" customWidth="1"/>
    <col min="520" max="520" width="12.140625" style="751" customWidth="1"/>
    <col min="521" max="528" width="7.140625" style="751" customWidth="1"/>
    <col min="529" max="530" width="12.140625" style="751" customWidth="1"/>
    <col min="531" max="531" width="7.140625" style="751" customWidth="1"/>
    <col min="532" max="532" width="9.85546875" style="751" customWidth="1"/>
    <col min="533" max="772" width="8.85546875" style="751"/>
    <col min="773" max="773" width="3" style="751" bestFit="1" customWidth="1"/>
    <col min="774" max="774" width="14.140625" style="751" bestFit="1" customWidth="1"/>
    <col min="775" max="775" width="3" style="751" bestFit="1" customWidth="1"/>
    <col min="776" max="776" width="12.140625" style="751" customWidth="1"/>
    <col min="777" max="784" width="7.140625" style="751" customWidth="1"/>
    <col min="785" max="786" width="12.140625" style="751" customWidth="1"/>
    <col min="787" max="787" width="7.140625" style="751" customWidth="1"/>
    <col min="788" max="788" width="9.85546875" style="751" customWidth="1"/>
    <col min="789" max="1028" width="8.85546875" style="751"/>
    <col min="1029" max="1029" width="3" style="751" bestFit="1" customWidth="1"/>
    <col min="1030" max="1030" width="14.140625" style="751" bestFit="1" customWidth="1"/>
    <col min="1031" max="1031" width="3" style="751" bestFit="1" customWidth="1"/>
    <col min="1032" max="1032" width="12.140625" style="751" customWidth="1"/>
    <col min="1033" max="1040" width="7.140625" style="751" customWidth="1"/>
    <col min="1041" max="1042" width="12.140625" style="751" customWidth="1"/>
    <col min="1043" max="1043" width="7.140625" style="751" customWidth="1"/>
    <col min="1044" max="1044" width="9.85546875" style="751" customWidth="1"/>
    <col min="1045" max="1284" width="8.85546875" style="751"/>
    <col min="1285" max="1285" width="3" style="751" bestFit="1" customWidth="1"/>
    <col min="1286" max="1286" width="14.140625" style="751" bestFit="1" customWidth="1"/>
    <col min="1287" max="1287" width="3" style="751" bestFit="1" customWidth="1"/>
    <col min="1288" max="1288" width="12.140625" style="751" customWidth="1"/>
    <col min="1289" max="1296" width="7.140625" style="751" customWidth="1"/>
    <col min="1297" max="1298" width="12.140625" style="751" customWidth="1"/>
    <col min="1299" max="1299" width="7.140625" style="751" customWidth="1"/>
    <col min="1300" max="1300" width="9.85546875" style="751" customWidth="1"/>
    <col min="1301" max="1540" width="8.85546875" style="751"/>
    <col min="1541" max="1541" width="3" style="751" bestFit="1" customWidth="1"/>
    <col min="1542" max="1542" width="14.140625" style="751" bestFit="1" customWidth="1"/>
    <col min="1543" max="1543" width="3" style="751" bestFit="1" customWidth="1"/>
    <col min="1544" max="1544" width="12.140625" style="751" customWidth="1"/>
    <col min="1545" max="1552" width="7.140625" style="751" customWidth="1"/>
    <col min="1553" max="1554" width="12.140625" style="751" customWidth="1"/>
    <col min="1555" max="1555" width="7.140625" style="751" customWidth="1"/>
    <col min="1556" max="1556" width="9.85546875" style="751" customWidth="1"/>
    <col min="1557" max="1796" width="8.85546875" style="751"/>
    <col min="1797" max="1797" width="3" style="751" bestFit="1" customWidth="1"/>
    <col min="1798" max="1798" width="14.140625" style="751" bestFit="1" customWidth="1"/>
    <col min="1799" max="1799" width="3" style="751" bestFit="1" customWidth="1"/>
    <col min="1800" max="1800" width="12.140625" style="751" customWidth="1"/>
    <col min="1801" max="1808" width="7.140625" style="751" customWidth="1"/>
    <col min="1809" max="1810" width="12.140625" style="751" customWidth="1"/>
    <col min="1811" max="1811" width="7.140625" style="751" customWidth="1"/>
    <col min="1812" max="1812" width="9.85546875" style="751" customWidth="1"/>
    <col min="1813" max="2052" width="8.85546875" style="751"/>
    <col min="2053" max="2053" width="3" style="751" bestFit="1" customWidth="1"/>
    <col min="2054" max="2054" width="14.140625" style="751" bestFit="1" customWidth="1"/>
    <col min="2055" max="2055" width="3" style="751" bestFit="1" customWidth="1"/>
    <col min="2056" max="2056" width="12.140625" style="751" customWidth="1"/>
    <col min="2057" max="2064" width="7.140625" style="751" customWidth="1"/>
    <col min="2065" max="2066" width="12.140625" style="751" customWidth="1"/>
    <col min="2067" max="2067" width="7.140625" style="751" customWidth="1"/>
    <col min="2068" max="2068" width="9.85546875" style="751" customWidth="1"/>
    <col min="2069" max="2308" width="8.85546875" style="751"/>
    <col min="2309" max="2309" width="3" style="751" bestFit="1" customWidth="1"/>
    <col min="2310" max="2310" width="14.140625" style="751" bestFit="1" customWidth="1"/>
    <col min="2311" max="2311" width="3" style="751" bestFit="1" customWidth="1"/>
    <col min="2312" max="2312" width="12.140625" style="751" customWidth="1"/>
    <col min="2313" max="2320" width="7.140625" style="751" customWidth="1"/>
    <col min="2321" max="2322" width="12.140625" style="751" customWidth="1"/>
    <col min="2323" max="2323" width="7.140625" style="751" customWidth="1"/>
    <col min="2324" max="2324" width="9.85546875" style="751" customWidth="1"/>
    <col min="2325" max="2564" width="8.85546875" style="751"/>
    <col min="2565" max="2565" width="3" style="751" bestFit="1" customWidth="1"/>
    <col min="2566" max="2566" width="14.140625" style="751" bestFit="1" customWidth="1"/>
    <col min="2567" max="2567" width="3" style="751" bestFit="1" customWidth="1"/>
    <col min="2568" max="2568" width="12.140625" style="751" customWidth="1"/>
    <col min="2569" max="2576" width="7.140625" style="751" customWidth="1"/>
    <col min="2577" max="2578" width="12.140625" style="751" customWidth="1"/>
    <col min="2579" max="2579" width="7.140625" style="751" customWidth="1"/>
    <col min="2580" max="2580" width="9.85546875" style="751" customWidth="1"/>
    <col min="2581" max="2820" width="8.85546875" style="751"/>
    <col min="2821" max="2821" width="3" style="751" bestFit="1" customWidth="1"/>
    <col min="2822" max="2822" width="14.140625" style="751" bestFit="1" customWidth="1"/>
    <col min="2823" max="2823" width="3" style="751" bestFit="1" customWidth="1"/>
    <col min="2824" max="2824" width="12.140625" style="751" customWidth="1"/>
    <col min="2825" max="2832" width="7.140625" style="751" customWidth="1"/>
    <col min="2833" max="2834" width="12.140625" style="751" customWidth="1"/>
    <col min="2835" max="2835" width="7.140625" style="751" customWidth="1"/>
    <col min="2836" max="2836" width="9.85546875" style="751" customWidth="1"/>
    <col min="2837" max="3076" width="8.85546875" style="751"/>
    <col min="3077" max="3077" width="3" style="751" bestFit="1" customWidth="1"/>
    <col min="3078" max="3078" width="14.140625" style="751" bestFit="1" customWidth="1"/>
    <col min="3079" max="3079" width="3" style="751" bestFit="1" customWidth="1"/>
    <col min="3080" max="3080" width="12.140625" style="751" customWidth="1"/>
    <col min="3081" max="3088" width="7.140625" style="751" customWidth="1"/>
    <col min="3089" max="3090" width="12.140625" style="751" customWidth="1"/>
    <col min="3091" max="3091" width="7.140625" style="751" customWidth="1"/>
    <col min="3092" max="3092" width="9.85546875" style="751" customWidth="1"/>
    <col min="3093" max="3332" width="8.85546875" style="751"/>
    <col min="3333" max="3333" width="3" style="751" bestFit="1" customWidth="1"/>
    <col min="3334" max="3334" width="14.140625" style="751" bestFit="1" customWidth="1"/>
    <col min="3335" max="3335" width="3" style="751" bestFit="1" customWidth="1"/>
    <col min="3336" max="3336" width="12.140625" style="751" customWidth="1"/>
    <col min="3337" max="3344" width="7.140625" style="751" customWidth="1"/>
    <col min="3345" max="3346" width="12.140625" style="751" customWidth="1"/>
    <col min="3347" max="3347" width="7.140625" style="751" customWidth="1"/>
    <col min="3348" max="3348" width="9.85546875" style="751" customWidth="1"/>
    <col min="3349" max="3588" width="8.85546875" style="751"/>
    <col min="3589" max="3589" width="3" style="751" bestFit="1" customWidth="1"/>
    <col min="3590" max="3590" width="14.140625" style="751" bestFit="1" customWidth="1"/>
    <col min="3591" max="3591" width="3" style="751" bestFit="1" customWidth="1"/>
    <col min="3592" max="3592" width="12.140625" style="751" customWidth="1"/>
    <col min="3593" max="3600" width="7.140625" style="751" customWidth="1"/>
    <col min="3601" max="3602" width="12.140625" style="751" customWidth="1"/>
    <col min="3603" max="3603" width="7.140625" style="751" customWidth="1"/>
    <col min="3604" max="3604" width="9.85546875" style="751" customWidth="1"/>
    <col min="3605" max="3844" width="8.85546875" style="751"/>
    <col min="3845" max="3845" width="3" style="751" bestFit="1" customWidth="1"/>
    <col min="3846" max="3846" width="14.140625" style="751" bestFit="1" customWidth="1"/>
    <col min="3847" max="3847" width="3" style="751" bestFit="1" customWidth="1"/>
    <col min="3848" max="3848" width="12.140625" style="751" customWidth="1"/>
    <col min="3849" max="3856" width="7.140625" style="751" customWidth="1"/>
    <col min="3857" max="3858" width="12.140625" style="751" customWidth="1"/>
    <col min="3859" max="3859" width="7.140625" style="751" customWidth="1"/>
    <col min="3860" max="3860" width="9.85546875" style="751" customWidth="1"/>
    <col min="3861" max="4100" width="8.85546875" style="751"/>
    <col min="4101" max="4101" width="3" style="751" bestFit="1" customWidth="1"/>
    <col min="4102" max="4102" width="14.140625" style="751" bestFit="1" customWidth="1"/>
    <col min="4103" max="4103" width="3" style="751" bestFit="1" customWidth="1"/>
    <col min="4104" max="4104" width="12.140625" style="751" customWidth="1"/>
    <col min="4105" max="4112" width="7.140625" style="751" customWidth="1"/>
    <col min="4113" max="4114" width="12.140625" style="751" customWidth="1"/>
    <col min="4115" max="4115" width="7.140625" style="751" customWidth="1"/>
    <col min="4116" max="4116" width="9.85546875" style="751" customWidth="1"/>
    <col min="4117" max="4356" width="8.85546875" style="751"/>
    <col min="4357" max="4357" width="3" style="751" bestFit="1" customWidth="1"/>
    <col min="4358" max="4358" width="14.140625" style="751" bestFit="1" customWidth="1"/>
    <col min="4359" max="4359" width="3" style="751" bestFit="1" customWidth="1"/>
    <col min="4360" max="4360" width="12.140625" style="751" customWidth="1"/>
    <col min="4361" max="4368" width="7.140625" style="751" customWidth="1"/>
    <col min="4369" max="4370" width="12.140625" style="751" customWidth="1"/>
    <col min="4371" max="4371" width="7.140625" style="751" customWidth="1"/>
    <col min="4372" max="4372" width="9.85546875" style="751" customWidth="1"/>
    <col min="4373" max="4612" width="8.85546875" style="751"/>
    <col min="4613" max="4613" width="3" style="751" bestFit="1" customWidth="1"/>
    <col min="4614" max="4614" width="14.140625" style="751" bestFit="1" customWidth="1"/>
    <col min="4615" max="4615" width="3" style="751" bestFit="1" customWidth="1"/>
    <col min="4616" max="4616" width="12.140625" style="751" customWidth="1"/>
    <col min="4617" max="4624" width="7.140625" style="751" customWidth="1"/>
    <col min="4625" max="4626" width="12.140625" style="751" customWidth="1"/>
    <col min="4627" max="4627" width="7.140625" style="751" customWidth="1"/>
    <col min="4628" max="4628" width="9.85546875" style="751" customWidth="1"/>
    <col min="4629" max="4868" width="8.85546875" style="751"/>
    <col min="4869" max="4869" width="3" style="751" bestFit="1" customWidth="1"/>
    <col min="4870" max="4870" width="14.140625" style="751" bestFit="1" customWidth="1"/>
    <col min="4871" max="4871" width="3" style="751" bestFit="1" customWidth="1"/>
    <col min="4872" max="4872" width="12.140625" style="751" customWidth="1"/>
    <col min="4873" max="4880" width="7.140625" style="751" customWidth="1"/>
    <col min="4881" max="4882" width="12.140625" style="751" customWidth="1"/>
    <col min="4883" max="4883" width="7.140625" style="751" customWidth="1"/>
    <col min="4884" max="4884" width="9.85546875" style="751" customWidth="1"/>
    <col min="4885" max="5124" width="8.85546875" style="751"/>
    <col min="5125" max="5125" width="3" style="751" bestFit="1" customWidth="1"/>
    <col min="5126" max="5126" width="14.140625" style="751" bestFit="1" customWidth="1"/>
    <col min="5127" max="5127" width="3" style="751" bestFit="1" customWidth="1"/>
    <col min="5128" max="5128" width="12.140625" style="751" customWidth="1"/>
    <col min="5129" max="5136" width="7.140625" style="751" customWidth="1"/>
    <col min="5137" max="5138" width="12.140625" style="751" customWidth="1"/>
    <col min="5139" max="5139" width="7.140625" style="751" customWidth="1"/>
    <col min="5140" max="5140" width="9.85546875" style="751" customWidth="1"/>
    <col min="5141" max="5380" width="8.85546875" style="751"/>
    <col min="5381" max="5381" width="3" style="751" bestFit="1" customWidth="1"/>
    <col min="5382" max="5382" width="14.140625" style="751" bestFit="1" customWidth="1"/>
    <col min="5383" max="5383" width="3" style="751" bestFit="1" customWidth="1"/>
    <col min="5384" max="5384" width="12.140625" style="751" customWidth="1"/>
    <col min="5385" max="5392" width="7.140625" style="751" customWidth="1"/>
    <col min="5393" max="5394" width="12.140625" style="751" customWidth="1"/>
    <col min="5395" max="5395" width="7.140625" style="751" customWidth="1"/>
    <col min="5396" max="5396" width="9.85546875" style="751" customWidth="1"/>
    <col min="5397" max="5636" width="8.85546875" style="751"/>
    <col min="5637" max="5637" width="3" style="751" bestFit="1" customWidth="1"/>
    <col min="5638" max="5638" width="14.140625" style="751" bestFit="1" customWidth="1"/>
    <col min="5639" max="5639" width="3" style="751" bestFit="1" customWidth="1"/>
    <col min="5640" max="5640" width="12.140625" style="751" customWidth="1"/>
    <col min="5641" max="5648" width="7.140625" style="751" customWidth="1"/>
    <col min="5649" max="5650" width="12.140625" style="751" customWidth="1"/>
    <col min="5651" max="5651" width="7.140625" style="751" customWidth="1"/>
    <col min="5652" max="5652" width="9.85546875" style="751" customWidth="1"/>
    <col min="5653" max="5892" width="8.85546875" style="751"/>
    <col min="5893" max="5893" width="3" style="751" bestFit="1" customWidth="1"/>
    <col min="5894" max="5894" width="14.140625" style="751" bestFit="1" customWidth="1"/>
    <col min="5895" max="5895" width="3" style="751" bestFit="1" customWidth="1"/>
    <col min="5896" max="5896" width="12.140625" style="751" customWidth="1"/>
    <col min="5897" max="5904" width="7.140625" style="751" customWidth="1"/>
    <col min="5905" max="5906" width="12.140625" style="751" customWidth="1"/>
    <col min="5907" max="5907" width="7.140625" style="751" customWidth="1"/>
    <col min="5908" max="5908" width="9.85546875" style="751" customWidth="1"/>
    <col min="5909" max="6148" width="8.85546875" style="751"/>
    <col min="6149" max="6149" width="3" style="751" bestFit="1" customWidth="1"/>
    <col min="6150" max="6150" width="14.140625" style="751" bestFit="1" customWidth="1"/>
    <col min="6151" max="6151" width="3" style="751" bestFit="1" customWidth="1"/>
    <col min="6152" max="6152" width="12.140625" style="751" customWidth="1"/>
    <col min="6153" max="6160" width="7.140625" style="751" customWidth="1"/>
    <col min="6161" max="6162" width="12.140625" style="751" customWidth="1"/>
    <col min="6163" max="6163" width="7.140625" style="751" customWidth="1"/>
    <col min="6164" max="6164" width="9.85546875" style="751" customWidth="1"/>
    <col min="6165" max="6404" width="8.85546875" style="751"/>
    <col min="6405" max="6405" width="3" style="751" bestFit="1" customWidth="1"/>
    <col min="6406" max="6406" width="14.140625" style="751" bestFit="1" customWidth="1"/>
    <col min="6407" max="6407" width="3" style="751" bestFit="1" customWidth="1"/>
    <col min="6408" max="6408" width="12.140625" style="751" customWidth="1"/>
    <col min="6409" max="6416" width="7.140625" style="751" customWidth="1"/>
    <col min="6417" max="6418" width="12.140625" style="751" customWidth="1"/>
    <col min="6419" max="6419" width="7.140625" style="751" customWidth="1"/>
    <col min="6420" max="6420" width="9.85546875" style="751" customWidth="1"/>
    <col min="6421" max="6660" width="8.85546875" style="751"/>
    <col min="6661" max="6661" width="3" style="751" bestFit="1" customWidth="1"/>
    <col min="6662" max="6662" width="14.140625" style="751" bestFit="1" customWidth="1"/>
    <col min="6663" max="6663" width="3" style="751" bestFit="1" customWidth="1"/>
    <col min="6664" max="6664" width="12.140625" style="751" customWidth="1"/>
    <col min="6665" max="6672" width="7.140625" style="751" customWidth="1"/>
    <col min="6673" max="6674" width="12.140625" style="751" customWidth="1"/>
    <col min="6675" max="6675" width="7.140625" style="751" customWidth="1"/>
    <col min="6676" max="6676" width="9.85546875" style="751" customWidth="1"/>
    <col min="6677" max="6916" width="8.85546875" style="751"/>
    <col min="6917" max="6917" width="3" style="751" bestFit="1" customWidth="1"/>
    <col min="6918" max="6918" width="14.140625" style="751" bestFit="1" customWidth="1"/>
    <col min="6919" max="6919" width="3" style="751" bestFit="1" customWidth="1"/>
    <col min="6920" max="6920" width="12.140625" style="751" customWidth="1"/>
    <col min="6921" max="6928" width="7.140625" style="751" customWidth="1"/>
    <col min="6929" max="6930" width="12.140625" style="751" customWidth="1"/>
    <col min="6931" max="6931" width="7.140625" style="751" customWidth="1"/>
    <col min="6932" max="6932" width="9.85546875" style="751" customWidth="1"/>
    <col min="6933" max="7172" width="8.85546875" style="751"/>
    <col min="7173" max="7173" width="3" style="751" bestFit="1" customWidth="1"/>
    <col min="7174" max="7174" width="14.140625" style="751" bestFit="1" customWidth="1"/>
    <col min="7175" max="7175" width="3" style="751" bestFit="1" customWidth="1"/>
    <col min="7176" max="7176" width="12.140625" style="751" customWidth="1"/>
    <col min="7177" max="7184" width="7.140625" style="751" customWidth="1"/>
    <col min="7185" max="7186" width="12.140625" style="751" customWidth="1"/>
    <col min="7187" max="7187" width="7.140625" style="751" customWidth="1"/>
    <col min="7188" max="7188" width="9.85546875" style="751" customWidth="1"/>
    <col min="7189" max="7428" width="8.85546875" style="751"/>
    <col min="7429" max="7429" width="3" style="751" bestFit="1" customWidth="1"/>
    <col min="7430" max="7430" width="14.140625" style="751" bestFit="1" customWidth="1"/>
    <col min="7431" max="7431" width="3" style="751" bestFit="1" customWidth="1"/>
    <col min="7432" max="7432" width="12.140625" style="751" customWidth="1"/>
    <col min="7433" max="7440" width="7.140625" style="751" customWidth="1"/>
    <col min="7441" max="7442" width="12.140625" style="751" customWidth="1"/>
    <col min="7443" max="7443" width="7.140625" style="751" customWidth="1"/>
    <col min="7444" max="7444" width="9.85546875" style="751" customWidth="1"/>
    <col min="7445" max="7684" width="8.85546875" style="751"/>
    <col min="7685" max="7685" width="3" style="751" bestFit="1" customWidth="1"/>
    <col min="7686" max="7686" width="14.140625" style="751" bestFit="1" customWidth="1"/>
    <col min="7687" max="7687" width="3" style="751" bestFit="1" customWidth="1"/>
    <col min="7688" max="7688" width="12.140625" style="751" customWidth="1"/>
    <col min="7689" max="7696" width="7.140625" style="751" customWidth="1"/>
    <col min="7697" max="7698" width="12.140625" style="751" customWidth="1"/>
    <col min="7699" max="7699" width="7.140625" style="751" customWidth="1"/>
    <col min="7700" max="7700" width="9.85546875" style="751" customWidth="1"/>
    <col min="7701" max="7940" width="8.85546875" style="751"/>
    <col min="7941" max="7941" width="3" style="751" bestFit="1" customWidth="1"/>
    <col min="7942" max="7942" width="14.140625" style="751" bestFit="1" customWidth="1"/>
    <col min="7943" max="7943" width="3" style="751" bestFit="1" customWidth="1"/>
    <col min="7944" max="7944" width="12.140625" style="751" customWidth="1"/>
    <col min="7945" max="7952" width="7.140625" style="751" customWidth="1"/>
    <col min="7953" max="7954" width="12.140625" style="751" customWidth="1"/>
    <col min="7955" max="7955" width="7.140625" style="751" customWidth="1"/>
    <col min="7956" max="7956" width="9.85546875" style="751" customWidth="1"/>
    <col min="7957" max="8196" width="8.85546875" style="751"/>
    <col min="8197" max="8197" width="3" style="751" bestFit="1" customWidth="1"/>
    <col min="8198" max="8198" width="14.140625" style="751" bestFit="1" customWidth="1"/>
    <col min="8199" max="8199" width="3" style="751" bestFit="1" customWidth="1"/>
    <col min="8200" max="8200" width="12.140625" style="751" customWidth="1"/>
    <col min="8201" max="8208" width="7.140625" style="751" customWidth="1"/>
    <col min="8209" max="8210" width="12.140625" style="751" customWidth="1"/>
    <col min="8211" max="8211" width="7.140625" style="751" customWidth="1"/>
    <col min="8212" max="8212" width="9.85546875" style="751" customWidth="1"/>
    <col min="8213" max="8452" width="8.85546875" style="751"/>
    <col min="8453" max="8453" width="3" style="751" bestFit="1" customWidth="1"/>
    <col min="8454" max="8454" width="14.140625" style="751" bestFit="1" customWidth="1"/>
    <col min="8455" max="8455" width="3" style="751" bestFit="1" customWidth="1"/>
    <col min="8456" max="8456" width="12.140625" style="751" customWidth="1"/>
    <col min="8457" max="8464" width="7.140625" style="751" customWidth="1"/>
    <col min="8465" max="8466" width="12.140625" style="751" customWidth="1"/>
    <col min="8467" max="8467" width="7.140625" style="751" customWidth="1"/>
    <col min="8468" max="8468" width="9.85546875" style="751" customWidth="1"/>
    <col min="8469" max="8708" width="8.85546875" style="751"/>
    <col min="8709" max="8709" width="3" style="751" bestFit="1" customWidth="1"/>
    <col min="8710" max="8710" width="14.140625" style="751" bestFit="1" customWidth="1"/>
    <col min="8711" max="8711" width="3" style="751" bestFit="1" customWidth="1"/>
    <col min="8712" max="8712" width="12.140625" style="751" customWidth="1"/>
    <col min="8713" max="8720" width="7.140625" style="751" customWidth="1"/>
    <col min="8721" max="8722" width="12.140625" style="751" customWidth="1"/>
    <col min="8723" max="8723" width="7.140625" style="751" customWidth="1"/>
    <col min="8724" max="8724" width="9.85546875" style="751" customWidth="1"/>
    <col min="8725" max="8964" width="8.85546875" style="751"/>
    <col min="8965" max="8965" width="3" style="751" bestFit="1" customWidth="1"/>
    <col min="8966" max="8966" width="14.140625" style="751" bestFit="1" customWidth="1"/>
    <col min="8967" max="8967" width="3" style="751" bestFit="1" customWidth="1"/>
    <col min="8968" max="8968" width="12.140625" style="751" customWidth="1"/>
    <col min="8969" max="8976" width="7.140625" style="751" customWidth="1"/>
    <col min="8977" max="8978" width="12.140625" style="751" customWidth="1"/>
    <col min="8979" max="8979" width="7.140625" style="751" customWidth="1"/>
    <col min="8980" max="8980" width="9.85546875" style="751" customWidth="1"/>
    <col min="8981" max="9220" width="8.85546875" style="751"/>
    <col min="9221" max="9221" width="3" style="751" bestFit="1" customWidth="1"/>
    <col min="9222" max="9222" width="14.140625" style="751" bestFit="1" customWidth="1"/>
    <col min="9223" max="9223" width="3" style="751" bestFit="1" customWidth="1"/>
    <col min="9224" max="9224" width="12.140625" style="751" customWidth="1"/>
    <col min="9225" max="9232" width="7.140625" style="751" customWidth="1"/>
    <col min="9233" max="9234" width="12.140625" style="751" customWidth="1"/>
    <col min="9235" max="9235" width="7.140625" style="751" customWidth="1"/>
    <col min="9236" max="9236" width="9.85546875" style="751" customWidth="1"/>
    <col min="9237" max="9476" width="8.85546875" style="751"/>
    <col min="9477" max="9477" width="3" style="751" bestFit="1" customWidth="1"/>
    <col min="9478" max="9478" width="14.140625" style="751" bestFit="1" customWidth="1"/>
    <col min="9479" max="9479" width="3" style="751" bestFit="1" customWidth="1"/>
    <col min="9480" max="9480" width="12.140625" style="751" customWidth="1"/>
    <col min="9481" max="9488" width="7.140625" style="751" customWidth="1"/>
    <col min="9489" max="9490" width="12.140625" style="751" customWidth="1"/>
    <col min="9491" max="9491" width="7.140625" style="751" customWidth="1"/>
    <col min="9492" max="9492" width="9.85546875" style="751" customWidth="1"/>
    <col min="9493" max="9732" width="8.85546875" style="751"/>
    <col min="9733" max="9733" width="3" style="751" bestFit="1" customWidth="1"/>
    <col min="9734" max="9734" width="14.140625" style="751" bestFit="1" customWidth="1"/>
    <col min="9735" max="9735" width="3" style="751" bestFit="1" customWidth="1"/>
    <col min="9736" max="9736" width="12.140625" style="751" customWidth="1"/>
    <col min="9737" max="9744" width="7.140625" style="751" customWidth="1"/>
    <col min="9745" max="9746" width="12.140625" style="751" customWidth="1"/>
    <col min="9747" max="9747" width="7.140625" style="751" customWidth="1"/>
    <col min="9748" max="9748" width="9.85546875" style="751" customWidth="1"/>
    <col min="9749" max="9988" width="8.85546875" style="751"/>
    <col min="9989" max="9989" width="3" style="751" bestFit="1" customWidth="1"/>
    <col min="9990" max="9990" width="14.140625" style="751" bestFit="1" customWidth="1"/>
    <col min="9991" max="9991" width="3" style="751" bestFit="1" customWidth="1"/>
    <col min="9992" max="9992" width="12.140625" style="751" customWidth="1"/>
    <col min="9993" max="10000" width="7.140625" style="751" customWidth="1"/>
    <col min="10001" max="10002" width="12.140625" style="751" customWidth="1"/>
    <col min="10003" max="10003" width="7.140625" style="751" customWidth="1"/>
    <col min="10004" max="10004" width="9.85546875" style="751" customWidth="1"/>
    <col min="10005" max="10244" width="8.85546875" style="751"/>
    <col min="10245" max="10245" width="3" style="751" bestFit="1" customWidth="1"/>
    <col min="10246" max="10246" width="14.140625" style="751" bestFit="1" customWidth="1"/>
    <col min="10247" max="10247" width="3" style="751" bestFit="1" customWidth="1"/>
    <col min="10248" max="10248" width="12.140625" style="751" customWidth="1"/>
    <col min="10249" max="10256" width="7.140625" style="751" customWidth="1"/>
    <col min="10257" max="10258" width="12.140625" style="751" customWidth="1"/>
    <col min="10259" max="10259" width="7.140625" style="751" customWidth="1"/>
    <col min="10260" max="10260" width="9.85546875" style="751" customWidth="1"/>
    <col min="10261" max="10500" width="8.85546875" style="751"/>
    <col min="10501" max="10501" width="3" style="751" bestFit="1" customWidth="1"/>
    <col min="10502" max="10502" width="14.140625" style="751" bestFit="1" customWidth="1"/>
    <col min="10503" max="10503" width="3" style="751" bestFit="1" customWidth="1"/>
    <col min="10504" max="10504" width="12.140625" style="751" customWidth="1"/>
    <col min="10505" max="10512" width="7.140625" style="751" customWidth="1"/>
    <col min="10513" max="10514" width="12.140625" style="751" customWidth="1"/>
    <col min="10515" max="10515" width="7.140625" style="751" customWidth="1"/>
    <col min="10516" max="10516" width="9.85546875" style="751" customWidth="1"/>
    <col min="10517" max="10756" width="8.85546875" style="751"/>
    <col min="10757" max="10757" width="3" style="751" bestFit="1" customWidth="1"/>
    <col min="10758" max="10758" width="14.140625" style="751" bestFit="1" customWidth="1"/>
    <col min="10759" max="10759" width="3" style="751" bestFit="1" customWidth="1"/>
    <col min="10760" max="10760" width="12.140625" style="751" customWidth="1"/>
    <col min="10761" max="10768" width="7.140625" style="751" customWidth="1"/>
    <col min="10769" max="10770" width="12.140625" style="751" customWidth="1"/>
    <col min="10771" max="10771" width="7.140625" style="751" customWidth="1"/>
    <col min="10772" max="10772" width="9.85546875" style="751" customWidth="1"/>
    <col min="10773" max="11012" width="8.85546875" style="751"/>
    <col min="11013" max="11013" width="3" style="751" bestFit="1" customWidth="1"/>
    <col min="11014" max="11014" width="14.140625" style="751" bestFit="1" customWidth="1"/>
    <col min="11015" max="11015" width="3" style="751" bestFit="1" customWidth="1"/>
    <col min="11016" max="11016" width="12.140625" style="751" customWidth="1"/>
    <col min="11017" max="11024" width="7.140625" style="751" customWidth="1"/>
    <col min="11025" max="11026" width="12.140625" style="751" customWidth="1"/>
    <col min="11027" max="11027" width="7.140625" style="751" customWidth="1"/>
    <col min="11028" max="11028" width="9.85546875" style="751" customWidth="1"/>
    <col min="11029" max="11268" width="8.85546875" style="751"/>
    <col min="11269" max="11269" width="3" style="751" bestFit="1" customWidth="1"/>
    <col min="11270" max="11270" width="14.140625" style="751" bestFit="1" customWidth="1"/>
    <col min="11271" max="11271" width="3" style="751" bestFit="1" customWidth="1"/>
    <col min="11272" max="11272" width="12.140625" style="751" customWidth="1"/>
    <col min="11273" max="11280" width="7.140625" style="751" customWidth="1"/>
    <col min="11281" max="11282" width="12.140625" style="751" customWidth="1"/>
    <col min="11283" max="11283" width="7.140625" style="751" customWidth="1"/>
    <col min="11284" max="11284" width="9.85546875" style="751" customWidth="1"/>
    <col min="11285" max="11524" width="8.85546875" style="751"/>
    <col min="11525" max="11525" width="3" style="751" bestFit="1" customWidth="1"/>
    <col min="11526" max="11526" width="14.140625" style="751" bestFit="1" customWidth="1"/>
    <col min="11527" max="11527" width="3" style="751" bestFit="1" customWidth="1"/>
    <col min="11528" max="11528" width="12.140625" style="751" customWidth="1"/>
    <col min="11529" max="11536" width="7.140625" style="751" customWidth="1"/>
    <col min="11537" max="11538" width="12.140625" style="751" customWidth="1"/>
    <col min="11539" max="11539" width="7.140625" style="751" customWidth="1"/>
    <col min="11540" max="11540" width="9.85546875" style="751" customWidth="1"/>
    <col min="11541" max="11780" width="8.85546875" style="751"/>
    <col min="11781" max="11781" width="3" style="751" bestFit="1" customWidth="1"/>
    <col min="11782" max="11782" width="14.140625" style="751" bestFit="1" customWidth="1"/>
    <col min="11783" max="11783" width="3" style="751" bestFit="1" customWidth="1"/>
    <col min="11784" max="11784" width="12.140625" style="751" customWidth="1"/>
    <col min="11785" max="11792" width="7.140625" style="751" customWidth="1"/>
    <col min="11793" max="11794" width="12.140625" style="751" customWidth="1"/>
    <col min="11795" max="11795" width="7.140625" style="751" customWidth="1"/>
    <col min="11796" max="11796" width="9.85546875" style="751" customWidth="1"/>
    <col min="11797" max="12036" width="8.85546875" style="751"/>
    <col min="12037" max="12037" width="3" style="751" bestFit="1" customWidth="1"/>
    <col min="12038" max="12038" width="14.140625" style="751" bestFit="1" customWidth="1"/>
    <col min="12039" max="12039" width="3" style="751" bestFit="1" customWidth="1"/>
    <col min="12040" max="12040" width="12.140625" style="751" customWidth="1"/>
    <col min="12041" max="12048" width="7.140625" style="751" customWidth="1"/>
    <col min="12049" max="12050" width="12.140625" style="751" customWidth="1"/>
    <col min="12051" max="12051" width="7.140625" style="751" customWidth="1"/>
    <col min="12052" max="12052" width="9.85546875" style="751" customWidth="1"/>
    <col min="12053" max="12292" width="8.85546875" style="751"/>
    <col min="12293" max="12293" width="3" style="751" bestFit="1" customWidth="1"/>
    <col min="12294" max="12294" width="14.140625" style="751" bestFit="1" customWidth="1"/>
    <col min="12295" max="12295" width="3" style="751" bestFit="1" customWidth="1"/>
    <col min="12296" max="12296" width="12.140625" style="751" customWidth="1"/>
    <col min="12297" max="12304" width="7.140625" style="751" customWidth="1"/>
    <col min="12305" max="12306" width="12.140625" style="751" customWidth="1"/>
    <col min="12307" max="12307" width="7.140625" style="751" customWidth="1"/>
    <col min="12308" max="12308" width="9.85546875" style="751" customWidth="1"/>
    <col min="12309" max="12548" width="8.85546875" style="751"/>
    <col min="12549" max="12549" width="3" style="751" bestFit="1" customWidth="1"/>
    <col min="12550" max="12550" width="14.140625" style="751" bestFit="1" customWidth="1"/>
    <col min="12551" max="12551" width="3" style="751" bestFit="1" customWidth="1"/>
    <col min="12552" max="12552" width="12.140625" style="751" customWidth="1"/>
    <col min="12553" max="12560" width="7.140625" style="751" customWidth="1"/>
    <col min="12561" max="12562" width="12.140625" style="751" customWidth="1"/>
    <col min="12563" max="12563" width="7.140625" style="751" customWidth="1"/>
    <col min="12564" max="12564" width="9.85546875" style="751" customWidth="1"/>
    <col min="12565" max="12804" width="8.85546875" style="751"/>
    <col min="12805" max="12805" width="3" style="751" bestFit="1" customWidth="1"/>
    <col min="12806" max="12806" width="14.140625" style="751" bestFit="1" customWidth="1"/>
    <col min="12807" max="12807" width="3" style="751" bestFit="1" customWidth="1"/>
    <col min="12808" max="12808" width="12.140625" style="751" customWidth="1"/>
    <col min="12809" max="12816" width="7.140625" style="751" customWidth="1"/>
    <col min="12817" max="12818" width="12.140625" style="751" customWidth="1"/>
    <col min="12819" max="12819" width="7.140625" style="751" customWidth="1"/>
    <col min="12820" max="12820" width="9.85546875" style="751" customWidth="1"/>
    <col min="12821" max="13060" width="8.85546875" style="751"/>
    <col min="13061" max="13061" width="3" style="751" bestFit="1" customWidth="1"/>
    <col min="13062" max="13062" width="14.140625" style="751" bestFit="1" customWidth="1"/>
    <col min="13063" max="13063" width="3" style="751" bestFit="1" customWidth="1"/>
    <col min="13064" max="13064" width="12.140625" style="751" customWidth="1"/>
    <col min="13065" max="13072" width="7.140625" style="751" customWidth="1"/>
    <col min="13073" max="13074" width="12.140625" style="751" customWidth="1"/>
    <col min="13075" max="13075" width="7.140625" style="751" customWidth="1"/>
    <col min="13076" max="13076" width="9.85546875" style="751" customWidth="1"/>
    <col min="13077" max="13316" width="8.85546875" style="751"/>
    <col min="13317" max="13317" width="3" style="751" bestFit="1" customWidth="1"/>
    <col min="13318" max="13318" width="14.140625" style="751" bestFit="1" customWidth="1"/>
    <col min="13319" max="13319" width="3" style="751" bestFit="1" customWidth="1"/>
    <col min="13320" max="13320" width="12.140625" style="751" customWidth="1"/>
    <col min="13321" max="13328" width="7.140625" style="751" customWidth="1"/>
    <col min="13329" max="13330" width="12.140625" style="751" customWidth="1"/>
    <col min="13331" max="13331" width="7.140625" style="751" customWidth="1"/>
    <col min="13332" max="13332" width="9.85546875" style="751" customWidth="1"/>
    <col min="13333" max="13572" width="8.85546875" style="751"/>
    <col min="13573" max="13573" width="3" style="751" bestFit="1" customWidth="1"/>
    <col min="13574" max="13574" width="14.140625" style="751" bestFit="1" customWidth="1"/>
    <col min="13575" max="13575" width="3" style="751" bestFit="1" customWidth="1"/>
    <col min="13576" max="13576" width="12.140625" style="751" customWidth="1"/>
    <col min="13577" max="13584" width="7.140625" style="751" customWidth="1"/>
    <col min="13585" max="13586" width="12.140625" style="751" customWidth="1"/>
    <col min="13587" max="13587" width="7.140625" style="751" customWidth="1"/>
    <col min="13588" max="13588" width="9.85546875" style="751" customWidth="1"/>
    <col min="13589" max="13828" width="8.85546875" style="751"/>
    <col min="13829" max="13829" width="3" style="751" bestFit="1" customWidth="1"/>
    <col min="13830" max="13830" width="14.140625" style="751" bestFit="1" customWidth="1"/>
    <col min="13831" max="13831" width="3" style="751" bestFit="1" customWidth="1"/>
    <col min="13832" max="13832" width="12.140625" style="751" customWidth="1"/>
    <col min="13833" max="13840" width="7.140625" style="751" customWidth="1"/>
    <col min="13841" max="13842" width="12.140625" style="751" customWidth="1"/>
    <col min="13843" max="13843" width="7.140625" style="751" customWidth="1"/>
    <col min="13844" max="13844" width="9.85546875" style="751" customWidth="1"/>
    <col min="13845" max="14084" width="8.85546875" style="751"/>
    <col min="14085" max="14085" width="3" style="751" bestFit="1" customWidth="1"/>
    <col min="14086" max="14086" width="14.140625" style="751" bestFit="1" customWidth="1"/>
    <col min="14087" max="14087" width="3" style="751" bestFit="1" customWidth="1"/>
    <col min="14088" max="14088" width="12.140625" style="751" customWidth="1"/>
    <col min="14089" max="14096" width="7.140625" style="751" customWidth="1"/>
    <col min="14097" max="14098" width="12.140625" style="751" customWidth="1"/>
    <col min="14099" max="14099" width="7.140625" style="751" customWidth="1"/>
    <col min="14100" max="14100" width="9.85546875" style="751" customWidth="1"/>
    <col min="14101" max="14340" width="8.85546875" style="751"/>
    <col min="14341" max="14341" width="3" style="751" bestFit="1" customWidth="1"/>
    <col min="14342" max="14342" width="14.140625" style="751" bestFit="1" customWidth="1"/>
    <col min="14343" max="14343" width="3" style="751" bestFit="1" customWidth="1"/>
    <col min="14344" max="14344" width="12.140625" style="751" customWidth="1"/>
    <col min="14345" max="14352" width="7.140625" style="751" customWidth="1"/>
    <col min="14353" max="14354" width="12.140625" style="751" customWidth="1"/>
    <col min="14355" max="14355" width="7.140625" style="751" customWidth="1"/>
    <col min="14356" max="14356" width="9.85546875" style="751" customWidth="1"/>
    <col min="14357" max="14596" width="8.85546875" style="751"/>
    <col min="14597" max="14597" width="3" style="751" bestFit="1" customWidth="1"/>
    <col min="14598" max="14598" width="14.140625" style="751" bestFit="1" customWidth="1"/>
    <col min="14599" max="14599" width="3" style="751" bestFit="1" customWidth="1"/>
    <col min="14600" max="14600" width="12.140625" style="751" customWidth="1"/>
    <col min="14601" max="14608" width="7.140625" style="751" customWidth="1"/>
    <col min="14609" max="14610" width="12.140625" style="751" customWidth="1"/>
    <col min="14611" max="14611" width="7.140625" style="751" customWidth="1"/>
    <col min="14612" max="14612" width="9.85546875" style="751" customWidth="1"/>
    <col min="14613" max="14852" width="8.85546875" style="751"/>
    <col min="14853" max="14853" width="3" style="751" bestFit="1" customWidth="1"/>
    <col min="14854" max="14854" width="14.140625" style="751" bestFit="1" customWidth="1"/>
    <col min="14855" max="14855" width="3" style="751" bestFit="1" customWidth="1"/>
    <col min="14856" max="14856" width="12.140625" style="751" customWidth="1"/>
    <col min="14857" max="14864" width="7.140625" style="751" customWidth="1"/>
    <col min="14865" max="14866" width="12.140625" style="751" customWidth="1"/>
    <col min="14867" max="14867" width="7.140625" style="751" customWidth="1"/>
    <col min="14868" max="14868" width="9.85546875" style="751" customWidth="1"/>
    <col min="14869" max="15108" width="8.85546875" style="751"/>
    <col min="15109" max="15109" width="3" style="751" bestFit="1" customWidth="1"/>
    <col min="15110" max="15110" width="14.140625" style="751" bestFit="1" customWidth="1"/>
    <col min="15111" max="15111" width="3" style="751" bestFit="1" customWidth="1"/>
    <col min="15112" max="15112" width="12.140625" style="751" customWidth="1"/>
    <col min="15113" max="15120" width="7.140625" style="751" customWidth="1"/>
    <col min="15121" max="15122" width="12.140625" style="751" customWidth="1"/>
    <col min="15123" max="15123" width="7.140625" style="751" customWidth="1"/>
    <col min="15124" max="15124" width="9.85546875" style="751" customWidth="1"/>
    <col min="15125" max="15364" width="8.85546875" style="751"/>
    <col min="15365" max="15365" width="3" style="751" bestFit="1" customWidth="1"/>
    <col min="15366" max="15366" width="14.140625" style="751" bestFit="1" customWidth="1"/>
    <col min="15367" max="15367" width="3" style="751" bestFit="1" customWidth="1"/>
    <col min="15368" max="15368" width="12.140625" style="751" customWidth="1"/>
    <col min="15369" max="15376" width="7.140625" style="751" customWidth="1"/>
    <col min="15377" max="15378" width="12.140625" style="751" customWidth="1"/>
    <col min="15379" max="15379" width="7.140625" style="751" customWidth="1"/>
    <col min="15380" max="15380" width="9.85546875" style="751" customWidth="1"/>
    <col min="15381" max="15620" width="8.85546875" style="751"/>
    <col min="15621" max="15621" width="3" style="751" bestFit="1" customWidth="1"/>
    <col min="15622" max="15622" width="14.140625" style="751" bestFit="1" customWidth="1"/>
    <col min="15623" max="15623" width="3" style="751" bestFit="1" customWidth="1"/>
    <col min="15624" max="15624" width="12.140625" style="751" customWidth="1"/>
    <col min="15625" max="15632" width="7.140625" style="751" customWidth="1"/>
    <col min="15633" max="15634" width="12.140625" style="751" customWidth="1"/>
    <col min="15635" max="15635" width="7.140625" style="751" customWidth="1"/>
    <col min="15636" max="15636" width="9.85546875" style="751" customWidth="1"/>
    <col min="15637" max="15876" width="8.85546875" style="751"/>
    <col min="15877" max="15877" width="3" style="751" bestFit="1" customWidth="1"/>
    <col min="15878" max="15878" width="14.140625" style="751" bestFit="1" customWidth="1"/>
    <col min="15879" max="15879" width="3" style="751" bestFit="1" customWidth="1"/>
    <col min="15880" max="15880" width="12.140625" style="751" customWidth="1"/>
    <col min="15881" max="15888" width="7.140625" style="751" customWidth="1"/>
    <col min="15889" max="15890" width="12.140625" style="751" customWidth="1"/>
    <col min="15891" max="15891" width="7.140625" style="751" customWidth="1"/>
    <col min="15892" max="15892" width="9.85546875" style="751" customWidth="1"/>
    <col min="15893" max="16132" width="8.85546875" style="751"/>
    <col min="16133" max="16133" width="3" style="751" bestFit="1" customWidth="1"/>
    <col min="16134" max="16134" width="14.140625" style="751" bestFit="1" customWidth="1"/>
    <col min="16135" max="16135" width="3" style="751" bestFit="1" customWidth="1"/>
    <col min="16136" max="16136" width="12.140625" style="751" customWidth="1"/>
    <col min="16137" max="16144" width="7.140625" style="751" customWidth="1"/>
    <col min="16145" max="16146" width="12.140625" style="751" customWidth="1"/>
    <col min="16147" max="16147" width="7.140625" style="751" customWidth="1"/>
    <col min="16148" max="16148" width="9.85546875" style="751" customWidth="1"/>
    <col min="16149" max="16384" width="8.85546875" style="751"/>
  </cols>
  <sheetData>
    <row r="1" spans="1:29" ht="15" x14ac:dyDescent="0.25">
      <c r="A1" s="509"/>
      <c r="B1" s="1119"/>
      <c r="C1" s="1119"/>
      <c r="D1" s="1137"/>
      <c r="E1" s="1137"/>
      <c r="F1" s="1137"/>
      <c r="G1" s="1137"/>
      <c r="H1" s="1137"/>
      <c r="I1" s="1137"/>
      <c r="J1" s="1137"/>
      <c r="K1" s="1137"/>
      <c r="L1" s="1137"/>
      <c r="M1" s="1137"/>
      <c r="N1" s="1137"/>
      <c r="O1" s="1137"/>
      <c r="P1" s="1137"/>
      <c r="Q1" s="1137"/>
      <c r="R1" s="1137"/>
      <c r="S1" s="1137"/>
      <c r="T1" s="1137"/>
      <c r="U1" s="113"/>
      <c r="V1" s="113"/>
      <c r="W1" s="113"/>
      <c r="X1" s="113"/>
      <c r="Y1" s="113"/>
    </row>
    <row r="2" spans="1:29" ht="14.45" customHeight="1" x14ac:dyDescent="0.25">
      <c r="A2" s="509">
        <v>1</v>
      </c>
      <c r="B2" s="509" t="s">
        <v>0</v>
      </c>
      <c r="C2" s="509">
        <v>52</v>
      </c>
      <c r="D2" s="4869" t="s">
        <v>1384</v>
      </c>
      <c r="E2" s="4870"/>
      <c r="F2" s="4870"/>
      <c r="G2" s="4870"/>
      <c r="H2" s="4870"/>
      <c r="I2" s="4870"/>
      <c r="J2" s="4870"/>
      <c r="K2" s="4870"/>
      <c r="L2" s="4870"/>
      <c r="M2" s="4870"/>
      <c r="N2" s="4870"/>
      <c r="O2" s="4870"/>
      <c r="P2" s="4870"/>
      <c r="Q2" s="4870"/>
      <c r="R2" s="4870"/>
      <c r="S2" s="4870"/>
      <c r="T2" s="4871"/>
      <c r="U2" s="113"/>
      <c r="V2" s="113"/>
      <c r="W2" s="113"/>
      <c r="X2" s="113"/>
      <c r="Y2" s="113"/>
    </row>
    <row r="3" spans="1:29" ht="15" x14ac:dyDescent="0.25">
      <c r="A3" s="509">
        <v>2</v>
      </c>
      <c r="B3" s="509" t="s">
        <v>2</v>
      </c>
      <c r="C3" s="509"/>
      <c r="D3" s="4869" t="s">
        <v>1231</v>
      </c>
      <c r="E3" s="4870"/>
      <c r="F3" s="4870"/>
      <c r="G3" s="4870"/>
      <c r="H3" s="4870"/>
      <c r="I3" s="4870"/>
      <c r="J3" s="4870"/>
      <c r="K3" s="4870"/>
      <c r="L3" s="4870"/>
      <c r="M3" s="4870"/>
      <c r="N3" s="4870"/>
      <c r="O3" s="4870"/>
      <c r="P3" s="4870"/>
      <c r="Q3" s="4870"/>
      <c r="R3" s="4870"/>
      <c r="S3" s="4870"/>
      <c r="T3" s="4871"/>
      <c r="U3" s="113"/>
      <c r="V3" s="113"/>
      <c r="W3" s="113"/>
      <c r="X3" s="113"/>
      <c r="Y3" s="113"/>
    </row>
    <row r="4" spans="1:29" ht="13.5" customHeight="1" x14ac:dyDescent="0.2">
      <c r="A4" s="509">
        <v>3</v>
      </c>
      <c r="B4" s="509" t="s">
        <v>4</v>
      </c>
      <c r="C4" s="509"/>
      <c r="D4" s="4869" t="s">
        <v>1385</v>
      </c>
      <c r="E4" s="4870"/>
      <c r="F4" s="4870"/>
      <c r="G4" s="4870"/>
      <c r="H4" s="4870"/>
      <c r="I4" s="4870"/>
      <c r="J4" s="4870"/>
      <c r="K4" s="4870"/>
      <c r="L4" s="4870"/>
      <c r="M4" s="4870"/>
      <c r="N4" s="4870"/>
      <c r="O4" s="4870"/>
      <c r="P4" s="4870"/>
      <c r="Q4" s="4870"/>
      <c r="R4" s="4870"/>
      <c r="S4" s="4870"/>
      <c r="T4" s="4871"/>
      <c r="U4" s="344"/>
      <c r="V4" s="344"/>
      <c r="W4" s="344"/>
      <c r="X4" s="344"/>
      <c r="Y4" s="344"/>
      <c r="Z4" s="344"/>
      <c r="AA4" s="344"/>
    </row>
    <row r="5" spans="1:29" ht="12" customHeight="1" x14ac:dyDescent="0.25">
      <c r="A5" s="509"/>
      <c r="B5" s="113"/>
      <c r="C5" s="113"/>
      <c r="D5" s="1516"/>
      <c r="E5" s="1516"/>
      <c r="F5" s="1516"/>
      <c r="G5" s="1516"/>
      <c r="H5" s="1516"/>
      <c r="I5" s="1516"/>
      <c r="J5" s="1516"/>
      <c r="K5" s="1516"/>
      <c r="L5" s="1516"/>
      <c r="M5" s="1516"/>
      <c r="N5" s="1516"/>
      <c r="O5" s="1516"/>
      <c r="P5" s="1516"/>
      <c r="Q5" s="1516"/>
      <c r="R5" s="1516"/>
      <c r="S5" s="1516"/>
      <c r="T5" s="1516"/>
      <c r="U5" s="344"/>
      <c r="V5" s="344"/>
      <c r="W5" s="344"/>
      <c r="X5" s="344"/>
      <c r="Y5" s="344"/>
      <c r="Z5" s="344"/>
      <c r="AA5" s="344"/>
    </row>
    <row r="6" spans="1:29" ht="15" x14ac:dyDescent="0.25">
      <c r="A6" s="509">
        <v>5</v>
      </c>
      <c r="B6" s="509" t="s">
        <v>6</v>
      </c>
      <c r="C6" s="509"/>
      <c r="D6" s="113"/>
      <c r="E6" s="113"/>
      <c r="F6" s="113"/>
      <c r="G6" s="113"/>
      <c r="H6" s="113"/>
      <c r="I6" s="113"/>
      <c r="J6" s="113"/>
      <c r="K6" s="113"/>
      <c r="L6" s="113"/>
      <c r="M6" s="113"/>
      <c r="N6" s="113"/>
      <c r="O6" s="113"/>
      <c r="Q6" s="113"/>
      <c r="R6" s="113"/>
      <c r="S6" s="113"/>
      <c r="T6" s="113"/>
      <c r="U6" s="4895"/>
      <c r="V6" s="4895"/>
      <c r="W6" s="4895"/>
      <c r="X6" s="4895"/>
      <c r="Y6" s="4895"/>
      <c r="Z6" s="4895"/>
    </row>
    <row r="7" spans="1:29" ht="15" x14ac:dyDescent="0.25">
      <c r="A7" s="509"/>
      <c r="B7" s="1119"/>
      <c r="C7" s="1119"/>
      <c r="D7" s="1622" t="s">
        <v>1386</v>
      </c>
      <c r="E7" s="1622"/>
      <c r="F7" s="1622"/>
      <c r="G7" s="1622"/>
      <c r="H7" s="1622"/>
      <c r="I7" s="1623"/>
      <c r="Q7" s="1137"/>
      <c r="R7" s="113"/>
      <c r="S7" s="113"/>
      <c r="T7" s="113"/>
      <c r="U7" s="113"/>
      <c r="V7" s="113"/>
      <c r="W7" s="113"/>
      <c r="X7" s="113"/>
      <c r="Y7" s="113"/>
      <c r="Z7" s="113"/>
      <c r="AA7" s="113"/>
      <c r="AB7" s="113"/>
      <c r="AC7" s="113"/>
    </row>
    <row r="8" spans="1:29" ht="20.45" customHeight="1" x14ac:dyDescent="0.25">
      <c r="A8" s="509"/>
      <c r="B8" s="1119"/>
      <c r="C8" s="1119"/>
      <c r="D8" s="1624"/>
      <c r="E8" s="4896" t="s">
        <v>1387</v>
      </c>
      <c r="F8" s="4896"/>
      <c r="G8" s="4896"/>
      <c r="H8" s="4897"/>
      <c r="I8" s="4896" t="s">
        <v>1388</v>
      </c>
      <c r="J8" s="4896"/>
      <c r="K8" s="4896"/>
      <c r="L8" s="4897"/>
      <c r="M8" s="4896" t="s">
        <v>1389</v>
      </c>
      <c r="N8" s="4896"/>
      <c r="O8" s="4896"/>
      <c r="P8" s="4897"/>
      <c r="Q8" s="1516"/>
      <c r="R8" s="1516"/>
      <c r="S8" s="1516"/>
      <c r="T8" s="1516"/>
      <c r="U8" s="113"/>
      <c r="V8" s="113"/>
      <c r="W8" s="113"/>
      <c r="X8" s="113"/>
      <c r="Y8" s="113"/>
      <c r="Z8" s="113"/>
      <c r="AA8" s="113"/>
      <c r="AB8" s="113"/>
      <c r="AC8" s="113"/>
    </row>
    <row r="9" spans="1:29" ht="15" x14ac:dyDescent="0.25">
      <c r="A9" s="509"/>
      <c r="B9" s="1119"/>
      <c r="C9" s="1119"/>
      <c r="D9" s="1625" t="s">
        <v>655</v>
      </c>
      <c r="E9" s="3588" t="s">
        <v>1390</v>
      </c>
      <c r="F9" s="3682"/>
      <c r="G9" s="3683" t="s">
        <v>1391</v>
      </c>
      <c r="H9" s="3589"/>
      <c r="I9" s="3684" t="s">
        <v>1390</v>
      </c>
      <c r="J9" s="3682"/>
      <c r="K9" s="3683" t="s">
        <v>1391</v>
      </c>
      <c r="L9" s="3589"/>
      <c r="M9" s="3684" t="s">
        <v>1390</v>
      </c>
      <c r="N9" s="3682"/>
      <c r="O9" s="3683" t="s">
        <v>1391</v>
      </c>
      <c r="P9" s="3589"/>
      <c r="Q9" s="1516"/>
      <c r="R9" s="1516"/>
      <c r="S9" s="1516"/>
      <c r="T9" s="1516"/>
      <c r="U9" s="113"/>
      <c r="V9" s="113"/>
      <c r="W9" s="113"/>
      <c r="X9" s="113"/>
      <c r="Y9" s="113"/>
      <c r="Z9" s="113"/>
      <c r="AA9" s="113"/>
      <c r="AB9" s="113"/>
      <c r="AC9" s="113"/>
    </row>
    <row r="10" spans="1:29" ht="15" x14ac:dyDescent="0.25">
      <c r="A10" s="509"/>
      <c r="B10" s="1119"/>
      <c r="C10" s="1119"/>
      <c r="D10" s="1625"/>
      <c r="E10" s="1626" t="s">
        <v>1392</v>
      </c>
      <c r="F10" s="1627" t="s">
        <v>1393</v>
      </c>
      <c r="G10" s="1627" t="s">
        <v>1392</v>
      </c>
      <c r="H10" s="1628" t="s">
        <v>1393</v>
      </c>
      <c r="I10" s="1629" t="s">
        <v>1392</v>
      </c>
      <c r="J10" s="1627" t="s">
        <v>1393</v>
      </c>
      <c r="K10" s="1627" t="s">
        <v>1392</v>
      </c>
      <c r="L10" s="1628" t="s">
        <v>1393</v>
      </c>
      <c r="M10" s="1628">
        <v>9191</v>
      </c>
      <c r="N10" s="1627" t="s">
        <v>1393</v>
      </c>
      <c r="O10" s="1627"/>
      <c r="P10" s="1628" t="s">
        <v>1393</v>
      </c>
      <c r="Q10" s="1516"/>
      <c r="R10" s="1516"/>
      <c r="S10" s="1516"/>
      <c r="T10" s="1516"/>
      <c r="U10" s="113"/>
      <c r="V10" s="113"/>
      <c r="W10" s="113"/>
      <c r="X10" s="113"/>
      <c r="Y10" s="113"/>
      <c r="Z10" s="113"/>
      <c r="AA10" s="113"/>
      <c r="AB10" s="113"/>
      <c r="AC10" s="113"/>
    </row>
    <row r="11" spans="1:29" ht="15" x14ac:dyDescent="0.25">
      <c r="A11" s="509"/>
      <c r="B11" s="1119"/>
      <c r="C11" s="1119"/>
      <c r="D11" s="1625" t="s">
        <v>276</v>
      </c>
      <c r="E11" s="1201">
        <v>444.1</v>
      </c>
      <c r="F11" s="1201">
        <v>14.02</v>
      </c>
      <c r="G11" s="1630">
        <v>449.3</v>
      </c>
      <c r="H11" s="1631">
        <v>10.74</v>
      </c>
      <c r="I11" s="1201">
        <v>447.8</v>
      </c>
      <c r="J11" s="1201">
        <v>10.130000000000001</v>
      </c>
      <c r="K11" s="1630">
        <v>468.8</v>
      </c>
      <c r="L11" s="1631">
        <v>10.31</v>
      </c>
      <c r="M11" s="1201">
        <v>534.68723494833466</v>
      </c>
      <c r="N11" s="1201">
        <v>9.8711320323500882</v>
      </c>
      <c r="O11" s="1630">
        <v>570.1517759009364</v>
      </c>
      <c r="P11" s="1631">
        <v>8.589279018499834</v>
      </c>
      <c r="Q11" s="1516"/>
      <c r="R11" s="1516"/>
      <c r="S11" s="1516"/>
      <c r="T11" s="1516"/>
      <c r="U11" s="113"/>
      <c r="V11" s="113"/>
      <c r="W11" s="113"/>
      <c r="X11" s="113"/>
      <c r="Y11" s="113"/>
      <c r="Z11" s="113"/>
      <c r="AA11" s="113"/>
      <c r="AB11" s="113"/>
      <c r="AC11" s="113"/>
    </row>
    <row r="12" spans="1:29" ht="15" x14ac:dyDescent="0.25">
      <c r="A12" s="509"/>
      <c r="B12" s="1119"/>
      <c r="C12" s="1119"/>
      <c r="D12" s="1625" t="s">
        <v>277</v>
      </c>
      <c r="E12" s="1201">
        <v>446.2</v>
      </c>
      <c r="F12" s="1201">
        <v>12.46</v>
      </c>
      <c r="G12" s="1630">
        <v>447.5</v>
      </c>
      <c r="H12" s="1631">
        <v>6</v>
      </c>
      <c r="I12" s="1201">
        <v>491.1</v>
      </c>
      <c r="J12" s="1201">
        <v>12.48</v>
      </c>
      <c r="K12" s="1630">
        <v>491.6</v>
      </c>
      <c r="L12" s="1631">
        <v>10.08</v>
      </c>
      <c r="M12" s="1201">
        <v>562.79913115725174</v>
      </c>
      <c r="N12" s="1201">
        <v>8.2333151683005621</v>
      </c>
      <c r="O12" s="1630">
        <v>584.27423054594976</v>
      </c>
      <c r="P12" s="1631">
        <v>8.234744094632676</v>
      </c>
      <c r="Q12" s="1516"/>
      <c r="R12" s="1516"/>
      <c r="S12" s="1516"/>
      <c r="T12" s="1516"/>
      <c r="U12" s="113"/>
      <c r="V12" s="113"/>
      <c r="W12" s="113"/>
      <c r="X12" s="113"/>
      <c r="Y12" s="113"/>
      <c r="Z12" s="113"/>
      <c r="AA12" s="113"/>
      <c r="AB12" s="113"/>
      <c r="AC12" s="113"/>
    </row>
    <row r="13" spans="1:29" ht="15" x14ac:dyDescent="0.25">
      <c r="A13" s="509"/>
      <c r="B13" s="1119"/>
      <c r="C13" s="1119"/>
      <c r="D13" s="1625" t="s">
        <v>278</v>
      </c>
      <c r="E13" s="1201">
        <v>576.4</v>
      </c>
      <c r="F13" s="1201">
        <v>35.229999999999997</v>
      </c>
      <c r="G13" s="1630">
        <v>552.4</v>
      </c>
      <c r="H13" s="1631">
        <v>26.02</v>
      </c>
      <c r="I13" s="1201">
        <v>573.1</v>
      </c>
      <c r="J13" s="1201">
        <v>14.39</v>
      </c>
      <c r="K13" s="1630">
        <v>454</v>
      </c>
      <c r="L13" s="1631">
        <v>11.99</v>
      </c>
      <c r="M13" s="1201">
        <v>599.47376506451326</v>
      </c>
      <c r="N13" s="1201">
        <v>8.9268241345634181</v>
      </c>
      <c r="O13" s="1630">
        <v>614.62592115785981</v>
      </c>
      <c r="P13" s="1631">
        <v>10.525863813950815</v>
      </c>
      <c r="Q13" s="1516"/>
      <c r="R13" s="1516"/>
      <c r="S13" s="1516"/>
      <c r="T13" s="1516"/>
      <c r="U13" s="113"/>
      <c r="V13" s="113"/>
      <c r="W13" s="113"/>
      <c r="X13" s="113"/>
      <c r="Y13" s="113"/>
      <c r="Z13" s="113"/>
      <c r="AA13" s="113"/>
      <c r="AB13" s="113"/>
      <c r="AC13" s="113"/>
    </row>
    <row r="14" spans="1:29" ht="15" x14ac:dyDescent="0.25">
      <c r="A14" s="509"/>
      <c r="B14" s="1119"/>
      <c r="C14" s="1119"/>
      <c r="D14" s="1625" t="s">
        <v>641</v>
      </c>
      <c r="E14" s="1201">
        <v>517.5</v>
      </c>
      <c r="F14" s="1201">
        <v>21.63</v>
      </c>
      <c r="G14" s="1630">
        <v>510.3</v>
      </c>
      <c r="H14" s="1631">
        <v>17.48</v>
      </c>
      <c r="I14" s="1201">
        <v>485.6</v>
      </c>
      <c r="J14" s="1201">
        <v>10.56</v>
      </c>
      <c r="K14" s="1630">
        <v>485.2</v>
      </c>
      <c r="L14" s="1631">
        <v>8.2200000000000006</v>
      </c>
      <c r="M14" s="1201">
        <v>551.62632539267133</v>
      </c>
      <c r="N14" s="1201">
        <v>8.3152640597113461</v>
      </c>
      <c r="O14" s="1630">
        <v>579.0983506438821</v>
      </c>
      <c r="P14" s="1631">
        <v>7.5788360553072103</v>
      </c>
      <c r="Q14" s="1516"/>
      <c r="R14" s="1516"/>
      <c r="S14" s="1516"/>
      <c r="T14" s="1516"/>
      <c r="U14" s="113"/>
      <c r="V14" s="113"/>
      <c r="W14" s="113"/>
      <c r="X14" s="113"/>
      <c r="Y14" s="113"/>
      <c r="Z14" s="113"/>
      <c r="AA14" s="113"/>
      <c r="AB14" s="113"/>
      <c r="AC14" s="113"/>
    </row>
    <row r="15" spans="1:29" ht="15" x14ac:dyDescent="0.25">
      <c r="A15" s="509"/>
      <c r="B15" s="1119"/>
      <c r="C15" s="1119"/>
      <c r="D15" s="1625" t="s">
        <v>280</v>
      </c>
      <c r="E15" s="1201">
        <v>428.1</v>
      </c>
      <c r="F15" s="1201">
        <v>17.54</v>
      </c>
      <c r="G15" s="1630">
        <v>433.4</v>
      </c>
      <c r="H15" s="1631">
        <v>10.82</v>
      </c>
      <c r="I15" s="1201">
        <v>425.3</v>
      </c>
      <c r="J15" s="1201">
        <v>7.68</v>
      </c>
      <c r="K15" s="1630">
        <v>446.7</v>
      </c>
      <c r="L15" s="1631">
        <v>5.25</v>
      </c>
      <c r="M15" s="1201">
        <v>519.03348696387752</v>
      </c>
      <c r="N15" s="1201">
        <v>7.8376997357182061</v>
      </c>
      <c r="O15" s="1630">
        <v>554.17525361291575</v>
      </c>
      <c r="P15" s="1631">
        <v>7.0078553761247973</v>
      </c>
      <c r="Q15" s="1516"/>
      <c r="R15" s="1516"/>
      <c r="S15" s="1516"/>
      <c r="T15" s="1516"/>
      <c r="U15" s="113"/>
      <c r="V15" s="113"/>
      <c r="W15" s="113"/>
      <c r="X15" s="113"/>
      <c r="Y15" s="113"/>
      <c r="Z15" s="113"/>
      <c r="AA15" s="113"/>
      <c r="AB15" s="113"/>
      <c r="AC15" s="113"/>
    </row>
    <row r="16" spans="1:29" ht="15" x14ac:dyDescent="0.25">
      <c r="A16" s="509"/>
      <c r="B16" s="1119"/>
      <c r="C16" s="1119"/>
      <c r="D16" s="1625" t="s">
        <v>281</v>
      </c>
      <c r="E16" s="1201">
        <v>470.3</v>
      </c>
      <c r="F16" s="1201">
        <v>13.37</v>
      </c>
      <c r="G16" s="1630">
        <v>460.9</v>
      </c>
      <c r="H16" s="1631">
        <v>8.24</v>
      </c>
      <c r="I16" s="1201">
        <v>473.6</v>
      </c>
      <c r="J16" s="1201">
        <v>11.13</v>
      </c>
      <c r="K16" s="1630">
        <v>476.1</v>
      </c>
      <c r="L16" s="1631">
        <v>8.19</v>
      </c>
      <c r="M16" s="1201">
        <v>552.52901134320621</v>
      </c>
      <c r="N16" s="1201">
        <v>7.4943157022607396</v>
      </c>
      <c r="O16" s="1630">
        <v>575.68431453960181</v>
      </c>
      <c r="P16" s="1631">
        <v>9.620714143568101</v>
      </c>
      <c r="Q16" s="1516"/>
      <c r="R16" s="1516"/>
      <c r="S16" s="1516"/>
      <c r="T16" s="1516"/>
      <c r="U16" s="113"/>
      <c r="V16" s="113"/>
      <c r="W16" s="113"/>
      <c r="X16" s="113" t="s">
        <v>85</v>
      </c>
      <c r="Y16" s="113"/>
      <c r="Z16" s="113"/>
      <c r="AA16" s="113"/>
      <c r="AB16" s="113"/>
      <c r="AC16" s="113"/>
    </row>
    <row r="17" spans="1:29" ht="15" x14ac:dyDescent="0.25">
      <c r="A17" s="509"/>
      <c r="B17" s="1119"/>
      <c r="C17" s="1119"/>
      <c r="D17" s="1625" t="s">
        <v>282</v>
      </c>
      <c r="E17" s="1201">
        <v>436.7</v>
      </c>
      <c r="F17" s="1201">
        <v>19.649999999999999</v>
      </c>
      <c r="G17" s="1630">
        <v>446</v>
      </c>
      <c r="H17" s="1631">
        <v>18.809999999999999</v>
      </c>
      <c r="I17" s="1201">
        <v>506.3</v>
      </c>
      <c r="J17" s="1201">
        <v>14.19</v>
      </c>
      <c r="K17" s="1630">
        <v>503.1</v>
      </c>
      <c r="L17" s="1631">
        <v>13.14</v>
      </c>
      <c r="M17" s="1201">
        <v>543.48279939074735</v>
      </c>
      <c r="N17" s="1201">
        <v>9.2018775902191834</v>
      </c>
      <c r="O17" s="1630">
        <v>0</v>
      </c>
      <c r="P17" s="1631">
        <v>9.8583655084850896</v>
      </c>
      <c r="Q17" s="1516"/>
      <c r="R17" s="1516"/>
      <c r="S17" s="1516"/>
      <c r="T17" s="1516"/>
      <c r="U17" s="113"/>
      <c r="V17" s="113"/>
      <c r="W17" s="113"/>
      <c r="X17" s="113"/>
      <c r="Y17" s="113"/>
      <c r="Z17" s="113"/>
      <c r="AA17" s="113"/>
      <c r="AB17" s="113"/>
      <c r="AC17" s="113"/>
    </row>
    <row r="18" spans="1:29" ht="15" x14ac:dyDescent="0.25">
      <c r="A18" s="509"/>
      <c r="B18" s="1119"/>
      <c r="C18" s="1119"/>
      <c r="D18" s="1625" t="s">
        <v>283</v>
      </c>
      <c r="E18" s="1201">
        <v>427.7</v>
      </c>
      <c r="F18" s="1201">
        <v>9.61</v>
      </c>
      <c r="G18" s="1630">
        <v>419.6</v>
      </c>
      <c r="H18" s="1631">
        <v>10.6</v>
      </c>
      <c r="I18" s="1201">
        <v>505.6</v>
      </c>
      <c r="J18" s="1201">
        <v>12.56</v>
      </c>
      <c r="K18" s="1630">
        <v>498.7</v>
      </c>
      <c r="L18" s="1631">
        <v>10.83</v>
      </c>
      <c r="M18" s="1201">
        <v>544.3147149452227</v>
      </c>
      <c r="N18" s="1201">
        <v>10.568633610266732</v>
      </c>
      <c r="O18" s="1630">
        <v>575.21079015976068</v>
      </c>
      <c r="P18" s="1631">
        <v>7.834705260177766</v>
      </c>
      <c r="Q18" s="1516"/>
      <c r="R18" s="1516"/>
      <c r="S18" s="1516"/>
      <c r="T18" s="1516"/>
      <c r="U18" s="113"/>
      <c r="V18" s="113"/>
      <c r="W18" s="113"/>
      <c r="X18" s="113"/>
      <c r="Y18" s="113"/>
      <c r="Z18" s="113"/>
      <c r="AA18" s="113"/>
      <c r="AB18" s="113"/>
      <c r="AC18" s="113"/>
    </row>
    <row r="19" spans="1:29" ht="15" x14ac:dyDescent="0.25">
      <c r="A19" s="509"/>
      <c r="B19" s="1119"/>
      <c r="C19" s="1119"/>
      <c r="D19" s="1625" t="s">
        <v>284</v>
      </c>
      <c r="E19" s="3461">
        <v>629.29999999999995</v>
      </c>
      <c r="F19" s="3462">
        <v>17.95</v>
      </c>
      <c r="G19" s="3462">
        <v>591.1</v>
      </c>
      <c r="H19" s="3463">
        <v>23.94</v>
      </c>
      <c r="I19" s="3461">
        <v>583.4</v>
      </c>
      <c r="J19" s="3462">
        <v>11.08</v>
      </c>
      <c r="K19" s="3462">
        <v>565.70000000000005</v>
      </c>
      <c r="L19" s="3463">
        <v>12.01</v>
      </c>
      <c r="M19" s="3461">
        <v>630.14704752846217</v>
      </c>
      <c r="N19" s="3462">
        <v>12.69394276709963</v>
      </c>
      <c r="O19" s="3462">
        <v>672.93697842067093</v>
      </c>
      <c r="P19" s="3463">
        <v>17.171808241333721</v>
      </c>
      <c r="Q19" s="1516"/>
      <c r="R19" s="1516"/>
      <c r="S19" s="1516"/>
      <c r="T19" s="1516"/>
      <c r="U19" s="113"/>
      <c r="V19" s="113"/>
    </row>
    <row r="20" spans="1:29" ht="15" x14ac:dyDescent="0.25">
      <c r="A20" s="509"/>
      <c r="B20" s="1119"/>
      <c r="C20" s="1119"/>
      <c r="D20" s="1632" t="s">
        <v>98</v>
      </c>
      <c r="E20" s="1633">
        <v>492.3</v>
      </c>
      <c r="F20" s="1633">
        <v>9</v>
      </c>
      <c r="G20" s="1634">
        <v>486.1</v>
      </c>
      <c r="H20" s="1635">
        <v>7.19</v>
      </c>
      <c r="I20" s="1633">
        <v>494.9</v>
      </c>
      <c r="J20" s="1633">
        <v>4.55</v>
      </c>
      <c r="K20" s="1634">
        <v>494.8</v>
      </c>
      <c r="L20" s="1635">
        <v>3.81</v>
      </c>
      <c r="M20" s="1633">
        <v>557.99465239399876</v>
      </c>
      <c r="N20" s="1633">
        <v>3.4807817910979524</v>
      </c>
      <c r="O20" s="1634">
        <v>587.17936436728598</v>
      </c>
      <c r="P20" s="1635">
        <v>3.4704566737163378</v>
      </c>
      <c r="Q20" s="1516"/>
      <c r="R20" s="1516"/>
      <c r="S20" s="1516"/>
      <c r="T20" s="1516"/>
      <c r="U20" s="113"/>
      <c r="V20" s="113"/>
    </row>
    <row r="21" spans="1:29" ht="15" x14ac:dyDescent="0.25">
      <c r="A21" s="509"/>
      <c r="B21" s="1119"/>
      <c r="C21" s="1119"/>
      <c r="D21" s="71"/>
      <c r="E21" s="312"/>
      <c r="F21" s="1636"/>
      <c r="G21" s="1637"/>
      <c r="H21" s="312"/>
      <c r="I21" s="22"/>
      <c r="Q21" s="113"/>
      <c r="R21" s="113"/>
      <c r="S21" s="113"/>
      <c r="T21" s="113"/>
      <c r="U21" s="113"/>
      <c r="V21" s="113"/>
    </row>
    <row r="22" spans="1:29" ht="15" x14ac:dyDescent="0.25">
      <c r="A22" s="509"/>
      <c r="B22" s="1119"/>
      <c r="C22" s="1119"/>
      <c r="I22" s="113"/>
      <c r="J22" s="1638"/>
      <c r="K22" s="1638"/>
      <c r="L22" s="1638"/>
      <c r="M22" s="1638"/>
      <c r="N22" s="1638"/>
      <c r="O22" s="1638"/>
      <c r="P22" s="1638"/>
      <c r="Q22" s="1639"/>
      <c r="R22" s="22"/>
      <c r="S22" s="22"/>
      <c r="T22" s="22"/>
      <c r="U22" s="113"/>
      <c r="V22" s="113"/>
      <c r="W22" s="113"/>
      <c r="X22" s="113"/>
      <c r="Y22" s="113"/>
    </row>
    <row r="23" spans="1:29" ht="13.35" customHeight="1" x14ac:dyDescent="0.25">
      <c r="A23" s="509">
        <v>6</v>
      </c>
      <c r="B23" s="509" t="s">
        <v>52</v>
      </c>
      <c r="C23" s="509"/>
      <c r="D23" s="4603" t="s">
        <v>1394</v>
      </c>
      <c r="E23" s="4604"/>
      <c r="F23" s="4604"/>
      <c r="G23" s="4604"/>
      <c r="H23" s="4604"/>
      <c r="I23" s="4604"/>
      <c r="J23" s="4604"/>
      <c r="K23" s="4604"/>
      <c r="L23" s="4604"/>
      <c r="M23" s="4604"/>
      <c r="N23" s="4604"/>
      <c r="O23" s="4604"/>
      <c r="P23" s="4604"/>
      <c r="Q23" s="4604"/>
      <c r="R23" s="4604"/>
      <c r="S23" s="4605"/>
      <c r="T23" s="880"/>
      <c r="U23" s="113"/>
      <c r="V23" s="113"/>
      <c r="W23" s="113"/>
      <c r="X23" s="113"/>
      <c r="Y23" s="113"/>
    </row>
    <row r="24" spans="1:29" ht="42.75" customHeight="1" x14ac:dyDescent="0.25">
      <c r="A24" s="509">
        <v>7</v>
      </c>
      <c r="B24" s="509" t="s">
        <v>355</v>
      </c>
      <c r="C24" s="509"/>
      <c r="D24" s="4603" t="s">
        <v>1395</v>
      </c>
      <c r="E24" s="4604"/>
      <c r="F24" s="4604"/>
      <c r="G24" s="4604"/>
      <c r="H24" s="4604"/>
      <c r="I24" s="4604"/>
      <c r="J24" s="4604"/>
      <c r="K24" s="4604"/>
      <c r="L24" s="4604"/>
      <c r="M24" s="4604"/>
      <c r="N24" s="4604"/>
      <c r="O24" s="4604"/>
      <c r="P24" s="4604"/>
      <c r="Q24" s="4604"/>
      <c r="R24" s="4604"/>
      <c r="S24" s="4605"/>
      <c r="T24" s="880"/>
      <c r="U24" s="113"/>
      <c r="V24" s="113"/>
      <c r="W24" s="113"/>
      <c r="X24" s="113"/>
      <c r="Y24" s="113"/>
      <c r="AB24" s="2781">
        <v>2020</v>
      </c>
    </row>
    <row r="25" spans="1:29" ht="20.25" customHeight="1" x14ac:dyDescent="0.25">
      <c r="A25" s="546">
        <v>8</v>
      </c>
      <c r="B25" s="546" t="s">
        <v>54</v>
      </c>
      <c r="C25" s="546"/>
      <c r="D25" s="4603" t="s">
        <v>1396</v>
      </c>
      <c r="E25" s="4604"/>
      <c r="F25" s="4604"/>
      <c r="G25" s="4604"/>
      <c r="H25" s="4604"/>
      <c r="I25" s="4604"/>
      <c r="J25" s="4604"/>
      <c r="K25" s="4604"/>
      <c r="L25" s="4604"/>
      <c r="M25" s="4604"/>
      <c r="N25" s="4604"/>
      <c r="O25" s="4604"/>
      <c r="P25" s="4604"/>
      <c r="Q25" s="4604"/>
      <c r="R25" s="4604"/>
      <c r="S25" s="4605"/>
      <c r="T25" s="880"/>
      <c r="U25" s="113" t="s">
        <v>85</v>
      </c>
      <c r="V25" s="113"/>
      <c r="W25" s="113"/>
      <c r="X25" s="113"/>
      <c r="Y25" s="113"/>
      <c r="AB25" s="2781"/>
    </row>
    <row r="26" spans="1:29" ht="16.5" customHeight="1" x14ac:dyDescent="0.25">
      <c r="A26" s="509">
        <v>9</v>
      </c>
      <c r="B26" s="509" t="s">
        <v>56</v>
      </c>
      <c r="C26" s="509"/>
      <c r="D26" s="4603" t="s">
        <v>1397</v>
      </c>
      <c r="E26" s="4604"/>
      <c r="F26" s="4604"/>
      <c r="G26" s="4604"/>
      <c r="H26" s="4604"/>
      <c r="I26" s="4604"/>
      <c r="J26" s="4604"/>
      <c r="K26" s="4604"/>
      <c r="L26" s="4604"/>
      <c r="M26" s="4604"/>
      <c r="N26" s="4604"/>
      <c r="O26" s="4604"/>
      <c r="P26" s="4604"/>
      <c r="Q26" s="4604"/>
      <c r="R26" s="4604"/>
      <c r="S26" s="4605"/>
      <c r="T26" s="880"/>
      <c r="U26" s="113"/>
      <c r="V26" s="113"/>
      <c r="W26" s="113"/>
      <c r="X26" s="113"/>
      <c r="Y26" s="113"/>
      <c r="AB26" s="2781"/>
    </row>
    <row r="27" spans="1:29" ht="15" x14ac:dyDescent="0.25">
      <c r="A27" s="821"/>
      <c r="B27" s="1640"/>
      <c r="C27" s="1640"/>
      <c r="D27" s="113"/>
      <c r="E27" s="113"/>
      <c r="F27" s="113"/>
      <c r="G27" s="113"/>
      <c r="H27" s="113"/>
      <c r="I27" s="113"/>
      <c r="J27" s="113"/>
      <c r="K27" s="113"/>
      <c r="L27" s="113"/>
      <c r="M27" s="113"/>
      <c r="N27" s="113"/>
      <c r="O27" s="113"/>
      <c r="P27" s="113"/>
      <c r="Q27" s="113"/>
      <c r="R27" s="113"/>
      <c r="S27" s="113"/>
      <c r="T27" s="113"/>
      <c r="U27" s="113"/>
      <c r="V27" s="113"/>
      <c r="W27" s="113"/>
      <c r="X27" s="113"/>
      <c r="Y27" s="113"/>
      <c r="AB27" s="2781"/>
    </row>
    <row r="28" spans="1:29" ht="15" hidden="1" x14ac:dyDescent="0.25">
      <c r="A28" s="821"/>
      <c r="B28" s="1640"/>
      <c r="C28" s="1640"/>
      <c r="D28" s="113"/>
      <c r="E28" s="113"/>
      <c r="F28" s="113"/>
      <c r="G28" s="113"/>
      <c r="H28" s="113"/>
      <c r="I28" s="113"/>
      <c r="J28" s="113"/>
      <c r="K28" s="113"/>
      <c r="L28" s="113"/>
      <c r="M28" s="113"/>
      <c r="N28" s="113"/>
      <c r="O28" s="113"/>
      <c r="P28" s="113"/>
      <c r="Q28" s="113"/>
      <c r="R28" s="113"/>
      <c r="S28" s="113"/>
      <c r="T28" s="113"/>
      <c r="U28" s="113"/>
      <c r="V28" s="113"/>
      <c r="W28" s="113"/>
      <c r="X28" s="113"/>
      <c r="Y28" s="113"/>
      <c r="AB28" s="2781" t="s">
        <v>1244</v>
      </c>
    </row>
    <row r="29" spans="1:29" ht="15" hidden="1" x14ac:dyDescent="0.25">
      <c r="A29" s="821"/>
      <c r="B29" s="1640"/>
      <c r="C29" s="1640"/>
      <c r="D29" s="113"/>
      <c r="E29" s="113"/>
      <c r="F29" s="113"/>
      <c r="G29" s="113"/>
      <c r="H29" s="113"/>
      <c r="I29" s="113"/>
      <c r="J29" s="113"/>
      <c r="K29" s="113"/>
      <c r="L29" s="113"/>
      <c r="M29" s="113"/>
      <c r="N29" s="113"/>
      <c r="O29" s="113"/>
      <c r="P29" s="113"/>
      <c r="Q29" s="113"/>
      <c r="R29" s="113"/>
      <c r="S29" s="113"/>
      <c r="T29" s="113"/>
      <c r="U29" s="113"/>
      <c r="V29" s="113"/>
      <c r="W29" s="113"/>
      <c r="X29" s="113"/>
      <c r="Y29" s="113"/>
    </row>
    <row r="30" spans="1:29" ht="15" hidden="1" x14ac:dyDescent="0.25">
      <c r="A30" s="821"/>
      <c r="B30" s="1640"/>
      <c r="C30" s="1640"/>
      <c r="D30" s="113"/>
      <c r="E30" s="113"/>
      <c r="F30" s="113"/>
      <c r="G30" s="113"/>
      <c r="H30" s="113"/>
      <c r="I30" s="113"/>
      <c r="J30" s="113"/>
      <c r="K30" s="113"/>
      <c r="L30" s="113"/>
      <c r="M30" s="113"/>
      <c r="N30" s="113"/>
      <c r="O30" s="113"/>
      <c r="P30" s="113"/>
      <c r="Q30" s="113"/>
      <c r="R30" s="113"/>
      <c r="S30" s="113"/>
      <c r="T30" s="113"/>
      <c r="U30" s="113"/>
      <c r="V30" s="113"/>
      <c r="W30" s="113"/>
      <c r="X30" s="113"/>
      <c r="Y30" s="113"/>
    </row>
    <row r="31" spans="1:29" ht="15" hidden="1" x14ac:dyDescent="0.25">
      <c r="A31" s="821"/>
      <c r="B31" s="1640"/>
      <c r="C31" s="1640"/>
      <c r="D31" s="113"/>
      <c r="E31" s="113"/>
      <c r="F31" s="113"/>
      <c r="G31" s="113"/>
      <c r="H31" s="113"/>
      <c r="I31" s="113"/>
      <c r="J31" s="113"/>
      <c r="K31" s="113"/>
      <c r="L31" s="113"/>
      <c r="M31" s="113"/>
      <c r="N31" s="113"/>
      <c r="O31" s="113"/>
      <c r="P31" s="113"/>
      <c r="Q31" s="113"/>
      <c r="R31" s="113"/>
      <c r="S31" s="113"/>
      <c r="T31" s="113"/>
      <c r="U31" s="113"/>
      <c r="V31" s="113"/>
      <c r="W31" s="113"/>
      <c r="X31" s="113"/>
      <c r="Y31" s="113"/>
    </row>
    <row r="32" spans="1:29" ht="15" hidden="1" x14ac:dyDescent="0.25">
      <c r="A32" s="821"/>
      <c r="B32" s="1640"/>
      <c r="C32" s="1640"/>
      <c r="D32" s="113"/>
      <c r="E32" s="113"/>
      <c r="F32" s="113"/>
      <c r="G32" s="113"/>
      <c r="H32" s="113"/>
      <c r="I32" s="113"/>
      <c r="J32" s="113"/>
      <c r="K32" s="113"/>
      <c r="L32" s="113"/>
      <c r="M32" s="113"/>
      <c r="N32" s="113"/>
      <c r="O32" s="113"/>
      <c r="P32" s="113"/>
      <c r="Q32" s="113"/>
      <c r="R32" s="113"/>
      <c r="S32" s="113"/>
      <c r="T32" s="113"/>
      <c r="U32" s="113"/>
      <c r="V32" s="113"/>
      <c r="W32" s="113"/>
      <c r="X32" s="113"/>
      <c r="Y32" s="113"/>
    </row>
    <row r="33" spans="1:28" ht="15" hidden="1" x14ac:dyDescent="0.25">
      <c r="A33" s="821"/>
      <c r="B33" s="1640"/>
      <c r="C33" s="1640"/>
      <c r="D33" s="113"/>
      <c r="E33" s="113"/>
      <c r="F33" s="113"/>
      <c r="G33" s="113"/>
      <c r="H33" s="113"/>
      <c r="I33" s="113"/>
      <c r="J33" s="113"/>
      <c r="K33" s="113"/>
      <c r="L33" s="113"/>
      <c r="M33" s="113"/>
      <c r="N33" s="113"/>
      <c r="O33" s="113"/>
      <c r="P33" s="113"/>
      <c r="Q33" s="113"/>
      <c r="R33" s="113"/>
      <c r="S33" s="113"/>
      <c r="T33" s="113"/>
      <c r="U33" s="113"/>
      <c r="V33" s="113"/>
      <c r="W33" s="113"/>
      <c r="X33" s="113"/>
      <c r="Y33" s="113"/>
      <c r="AB33" s="2780">
        <v>2020</v>
      </c>
    </row>
    <row r="34" spans="1:28" ht="15" hidden="1" x14ac:dyDescent="0.25">
      <c r="A34" s="821"/>
      <c r="B34" s="1640"/>
      <c r="C34" s="1640"/>
      <c r="D34" s="113"/>
      <c r="E34" s="113"/>
      <c r="F34" s="113"/>
      <c r="G34" s="113"/>
      <c r="H34" s="113"/>
      <c r="I34" s="113"/>
      <c r="J34" s="113"/>
      <c r="K34" s="113"/>
      <c r="L34" s="113"/>
      <c r="M34" s="113"/>
      <c r="N34" s="113"/>
      <c r="O34" s="113"/>
      <c r="P34" s="113"/>
      <c r="Q34" s="2624"/>
      <c r="R34" s="113"/>
      <c r="S34" s="113"/>
      <c r="T34" s="113"/>
      <c r="U34" s="113"/>
      <c r="V34" s="113"/>
      <c r="W34" s="113"/>
      <c r="X34" s="113"/>
      <c r="Y34" s="113"/>
      <c r="AB34" s="2781"/>
    </row>
    <row r="35" spans="1:28" ht="23.25" hidden="1" x14ac:dyDescent="0.25">
      <c r="A35" s="821"/>
      <c r="B35" s="1640"/>
      <c r="C35" s="1640"/>
      <c r="D35" s="2945"/>
      <c r="E35" s="2945"/>
      <c r="F35" s="4641" t="s">
        <v>1398</v>
      </c>
      <c r="G35" s="4641"/>
      <c r="H35" s="4641"/>
      <c r="I35" s="4641"/>
      <c r="J35" s="4642"/>
      <c r="K35" s="2624" t="s">
        <v>1399</v>
      </c>
      <c r="L35" s="2624"/>
      <c r="M35" s="2624"/>
      <c r="N35" s="2624"/>
      <c r="O35" s="2624"/>
      <c r="P35" s="2624"/>
      <c r="Q35" s="135" t="s">
        <v>1400</v>
      </c>
      <c r="R35" s="113"/>
      <c r="S35" s="113"/>
      <c r="T35" s="113"/>
      <c r="U35" s="113"/>
      <c r="V35" s="113"/>
      <c r="W35" s="113"/>
      <c r="X35" s="113"/>
      <c r="Y35" s="113"/>
      <c r="AB35" s="2781"/>
    </row>
    <row r="36" spans="1:28" ht="23.25" hidden="1" x14ac:dyDescent="0.25">
      <c r="A36" s="821"/>
      <c r="B36" s="1640"/>
      <c r="C36" s="1640"/>
      <c r="D36" s="71" t="s">
        <v>1401</v>
      </c>
      <c r="E36" s="71"/>
      <c r="F36" s="135" t="s">
        <v>1402</v>
      </c>
      <c r="G36" s="135" t="s">
        <v>1403</v>
      </c>
      <c r="H36" s="135" t="s">
        <v>1404</v>
      </c>
      <c r="I36" s="135"/>
      <c r="J36" s="1641" t="s">
        <v>1400</v>
      </c>
      <c r="K36" s="135" t="s">
        <v>1402</v>
      </c>
      <c r="L36" s="135"/>
      <c r="M36" s="135" t="s">
        <v>1403</v>
      </c>
      <c r="N36" s="135"/>
      <c r="O36" s="135"/>
      <c r="P36" s="135" t="s">
        <v>1404</v>
      </c>
      <c r="Q36" s="109">
        <v>87</v>
      </c>
      <c r="R36" s="113"/>
      <c r="S36" s="113"/>
      <c r="T36" s="113"/>
      <c r="U36" s="113"/>
      <c r="V36" s="113"/>
      <c r="W36" s="113"/>
      <c r="X36" s="113"/>
      <c r="Y36" s="113"/>
      <c r="AB36" s="2781"/>
    </row>
    <row r="37" spans="1:28" ht="15" hidden="1" x14ac:dyDescent="0.25">
      <c r="A37" s="821"/>
      <c r="B37" s="1640"/>
      <c r="C37" s="1640"/>
      <c r="D37" s="88" t="s">
        <v>276</v>
      </c>
      <c r="E37" s="88"/>
      <c r="F37" s="413">
        <v>5</v>
      </c>
      <c r="G37" s="1642">
        <v>10</v>
      </c>
      <c r="H37" s="135">
        <v>9</v>
      </c>
      <c r="I37" s="135"/>
      <c r="J37" s="1641">
        <v>76</v>
      </c>
      <c r="K37" s="87">
        <v>2</v>
      </c>
      <c r="L37" s="87"/>
      <c r="M37" s="87">
        <v>4</v>
      </c>
      <c r="N37" s="87"/>
      <c r="O37" s="87"/>
      <c r="P37" s="10">
        <v>6</v>
      </c>
      <c r="Q37" s="109">
        <v>75</v>
      </c>
      <c r="R37" s="113"/>
      <c r="S37" s="113"/>
      <c r="T37" s="113"/>
      <c r="U37" s="113"/>
      <c r="V37" s="113"/>
      <c r="W37" s="113"/>
      <c r="X37" s="113"/>
      <c r="Y37" s="113"/>
      <c r="AB37" s="2781" t="s">
        <v>1244</v>
      </c>
    </row>
    <row r="38" spans="1:28" ht="15" hidden="1" x14ac:dyDescent="0.25">
      <c r="A38" s="821"/>
      <c r="B38" s="1640"/>
      <c r="C38" s="1640"/>
      <c r="D38" s="88" t="s">
        <v>277</v>
      </c>
      <c r="E38" s="88"/>
      <c r="F38" s="413">
        <v>16</v>
      </c>
      <c r="G38" s="1642">
        <v>10</v>
      </c>
      <c r="H38" s="135">
        <v>8</v>
      </c>
      <c r="I38" s="135"/>
      <c r="J38" s="1641">
        <v>66</v>
      </c>
      <c r="K38" s="87">
        <v>7</v>
      </c>
      <c r="L38" s="87"/>
      <c r="M38" s="87">
        <v>10</v>
      </c>
      <c r="N38" s="87"/>
      <c r="O38" s="87"/>
      <c r="P38" s="10">
        <v>8</v>
      </c>
      <c r="Q38" s="109">
        <v>68</v>
      </c>
      <c r="R38" s="113"/>
      <c r="S38" s="113"/>
      <c r="T38" s="113"/>
      <c r="U38" s="113"/>
      <c r="V38" s="113"/>
      <c r="W38" s="113"/>
      <c r="X38" s="113"/>
      <c r="Y38" s="113"/>
    </row>
    <row r="39" spans="1:28" ht="15" hidden="1" x14ac:dyDescent="0.25">
      <c r="A39" s="821"/>
      <c r="B39" s="1640"/>
      <c r="C39" s="1640"/>
      <c r="D39" s="88" t="s">
        <v>278</v>
      </c>
      <c r="E39" s="88"/>
      <c r="F39" s="413">
        <v>27</v>
      </c>
      <c r="G39" s="1642">
        <v>23</v>
      </c>
      <c r="H39" s="135">
        <v>13</v>
      </c>
      <c r="I39" s="135"/>
      <c r="J39" s="1641">
        <v>36</v>
      </c>
      <c r="K39" s="87">
        <v>7</v>
      </c>
      <c r="L39" s="87"/>
      <c r="M39" s="87">
        <v>14</v>
      </c>
      <c r="N39" s="87"/>
      <c r="O39" s="87"/>
      <c r="P39" s="10">
        <v>11</v>
      </c>
      <c r="Q39" s="109">
        <v>82</v>
      </c>
      <c r="R39" s="113"/>
      <c r="S39" s="113"/>
      <c r="T39" s="113"/>
      <c r="U39" s="113"/>
      <c r="V39" s="113"/>
      <c r="W39" s="113"/>
      <c r="X39" s="113"/>
      <c r="Y39" s="113"/>
    </row>
    <row r="40" spans="1:28" ht="15" hidden="1" x14ac:dyDescent="0.25">
      <c r="A40" s="821"/>
      <c r="B40" s="1640"/>
      <c r="C40" s="1640"/>
      <c r="D40" s="88" t="s">
        <v>641</v>
      </c>
      <c r="E40" s="88"/>
      <c r="F40" s="413">
        <v>15</v>
      </c>
      <c r="G40" s="1642">
        <v>10</v>
      </c>
      <c r="H40" s="135">
        <v>7</v>
      </c>
      <c r="I40" s="135"/>
      <c r="J40" s="1641">
        <v>68</v>
      </c>
      <c r="K40" s="87">
        <v>4</v>
      </c>
      <c r="L40" s="87"/>
      <c r="M40" s="87">
        <v>8</v>
      </c>
      <c r="N40" s="87"/>
      <c r="O40" s="87"/>
      <c r="P40" s="10">
        <v>7</v>
      </c>
      <c r="Q40" s="109">
        <v>95</v>
      </c>
      <c r="R40" s="113"/>
      <c r="S40" s="113"/>
      <c r="T40" s="113"/>
      <c r="U40" s="113"/>
      <c r="V40" s="113"/>
      <c r="W40" s="113"/>
      <c r="X40" s="113"/>
      <c r="Y40" s="113"/>
    </row>
    <row r="41" spans="1:28" ht="15" hidden="1" x14ac:dyDescent="0.25">
      <c r="A41" s="821"/>
      <c r="B41" s="1640"/>
      <c r="C41" s="1640"/>
      <c r="D41" s="88" t="s">
        <v>280</v>
      </c>
      <c r="E41" s="88"/>
      <c r="F41" s="413">
        <v>3</v>
      </c>
      <c r="G41" s="1642">
        <v>6</v>
      </c>
      <c r="H41" s="135">
        <v>6</v>
      </c>
      <c r="I41" s="135"/>
      <c r="J41" s="1641">
        <v>86</v>
      </c>
      <c r="K41" s="87">
        <v>0</v>
      </c>
      <c r="L41" s="87"/>
      <c r="M41" s="87">
        <v>2</v>
      </c>
      <c r="N41" s="87"/>
      <c r="O41" s="87"/>
      <c r="P41" s="10">
        <v>3</v>
      </c>
      <c r="Q41" s="109">
        <v>86</v>
      </c>
      <c r="R41" s="113"/>
      <c r="S41" s="113"/>
      <c r="T41" s="113"/>
      <c r="U41" s="113"/>
      <c r="V41" s="113"/>
      <c r="W41" s="113"/>
      <c r="X41" s="113"/>
      <c r="Y41" s="113"/>
    </row>
    <row r="42" spans="1:28" ht="15" hidden="1" x14ac:dyDescent="0.25">
      <c r="A42" s="821"/>
      <c r="B42" s="1640"/>
      <c r="C42" s="1640"/>
      <c r="D42" s="88" t="s">
        <v>281</v>
      </c>
      <c r="E42" s="88"/>
      <c r="F42" s="413">
        <v>9</v>
      </c>
      <c r="G42" s="1642">
        <v>13</v>
      </c>
      <c r="H42" s="135">
        <v>11</v>
      </c>
      <c r="I42" s="135"/>
      <c r="J42" s="1641">
        <v>67</v>
      </c>
      <c r="K42" s="87">
        <v>2</v>
      </c>
      <c r="L42" s="87"/>
      <c r="M42" s="87">
        <v>6</v>
      </c>
      <c r="N42" s="87"/>
      <c r="O42" s="87"/>
      <c r="P42" s="10">
        <v>7</v>
      </c>
      <c r="Q42" s="109">
        <v>88</v>
      </c>
      <c r="R42" s="113"/>
      <c r="S42" s="113"/>
      <c r="T42" s="113"/>
      <c r="U42" s="113"/>
      <c r="V42" s="113"/>
      <c r="W42" s="113"/>
      <c r="X42" s="113"/>
      <c r="Y42" s="113"/>
    </row>
    <row r="43" spans="1:28" ht="15" hidden="1" x14ac:dyDescent="0.25">
      <c r="A43" s="821"/>
      <c r="B43" s="1640"/>
      <c r="C43" s="1640"/>
      <c r="D43" s="88" t="s">
        <v>282</v>
      </c>
      <c r="E43" s="88"/>
      <c r="F43" s="413">
        <v>7</v>
      </c>
      <c r="G43" s="1642">
        <v>14</v>
      </c>
      <c r="H43" s="135">
        <v>11</v>
      </c>
      <c r="I43" s="135"/>
      <c r="J43" s="1641">
        <v>67</v>
      </c>
      <c r="K43" s="87">
        <v>1</v>
      </c>
      <c r="L43" s="87"/>
      <c r="M43" s="87">
        <v>5</v>
      </c>
      <c r="N43" s="87"/>
      <c r="O43" s="87"/>
      <c r="P43" s="10">
        <v>6</v>
      </c>
      <c r="Q43" s="109">
        <v>70</v>
      </c>
      <c r="R43" s="113"/>
      <c r="S43" s="113"/>
      <c r="T43" s="113"/>
      <c r="U43" s="113"/>
      <c r="V43" s="113"/>
      <c r="W43" s="113"/>
      <c r="X43" s="113"/>
      <c r="Y43" s="113"/>
    </row>
    <row r="44" spans="1:28" ht="15" hidden="1" x14ac:dyDescent="0.25">
      <c r="A44" s="821"/>
      <c r="B44" s="1640"/>
      <c r="C44" s="1640"/>
      <c r="D44" s="88" t="s">
        <v>283</v>
      </c>
      <c r="E44" s="88"/>
      <c r="F44" s="413">
        <v>29</v>
      </c>
      <c r="G44" s="1642">
        <v>27</v>
      </c>
      <c r="H44" s="135">
        <v>11</v>
      </c>
      <c r="I44" s="135"/>
      <c r="J44" s="1641">
        <v>33</v>
      </c>
      <c r="K44" s="87">
        <v>7</v>
      </c>
      <c r="L44" s="87"/>
      <c r="M44" s="87">
        <v>12</v>
      </c>
      <c r="N44" s="87"/>
      <c r="O44" s="87"/>
      <c r="P44" s="10">
        <v>10</v>
      </c>
      <c r="Q44" s="3464">
        <v>55</v>
      </c>
      <c r="R44" s="113"/>
      <c r="S44" s="113"/>
      <c r="T44" s="113"/>
      <c r="U44" s="113"/>
      <c r="V44" s="113"/>
      <c r="W44" s="113"/>
      <c r="X44" s="113"/>
      <c r="Y44" s="113"/>
    </row>
    <row r="45" spans="1:28" ht="15" hidden="1" x14ac:dyDescent="0.25">
      <c r="A45" s="821"/>
      <c r="B45" s="1640"/>
      <c r="C45" s="1640"/>
      <c r="D45" s="3465" t="s">
        <v>284</v>
      </c>
      <c r="E45" s="3465"/>
      <c r="F45" s="3403">
        <v>38</v>
      </c>
      <c r="G45" s="3466">
        <v>25</v>
      </c>
      <c r="H45" s="3403">
        <v>10</v>
      </c>
      <c r="I45" s="3403"/>
      <c r="J45" s="3467">
        <v>28</v>
      </c>
      <c r="K45" s="3464">
        <v>12</v>
      </c>
      <c r="L45" s="3464"/>
      <c r="M45" s="3464">
        <v>19</v>
      </c>
      <c r="N45" s="3464"/>
      <c r="O45" s="3464"/>
      <c r="P45" s="3464">
        <v>14</v>
      </c>
      <c r="Q45" s="113"/>
      <c r="R45" s="113"/>
      <c r="S45" s="113"/>
      <c r="T45" s="113"/>
      <c r="U45" s="113"/>
      <c r="V45" s="113"/>
      <c r="W45" s="113"/>
      <c r="X45" s="113"/>
      <c r="Y45" s="113"/>
    </row>
    <row r="46" spans="1:28" ht="15" hidden="1" x14ac:dyDescent="0.25">
      <c r="A46" s="821"/>
      <c r="B46" s="1640"/>
      <c r="C46" s="1640"/>
      <c r="D46" s="113"/>
      <c r="E46" s="113"/>
      <c r="F46" s="113"/>
      <c r="G46" s="113"/>
      <c r="H46" s="113"/>
      <c r="I46" s="113"/>
      <c r="J46" s="113"/>
      <c r="K46" s="113"/>
      <c r="L46" s="113"/>
      <c r="M46" s="113"/>
      <c r="N46" s="113"/>
      <c r="O46" s="113"/>
      <c r="P46" s="113"/>
      <c r="Q46" s="113"/>
      <c r="R46" s="113"/>
      <c r="S46" s="113"/>
      <c r="T46" s="113"/>
      <c r="U46" s="113"/>
      <c r="V46" s="113"/>
      <c r="W46" s="113"/>
      <c r="X46" s="113"/>
      <c r="Y46" s="113"/>
    </row>
    <row r="47" spans="1:28" ht="15" hidden="1" x14ac:dyDescent="0.25">
      <c r="A47" s="821"/>
      <c r="B47" s="1640"/>
      <c r="C47" s="1640"/>
      <c r="D47" s="113"/>
      <c r="E47" s="113"/>
      <c r="F47" s="113"/>
      <c r="G47" s="113"/>
      <c r="H47" s="113"/>
      <c r="I47" s="113"/>
      <c r="J47" s="113"/>
      <c r="K47" s="113"/>
      <c r="L47" s="113"/>
      <c r="M47" s="113"/>
      <c r="N47" s="113"/>
      <c r="O47" s="113"/>
      <c r="P47" s="113"/>
      <c r="Q47" s="113"/>
      <c r="R47" s="113"/>
      <c r="S47" s="113"/>
      <c r="T47" s="113"/>
      <c r="U47" s="113"/>
      <c r="V47" s="113"/>
      <c r="W47" s="113"/>
      <c r="X47" s="113"/>
      <c r="Y47" s="113"/>
    </row>
    <row r="48" spans="1:28" ht="15" hidden="1" x14ac:dyDescent="0.25">
      <c r="A48" s="821"/>
      <c r="B48" s="1640"/>
      <c r="C48" s="1640"/>
      <c r="D48" s="113"/>
      <c r="E48" s="113"/>
      <c r="F48" s="113"/>
      <c r="G48" s="113"/>
      <c r="H48" s="113"/>
      <c r="I48" s="113"/>
      <c r="J48" s="113"/>
      <c r="K48" s="113"/>
      <c r="L48" s="113"/>
      <c r="M48" s="113"/>
      <c r="N48" s="113"/>
      <c r="O48" s="113"/>
      <c r="P48" s="113"/>
      <c r="Q48" s="72"/>
      <c r="R48" s="113"/>
      <c r="S48" s="113"/>
      <c r="T48" s="113"/>
      <c r="U48" s="113"/>
      <c r="V48" s="113"/>
      <c r="W48" s="113"/>
      <c r="X48" s="113"/>
      <c r="Y48" s="113"/>
    </row>
    <row r="49" spans="1:25" ht="15" hidden="1" x14ac:dyDescent="0.25">
      <c r="A49" s="821"/>
      <c r="B49" s="1640"/>
      <c r="C49" s="1640"/>
      <c r="D49" s="72" t="s">
        <v>858</v>
      </c>
      <c r="E49" s="71"/>
      <c r="F49" s="71"/>
      <c r="G49" s="71" t="s">
        <v>1405</v>
      </c>
      <c r="H49" s="71"/>
      <c r="I49" s="71"/>
      <c r="J49" s="71"/>
      <c r="K49" s="72"/>
      <c r="L49" s="72"/>
      <c r="M49" s="72"/>
      <c r="N49" s="72"/>
      <c r="O49" s="72"/>
      <c r="P49" s="72"/>
      <c r="Q49" s="2624"/>
      <c r="R49" s="113"/>
      <c r="S49" s="113"/>
      <c r="T49" s="113"/>
      <c r="U49" s="113"/>
      <c r="V49" s="113"/>
      <c r="W49" s="113"/>
      <c r="X49" s="113"/>
      <c r="Y49" s="113"/>
    </row>
    <row r="50" spans="1:25" ht="23.25" hidden="1" x14ac:dyDescent="0.25">
      <c r="A50" s="821"/>
      <c r="B50" s="1640"/>
      <c r="C50" s="1640"/>
      <c r="D50" s="2945"/>
      <c r="E50" s="2945"/>
      <c r="F50" s="4641" t="s">
        <v>1398</v>
      </c>
      <c r="G50" s="4641"/>
      <c r="H50" s="4641"/>
      <c r="I50" s="4641"/>
      <c r="J50" s="4642"/>
      <c r="K50" s="2624" t="s">
        <v>1399</v>
      </c>
      <c r="L50" s="2624"/>
      <c r="M50" s="2624"/>
      <c r="N50" s="2624"/>
      <c r="O50" s="2624"/>
      <c r="P50" s="2624"/>
      <c r="Q50" s="135" t="s">
        <v>1400</v>
      </c>
      <c r="R50" s="113"/>
      <c r="S50" s="113"/>
      <c r="T50" s="113"/>
      <c r="U50" s="113"/>
      <c r="V50" s="113"/>
      <c r="W50" s="113"/>
      <c r="X50" s="113"/>
      <c r="Y50" s="113"/>
    </row>
    <row r="51" spans="1:25" ht="23.25" hidden="1" x14ac:dyDescent="0.25">
      <c r="A51" s="821"/>
      <c r="B51" s="1640"/>
      <c r="C51" s="1640"/>
      <c r="D51" s="71" t="s">
        <v>1401</v>
      </c>
      <c r="E51" s="71"/>
      <c r="F51" s="135" t="s">
        <v>1402</v>
      </c>
      <c r="G51" s="135" t="s">
        <v>1403</v>
      </c>
      <c r="H51" s="135" t="s">
        <v>1404</v>
      </c>
      <c r="I51" s="135"/>
      <c r="J51" s="1641" t="s">
        <v>1400</v>
      </c>
      <c r="K51" s="135" t="s">
        <v>1402</v>
      </c>
      <c r="L51" s="135"/>
      <c r="M51" s="135" t="s">
        <v>1403</v>
      </c>
      <c r="N51" s="135"/>
      <c r="O51" s="135"/>
      <c r="P51" s="135" t="s">
        <v>1404</v>
      </c>
      <c r="Q51" s="109">
        <v>87</v>
      </c>
      <c r="R51" s="113"/>
      <c r="S51" s="113"/>
      <c r="T51" s="113"/>
      <c r="U51" s="113"/>
      <c r="V51" s="113"/>
      <c r="W51" s="113"/>
      <c r="X51" s="113"/>
      <c r="Y51" s="113"/>
    </row>
    <row r="52" spans="1:25" ht="15" hidden="1" x14ac:dyDescent="0.25">
      <c r="A52" s="821"/>
      <c r="B52" s="1640"/>
      <c r="C52" s="1640"/>
      <c r="D52" s="88" t="s">
        <v>276</v>
      </c>
      <c r="E52" s="88"/>
      <c r="F52" s="413">
        <v>5</v>
      </c>
      <c r="G52" s="1642">
        <v>10</v>
      </c>
      <c r="H52" s="135">
        <v>9</v>
      </c>
      <c r="I52" s="135"/>
      <c r="J52" s="1641">
        <v>76</v>
      </c>
      <c r="K52" s="87">
        <v>2</v>
      </c>
      <c r="L52" s="87"/>
      <c r="M52" s="87">
        <v>4</v>
      </c>
      <c r="N52" s="87"/>
      <c r="O52" s="87"/>
      <c r="P52" s="10">
        <v>6</v>
      </c>
      <c r="Q52" s="109">
        <v>75</v>
      </c>
      <c r="R52" s="113"/>
      <c r="S52" s="113"/>
      <c r="T52" s="113"/>
      <c r="U52" s="113"/>
      <c r="V52" s="113"/>
      <c r="W52" s="113"/>
      <c r="X52" s="113"/>
      <c r="Y52" s="113"/>
    </row>
    <row r="53" spans="1:25" ht="15" hidden="1" x14ac:dyDescent="0.25">
      <c r="A53" s="821"/>
      <c r="B53" s="1640"/>
      <c r="C53" s="1640"/>
      <c r="D53" s="88" t="s">
        <v>277</v>
      </c>
      <c r="E53" s="88"/>
      <c r="F53" s="413">
        <v>16</v>
      </c>
      <c r="G53" s="1642">
        <v>10</v>
      </c>
      <c r="H53" s="135">
        <v>8</v>
      </c>
      <c r="I53" s="135"/>
      <c r="J53" s="1641">
        <v>66</v>
      </c>
      <c r="K53" s="87">
        <v>7</v>
      </c>
      <c r="L53" s="87"/>
      <c r="M53" s="87">
        <v>10</v>
      </c>
      <c r="N53" s="87"/>
      <c r="O53" s="87"/>
      <c r="P53" s="10">
        <v>8</v>
      </c>
      <c r="Q53" s="109">
        <v>68</v>
      </c>
      <c r="R53" s="113"/>
      <c r="S53" s="113"/>
      <c r="T53" s="113"/>
      <c r="U53" s="113"/>
      <c r="V53" s="113"/>
      <c r="W53" s="113"/>
      <c r="X53" s="113"/>
      <c r="Y53" s="113"/>
    </row>
    <row r="54" spans="1:25" ht="15" hidden="1" x14ac:dyDescent="0.25">
      <c r="A54" s="821"/>
      <c r="B54" s="1640"/>
      <c r="C54" s="1640"/>
      <c r="D54" s="88" t="s">
        <v>278</v>
      </c>
      <c r="E54" s="88"/>
      <c r="F54" s="413">
        <v>27</v>
      </c>
      <c r="G54" s="1642">
        <v>23</v>
      </c>
      <c r="H54" s="135">
        <v>13</v>
      </c>
      <c r="I54" s="135"/>
      <c r="J54" s="1641">
        <v>36</v>
      </c>
      <c r="K54" s="87">
        <v>7</v>
      </c>
      <c r="L54" s="87"/>
      <c r="M54" s="87">
        <v>14</v>
      </c>
      <c r="N54" s="87"/>
      <c r="O54" s="87"/>
      <c r="P54" s="10">
        <v>11</v>
      </c>
      <c r="Q54" s="109">
        <v>82</v>
      </c>
      <c r="R54" s="113"/>
      <c r="S54" s="113"/>
      <c r="T54" s="113"/>
      <c r="U54" s="113"/>
      <c r="V54" s="113"/>
      <c r="W54" s="113"/>
      <c r="X54" s="113"/>
      <c r="Y54" s="113"/>
    </row>
    <row r="55" spans="1:25" ht="15" hidden="1" x14ac:dyDescent="0.25">
      <c r="A55" s="821"/>
      <c r="B55" s="1640"/>
      <c r="C55" s="1640"/>
      <c r="D55" s="88" t="s">
        <v>641</v>
      </c>
      <c r="E55" s="88"/>
      <c r="F55" s="413">
        <v>15</v>
      </c>
      <c r="G55" s="1642">
        <v>10</v>
      </c>
      <c r="H55" s="135">
        <v>7</v>
      </c>
      <c r="I55" s="135"/>
      <c r="J55" s="1641">
        <v>68</v>
      </c>
      <c r="K55" s="87">
        <v>4</v>
      </c>
      <c r="L55" s="87"/>
      <c r="M55" s="87">
        <v>8</v>
      </c>
      <c r="N55" s="87"/>
      <c r="O55" s="87"/>
      <c r="P55" s="10">
        <v>7</v>
      </c>
      <c r="Q55" s="109">
        <v>95</v>
      </c>
      <c r="R55" s="113"/>
      <c r="S55" s="113"/>
      <c r="T55" s="113"/>
      <c r="U55" s="113"/>
      <c r="V55" s="113"/>
      <c r="W55" s="113"/>
      <c r="X55" s="113"/>
      <c r="Y55" s="113"/>
    </row>
    <row r="56" spans="1:25" ht="15" hidden="1" x14ac:dyDescent="0.25">
      <c r="A56" s="821"/>
      <c r="B56" s="1640"/>
      <c r="C56" s="1640"/>
      <c r="D56" s="88" t="s">
        <v>280</v>
      </c>
      <c r="E56" s="88"/>
      <c r="F56" s="413">
        <v>3</v>
      </c>
      <c r="G56" s="1642">
        <v>6</v>
      </c>
      <c r="H56" s="135">
        <v>6</v>
      </c>
      <c r="I56" s="135"/>
      <c r="J56" s="1641">
        <v>86</v>
      </c>
      <c r="K56" s="87">
        <v>0</v>
      </c>
      <c r="L56" s="87"/>
      <c r="M56" s="87">
        <v>2</v>
      </c>
      <c r="N56" s="87"/>
      <c r="O56" s="87"/>
      <c r="P56" s="10">
        <v>3</v>
      </c>
      <c r="Q56" s="109">
        <v>86</v>
      </c>
      <c r="R56" s="113"/>
      <c r="S56" s="113"/>
      <c r="T56" s="113"/>
      <c r="U56" s="113"/>
      <c r="V56" s="113"/>
      <c r="W56" s="113"/>
      <c r="X56" s="113"/>
      <c r="Y56" s="113"/>
    </row>
    <row r="57" spans="1:25" ht="15" hidden="1" x14ac:dyDescent="0.25">
      <c r="A57" s="821"/>
      <c r="B57" s="1640"/>
      <c r="C57" s="1640"/>
      <c r="D57" s="88" t="s">
        <v>281</v>
      </c>
      <c r="E57" s="88"/>
      <c r="F57" s="413">
        <v>9</v>
      </c>
      <c r="G57" s="1642">
        <v>13</v>
      </c>
      <c r="H57" s="135">
        <v>11</v>
      </c>
      <c r="I57" s="135"/>
      <c r="J57" s="1641">
        <v>67</v>
      </c>
      <c r="K57" s="87">
        <v>2</v>
      </c>
      <c r="L57" s="87"/>
      <c r="M57" s="87">
        <v>6</v>
      </c>
      <c r="N57" s="87"/>
      <c r="O57" s="87"/>
      <c r="P57" s="10">
        <v>7</v>
      </c>
      <c r="Q57" s="109">
        <v>88</v>
      </c>
      <c r="R57" s="113"/>
      <c r="S57" s="113"/>
      <c r="T57" s="113"/>
      <c r="U57" s="113"/>
      <c r="V57" s="113"/>
      <c r="W57" s="113"/>
      <c r="X57" s="113"/>
      <c r="Y57" s="113"/>
    </row>
    <row r="58" spans="1:25" ht="15" hidden="1" x14ac:dyDescent="0.25">
      <c r="A58" s="821"/>
      <c r="B58" s="1640"/>
      <c r="C58" s="1640"/>
      <c r="D58" s="88" t="s">
        <v>282</v>
      </c>
      <c r="E58" s="88"/>
      <c r="F58" s="413">
        <v>7</v>
      </c>
      <c r="G58" s="1642">
        <v>14</v>
      </c>
      <c r="H58" s="135">
        <v>11</v>
      </c>
      <c r="I58" s="135"/>
      <c r="J58" s="1641">
        <v>67</v>
      </c>
      <c r="K58" s="87">
        <v>1</v>
      </c>
      <c r="L58" s="87"/>
      <c r="M58" s="87">
        <v>5</v>
      </c>
      <c r="N58" s="87"/>
      <c r="O58" s="87"/>
      <c r="P58" s="10">
        <v>6</v>
      </c>
      <c r="Q58" s="109">
        <v>70</v>
      </c>
      <c r="R58" s="113"/>
      <c r="S58" s="113"/>
      <c r="T58" s="113"/>
      <c r="U58" s="113"/>
      <c r="V58" s="113"/>
      <c r="W58" s="113"/>
      <c r="X58" s="113"/>
      <c r="Y58" s="113"/>
    </row>
    <row r="59" spans="1:25" ht="15" hidden="1" x14ac:dyDescent="0.25">
      <c r="A59" s="821"/>
      <c r="B59" s="1640"/>
      <c r="C59" s="1640"/>
      <c r="D59" s="88" t="s">
        <v>283</v>
      </c>
      <c r="E59" s="88"/>
      <c r="F59" s="413">
        <v>29</v>
      </c>
      <c r="G59" s="1642">
        <v>27</v>
      </c>
      <c r="H59" s="135">
        <v>11</v>
      </c>
      <c r="I59" s="135"/>
      <c r="J59" s="1641">
        <v>33</v>
      </c>
      <c r="K59" s="87">
        <v>7</v>
      </c>
      <c r="L59" s="87"/>
      <c r="M59" s="87">
        <v>12</v>
      </c>
      <c r="N59" s="87"/>
      <c r="O59" s="87"/>
      <c r="P59" s="10">
        <v>10</v>
      </c>
      <c r="Q59" s="3464">
        <v>55</v>
      </c>
      <c r="R59" s="113"/>
      <c r="S59" s="113"/>
      <c r="T59" s="113"/>
      <c r="U59" s="113"/>
      <c r="V59" s="113"/>
      <c r="W59" s="113"/>
      <c r="X59" s="113"/>
      <c r="Y59" s="113"/>
    </row>
    <row r="60" spans="1:25" ht="15" hidden="1" x14ac:dyDescent="0.25">
      <c r="A60" s="821"/>
      <c r="B60" s="1640"/>
      <c r="C60" s="1640"/>
      <c r="D60" s="3465" t="s">
        <v>284</v>
      </c>
      <c r="E60" s="3465"/>
      <c r="F60" s="3403">
        <v>38</v>
      </c>
      <c r="G60" s="3466">
        <v>25</v>
      </c>
      <c r="H60" s="3403">
        <v>10</v>
      </c>
      <c r="I60" s="3403"/>
      <c r="J60" s="3467">
        <v>28</v>
      </c>
      <c r="K60" s="3464">
        <v>12</v>
      </c>
      <c r="L60" s="3464"/>
      <c r="M60" s="3464">
        <v>19</v>
      </c>
      <c r="N60" s="3464"/>
      <c r="O60" s="3464"/>
      <c r="P60" s="3464">
        <v>14</v>
      </c>
      <c r="Q60" s="113"/>
      <c r="R60" s="113"/>
      <c r="S60" s="113"/>
      <c r="T60" s="113"/>
      <c r="U60" s="113"/>
      <c r="V60" s="113"/>
      <c r="W60" s="113"/>
      <c r="X60" s="113"/>
      <c r="Y60" s="113"/>
    </row>
    <row r="61" spans="1:25" ht="15" hidden="1" x14ac:dyDescent="0.25">
      <c r="A61" s="821"/>
      <c r="B61" s="1640"/>
      <c r="C61" s="1640"/>
      <c r="D61" s="113"/>
      <c r="E61" s="113"/>
      <c r="F61" s="113"/>
      <c r="G61" s="113"/>
      <c r="H61" s="113"/>
      <c r="I61" s="113"/>
      <c r="J61" s="113"/>
      <c r="K61" s="113"/>
      <c r="M61" s="113"/>
      <c r="N61" s="113"/>
      <c r="O61" s="113"/>
      <c r="P61" s="113"/>
      <c r="Q61" s="113"/>
      <c r="R61" s="113"/>
      <c r="S61" s="113"/>
      <c r="T61" s="113"/>
      <c r="U61" s="113"/>
      <c r="V61" s="113"/>
      <c r="W61" s="113"/>
      <c r="X61" s="113"/>
      <c r="Y61" s="113"/>
    </row>
    <row r="62" spans="1:25" ht="15" hidden="1" x14ac:dyDescent="0.25">
      <c r="A62" s="821"/>
      <c r="B62" s="1640"/>
      <c r="C62" s="1640"/>
      <c r="D62" s="113"/>
      <c r="E62" s="113"/>
      <c r="F62" s="113"/>
      <c r="G62" s="113"/>
      <c r="H62" s="113"/>
      <c r="I62" s="113"/>
      <c r="J62" s="113"/>
      <c r="K62" s="113"/>
      <c r="L62" s="113"/>
      <c r="M62" s="113"/>
      <c r="N62" s="113"/>
      <c r="O62" s="113"/>
      <c r="P62" s="113"/>
      <c r="Q62" s="113"/>
      <c r="R62" s="113"/>
      <c r="S62" s="113"/>
      <c r="T62" s="113"/>
      <c r="U62" s="113"/>
      <c r="V62" s="113"/>
      <c r="W62" s="113"/>
      <c r="X62" s="113"/>
      <c r="Y62" s="113"/>
    </row>
    <row r="63" spans="1:25" ht="15" hidden="1" x14ac:dyDescent="0.25">
      <c r="A63" s="821"/>
      <c r="B63" s="1640"/>
      <c r="C63" s="1640"/>
      <c r="D63" s="113"/>
      <c r="E63" s="113"/>
      <c r="F63" s="113"/>
      <c r="G63" s="113"/>
      <c r="H63" s="113"/>
      <c r="I63" s="113"/>
      <c r="J63" s="113"/>
      <c r="K63" s="113"/>
      <c r="L63" s="113"/>
      <c r="M63" s="113"/>
      <c r="N63" s="113"/>
      <c r="O63" s="113"/>
      <c r="P63" s="113"/>
      <c r="Q63" s="113"/>
      <c r="R63" s="113"/>
      <c r="S63" s="113"/>
      <c r="T63" s="113"/>
      <c r="U63" s="113"/>
      <c r="V63" s="113"/>
      <c r="W63" s="113"/>
      <c r="X63" s="113"/>
      <c r="Y63" s="113"/>
    </row>
    <row r="64" spans="1:25" ht="15" hidden="1" x14ac:dyDescent="0.25">
      <c r="A64" s="821"/>
      <c r="B64" s="1640"/>
      <c r="C64" s="1640"/>
      <c r="D64" s="113"/>
      <c r="E64" s="113"/>
      <c r="F64" s="113"/>
      <c r="G64" s="113"/>
      <c r="H64" s="113"/>
      <c r="I64" s="113"/>
      <c r="J64" s="113"/>
      <c r="K64" s="113"/>
      <c r="L64" s="113"/>
      <c r="M64" s="113"/>
      <c r="N64" s="113"/>
      <c r="O64" s="113"/>
      <c r="P64" s="113"/>
      <c r="Q64" s="113"/>
      <c r="R64" s="113"/>
      <c r="S64" s="113"/>
      <c r="T64" s="113"/>
      <c r="U64" s="113"/>
      <c r="V64" s="113"/>
      <c r="W64" s="113"/>
      <c r="X64" s="113"/>
      <c r="Y64" s="113"/>
    </row>
    <row r="65" spans="1:25" ht="15" hidden="1" x14ac:dyDescent="0.25">
      <c r="A65" s="821"/>
      <c r="B65" s="1640"/>
      <c r="C65" s="1640"/>
      <c r="D65" s="113"/>
      <c r="E65" s="113"/>
      <c r="F65" s="113"/>
      <c r="G65" s="113"/>
      <c r="H65" s="113"/>
      <c r="I65" s="113"/>
      <c r="J65" s="113"/>
      <c r="K65" s="113"/>
      <c r="L65" s="113"/>
      <c r="M65" s="113"/>
      <c r="N65" s="113"/>
      <c r="O65" s="113"/>
      <c r="P65" s="113"/>
      <c r="Q65" s="113"/>
      <c r="R65" s="113"/>
      <c r="S65" s="113"/>
      <c r="T65" s="113"/>
      <c r="U65" s="113"/>
      <c r="V65" s="113"/>
      <c r="W65" s="113"/>
      <c r="X65" s="113"/>
      <c r="Y65" s="113"/>
    </row>
    <row r="66" spans="1:25" ht="15" hidden="1" x14ac:dyDescent="0.25">
      <c r="A66" s="821"/>
      <c r="B66" s="1640"/>
      <c r="C66" s="1640"/>
      <c r="D66" s="71"/>
      <c r="E66" s="71"/>
      <c r="F66" s="72" t="s">
        <v>862</v>
      </c>
      <c r="G66" s="140" t="s">
        <v>1406</v>
      </c>
      <c r="H66" s="72"/>
      <c r="I66" s="72"/>
      <c r="J66" s="72"/>
      <c r="K66" s="72"/>
      <c r="L66" s="72"/>
      <c r="M66" s="72"/>
      <c r="N66" s="71"/>
      <c r="O66" s="71"/>
      <c r="P66" s="113"/>
      <c r="Q66" s="113"/>
      <c r="R66" s="113"/>
      <c r="S66" s="113"/>
      <c r="T66" s="113"/>
      <c r="U66" s="113"/>
      <c r="V66" s="113"/>
      <c r="W66" s="113"/>
      <c r="X66" s="113"/>
      <c r="Y66" s="113"/>
    </row>
    <row r="67" spans="1:25" ht="15" hidden="1" x14ac:dyDescent="0.25">
      <c r="A67" s="821"/>
      <c r="B67" s="1640"/>
      <c r="C67" s="1640"/>
      <c r="D67" s="991"/>
      <c r="E67" s="991"/>
      <c r="F67" s="71" t="s">
        <v>1407</v>
      </c>
      <c r="G67" s="71"/>
      <c r="H67" s="71"/>
      <c r="I67" s="71"/>
      <c r="J67" s="1643" t="s">
        <v>1408</v>
      </c>
      <c r="K67" s="71"/>
      <c r="L67" s="71"/>
      <c r="M67" s="71"/>
      <c r="N67" s="71"/>
      <c r="O67" s="71"/>
      <c r="P67" s="113"/>
      <c r="Q67" s="113"/>
      <c r="R67" s="113"/>
      <c r="S67" s="113"/>
      <c r="T67" s="113"/>
      <c r="U67" s="113"/>
      <c r="V67" s="113"/>
      <c r="W67" s="113"/>
      <c r="X67" s="113"/>
      <c r="Y67" s="113"/>
    </row>
    <row r="68" spans="1:25" ht="15" hidden="1" x14ac:dyDescent="0.25">
      <c r="A68" s="821"/>
      <c r="B68" s="1640"/>
      <c r="C68" s="1640"/>
      <c r="D68" s="71" t="s">
        <v>1401</v>
      </c>
      <c r="E68" s="71"/>
      <c r="F68" s="312">
        <v>2001</v>
      </c>
      <c r="G68" s="312">
        <v>2007</v>
      </c>
      <c r="H68" s="312"/>
      <c r="I68" s="312"/>
      <c r="J68" s="1644">
        <v>2001</v>
      </c>
      <c r="K68" s="312">
        <v>2007</v>
      </c>
      <c r="L68" s="312"/>
      <c r="M68" s="312"/>
      <c r="N68" s="312"/>
      <c r="O68" s="312"/>
      <c r="P68" s="113"/>
      <c r="Q68" s="113"/>
      <c r="R68" s="113"/>
      <c r="S68" s="113"/>
      <c r="T68" s="113"/>
      <c r="U68" s="113"/>
      <c r="V68" s="113"/>
      <c r="W68" s="113"/>
      <c r="X68" s="113"/>
      <c r="Y68" s="113"/>
    </row>
    <row r="69" spans="1:25" ht="15" hidden="1" x14ac:dyDescent="0.25">
      <c r="A69" s="821"/>
      <c r="B69" s="1640"/>
      <c r="C69" s="1640"/>
      <c r="D69" s="88" t="s">
        <v>276</v>
      </c>
      <c r="E69" s="88"/>
      <c r="F69" s="109">
        <v>24</v>
      </c>
      <c r="G69" s="109">
        <v>35</v>
      </c>
      <c r="H69" s="1645"/>
      <c r="I69" s="1645"/>
      <c r="J69" s="1646">
        <v>34</v>
      </c>
      <c r="K69" s="109">
        <v>36</v>
      </c>
      <c r="L69" s="109"/>
      <c r="M69" s="1645"/>
      <c r="N69" s="1645"/>
      <c r="O69" s="1645"/>
      <c r="P69" s="113"/>
      <c r="Q69" s="113"/>
      <c r="R69" s="113"/>
      <c r="S69" s="113"/>
      <c r="T69" s="113"/>
      <c r="U69" s="113"/>
      <c r="V69" s="113"/>
      <c r="W69" s="113"/>
      <c r="X69" s="113"/>
      <c r="Y69" s="113"/>
    </row>
    <row r="70" spans="1:25" ht="15" hidden="1" x14ac:dyDescent="0.25">
      <c r="A70" s="821"/>
      <c r="B70" s="1640"/>
      <c r="C70" s="1640"/>
      <c r="D70" s="88" t="s">
        <v>277</v>
      </c>
      <c r="E70" s="88"/>
      <c r="F70" s="109">
        <v>27</v>
      </c>
      <c r="G70" s="109">
        <v>43</v>
      </c>
      <c r="H70" s="109"/>
      <c r="I70" s="109"/>
      <c r="J70" s="1646">
        <v>29</v>
      </c>
      <c r="K70" s="109">
        <v>42</v>
      </c>
      <c r="L70" s="109"/>
      <c r="M70" s="109"/>
      <c r="N70" s="109"/>
      <c r="O70" s="109"/>
      <c r="P70" s="113"/>
      <c r="Q70" s="113"/>
      <c r="R70" s="113"/>
      <c r="S70" s="113"/>
      <c r="T70" s="113"/>
      <c r="U70" s="113"/>
      <c r="V70" s="113"/>
      <c r="W70" s="113"/>
      <c r="X70" s="113"/>
      <c r="Y70" s="113"/>
    </row>
    <row r="71" spans="1:25" ht="15" hidden="1" x14ac:dyDescent="0.25">
      <c r="A71" s="821"/>
      <c r="B71" s="1640"/>
      <c r="C71" s="1640"/>
      <c r="D71" s="88" t="s">
        <v>278</v>
      </c>
      <c r="E71" s="88"/>
      <c r="F71" s="109">
        <v>33</v>
      </c>
      <c r="G71" s="109">
        <v>38</v>
      </c>
      <c r="H71" s="109"/>
      <c r="I71" s="109"/>
      <c r="J71" s="1646">
        <v>32</v>
      </c>
      <c r="K71" s="109">
        <v>42</v>
      </c>
      <c r="L71" s="109"/>
      <c r="M71" s="109"/>
      <c r="N71" s="109"/>
      <c r="O71" s="109"/>
      <c r="P71" s="113"/>
      <c r="Q71" s="113"/>
      <c r="R71" s="113"/>
      <c r="S71" s="113"/>
      <c r="T71" s="113"/>
      <c r="U71" s="113"/>
      <c r="V71" s="113"/>
      <c r="W71" s="113"/>
      <c r="X71" s="113"/>
      <c r="Y71" s="113"/>
    </row>
    <row r="72" spans="1:25" ht="15" hidden="1" x14ac:dyDescent="0.25">
      <c r="A72" s="821"/>
      <c r="B72" s="1640"/>
      <c r="C72" s="1640"/>
      <c r="D72" s="88" t="s">
        <v>641</v>
      </c>
      <c r="E72" s="88"/>
      <c r="F72" s="109">
        <v>35</v>
      </c>
      <c r="G72" s="109">
        <v>38</v>
      </c>
      <c r="H72" s="109"/>
      <c r="I72" s="109"/>
      <c r="J72" s="1646">
        <v>31</v>
      </c>
      <c r="K72" s="109">
        <v>36</v>
      </c>
      <c r="L72" s="109"/>
      <c r="M72" s="109"/>
      <c r="N72" s="109"/>
      <c r="O72" s="109"/>
      <c r="P72" s="113"/>
      <c r="Q72" s="113"/>
      <c r="R72" s="113"/>
      <c r="S72" s="113"/>
      <c r="T72" s="113"/>
      <c r="U72" s="113"/>
      <c r="V72" s="113"/>
      <c r="W72" s="113"/>
      <c r="X72" s="113"/>
      <c r="Y72" s="113"/>
    </row>
    <row r="73" spans="1:25" ht="15" hidden="1" x14ac:dyDescent="0.25">
      <c r="A73" s="821"/>
      <c r="B73" s="1640"/>
      <c r="C73" s="1640"/>
      <c r="D73" s="88" t="s">
        <v>280</v>
      </c>
      <c r="E73" s="88"/>
      <c r="F73" s="109">
        <v>27</v>
      </c>
      <c r="G73" s="109">
        <v>29</v>
      </c>
      <c r="H73" s="1645"/>
      <c r="I73" s="1645"/>
      <c r="J73" s="1646">
        <v>24</v>
      </c>
      <c r="K73" s="109">
        <v>26</v>
      </c>
      <c r="L73" s="109"/>
      <c r="M73" s="1645"/>
      <c r="N73" s="1645"/>
      <c r="O73" s="1645"/>
      <c r="P73" s="113"/>
      <c r="Q73" s="113"/>
      <c r="R73" s="113"/>
      <c r="S73" s="113"/>
      <c r="T73" s="113"/>
      <c r="U73" s="113"/>
      <c r="V73" s="113"/>
      <c r="W73" s="113"/>
      <c r="X73" s="113"/>
      <c r="Y73" s="113"/>
    </row>
    <row r="74" spans="1:25" ht="15" hidden="1" x14ac:dyDescent="0.25">
      <c r="A74" s="821"/>
      <c r="B74" s="1640"/>
      <c r="C74" s="1640"/>
      <c r="D74" s="88" t="s">
        <v>281</v>
      </c>
      <c r="E74" s="88"/>
      <c r="F74" s="109">
        <v>28</v>
      </c>
      <c r="G74" s="109">
        <v>32</v>
      </c>
      <c r="H74" s="109"/>
      <c r="I74" s="109"/>
      <c r="J74" s="1646">
        <v>29</v>
      </c>
      <c r="K74" s="109">
        <v>31</v>
      </c>
      <c r="L74" s="109"/>
      <c r="M74" s="109"/>
      <c r="N74" s="109"/>
      <c r="O74" s="109"/>
      <c r="P74" s="113"/>
      <c r="Q74" s="113"/>
      <c r="R74" s="113"/>
      <c r="S74" s="113"/>
      <c r="T74" s="113"/>
      <c r="U74" s="113"/>
      <c r="V74" s="113"/>
      <c r="W74" s="113"/>
      <c r="X74" s="113"/>
      <c r="Y74" s="113"/>
    </row>
    <row r="75" spans="1:25" ht="15" hidden="1" x14ac:dyDescent="0.25">
      <c r="A75" s="821"/>
      <c r="B75" s="1640"/>
      <c r="C75" s="1640"/>
      <c r="D75" s="88" t="s">
        <v>282</v>
      </c>
      <c r="E75" s="88"/>
      <c r="F75" s="109">
        <v>29</v>
      </c>
      <c r="G75" s="109">
        <v>35</v>
      </c>
      <c r="H75" s="109"/>
      <c r="I75" s="109"/>
      <c r="J75" s="1646">
        <v>25</v>
      </c>
      <c r="K75" s="109">
        <v>29</v>
      </c>
      <c r="L75" s="109"/>
      <c r="M75" s="109"/>
      <c r="N75" s="109"/>
      <c r="O75" s="109"/>
      <c r="P75" s="113"/>
      <c r="Q75" s="113"/>
      <c r="R75" s="113"/>
      <c r="S75" s="113"/>
      <c r="T75" s="113"/>
      <c r="U75" s="113"/>
      <c r="V75" s="113"/>
      <c r="W75" s="113"/>
      <c r="X75" s="113"/>
      <c r="Y75" s="113"/>
    </row>
    <row r="76" spans="1:25" ht="15" hidden="1" x14ac:dyDescent="0.25">
      <c r="A76" s="821"/>
      <c r="B76" s="1640"/>
      <c r="C76" s="1640"/>
      <c r="D76" s="88" t="s">
        <v>283</v>
      </c>
      <c r="E76" s="88"/>
      <c r="F76" s="109">
        <v>23</v>
      </c>
      <c r="G76" s="109">
        <v>34</v>
      </c>
      <c r="H76" s="109"/>
      <c r="I76" s="109"/>
      <c r="J76" s="1646">
        <v>26</v>
      </c>
      <c r="K76" s="109">
        <v>31</v>
      </c>
      <c r="L76" s="109"/>
      <c r="M76" s="109"/>
      <c r="N76" s="109"/>
      <c r="O76" s="109"/>
      <c r="P76" s="113"/>
      <c r="Q76" s="113"/>
      <c r="R76" s="113"/>
      <c r="S76" s="113"/>
      <c r="T76" s="113"/>
      <c r="U76" s="113"/>
      <c r="V76" s="113"/>
      <c r="W76" s="113"/>
      <c r="X76" s="113"/>
      <c r="Y76" s="113"/>
    </row>
    <row r="77" spans="1:25" ht="15" hidden="1" x14ac:dyDescent="0.25">
      <c r="A77" s="821"/>
      <c r="B77" s="1640"/>
      <c r="C77" s="1640"/>
      <c r="D77" s="3465" t="s">
        <v>284</v>
      </c>
      <c r="E77" s="3465"/>
      <c r="F77" s="3464">
        <v>33</v>
      </c>
      <c r="G77" s="3464">
        <v>48</v>
      </c>
      <c r="H77" s="3464"/>
      <c r="I77" s="3464"/>
      <c r="J77" s="3590">
        <v>32</v>
      </c>
      <c r="K77" s="3464">
        <v>49</v>
      </c>
      <c r="L77" s="3464"/>
      <c r="M77" s="3464"/>
      <c r="N77" s="109"/>
      <c r="O77" s="109"/>
      <c r="P77" s="113"/>
      <c r="Q77" s="113"/>
      <c r="R77" s="113"/>
      <c r="S77" s="113"/>
      <c r="T77" s="113"/>
      <c r="U77" s="113"/>
      <c r="V77" s="113"/>
      <c r="W77" s="113"/>
      <c r="X77" s="113"/>
      <c r="Y77" s="113"/>
    </row>
    <row r="78" spans="1:25" ht="15" hidden="1" x14ac:dyDescent="0.25">
      <c r="A78" s="821"/>
      <c r="B78" s="1640"/>
      <c r="C78" s="1640"/>
      <c r="D78" s="1638"/>
      <c r="E78" s="1638"/>
      <c r="F78" s="1638"/>
      <c r="G78" s="1638"/>
      <c r="H78" s="1638"/>
      <c r="I78" s="1638"/>
      <c r="J78" s="1638"/>
      <c r="K78" s="1638"/>
      <c r="L78" s="1638"/>
      <c r="M78" s="1638"/>
      <c r="N78" s="1638"/>
      <c r="O78" s="1638"/>
      <c r="P78" s="113"/>
      <c r="Q78" s="113"/>
      <c r="R78" s="113"/>
      <c r="S78" s="113"/>
      <c r="T78" s="113"/>
      <c r="U78" s="113"/>
      <c r="V78" s="113"/>
      <c r="W78" s="113"/>
      <c r="X78" s="113"/>
      <c r="Y78" s="113"/>
    </row>
    <row r="79" spans="1:25" ht="15" hidden="1" x14ac:dyDescent="0.25">
      <c r="A79" s="821"/>
      <c r="B79" s="1640"/>
      <c r="C79" s="1640"/>
      <c r="D79" s="113"/>
      <c r="E79" s="113"/>
      <c r="F79" s="113"/>
      <c r="G79" s="113"/>
      <c r="H79" s="113"/>
      <c r="I79" s="113"/>
      <c r="J79" s="113"/>
      <c r="K79" s="113"/>
      <c r="L79" s="113"/>
      <c r="M79" s="113"/>
      <c r="N79" s="113"/>
      <c r="O79" s="113"/>
      <c r="P79" s="113"/>
      <c r="Q79" s="113"/>
      <c r="R79" s="113"/>
      <c r="S79" s="113"/>
      <c r="T79" s="113"/>
      <c r="U79" s="113"/>
      <c r="V79" s="113"/>
      <c r="W79" s="113"/>
      <c r="X79" s="113"/>
      <c r="Y79" s="113"/>
    </row>
    <row r="80" spans="1:25" ht="15" hidden="1" x14ac:dyDescent="0.25">
      <c r="A80" s="821"/>
      <c r="B80" s="1640"/>
      <c r="C80" s="1640"/>
      <c r="D80" s="113"/>
      <c r="E80" s="113"/>
      <c r="F80" s="113"/>
      <c r="G80" s="113"/>
      <c r="H80" s="113"/>
      <c r="I80" s="113"/>
      <c r="J80" s="113"/>
      <c r="K80" s="113"/>
      <c r="L80" s="113"/>
      <c r="M80" s="113"/>
      <c r="N80" s="113"/>
      <c r="O80" s="113"/>
      <c r="P80" s="113"/>
      <c r="Q80" s="113"/>
      <c r="R80" s="113"/>
      <c r="S80" s="113"/>
      <c r="T80" s="113"/>
      <c r="U80" s="113"/>
      <c r="V80" s="113"/>
      <c r="W80" s="113"/>
      <c r="X80" s="113"/>
      <c r="Y80" s="113"/>
    </row>
    <row r="81" spans="1:25" ht="15" hidden="1" x14ac:dyDescent="0.25">
      <c r="A81" s="821"/>
      <c r="B81" s="1640"/>
      <c r="C81" s="1640"/>
      <c r="D81" s="113"/>
      <c r="E81" s="113"/>
      <c r="F81" s="113"/>
      <c r="G81" s="113"/>
      <c r="H81" s="113"/>
      <c r="I81" s="113"/>
      <c r="J81" s="113"/>
      <c r="K81" s="113"/>
      <c r="L81" s="113"/>
      <c r="M81" s="113"/>
      <c r="N81" s="113"/>
      <c r="O81" s="113"/>
      <c r="P81" s="113"/>
      <c r="Q81" s="113"/>
      <c r="R81" s="113"/>
      <c r="S81" s="113"/>
      <c r="T81" s="113"/>
      <c r="U81" s="113"/>
      <c r="V81" s="113"/>
      <c r="W81" s="113"/>
      <c r="X81" s="113"/>
      <c r="Y81" s="113"/>
    </row>
    <row r="82" spans="1:25" ht="15" hidden="1" x14ac:dyDescent="0.25">
      <c r="A82" s="821"/>
      <c r="B82" s="1640"/>
      <c r="C82" s="1640"/>
      <c r="D82" s="113"/>
      <c r="E82" s="113"/>
      <c r="F82" s="113"/>
      <c r="G82" s="113"/>
      <c r="H82" s="113"/>
      <c r="I82" s="113"/>
      <c r="J82" s="113"/>
      <c r="K82" s="113"/>
      <c r="L82" s="113"/>
      <c r="M82" s="113"/>
      <c r="N82" s="113"/>
      <c r="O82" s="113"/>
      <c r="P82" s="113"/>
      <c r="Q82" s="113"/>
      <c r="R82" s="113"/>
      <c r="S82" s="113"/>
      <c r="T82" s="113"/>
      <c r="U82" s="113"/>
      <c r="V82" s="113"/>
      <c r="W82" s="113"/>
      <c r="X82" s="113"/>
      <c r="Y82" s="113"/>
    </row>
    <row r="83" spans="1:25" ht="15" hidden="1" x14ac:dyDescent="0.25">
      <c r="A83" s="821"/>
      <c r="B83" s="1640"/>
      <c r="C83" s="1640"/>
      <c r="D83" s="113"/>
      <c r="E83" s="113"/>
      <c r="F83" s="113"/>
      <c r="G83" s="113"/>
      <c r="H83" s="113"/>
      <c r="I83" s="113"/>
      <c r="J83" s="113"/>
      <c r="K83" s="113"/>
      <c r="L83" s="113"/>
      <c r="M83" s="113"/>
      <c r="N83" s="113"/>
      <c r="O83" s="113"/>
      <c r="P83" s="113"/>
      <c r="Q83" s="113"/>
      <c r="R83" s="113"/>
      <c r="S83" s="113"/>
      <c r="T83" s="113"/>
      <c r="U83" s="113"/>
      <c r="V83" s="113"/>
      <c r="W83" s="113"/>
      <c r="X83" s="113"/>
      <c r="Y83" s="113"/>
    </row>
    <row r="84" spans="1:25" ht="15" hidden="1" x14ac:dyDescent="0.25">
      <c r="A84" s="821"/>
      <c r="B84" s="1640"/>
      <c r="C84" s="1640"/>
      <c r="D84" s="113"/>
      <c r="E84" s="113"/>
      <c r="F84" s="113"/>
      <c r="G84" s="113"/>
      <c r="H84" s="113"/>
      <c r="I84" s="113"/>
      <c r="J84" s="113"/>
      <c r="K84" s="113"/>
      <c r="L84" s="113"/>
      <c r="M84" s="113"/>
      <c r="N84" s="113"/>
      <c r="O84" s="113"/>
      <c r="P84" s="113"/>
      <c r="Q84" s="113"/>
      <c r="R84" s="113"/>
      <c r="S84" s="113"/>
      <c r="T84" s="113"/>
      <c r="U84" s="113"/>
      <c r="V84" s="113"/>
      <c r="W84" s="113"/>
      <c r="X84" s="113"/>
      <c r="Y84" s="113"/>
    </row>
    <row r="85" spans="1:25" ht="15" x14ac:dyDescent="0.25">
      <c r="A85" s="821"/>
      <c r="B85" s="1640"/>
      <c r="C85" s="1640"/>
      <c r="D85" s="113"/>
      <c r="E85" s="113"/>
      <c r="F85" s="113"/>
      <c r="G85" s="113"/>
      <c r="H85" s="113"/>
      <c r="I85" s="113"/>
      <c r="J85" s="113"/>
      <c r="K85" s="113"/>
      <c r="L85" s="113"/>
      <c r="M85" s="113"/>
      <c r="N85" s="113"/>
      <c r="O85" s="113"/>
      <c r="P85" s="113"/>
      <c r="Q85" s="113"/>
      <c r="R85" s="113"/>
      <c r="S85" s="113"/>
      <c r="T85" s="113"/>
      <c r="U85" s="113"/>
      <c r="V85" s="113"/>
      <c r="W85" s="113"/>
      <c r="X85" s="113"/>
      <c r="Y85" s="113"/>
    </row>
    <row r="86" spans="1:25" ht="15" x14ac:dyDescent="0.25">
      <c r="A86" s="821"/>
      <c r="B86" s="1640"/>
      <c r="C86" s="1640"/>
      <c r="D86" s="113"/>
      <c r="E86" s="113"/>
      <c r="F86" s="113"/>
      <c r="G86" s="113"/>
      <c r="H86" s="113"/>
      <c r="I86" s="113"/>
      <c r="J86" s="113"/>
      <c r="K86" s="113"/>
      <c r="L86" s="113"/>
      <c r="M86" s="113"/>
      <c r="N86" s="113"/>
      <c r="O86" s="113"/>
      <c r="P86" s="113"/>
      <c r="U86" s="113"/>
      <c r="V86" s="113"/>
      <c r="W86" s="113"/>
      <c r="X86" s="113"/>
      <c r="Y86" s="113"/>
    </row>
  </sheetData>
  <mergeCells count="14">
    <mergeCell ref="X6:Z6"/>
    <mergeCell ref="E8:H8"/>
    <mergeCell ref="I8:L8"/>
    <mergeCell ref="M8:P8"/>
    <mergeCell ref="F50:J50"/>
    <mergeCell ref="D24:S24"/>
    <mergeCell ref="D25:S25"/>
    <mergeCell ref="D26:S26"/>
    <mergeCell ref="F35:J35"/>
    <mergeCell ref="D2:T2"/>
    <mergeCell ref="D3:T3"/>
    <mergeCell ref="D4:T4"/>
    <mergeCell ref="U6:W6"/>
    <mergeCell ref="D23:S23"/>
  </mergeCells>
  <pageMargins left="0.74803149606299202" right="0.74803149606299202" top="0.98425196850393704" bottom="0.98425196850393704" header="0.511811023622047" footer="0.511811023622047"/>
  <pageSetup paperSize="9" scale="63"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9F472-DFFA-4CA6-B13A-C590151A7EED}">
  <sheetPr>
    <tabColor rgb="FF0070C0"/>
    <pageSetUpPr fitToPage="1"/>
  </sheetPr>
  <dimension ref="A1:AD45"/>
  <sheetViews>
    <sheetView showGridLines="0" view="pageBreakPreview" topLeftCell="B1" zoomScaleNormal="100" zoomScaleSheetLayoutView="100" workbookViewId="0">
      <selection activeCell="D4" sqref="D4:V4"/>
    </sheetView>
  </sheetViews>
  <sheetFormatPr defaultColWidth="9.140625" defaultRowHeight="15" x14ac:dyDescent="0.25"/>
  <cols>
    <col min="1" max="1" width="3.85546875" style="821" customWidth="1"/>
    <col min="2" max="2" width="14.42578125" style="1640" customWidth="1"/>
    <col min="3" max="3" width="3.85546875" style="1640" customWidth="1"/>
    <col min="4" max="4" width="20.140625" style="113" customWidth="1"/>
    <col min="5" max="5" width="11.5703125" style="1675" customWidth="1"/>
    <col min="6" max="9" width="11.5703125" style="113" customWidth="1"/>
    <col min="10" max="10" width="9.42578125" style="113" customWidth="1"/>
    <col min="11" max="17" width="11.5703125" style="113" customWidth="1"/>
    <col min="18" max="18" width="8.85546875" style="113" customWidth="1"/>
    <col min="19" max="19" width="14.42578125" style="113" customWidth="1"/>
    <col min="20" max="26" width="7.85546875" style="113" customWidth="1"/>
    <col min="27" max="27" width="10.42578125" style="113" bestFit="1" customWidth="1"/>
    <col min="28" max="263" width="9.140625" style="113"/>
    <col min="264" max="264" width="3.85546875" style="113" customWidth="1"/>
    <col min="265" max="265" width="14.42578125" style="113" customWidth="1"/>
    <col min="266" max="266" width="3.85546875" style="113" customWidth="1"/>
    <col min="267" max="267" width="20.140625" style="113" customWidth="1"/>
    <col min="268" max="268" width="6.140625" style="113" customWidth="1"/>
    <col min="269" max="274" width="11.5703125" style="113" customWidth="1"/>
    <col min="275" max="276" width="8.85546875" style="113" customWidth="1"/>
    <col min="277" max="282" width="7.85546875" style="113" customWidth="1"/>
    <col min="283" max="283" width="10.42578125" style="113" bestFit="1" customWidth="1"/>
    <col min="284" max="519" width="9.140625" style="113"/>
    <col min="520" max="520" width="3.85546875" style="113" customWidth="1"/>
    <col min="521" max="521" width="14.42578125" style="113" customWidth="1"/>
    <col min="522" max="522" width="3.85546875" style="113" customWidth="1"/>
    <col min="523" max="523" width="20.140625" style="113" customWidth="1"/>
    <col min="524" max="524" width="6.140625" style="113" customWidth="1"/>
    <col min="525" max="530" width="11.5703125" style="113" customWidth="1"/>
    <col min="531" max="532" width="8.85546875" style="113" customWidth="1"/>
    <col min="533" max="538" width="7.85546875" style="113" customWidth="1"/>
    <col min="539" max="539" width="10.42578125" style="113" bestFit="1" customWidth="1"/>
    <col min="540" max="775" width="9.140625" style="113"/>
    <col min="776" max="776" width="3.85546875" style="113" customWidth="1"/>
    <col min="777" max="777" width="14.42578125" style="113" customWidth="1"/>
    <col min="778" max="778" width="3.85546875" style="113" customWidth="1"/>
    <col min="779" max="779" width="20.140625" style="113" customWidth="1"/>
    <col min="780" max="780" width="6.140625" style="113" customWidth="1"/>
    <col min="781" max="786" width="11.5703125" style="113" customWidth="1"/>
    <col min="787" max="788" width="8.85546875" style="113" customWidth="1"/>
    <col min="789" max="794" width="7.85546875" style="113" customWidth="1"/>
    <col min="795" max="795" width="10.42578125" style="113" bestFit="1" customWidth="1"/>
    <col min="796" max="1031" width="9.140625" style="113"/>
    <col min="1032" max="1032" width="3.85546875" style="113" customWidth="1"/>
    <col min="1033" max="1033" width="14.42578125" style="113" customWidth="1"/>
    <col min="1034" max="1034" width="3.85546875" style="113" customWidth="1"/>
    <col min="1035" max="1035" width="20.140625" style="113" customWidth="1"/>
    <col min="1036" max="1036" width="6.140625" style="113" customWidth="1"/>
    <col min="1037" max="1042" width="11.5703125" style="113" customWidth="1"/>
    <col min="1043" max="1044" width="8.85546875" style="113" customWidth="1"/>
    <col min="1045" max="1050" width="7.85546875" style="113" customWidth="1"/>
    <col min="1051" max="1051" width="10.42578125" style="113" bestFit="1" customWidth="1"/>
    <col min="1052" max="1287" width="9.140625" style="113"/>
    <col min="1288" max="1288" width="3.85546875" style="113" customWidth="1"/>
    <col min="1289" max="1289" width="14.42578125" style="113" customWidth="1"/>
    <col min="1290" max="1290" width="3.85546875" style="113" customWidth="1"/>
    <col min="1291" max="1291" width="20.140625" style="113" customWidth="1"/>
    <col min="1292" max="1292" width="6.140625" style="113" customWidth="1"/>
    <col min="1293" max="1298" width="11.5703125" style="113" customWidth="1"/>
    <col min="1299" max="1300" width="8.85546875" style="113" customWidth="1"/>
    <col min="1301" max="1306" width="7.85546875" style="113" customWidth="1"/>
    <col min="1307" max="1307" width="10.42578125" style="113" bestFit="1" customWidth="1"/>
    <col min="1308" max="1543" width="9.140625" style="113"/>
    <col min="1544" max="1544" width="3.85546875" style="113" customWidth="1"/>
    <col min="1545" max="1545" width="14.42578125" style="113" customWidth="1"/>
    <col min="1546" max="1546" width="3.85546875" style="113" customWidth="1"/>
    <col min="1547" max="1547" width="20.140625" style="113" customWidth="1"/>
    <col min="1548" max="1548" width="6.140625" style="113" customWidth="1"/>
    <col min="1549" max="1554" width="11.5703125" style="113" customWidth="1"/>
    <col min="1555" max="1556" width="8.85546875" style="113" customWidth="1"/>
    <col min="1557" max="1562" width="7.85546875" style="113" customWidth="1"/>
    <col min="1563" max="1563" width="10.42578125" style="113" bestFit="1" customWidth="1"/>
    <col min="1564" max="1799" width="9.140625" style="113"/>
    <col min="1800" max="1800" width="3.85546875" style="113" customWidth="1"/>
    <col min="1801" max="1801" width="14.42578125" style="113" customWidth="1"/>
    <col min="1802" max="1802" width="3.85546875" style="113" customWidth="1"/>
    <col min="1803" max="1803" width="20.140625" style="113" customWidth="1"/>
    <col min="1804" max="1804" width="6.140625" style="113" customWidth="1"/>
    <col min="1805" max="1810" width="11.5703125" style="113" customWidth="1"/>
    <col min="1811" max="1812" width="8.85546875" style="113" customWidth="1"/>
    <col min="1813" max="1818" width="7.85546875" style="113" customWidth="1"/>
    <col min="1819" max="1819" width="10.42578125" style="113" bestFit="1" customWidth="1"/>
    <col min="1820" max="2055" width="9.140625" style="113"/>
    <col min="2056" max="2056" width="3.85546875" style="113" customWidth="1"/>
    <col min="2057" max="2057" width="14.42578125" style="113" customWidth="1"/>
    <col min="2058" max="2058" width="3.85546875" style="113" customWidth="1"/>
    <col min="2059" max="2059" width="20.140625" style="113" customWidth="1"/>
    <col min="2060" max="2060" width="6.140625" style="113" customWidth="1"/>
    <col min="2061" max="2066" width="11.5703125" style="113" customWidth="1"/>
    <col min="2067" max="2068" width="8.85546875" style="113" customWidth="1"/>
    <col min="2069" max="2074" width="7.85546875" style="113" customWidth="1"/>
    <col min="2075" max="2075" width="10.42578125" style="113" bestFit="1" customWidth="1"/>
    <col min="2076" max="2311" width="9.140625" style="113"/>
    <col min="2312" max="2312" width="3.85546875" style="113" customWidth="1"/>
    <col min="2313" max="2313" width="14.42578125" style="113" customWidth="1"/>
    <col min="2314" max="2314" width="3.85546875" style="113" customWidth="1"/>
    <col min="2315" max="2315" width="20.140625" style="113" customWidth="1"/>
    <col min="2316" max="2316" width="6.140625" style="113" customWidth="1"/>
    <col min="2317" max="2322" width="11.5703125" style="113" customWidth="1"/>
    <col min="2323" max="2324" width="8.85546875" style="113" customWidth="1"/>
    <col min="2325" max="2330" width="7.85546875" style="113" customWidth="1"/>
    <col min="2331" max="2331" width="10.42578125" style="113" bestFit="1" customWidth="1"/>
    <col min="2332" max="2567" width="9.140625" style="113"/>
    <col min="2568" max="2568" width="3.85546875" style="113" customWidth="1"/>
    <col min="2569" max="2569" width="14.42578125" style="113" customWidth="1"/>
    <col min="2570" max="2570" width="3.85546875" style="113" customWidth="1"/>
    <col min="2571" max="2571" width="20.140625" style="113" customWidth="1"/>
    <col min="2572" max="2572" width="6.140625" style="113" customWidth="1"/>
    <col min="2573" max="2578" width="11.5703125" style="113" customWidth="1"/>
    <col min="2579" max="2580" width="8.85546875" style="113" customWidth="1"/>
    <col min="2581" max="2586" width="7.85546875" style="113" customWidth="1"/>
    <col min="2587" max="2587" width="10.42578125" style="113" bestFit="1" customWidth="1"/>
    <col min="2588" max="2823" width="9.140625" style="113"/>
    <col min="2824" max="2824" width="3.85546875" style="113" customWidth="1"/>
    <col min="2825" max="2825" width="14.42578125" style="113" customWidth="1"/>
    <col min="2826" max="2826" width="3.85546875" style="113" customWidth="1"/>
    <col min="2827" max="2827" width="20.140625" style="113" customWidth="1"/>
    <col min="2828" max="2828" width="6.140625" style="113" customWidth="1"/>
    <col min="2829" max="2834" width="11.5703125" style="113" customWidth="1"/>
    <col min="2835" max="2836" width="8.85546875" style="113" customWidth="1"/>
    <col min="2837" max="2842" width="7.85546875" style="113" customWidth="1"/>
    <col min="2843" max="2843" width="10.42578125" style="113" bestFit="1" customWidth="1"/>
    <col min="2844" max="3079" width="9.140625" style="113"/>
    <col min="3080" max="3080" width="3.85546875" style="113" customWidth="1"/>
    <col min="3081" max="3081" width="14.42578125" style="113" customWidth="1"/>
    <col min="3082" max="3082" width="3.85546875" style="113" customWidth="1"/>
    <col min="3083" max="3083" width="20.140625" style="113" customWidth="1"/>
    <col min="3084" max="3084" width="6.140625" style="113" customWidth="1"/>
    <col min="3085" max="3090" width="11.5703125" style="113" customWidth="1"/>
    <col min="3091" max="3092" width="8.85546875" style="113" customWidth="1"/>
    <col min="3093" max="3098" width="7.85546875" style="113" customWidth="1"/>
    <col min="3099" max="3099" width="10.42578125" style="113" bestFit="1" customWidth="1"/>
    <col min="3100" max="3335" width="9.140625" style="113"/>
    <col min="3336" max="3336" width="3.85546875" style="113" customWidth="1"/>
    <col min="3337" max="3337" width="14.42578125" style="113" customWidth="1"/>
    <col min="3338" max="3338" width="3.85546875" style="113" customWidth="1"/>
    <col min="3339" max="3339" width="20.140625" style="113" customWidth="1"/>
    <col min="3340" max="3340" width="6.140625" style="113" customWidth="1"/>
    <col min="3341" max="3346" width="11.5703125" style="113" customWidth="1"/>
    <col min="3347" max="3348" width="8.85546875" style="113" customWidth="1"/>
    <col min="3349" max="3354" width="7.85546875" style="113" customWidth="1"/>
    <col min="3355" max="3355" width="10.42578125" style="113" bestFit="1" customWidth="1"/>
    <col min="3356" max="3591" width="9.140625" style="113"/>
    <col min="3592" max="3592" width="3.85546875" style="113" customWidth="1"/>
    <col min="3593" max="3593" width="14.42578125" style="113" customWidth="1"/>
    <col min="3594" max="3594" width="3.85546875" style="113" customWidth="1"/>
    <col min="3595" max="3595" width="20.140625" style="113" customWidth="1"/>
    <col min="3596" max="3596" width="6.140625" style="113" customWidth="1"/>
    <col min="3597" max="3602" width="11.5703125" style="113" customWidth="1"/>
    <col min="3603" max="3604" width="8.85546875" style="113" customWidth="1"/>
    <col min="3605" max="3610" width="7.85546875" style="113" customWidth="1"/>
    <col min="3611" max="3611" width="10.42578125" style="113" bestFit="1" customWidth="1"/>
    <col min="3612" max="3847" width="9.140625" style="113"/>
    <col min="3848" max="3848" width="3.85546875" style="113" customWidth="1"/>
    <col min="3849" max="3849" width="14.42578125" style="113" customWidth="1"/>
    <col min="3850" max="3850" width="3.85546875" style="113" customWidth="1"/>
    <col min="3851" max="3851" width="20.140625" style="113" customWidth="1"/>
    <col min="3852" max="3852" width="6.140625" style="113" customWidth="1"/>
    <col min="3853" max="3858" width="11.5703125" style="113" customWidth="1"/>
    <col min="3859" max="3860" width="8.85546875" style="113" customWidth="1"/>
    <col min="3861" max="3866" width="7.85546875" style="113" customWidth="1"/>
    <col min="3867" max="3867" width="10.42578125" style="113" bestFit="1" customWidth="1"/>
    <col min="3868" max="4103" width="9.140625" style="113"/>
    <col min="4104" max="4104" width="3.85546875" style="113" customWidth="1"/>
    <col min="4105" max="4105" width="14.42578125" style="113" customWidth="1"/>
    <col min="4106" max="4106" width="3.85546875" style="113" customWidth="1"/>
    <col min="4107" max="4107" width="20.140625" style="113" customWidth="1"/>
    <col min="4108" max="4108" width="6.140625" style="113" customWidth="1"/>
    <col min="4109" max="4114" width="11.5703125" style="113" customWidth="1"/>
    <col min="4115" max="4116" width="8.85546875" style="113" customWidth="1"/>
    <col min="4117" max="4122" width="7.85546875" style="113" customWidth="1"/>
    <col min="4123" max="4123" width="10.42578125" style="113" bestFit="1" customWidth="1"/>
    <col min="4124" max="4359" width="9.140625" style="113"/>
    <col min="4360" max="4360" width="3.85546875" style="113" customWidth="1"/>
    <col min="4361" max="4361" width="14.42578125" style="113" customWidth="1"/>
    <col min="4362" max="4362" width="3.85546875" style="113" customWidth="1"/>
    <col min="4363" max="4363" width="20.140625" style="113" customWidth="1"/>
    <col min="4364" max="4364" width="6.140625" style="113" customWidth="1"/>
    <col min="4365" max="4370" width="11.5703125" style="113" customWidth="1"/>
    <col min="4371" max="4372" width="8.85546875" style="113" customWidth="1"/>
    <col min="4373" max="4378" width="7.85546875" style="113" customWidth="1"/>
    <col min="4379" max="4379" width="10.42578125" style="113" bestFit="1" customWidth="1"/>
    <col min="4380" max="4615" width="9.140625" style="113"/>
    <col min="4616" max="4616" width="3.85546875" style="113" customWidth="1"/>
    <col min="4617" max="4617" width="14.42578125" style="113" customWidth="1"/>
    <col min="4618" max="4618" width="3.85546875" style="113" customWidth="1"/>
    <col min="4619" max="4619" width="20.140625" style="113" customWidth="1"/>
    <col min="4620" max="4620" width="6.140625" style="113" customWidth="1"/>
    <col min="4621" max="4626" width="11.5703125" style="113" customWidth="1"/>
    <col min="4627" max="4628" width="8.85546875" style="113" customWidth="1"/>
    <col min="4629" max="4634" width="7.85546875" style="113" customWidth="1"/>
    <col min="4635" max="4635" width="10.42578125" style="113" bestFit="1" customWidth="1"/>
    <col min="4636" max="4871" width="9.140625" style="113"/>
    <col min="4872" max="4872" width="3.85546875" style="113" customWidth="1"/>
    <col min="4873" max="4873" width="14.42578125" style="113" customWidth="1"/>
    <col min="4874" max="4874" width="3.85546875" style="113" customWidth="1"/>
    <col min="4875" max="4875" width="20.140625" style="113" customWidth="1"/>
    <col min="4876" max="4876" width="6.140625" style="113" customWidth="1"/>
    <col min="4877" max="4882" width="11.5703125" style="113" customWidth="1"/>
    <col min="4883" max="4884" width="8.85546875" style="113" customWidth="1"/>
    <col min="4885" max="4890" width="7.85546875" style="113" customWidth="1"/>
    <col min="4891" max="4891" width="10.42578125" style="113" bestFit="1" customWidth="1"/>
    <col min="4892" max="5127" width="9.140625" style="113"/>
    <col min="5128" max="5128" width="3.85546875" style="113" customWidth="1"/>
    <col min="5129" max="5129" width="14.42578125" style="113" customWidth="1"/>
    <col min="5130" max="5130" width="3.85546875" style="113" customWidth="1"/>
    <col min="5131" max="5131" width="20.140625" style="113" customWidth="1"/>
    <col min="5132" max="5132" width="6.140625" style="113" customWidth="1"/>
    <col min="5133" max="5138" width="11.5703125" style="113" customWidth="1"/>
    <col min="5139" max="5140" width="8.85546875" style="113" customWidth="1"/>
    <col min="5141" max="5146" width="7.85546875" style="113" customWidth="1"/>
    <col min="5147" max="5147" width="10.42578125" style="113" bestFit="1" customWidth="1"/>
    <col min="5148" max="5383" width="9.140625" style="113"/>
    <col min="5384" max="5384" width="3.85546875" style="113" customWidth="1"/>
    <col min="5385" max="5385" width="14.42578125" style="113" customWidth="1"/>
    <col min="5386" max="5386" width="3.85546875" style="113" customWidth="1"/>
    <col min="5387" max="5387" width="20.140625" style="113" customWidth="1"/>
    <col min="5388" max="5388" width="6.140625" style="113" customWidth="1"/>
    <col min="5389" max="5394" width="11.5703125" style="113" customWidth="1"/>
    <col min="5395" max="5396" width="8.85546875" style="113" customWidth="1"/>
    <col min="5397" max="5402" width="7.85546875" style="113" customWidth="1"/>
    <col min="5403" max="5403" width="10.42578125" style="113" bestFit="1" customWidth="1"/>
    <col min="5404" max="5639" width="9.140625" style="113"/>
    <col min="5640" max="5640" width="3.85546875" style="113" customWidth="1"/>
    <col min="5641" max="5641" width="14.42578125" style="113" customWidth="1"/>
    <col min="5642" max="5642" width="3.85546875" style="113" customWidth="1"/>
    <col min="5643" max="5643" width="20.140625" style="113" customWidth="1"/>
    <col min="5644" max="5644" width="6.140625" style="113" customWidth="1"/>
    <col min="5645" max="5650" width="11.5703125" style="113" customWidth="1"/>
    <col min="5651" max="5652" width="8.85546875" style="113" customWidth="1"/>
    <col min="5653" max="5658" width="7.85546875" style="113" customWidth="1"/>
    <col min="5659" max="5659" width="10.42578125" style="113" bestFit="1" customWidth="1"/>
    <col min="5660" max="5895" width="9.140625" style="113"/>
    <col min="5896" max="5896" width="3.85546875" style="113" customWidth="1"/>
    <col min="5897" max="5897" width="14.42578125" style="113" customWidth="1"/>
    <col min="5898" max="5898" width="3.85546875" style="113" customWidth="1"/>
    <col min="5899" max="5899" width="20.140625" style="113" customWidth="1"/>
    <col min="5900" max="5900" width="6.140625" style="113" customWidth="1"/>
    <col min="5901" max="5906" width="11.5703125" style="113" customWidth="1"/>
    <col min="5907" max="5908" width="8.85546875" style="113" customWidth="1"/>
    <col min="5909" max="5914" width="7.85546875" style="113" customWidth="1"/>
    <col min="5915" max="5915" width="10.42578125" style="113" bestFit="1" customWidth="1"/>
    <col min="5916" max="6151" width="9.140625" style="113"/>
    <col min="6152" max="6152" width="3.85546875" style="113" customWidth="1"/>
    <col min="6153" max="6153" width="14.42578125" style="113" customWidth="1"/>
    <col min="6154" max="6154" width="3.85546875" style="113" customWidth="1"/>
    <col min="6155" max="6155" width="20.140625" style="113" customWidth="1"/>
    <col min="6156" max="6156" width="6.140625" style="113" customWidth="1"/>
    <col min="6157" max="6162" width="11.5703125" style="113" customWidth="1"/>
    <col min="6163" max="6164" width="8.85546875" style="113" customWidth="1"/>
    <col min="6165" max="6170" width="7.85546875" style="113" customWidth="1"/>
    <col min="6171" max="6171" width="10.42578125" style="113" bestFit="1" customWidth="1"/>
    <col min="6172" max="6407" width="9.140625" style="113"/>
    <col min="6408" max="6408" width="3.85546875" style="113" customWidth="1"/>
    <col min="6409" max="6409" width="14.42578125" style="113" customWidth="1"/>
    <col min="6410" max="6410" width="3.85546875" style="113" customWidth="1"/>
    <col min="6411" max="6411" width="20.140625" style="113" customWidth="1"/>
    <col min="6412" max="6412" width="6.140625" style="113" customWidth="1"/>
    <col min="6413" max="6418" width="11.5703125" style="113" customWidth="1"/>
    <col min="6419" max="6420" width="8.85546875" style="113" customWidth="1"/>
    <col min="6421" max="6426" width="7.85546875" style="113" customWidth="1"/>
    <col min="6427" max="6427" width="10.42578125" style="113" bestFit="1" customWidth="1"/>
    <col min="6428" max="6663" width="9.140625" style="113"/>
    <col min="6664" max="6664" width="3.85546875" style="113" customWidth="1"/>
    <col min="6665" max="6665" width="14.42578125" style="113" customWidth="1"/>
    <col min="6666" max="6666" width="3.85546875" style="113" customWidth="1"/>
    <col min="6667" max="6667" width="20.140625" style="113" customWidth="1"/>
    <col min="6668" max="6668" width="6.140625" style="113" customWidth="1"/>
    <col min="6669" max="6674" width="11.5703125" style="113" customWidth="1"/>
    <col min="6675" max="6676" width="8.85546875" style="113" customWidth="1"/>
    <col min="6677" max="6682" width="7.85546875" style="113" customWidth="1"/>
    <col min="6683" max="6683" width="10.42578125" style="113" bestFit="1" customWidth="1"/>
    <col min="6684" max="6919" width="9.140625" style="113"/>
    <col min="6920" max="6920" width="3.85546875" style="113" customWidth="1"/>
    <col min="6921" max="6921" width="14.42578125" style="113" customWidth="1"/>
    <col min="6922" max="6922" width="3.85546875" style="113" customWidth="1"/>
    <col min="6923" max="6923" width="20.140625" style="113" customWidth="1"/>
    <col min="6924" max="6924" width="6.140625" style="113" customWidth="1"/>
    <col min="6925" max="6930" width="11.5703125" style="113" customWidth="1"/>
    <col min="6931" max="6932" width="8.85546875" style="113" customWidth="1"/>
    <col min="6933" max="6938" width="7.85546875" style="113" customWidth="1"/>
    <col min="6939" max="6939" width="10.42578125" style="113" bestFit="1" customWidth="1"/>
    <col min="6940" max="7175" width="9.140625" style="113"/>
    <col min="7176" max="7176" width="3.85546875" style="113" customWidth="1"/>
    <col min="7177" max="7177" width="14.42578125" style="113" customWidth="1"/>
    <col min="7178" max="7178" width="3.85546875" style="113" customWidth="1"/>
    <col min="7179" max="7179" width="20.140625" style="113" customWidth="1"/>
    <col min="7180" max="7180" width="6.140625" style="113" customWidth="1"/>
    <col min="7181" max="7186" width="11.5703125" style="113" customWidth="1"/>
    <col min="7187" max="7188" width="8.85546875" style="113" customWidth="1"/>
    <col min="7189" max="7194" width="7.85546875" style="113" customWidth="1"/>
    <col min="7195" max="7195" width="10.42578125" style="113" bestFit="1" customWidth="1"/>
    <col min="7196" max="7431" width="9.140625" style="113"/>
    <col min="7432" max="7432" width="3.85546875" style="113" customWidth="1"/>
    <col min="7433" max="7433" width="14.42578125" style="113" customWidth="1"/>
    <col min="7434" max="7434" width="3.85546875" style="113" customWidth="1"/>
    <col min="7435" max="7435" width="20.140625" style="113" customWidth="1"/>
    <col min="7436" max="7436" width="6.140625" style="113" customWidth="1"/>
    <col min="7437" max="7442" width="11.5703125" style="113" customWidth="1"/>
    <col min="7443" max="7444" width="8.85546875" style="113" customWidth="1"/>
    <col min="7445" max="7450" width="7.85546875" style="113" customWidth="1"/>
    <col min="7451" max="7451" width="10.42578125" style="113" bestFit="1" customWidth="1"/>
    <col min="7452" max="7687" width="9.140625" style="113"/>
    <col min="7688" max="7688" width="3.85546875" style="113" customWidth="1"/>
    <col min="7689" max="7689" width="14.42578125" style="113" customWidth="1"/>
    <col min="7690" max="7690" width="3.85546875" style="113" customWidth="1"/>
    <col min="7691" max="7691" width="20.140625" style="113" customWidth="1"/>
    <col min="7692" max="7692" width="6.140625" style="113" customWidth="1"/>
    <col min="7693" max="7698" width="11.5703125" style="113" customWidth="1"/>
    <col min="7699" max="7700" width="8.85546875" style="113" customWidth="1"/>
    <col min="7701" max="7706" width="7.85546875" style="113" customWidth="1"/>
    <col min="7707" max="7707" width="10.42578125" style="113" bestFit="1" customWidth="1"/>
    <col min="7708" max="7943" width="9.140625" style="113"/>
    <col min="7944" max="7944" width="3.85546875" style="113" customWidth="1"/>
    <col min="7945" max="7945" width="14.42578125" style="113" customWidth="1"/>
    <col min="7946" max="7946" width="3.85546875" style="113" customWidth="1"/>
    <col min="7947" max="7947" width="20.140625" style="113" customWidth="1"/>
    <col min="7948" max="7948" width="6.140625" style="113" customWidth="1"/>
    <col min="7949" max="7954" width="11.5703125" style="113" customWidth="1"/>
    <col min="7955" max="7956" width="8.85546875" style="113" customWidth="1"/>
    <col min="7957" max="7962" width="7.85546875" style="113" customWidth="1"/>
    <col min="7963" max="7963" width="10.42578125" style="113" bestFit="1" customWidth="1"/>
    <col min="7964" max="8199" width="9.140625" style="113"/>
    <col min="8200" max="8200" width="3.85546875" style="113" customWidth="1"/>
    <col min="8201" max="8201" width="14.42578125" style="113" customWidth="1"/>
    <col min="8202" max="8202" width="3.85546875" style="113" customWidth="1"/>
    <col min="8203" max="8203" width="20.140625" style="113" customWidth="1"/>
    <col min="8204" max="8204" width="6.140625" style="113" customWidth="1"/>
    <col min="8205" max="8210" width="11.5703125" style="113" customWidth="1"/>
    <col min="8211" max="8212" width="8.85546875" style="113" customWidth="1"/>
    <col min="8213" max="8218" width="7.85546875" style="113" customWidth="1"/>
    <col min="8219" max="8219" width="10.42578125" style="113" bestFit="1" customWidth="1"/>
    <col min="8220" max="8455" width="9.140625" style="113"/>
    <col min="8456" max="8456" width="3.85546875" style="113" customWidth="1"/>
    <col min="8457" max="8457" width="14.42578125" style="113" customWidth="1"/>
    <col min="8458" max="8458" width="3.85546875" style="113" customWidth="1"/>
    <col min="8459" max="8459" width="20.140625" style="113" customWidth="1"/>
    <col min="8460" max="8460" width="6.140625" style="113" customWidth="1"/>
    <col min="8461" max="8466" width="11.5703125" style="113" customWidth="1"/>
    <col min="8467" max="8468" width="8.85546875" style="113" customWidth="1"/>
    <col min="8469" max="8474" width="7.85546875" style="113" customWidth="1"/>
    <col min="8475" max="8475" width="10.42578125" style="113" bestFit="1" customWidth="1"/>
    <col min="8476" max="8711" width="9.140625" style="113"/>
    <col min="8712" max="8712" width="3.85546875" style="113" customWidth="1"/>
    <col min="8713" max="8713" width="14.42578125" style="113" customWidth="1"/>
    <col min="8714" max="8714" width="3.85546875" style="113" customWidth="1"/>
    <col min="8715" max="8715" width="20.140625" style="113" customWidth="1"/>
    <col min="8716" max="8716" width="6.140625" style="113" customWidth="1"/>
    <col min="8717" max="8722" width="11.5703125" style="113" customWidth="1"/>
    <col min="8723" max="8724" width="8.85546875" style="113" customWidth="1"/>
    <col min="8725" max="8730" width="7.85546875" style="113" customWidth="1"/>
    <col min="8731" max="8731" width="10.42578125" style="113" bestFit="1" customWidth="1"/>
    <col min="8732" max="8967" width="9.140625" style="113"/>
    <col min="8968" max="8968" width="3.85546875" style="113" customWidth="1"/>
    <col min="8969" max="8969" width="14.42578125" style="113" customWidth="1"/>
    <col min="8970" max="8970" width="3.85546875" style="113" customWidth="1"/>
    <col min="8971" max="8971" width="20.140625" style="113" customWidth="1"/>
    <col min="8972" max="8972" width="6.140625" style="113" customWidth="1"/>
    <col min="8973" max="8978" width="11.5703125" style="113" customWidth="1"/>
    <col min="8979" max="8980" width="8.85546875" style="113" customWidth="1"/>
    <col min="8981" max="8986" width="7.85546875" style="113" customWidth="1"/>
    <col min="8987" max="8987" width="10.42578125" style="113" bestFit="1" customWidth="1"/>
    <col min="8988" max="9223" width="9.140625" style="113"/>
    <col min="9224" max="9224" width="3.85546875" style="113" customWidth="1"/>
    <col min="9225" max="9225" width="14.42578125" style="113" customWidth="1"/>
    <col min="9226" max="9226" width="3.85546875" style="113" customWidth="1"/>
    <col min="9227" max="9227" width="20.140625" style="113" customWidth="1"/>
    <col min="9228" max="9228" width="6.140625" style="113" customWidth="1"/>
    <col min="9229" max="9234" width="11.5703125" style="113" customWidth="1"/>
    <col min="9235" max="9236" width="8.85546875" style="113" customWidth="1"/>
    <col min="9237" max="9242" width="7.85546875" style="113" customWidth="1"/>
    <col min="9243" max="9243" width="10.42578125" style="113" bestFit="1" customWidth="1"/>
    <col min="9244" max="9479" width="9.140625" style="113"/>
    <col min="9480" max="9480" width="3.85546875" style="113" customWidth="1"/>
    <col min="9481" max="9481" width="14.42578125" style="113" customWidth="1"/>
    <col min="9482" max="9482" width="3.85546875" style="113" customWidth="1"/>
    <col min="9483" max="9483" width="20.140625" style="113" customWidth="1"/>
    <col min="9484" max="9484" width="6.140625" style="113" customWidth="1"/>
    <col min="9485" max="9490" width="11.5703125" style="113" customWidth="1"/>
    <col min="9491" max="9492" width="8.85546875" style="113" customWidth="1"/>
    <col min="9493" max="9498" width="7.85546875" style="113" customWidth="1"/>
    <col min="9499" max="9499" width="10.42578125" style="113" bestFit="1" customWidth="1"/>
    <col min="9500" max="9735" width="9.140625" style="113"/>
    <col min="9736" max="9736" width="3.85546875" style="113" customWidth="1"/>
    <col min="9737" max="9737" width="14.42578125" style="113" customWidth="1"/>
    <col min="9738" max="9738" width="3.85546875" style="113" customWidth="1"/>
    <col min="9739" max="9739" width="20.140625" style="113" customWidth="1"/>
    <col min="9740" max="9740" width="6.140625" style="113" customWidth="1"/>
    <col min="9741" max="9746" width="11.5703125" style="113" customWidth="1"/>
    <col min="9747" max="9748" width="8.85546875" style="113" customWidth="1"/>
    <col min="9749" max="9754" width="7.85546875" style="113" customWidth="1"/>
    <col min="9755" max="9755" width="10.42578125" style="113" bestFit="1" customWidth="1"/>
    <col min="9756" max="9991" width="9.140625" style="113"/>
    <col min="9992" max="9992" width="3.85546875" style="113" customWidth="1"/>
    <col min="9993" max="9993" width="14.42578125" style="113" customWidth="1"/>
    <col min="9994" max="9994" width="3.85546875" style="113" customWidth="1"/>
    <col min="9995" max="9995" width="20.140625" style="113" customWidth="1"/>
    <col min="9996" max="9996" width="6.140625" style="113" customWidth="1"/>
    <col min="9997" max="10002" width="11.5703125" style="113" customWidth="1"/>
    <col min="10003" max="10004" width="8.85546875" style="113" customWidth="1"/>
    <col min="10005" max="10010" width="7.85546875" style="113" customWidth="1"/>
    <col min="10011" max="10011" width="10.42578125" style="113" bestFit="1" customWidth="1"/>
    <col min="10012" max="10247" width="9.140625" style="113"/>
    <col min="10248" max="10248" width="3.85546875" style="113" customWidth="1"/>
    <col min="10249" max="10249" width="14.42578125" style="113" customWidth="1"/>
    <col min="10250" max="10250" width="3.85546875" style="113" customWidth="1"/>
    <col min="10251" max="10251" width="20.140625" style="113" customWidth="1"/>
    <col min="10252" max="10252" width="6.140625" style="113" customWidth="1"/>
    <col min="10253" max="10258" width="11.5703125" style="113" customWidth="1"/>
    <col min="10259" max="10260" width="8.85546875" style="113" customWidth="1"/>
    <col min="10261" max="10266" width="7.85546875" style="113" customWidth="1"/>
    <col min="10267" max="10267" width="10.42578125" style="113" bestFit="1" customWidth="1"/>
    <col min="10268" max="10503" width="9.140625" style="113"/>
    <col min="10504" max="10504" width="3.85546875" style="113" customWidth="1"/>
    <col min="10505" max="10505" width="14.42578125" style="113" customWidth="1"/>
    <col min="10506" max="10506" width="3.85546875" style="113" customWidth="1"/>
    <col min="10507" max="10507" width="20.140625" style="113" customWidth="1"/>
    <col min="10508" max="10508" width="6.140625" style="113" customWidth="1"/>
    <col min="10509" max="10514" width="11.5703125" style="113" customWidth="1"/>
    <col min="10515" max="10516" width="8.85546875" style="113" customWidth="1"/>
    <col min="10517" max="10522" width="7.85546875" style="113" customWidth="1"/>
    <col min="10523" max="10523" width="10.42578125" style="113" bestFit="1" customWidth="1"/>
    <col min="10524" max="10759" width="9.140625" style="113"/>
    <col min="10760" max="10760" width="3.85546875" style="113" customWidth="1"/>
    <col min="10761" max="10761" width="14.42578125" style="113" customWidth="1"/>
    <col min="10762" max="10762" width="3.85546875" style="113" customWidth="1"/>
    <col min="10763" max="10763" width="20.140625" style="113" customWidth="1"/>
    <col min="10764" max="10764" width="6.140625" style="113" customWidth="1"/>
    <col min="10765" max="10770" width="11.5703125" style="113" customWidth="1"/>
    <col min="10771" max="10772" width="8.85546875" style="113" customWidth="1"/>
    <col min="10773" max="10778" width="7.85546875" style="113" customWidth="1"/>
    <col min="10779" max="10779" width="10.42578125" style="113" bestFit="1" customWidth="1"/>
    <col min="10780" max="11015" width="9.140625" style="113"/>
    <col min="11016" max="11016" width="3.85546875" style="113" customWidth="1"/>
    <col min="11017" max="11017" width="14.42578125" style="113" customWidth="1"/>
    <col min="11018" max="11018" width="3.85546875" style="113" customWidth="1"/>
    <col min="11019" max="11019" width="20.140625" style="113" customWidth="1"/>
    <col min="11020" max="11020" width="6.140625" style="113" customWidth="1"/>
    <col min="11021" max="11026" width="11.5703125" style="113" customWidth="1"/>
    <col min="11027" max="11028" width="8.85546875" style="113" customWidth="1"/>
    <col min="11029" max="11034" width="7.85546875" style="113" customWidth="1"/>
    <col min="11035" max="11035" width="10.42578125" style="113" bestFit="1" customWidth="1"/>
    <col min="11036" max="11271" width="9.140625" style="113"/>
    <col min="11272" max="11272" width="3.85546875" style="113" customWidth="1"/>
    <col min="11273" max="11273" width="14.42578125" style="113" customWidth="1"/>
    <col min="11274" max="11274" width="3.85546875" style="113" customWidth="1"/>
    <col min="11275" max="11275" width="20.140625" style="113" customWidth="1"/>
    <col min="11276" max="11276" width="6.140625" style="113" customWidth="1"/>
    <col min="11277" max="11282" width="11.5703125" style="113" customWidth="1"/>
    <col min="11283" max="11284" width="8.85546875" style="113" customWidth="1"/>
    <col min="11285" max="11290" width="7.85546875" style="113" customWidth="1"/>
    <col min="11291" max="11291" width="10.42578125" style="113" bestFit="1" customWidth="1"/>
    <col min="11292" max="11527" width="9.140625" style="113"/>
    <col min="11528" max="11528" width="3.85546875" style="113" customWidth="1"/>
    <col min="11529" max="11529" width="14.42578125" style="113" customWidth="1"/>
    <col min="11530" max="11530" width="3.85546875" style="113" customWidth="1"/>
    <col min="11531" max="11531" width="20.140625" style="113" customWidth="1"/>
    <col min="11532" max="11532" width="6.140625" style="113" customWidth="1"/>
    <col min="11533" max="11538" width="11.5703125" style="113" customWidth="1"/>
    <col min="11539" max="11540" width="8.85546875" style="113" customWidth="1"/>
    <col min="11541" max="11546" width="7.85546875" style="113" customWidth="1"/>
    <col min="11547" max="11547" width="10.42578125" style="113" bestFit="1" customWidth="1"/>
    <col min="11548" max="11783" width="9.140625" style="113"/>
    <col min="11784" max="11784" width="3.85546875" style="113" customWidth="1"/>
    <col min="11785" max="11785" width="14.42578125" style="113" customWidth="1"/>
    <col min="11786" max="11786" width="3.85546875" style="113" customWidth="1"/>
    <col min="11787" max="11787" width="20.140625" style="113" customWidth="1"/>
    <col min="11788" max="11788" width="6.140625" style="113" customWidth="1"/>
    <col min="11789" max="11794" width="11.5703125" style="113" customWidth="1"/>
    <col min="11795" max="11796" width="8.85546875" style="113" customWidth="1"/>
    <col min="11797" max="11802" width="7.85546875" style="113" customWidth="1"/>
    <col min="11803" max="11803" width="10.42578125" style="113" bestFit="1" customWidth="1"/>
    <col min="11804" max="12039" width="9.140625" style="113"/>
    <col min="12040" max="12040" width="3.85546875" style="113" customWidth="1"/>
    <col min="12041" max="12041" width="14.42578125" style="113" customWidth="1"/>
    <col min="12042" max="12042" width="3.85546875" style="113" customWidth="1"/>
    <col min="12043" max="12043" width="20.140625" style="113" customWidth="1"/>
    <col min="12044" max="12044" width="6.140625" style="113" customWidth="1"/>
    <col min="12045" max="12050" width="11.5703125" style="113" customWidth="1"/>
    <col min="12051" max="12052" width="8.85546875" style="113" customWidth="1"/>
    <col min="12053" max="12058" width="7.85546875" style="113" customWidth="1"/>
    <col min="12059" max="12059" width="10.42578125" style="113" bestFit="1" customWidth="1"/>
    <col min="12060" max="12295" width="9.140625" style="113"/>
    <col min="12296" max="12296" width="3.85546875" style="113" customWidth="1"/>
    <col min="12297" max="12297" width="14.42578125" style="113" customWidth="1"/>
    <col min="12298" max="12298" width="3.85546875" style="113" customWidth="1"/>
    <col min="12299" max="12299" width="20.140625" style="113" customWidth="1"/>
    <col min="12300" max="12300" width="6.140625" style="113" customWidth="1"/>
    <col min="12301" max="12306" width="11.5703125" style="113" customWidth="1"/>
    <col min="12307" max="12308" width="8.85546875" style="113" customWidth="1"/>
    <col min="12309" max="12314" width="7.85546875" style="113" customWidth="1"/>
    <col min="12315" max="12315" width="10.42578125" style="113" bestFit="1" customWidth="1"/>
    <col min="12316" max="12551" width="9.140625" style="113"/>
    <col min="12552" max="12552" width="3.85546875" style="113" customWidth="1"/>
    <col min="12553" max="12553" width="14.42578125" style="113" customWidth="1"/>
    <col min="12554" max="12554" width="3.85546875" style="113" customWidth="1"/>
    <col min="12555" max="12555" width="20.140625" style="113" customWidth="1"/>
    <col min="12556" max="12556" width="6.140625" style="113" customWidth="1"/>
    <col min="12557" max="12562" width="11.5703125" style="113" customWidth="1"/>
    <col min="12563" max="12564" width="8.85546875" style="113" customWidth="1"/>
    <col min="12565" max="12570" width="7.85546875" style="113" customWidth="1"/>
    <col min="12571" max="12571" width="10.42578125" style="113" bestFit="1" customWidth="1"/>
    <col min="12572" max="12807" width="9.140625" style="113"/>
    <col min="12808" max="12808" width="3.85546875" style="113" customWidth="1"/>
    <col min="12809" max="12809" width="14.42578125" style="113" customWidth="1"/>
    <col min="12810" max="12810" width="3.85546875" style="113" customWidth="1"/>
    <col min="12811" max="12811" width="20.140625" style="113" customWidth="1"/>
    <col min="12812" max="12812" width="6.140625" style="113" customWidth="1"/>
    <col min="12813" max="12818" width="11.5703125" style="113" customWidth="1"/>
    <col min="12819" max="12820" width="8.85546875" style="113" customWidth="1"/>
    <col min="12821" max="12826" width="7.85546875" style="113" customWidth="1"/>
    <col min="12827" max="12827" width="10.42578125" style="113" bestFit="1" customWidth="1"/>
    <col min="12828" max="13063" width="9.140625" style="113"/>
    <col min="13064" max="13064" width="3.85546875" style="113" customWidth="1"/>
    <col min="13065" max="13065" width="14.42578125" style="113" customWidth="1"/>
    <col min="13066" max="13066" width="3.85546875" style="113" customWidth="1"/>
    <col min="13067" max="13067" width="20.140625" style="113" customWidth="1"/>
    <col min="13068" max="13068" width="6.140625" style="113" customWidth="1"/>
    <col min="13069" max="13074" width="11.5703125" style="113" customWidth="1"/>
    <col min="13075" max="13076" width="8.85546875" style="113" customWidth="1"/>
    <col min="13077" max="13082" width="7.85546875" style="113" customWidth="1"/>
    <col min="13083" max="13083" width="10.42578125" style="113" bestFit="1" customWidth="1"/>
    <col min="13084" max="13319" width="9.140625" style="113"/>
    <col min="13320" max="13320" width="3.85546875" style="113" customWidth="1"/>
    <col min="13321" max="13321" width="14.42578125" style="113" customWidth="1"/>
    <col min="13322" max="13322" width="3.85546875" style="113" customWidth="1"/>
    <col min="13323" max="13323" width="20.140625" style="113" customWidth="1"/>
    <col min="13324" max="13324" width="6.140625" style="113" customWidth="1"/>
    <col min="13325" max="13330" width="11.5703125" style="113" customWidth="1"/>
    <col min="13331" max="13332" width="8.85546875" style="113" customWidth="1"/>
    <col min="13333" max="13338" width="7.85546875" style="113" customWidth="1"/>
    <col min="13339" max="13339" width="10.42578125" style="113" bestFit="1" customWidth="1"/>
    <col min="13340" max="13575" width="9.140625" style="113"/>
    <col min="13576" max="13576" width="3.85546875" style="113" customWidth="1"/>
    <col min="13577" max="13577" width="14.42578125" style="113" customWidth="1"/>
    <col min="13578" max="13578" width="3.85546875" style="113" customWidth="1"/>
    <col min="13579" max="13579" width="20.140625" style="113" customWidth="1"/>
    <col min="13580" max="13580" width="6.140625" style="113" customWidth="1"/>
    <col min="13581" max="13586" width="11.5703125" style="113" customWidth="1"/>
    <col min="13587" max="13588" width="8.85546875" style="113" customWidth="1"/>
    <col min="13589" max="13594" width="7.85546875" style="113" customWidth="1"/>
    <col min="13595" max="13595" width="10.42578125" style="113" bestFit="1" customWidth="1"/>
    <col min="13596" max="13831" width="9.140625" style="113"/>
    <col min="13832" max="13832" width="3.85546875" style="113" customWidth="1"/>
    <col min="13833" max="13833" width="14.42578125" style="113" customWidth="1"/>
    <col min="13834" max="13834" width="3.85546875" style="113" customWidth="1"/>
    <col min="13835" max="13835" width="20.140625" style="113" customWidth="1"/>
    <col min="13836" max="13836" width="6.140625" style="113" customWidth="1"/>
    <col min="13837" max="13842" width="11.5703125" style="113" customWidth="1"/>
    <col min="13843" max="13844" width="8.85546875" style="113" customWidth="1"/>
    <col min="13845" max="13850" width="7.85546875" style="113" customWidth="1"/>
    <col min="13851" max="13851" width="10.42578125" style="113" bestFit="1" customWidth="1"/>
    <col min="13852" max="14087" width="9.140625" style="113"/>
    <col min="14088" max="14088" width="3.85546875" style="113" customWidth="1"/>
    <col min="14089" max="14089" width="14.42578125" style="113" customWidth="1"/>
    <col min="14090" max="14090" width="3.85546875" style="113" customWidth="1"/>
    <col min="14091" max="14091" width="20.140625" style="113" customWidth="1"/>
    <col min="14092" max="14092" width="6.140625" style="113" customWidth="1"/>
    <col min="14093" max="14098" width="11.5703125" style="113" customWidth="1"/>
    <col min="14099" max="14100" width="8.85546875" style="113" customWidth="1"/>
    <col min="14101" max="14106" width="7.85546875" style="113" customWidth="1"/>
    <col min="14107" max="14107" width="10.42578125" style="113" bestFit="1" customWidth="1"/>
    <col min="14108" max="14343" width="9.140625" style="113"/>
    <col min="14344" max="14344" width="3.85546875" style="113" customWidth="1"/>
    <col min="14345" max="14345" width="14.42578125" style="113" customWidth="1"/>
    <col min="14346" max="14346" width="3.85546875" style="113" customWidth="1"/>
    <col min="14347" max="14347" width="20.140625" style="113" customWidth="1"/>
    <col min="14348" max="14348" width="6.140625" style="113" customWidth="1"/>
    <col min="14349" max="14354" width="11.5703125" style="113" customWidth="1"/>
    <col min="14355" max="14356" width="8.85546875" style="113" customWidth="1"/>
    <col min="14357" max="14362" width="7.85546875" style="113" customWidth="1"/>
    <col min="14363" max="14363" width="10.42578125" style="113" bestFit="1" customWidth="1"/>
    <col min="14364" max="14599" width="9.140625" style="113"/>
    <col min="14600" max="14600" width="3.85546875" style="113" customWidth="1"/>
    <col min="14601" max="14601" width="14.42578125" style="113" customWidth="1"/>
    <col min="14602" max="14602" width="3.85546875" style="113" customWidth="1"/>
    <col min="14603" max="14603" width="20.140625" style="113" customWidth="1"/>
    <col min="14604" max="14604" width="6.140625" style="113" customWidth="1"/>
    <col min="14605" max="14610" width="11.5703125" style="113" customWidth="1"/>
    <col min="14611" max="14612" width="8.85546875" style="113" customWidth="1"/>
    <col min="14613" max="14618" width="7.85546875" style="113" customWidth="1"/>
    <col min="14619" max="14619" width="10.42578125" style="113" bestFit="1" customWidth="1"/>
    <col min="14620" max="14855" width="9.140625" style="113"/>
    <col min="14856" max="14856" width="3.85546875" style="113" customWidth="1"/>
    <col min="14857" max="14857" width="14.42578125" style="113" customWidth="1"/>
    <col min="14858" max="14858" width="3.85546875" style="113" customWidth="1"/>
    <col min="14859" max="14859" width="20.140625" style="113" customWidth="1"/>
    <col min="14860" max="14860" width="6.140625" style="113" customWidth="1"/>
    <col min="14861" max="14866" width="11.5703125" style="113" customWidth="1"/>
    <col min="14867" max="14868" width="8.85546875" style="113" customWidth="1"/>
    <col min="14869" max="14874" width="7.85546875" style="113" customWidth="1"/>
    <col min="14875" max="14875" width="10.42578125" style="113" bestFit="1" customWidth="1"/>
    <col min="14876" max="15111" width="9.140625" style="113"/>
    <col min="15112" max="15112" width="3.85546875" style="113" customWidth="1"/>
    <col min="15113" max="15113" width="14.42578125" style="113" customWidth="1"/>
    <col min="15114" max="15114" width="3.85546875" style="113" customWidth="1"/>
    <col min="15115" max="15115" width="20.140625" style="113" customWidth="1"/>
    <col min="15116" max="15116" width="6.140625" style="113" customWidth="1"/>
    <col min="15117" max="15122" width="11.5703125" style="113" customWidth="1"/>
    <col min="15123" max="15124" width="8.85546875" style="113" customWidth="1"/>
    <col min="15125" max="15130" width="7.85546875" style="113" customWidth="1"/>
    <col min="15131" max="15131" width="10.42578125" style="113" bestFit="1" customWidth="1"/>
    <col min="15132" max="15367" width="9.140625" style="113"/>
    <col min="15368" max="15368" width="3.85546875" style="113" customWidth="1"/>
    <col min="15369" max="15369" width="14.42578125" style="113" customWidth="1"/>
    <col min="15370" max="15370" width="3.85546875" style="113" customWidth="1"/>
    <col min="15371" max="15371" width="20.140625" style="113" customWidth="1"/>
    <col min="15372" max="15372" width="6.140625" style="113" customWidth="1"/>
    <col min="15373" max="15378" width="11.5703125" style="113" customWidth="1"/>
    <col min="15379" max="15380" width="8.85546875" style="113" customWidth="1"/>
    <col min="15381" max="15386" width="7.85546875" style="113" customWidth="1"/>
    <col min="15387" max="15387" width="10.42578125" style="113" bestFit="1" customWidth="1"/>
    <col min="15388" max="15623" width="9.140625" style="113"/>
    <col min="15624" max="15624" width="3.85546875" style="113" customWidth="1"/>
    <col min="15625" max="15625" width="14.42578125" style="113" customWidth="1"/>
    <col min="15626" max="15626" width="3.85546875" style="113" customWidth="1"/>
    <col min="15627" max="15627" width="20.140625" style="113" customWidth="1"/>
    <col min="15628" max="15628" width="6.140625" style="113" customWidth="1"/>
    <col min="15629" max="15634" width="11.5703125" style="113" customWidth="1"/>
    <col min="15635" max="15636" width="8.85546875" style="113" customWidth="1"/>
    <col min="15637" max="15642" width="7.85546875" style="113" customWidth="1"/>
    <col min="15643" max="15643" width="10.42578125" style="113" bestFit="1" customWidth="1"/>
    <col min="15644" max="15879" width="9.140625" style="113"/>
    <col min="15880" max="15880" width="3.85546875" style="113" customWidth="1"/>
    <col min="15881" max="15881" width="14.42578125" style="113" customWidth="1"/>
    <col min="15882" max="15882" width="3.85546875" style="113" customWidth="1"/>
    <col min="15883" max="15883" width="20.140625" style="113" customWidth="1"/>
    <col min="15884" max="15884" width="6.140625" style="113" customWidth="1"/>
    <col min="15885" max="15890" width="11.5703125" style="113" customWidth="1"/>
    <col min="15891" max="15892" width="8.85546875" style="113" customWidth="1"/>
    <col min="15893" max="15898" width="7.85546875" style="113" customWidth="1"/>
    <col min="15899" max="15899" width="10.42578125" style="113" bestFit="1" customWidth="1"/>
    <col min="15900" max="16135" width="9.140625" style="113"/>
    <col min="16136" max="16136" width="3.85546875" style="113" customWidth="1"/>
    <col min="16137" max="16137" width="14.42578125" style="113" customWidth="1"/>
    <col min="16138" max="16138" width="3.85546875" style="113" customWidth="1"/>
    <col min="16139" max="16139" width="20.140625" style="113" customWidth="1"/>
    <col min="16140" max="16140" width="6.140625" style="113" customWidth="1"/>
    <col min="16141" max="16146" width="11.5703125" style="113" customWidth="1"/>
    <col min="16147" max="16148" width="8.85546875" style="113" customWidth="1"/>
    <col min="16149" max="16154" width="7.85546875" style="113" customWidth="1"/>
    <col min="16155" max="16155" width="10.42578125" style="113" bestFit="1" customWidth="1"/>
    <col min="16156" max="16384" width="9.140625" style="113"/>
  </cols>
  <sheetData>
    <row r="1" spans="1:30" x14ac:dyDescent="0.25">
      <c r="A1" s="509"/>
      <c r="B1" s="1119"/>
      <c r="C1" s="1119"/>
      <c r="D1" s="1137"/>
      <c r="E1" s="1647"/>
      <c r="F1" s="1137"/>
      <c r="G1" s="1137"/>
      <c r="H1" s="1137"/>
      <c r="I1" s="1137"/>
      <c r="J1" s="1137"/>
      <c r="K1" s="1137"/>
      <c r="L1" s="1137"/>
      <c r="M1" s="1137"/>
      <c r="N1" s="1137"/>
      <c r="O1" s="1137"/>
      <c r="P1" s="1137"/>
      <c r="Q1" s="1137"/>
      <c r="R1" s="1137"/>
      <c r="S1" s="1137"/>
      <c r="T1" s="1137"/>
      <c r="U1" s="1137"/>
      <c r="V1" s="1137"/>
      <c r="W1" s="1137"/>
      <c r="X1" s="1137"/>
      <c r="Y1" s="1137"/>
      <c r="Z1" s="1137"/>
      <c r="AA1" s="1137"/>
    </row>
    <row r="2" spans="1:30" ht="14.45" customHeight="1" x14ac:dyDescent="0.25">
      <c r="A2" s="509">
        <v>1</v>
      </c>
      <c r="B2" s="509" t="s">
        <v>0</v>
      </c>
      <c r="C2" s="509">
        <v>53</v>
      </c>
      <c r="D2" s="4914" t="s">
        <v>1409</v>
      </c>
      <c r="E2" s="4915"/>
      <c r="F2" s="4915"/>
      <c r="G2" s="4915"/>
      <c r="H2" s="4915"/>
      <c r="I2" s="4915"/>
      <c r="J2" s="4915"/>
      <c r="K2" s="4915"/>
      <c r="L2" s="4915"/>
      <c r="M2" s="4915"/>
      <c r="N2" s="4915"/>
      <c r="O2" s="4915"/>
      <c r="P2" s="4915"/>
      <c r="Q2" s="4915"/>
      <c r="R2" s="4915"/>
      <c r="S2" s="4915"/>
      <c r="T2" s="4915"/>
      <c r="U2" s="4915"/>
      <c r="V2" s="4916"/>
      <c r="W2" s="88"/>
      <c r="X2" s="88"/>
      <c r="Y2" s="88"/>
      <c r="Z2" s="88"/>
      <c r="AA2" s="88"/>
    </row>
    <row r="3" spans="1:30" x14ac:dyDescent="0.25">
      <c r="A3" s="509">
        <v>2</v>
      </c>
      <c r="B3" s="509" t="s">
        <v>2</v>
      </c>
      <c r="C3" s="509"/>
      <c r="D3" s="4914" t="s">
        <v>1231</v>
      </c>
      <c r="E3" s="4915"/>
      <c r="F3" s="4915"/>
      <c r="G3" s="4915"/>
      <c r="H3" s="4915"/>
      <c r="I3" s="4915"/>
      <c r="J3" s="4915"/>
      <c r="K3" s="4915"/>
      <c r="L3" s="4915"/>
      <c r="M3" s="4915"/>
      <c r="N3" s="4915"/>
      <c r="O3" s="4915"/>
      <c r="P3" s="4915"/>
      <c r="Q3" s="4915"/>
      <c r="R3" s="4915"/>
      <c r="S3" s="4915"/>
      <c r="T3" s="4915"/>
      <c r="U3" s="4915"/>
      <c r="V3" s="4916"/>
      <c r="W3" s="88"/>
      <c r="X3" s="88"/>
      <c r="Y3" s="88"/>
      <c r="Z3" s="88"/>
      <c r="AA3" s="88"/>
    </row>
    <row r="4" spans="1:30" ht="12.75" customHeight="1" x14ac:dyDescent="0.25">
      <c r="A4" s="509">
        <v>3</v>
      </c>
      <c r="B4" s="509" t="s">
        <v>4</v>
      </c>
      <c r="C4" s="509"/>
      <c r="D4" s="4914" t="s">
        <v>1410</v>
      </c>
      <c r="E4" s="4915"/>
      <c r="F4" s="4915"/>
      <c r="G4" s="4915"/>
      <c r="H4" s="4915"/>
      <c r="I4" s="4915"/>
      <c r="J4" s="4915"/>
      <c r="K4" s="4915"/>
      <c r="L4" s="4915"/>
      <c r="M4" s="4915"/>
      <c r="N4" s="4915"/>
      <c r="O4" s="4915"/>
      <c r="P4" s="4915"/>
      <c r="Q4" s="4915"/>
      <c r="R4" s="4915"/>
      <c r="S4" s="4915"/>
      <c r="T4" s="4915"/>
      <c r="U4" s="4915"/>
      <c r="V4" s="4916"/>
      <c r="W4" s="88"/>
      <c r="X4" s="88"/>
      <c r="Y4" s="88"/>
      <c r="Z4" s="88"/>
      <c r="AA4" s="88"/>
      <c r="AB4" s="3742"/>
      <c r="AC4" s="3742"/>
      <c r="AD4" s="3743"/>
    </row>
    <row r="5" spans="1:30" x14ac:dyDescent="0.25">
      <c r="B5" s="509"/>
      <c r="C5" s="509"/>
      <c r="E5" s="113"/>
      <c r="W5" s="88"/>
      <c r="X5" s="88"/>
      <c r="Y5" s="88"/>
      <c r="Z5" s="88"/>
      <c r="AA5" s="88"/>
    </row>
    <row r="6" spans="1:30" x14ac:dyDescent="0.25">
      <c r="A6" s="509">
        <v>4</v>
      </c>
      <c r="B6" s="509" t="s">
        <v>6</v>
      </c>
      <c r="C6" s="1119"/>
      <c r="D6" s="72" t="s">
        <v>7</v>
      </c>
      <c r="E6" s="1648" t="s">
        <v>1411</v>
      </c>
      <c r="F6" s="72"/>
      <c r="G6" s="72"/>
      <c r="H6" s="72"/>
      <c r="I6" s="72"/>
      <c r="J6" s="71"/>
      <c r="K6" s="71"/>
      <c r="L6" s="88"/>
      <c r="M6" s="88"/>
      <c r="N6" s="88"/>
      <c r="O6" s="88"/>
      <c r="P6" s="88"/>
      <c r="Q6" s="88"/>
      <c r="R6" s="88"/>
      <c r="S6" s="88"/>
      <c r="T6" s="88"/>
      <c r="U6" s="88"/>
      <c r="V6" s="88"/>
      <c r="W6" s="88"/>
      <c r="X6" s="88"/>
      <c r="Y6" s="88"/>
      <c r="Z6" s="88"/>
      <c r="AA6" s="88"/>
    </row>
    <row r="7" spans="1:30" x14ac:dyDescent="0.25">
      <c r="A7" s="509"/>
      <c r="B7" s="1119"/>
      <c r="C7" s="1119"/>
      <c r="D7" s="2945"/>
      <c r="E7" s="4917" t="s">
        <v>1412</v>
      </c>
      <c r="F7" s="4918"/>
      <c r="G7" s="4918"/>
      <c r="H7" s="4918"/>
      <c r="I7" s="4919"/>
      <c r="J7" s="4920" t="s">
        <v>1413</v>
      </c>
      <c r="K7" s="4921"/>
      <c r="L7" s="4921"/>
      <c r="M7" s="4921"/>
      <c r="N7" s="4921"/>
      <c r="O7" s="4922"/>
      <c r="P7" s="88"/>
      <c r="Q7" s="88"/>
      <c r="R7" s="88"/>
      <c r="S7" s="88"/>
      <c r="T7" s="88"/>
      <c r="U7" s="88"/>
      <c r="V7" s="88"/>
      <c r="W7" s="88"/>
    </row>
    <row r="8" spans="1:30" x14ac:dyDescent="0.25">
      <c r="A8" s="509"/>
      <c r="B8" s="1119"/>
      <c r="C8" s="1119"/>
      <c r="D8" s="71" t="s">
        <v>1414</v>
      </c>
      <c r="E8" s="3744">
        <v>1999</v>
      </c>
      <c r="F8" s="3744">
        <v>2002</v>
      </c>
      <c r="G8" s="3744">
        <v>2011</v>
      </c>
      <c r="H8" s="3744">
        <v>2015</v>
      </c>
      <c r="I8" s="3744">
        <v>2019</v>
      </c>
      <c r="J8" s="3744">
        <v>1999</v>
      </c>
      <c r="K8" s="3744">
        <v>2002</v>
      </c>
      <c r="L8" s="3744">
        <v>2011</v>
      </c>
      <c r="M8" s="3745">
        <v>3372</v>
      </c>
      <c r="N8" s="3746">
        <v>2015</v>
      </c>
      <c r="O8" s="3746"/>
      <c r="P8" s="88"/>
      <c r="Q8" s="88"/>
      <c r="R8" s="88"/>
      <c r="S8" s="88"/>
      <c r="T8" s="88"/>
      <c r="U8" s="88"/>
      <c r="V8" s="88"/>
      <c r="W8" s="88"/>
      <c r="X8" s="1137"/>
    </row>
    <row r="9" spans="1:30" s="38" customFormat="1" ht="12.75" x14ac:dyDescent="0.2">
      <c r="A9" s="509"/>
      <c r="B9" s="309"/>
      <c r="C9" s="309"/>
      <c r="D9" s="88" t="s">
        <v>130</v>
      </c>
      <c r="E9" s="1556" t="s">
        <v>1415</v>
      </c>
      <c r="F9" s="1373" t="s">
        <v>1416</v>
      </c>
      <c r="G9" s="1373" t="s">
        <v>1417</v>
      </c>
      <c r="H9" s="1373"/>
      <c r="I9" s="1373"/>
      <c r="J9" s="1556" t="s">
        <v>1418</v>
      </c>
      <c r="K9" s="1556" t="s">
        <v>1419</v>
      </c>
      <c r="L9" s="1373" t="s">
        <v>1420</v>
      </c>
      <c r="M9" s="1649"/>
      <c r="N9" s="2762"/>
      <c r="O9" s="1650"/>
      <c r="P9" s="88"/>
      <c r="Q9" s="88"/>
      <c r="R9" s="88"/>
      <c r="S9" s="510"/>
      <c r="T9" s="1162"/>
      <c r="U9" s="192"/>
      <c r="V9" s="192"/>
      <c r="W9" s="192"/>
      <c r="X9" s="510"/>
    </row>
    <row r="10" spans="1:30" s="38" customFormat="1" ht="12.75" x14ac:dyDescent="0.2">
      <c r="A10" s="509"/>
      <c r="B10" s="309"/>
      <c r="C10" s="309"/>
      <c r="D10" s="10" t="s">
        <v>191</v>
      </c>
      <c r="E10" s="1651" t="s">
        <v>1421</v>
      </c>
      <c r="F10" s="1373" t="s">
        <v>1422</v>
      </c>
      <c r="G10" s="1373" t="s">
        <v>1423</v>
      </c>
      <c r="H10" s="1373"/>
      <c r="I10" s="1373"/>
      <c r="J10" s="1651" t="s">
        <v>1424</v>
      </c>
      <c r="K10" s="1556" t="s">
        <v>1425</v>
      </c>
      <c r="L10" s="1556" t="s">
        <v>1426</v>
      </c>
      <c r="M10" s="1556">
        <v>9191</v>
      </c>
      <c r="N10" s="2762"/>
      <c r="O10" s="1650"/>
      <c r="P10" s="88"/>
      <c r="Q10" s="88"/>
      <c r="R10" s="88"/>
      <c r="S10" s="510"/>
      <c r="T10" s="192"/>
      <c r="U10" s="192"/>
      <c r="V10" s="192"/>
      <c r="W10" s="192"/>
      <c r="X10" s="88"/>
    </row>
    <row r="11" spans="1:30" s="38" customFormat="1" ht="12.75" x14ac:dyDescent="0.2">
      <c r="A11" s="509"/>
      <c r="B11" s="309"/>
      <c r="C11" s="309"/>
      <c r="D11" s="88" t="s">
        <v>123</v>
      </c>
      <c r="E11" s="1373" t="s">
        <v>1427</v>
      </c>
      <c r="F11" s="1373" t="s">
        <v>1428</v>
      </c>
      <c r="G11" s="1373" t="s">
        <v>1429</v>
      </c>
      <c r="H11" s="1373" t="s">
        <v>1430</v>
      </c>
      <c r="I11" s="1373"/>
      <c r="J11" s="1373" t="s">
        <v>1431</v>
      </c>
      <c r="K11" s="1556" t="s">
        <v>1432</v>
      </c>
      <c r="L11" s="1556" t="s">
        <v>1433</v>
      </c>
      <c r="M11" s="1652"/>
      <c r="N11" s="1653" t="s">
        <v>1434</v>
      </c>
      <c r="O11" s="1650"/>
      <c r="P11" s="88"/>
      <c r="Q11" s="88"/>
      <c r="R11" s="88"/>
      <c r="S11" s="510"/>
      <c r="T11" s="192"/>
      <c r="U11" s="192"/>
      <c r="V11" s="192"/>
      <c r="W11" s="192"/>
      <c r="X11" s="88"/>
    </row>
    <row r="12" spans="1:30" s="38" customFormat="1" ht="12.75" x14ac:dyDescent="0.2">
      <c r="A12" s="509"/>
      <c r="B12" s="309"/>
      <c r="C12" s="309"/>
      <c r="D12" s="88" t="s">
        <v>139</v>
      </c>
      <c r="E12" s="1373" t="s">
        <v>1435</v>
      </c>
      <c r="F12" s="1373" t="s">
        <v>1436</v>
      </c>
      <c r="G12" s="1373"/>
      <c r="H12" s="1373"/>
      <c r="I12" s="1373"/>
      <c r="J12" s="1373" t="s">
        <v>1437</v>
      </c>
      <c r="K12" s="1556" t="s">
        <v>1438</v>
      </c>
      <c r="L12" s="1556"/>
      <c r="M12" s="1652"/>
      <c r="N12" s="2762"/>
      <c r="O12" s="1650"/>
      <c r="P12" s="88"/>
      <c r="Q12" s="88"/>
      <c r="R12" s="88"/>
      <c r="S12" s="88"/>
      <c r="T12" s="88"/>
      <c r="U12" s="88"/>
      <c r="V12" s="88"/>
      <c r="W12" s="88"/>
      <c r="X12" s="88"/>
    </row>
    <row r="13" spans="1:30" s="38" customFormat="1" ht="12.75" x14ac:dyDescent="0.2">
      <c r="A13" s="509"/>
      <c r="B13" s="309"/>
      <c r="C13" s="309"/>
      <c r="D13" s="72" t="s">
        <v>103</v>
      </c>
      <c r="E13" s="1654" t="s">
        <v>1439</v>
      </c>
      <c r="F13" s="1654" t="s">
        <v>1440</v>
      </c>
      <c r="G13" s="1654" t="s">
        <v>1441</v>
      </c>
      <c r="H13" s="1654" t="s">
        <v>1442</v>
      </c>
      <c r="I13" s="1654" t="s">
        <v>1443</v>
      </c>
      <c r="J13" s="1654" t="s">
        <v>1444</v>
      </c>
      <c r="K13" s="1654" t="s">
        <v>1445</v>
      </c>
      <c r="L13" s="1654" t="s">
        <v>1446</v>
      </c>
      <c r="M13" s="1655"/>
      <c r="N13" s="1656" t="s">
        <v>1447</v>
      </c>
      <c r="O13" s="1656" t="s">
        <v>1448</v>
      </c>
      <c r="P13" s="88"/>
      <c r="Q13" s="88"/>
      <c r="R13" s="88"/>
      <c r="S13" s="88"/>
      <c r="T13" s="88"/>
      <c r="U13" s="88"/>
      <c r="V13" s="88"/>
      <c r="W13" s="88"/>
      <c r="X13" s="88"/>
    </row>
    <row r="14" spans="1:30" x14ac:dyDescent="0.25">
      <c r="A14" s="509"/>
      <c r="B14" s="1119"/>
      <c r="C14" s="1119"/>
      <c r="D14" s="88"/>
      <c r="E14" s="1657"/>
      <c r="F14" s="413"/>
      <c r="G14" s="898"/>
      <c r="H14" s="898"/>
      <c r="I14" s="898"/>
      <c r="J14" s="419"/>
      <c r="K14" s="419"/>
      <c r="L14" s="1137"/>
      <c r="M14" s="1137"/>
      <c r="N14" s="1137"/>
      <c r="O14" s="1137"/>
      <c r="P14" s="1137"/>
      <c r="Q14" s="1137"/>
      <c r="R14" s="1137"/>
      <c r="S14" s="192"/>
      <c r="T14" s="192"/>
      <c r="U14" s="192"/>
      <c r="V14" s="192"/>
      <c r="W14" s="192"/>
      <c r="X14" s="192"/>
      <c r="Y14" s="1137"/>
      <c r="Z14" s="1137"/>
      <c r="AA14" s="1137"/>
    </row>
    <row r="15" spans="1:30" x14ac:dyDescent="0.25">
      <c r="A15" s="509"/>
      <c r="B15" s="1119"/>
      <c r="C15" s="1119"/>
      <c r="D15" s="71" t="s">
        <v>7</v>
      </c>
      <c r="E15" s="1658" t="s">
        <v>1449</v>
      </c>
      <c r="F15" s="71"/>
      <c r="G15" s="71"/>
      <c r="H15" s="71"/>
      <c r="I15" s="71"/>
      <c r="J15" s="71"/>
      <c r="K15" s="71"/>
      <c r="L15" s="88"/>
      <c r="M15" s="88"/>
      <c r="N15" s="88"/>
      <c r="O15" s="88"/>
      <c r="P15" s="88"/>
      <c r="Q15" s="88"/>
      <c r="R15" s="88"/>
      <c r="S15" s="192"/>
      <c r="T15" s="192"/>
      <c r="U15" s="192"/>
      <c r="V15" s="192"/>
      <c r="W15" s="192"/>
      <c r="X15" s="192"/>
      <c r="Y15" s="88"/>
      <c r="Z15" s="88"/>
      <c r="AA15" s="88"/>
    </row>
    <row r="16" spans="1:30" x14ac:dyDescent="0.25">
      <c r="A16" s="509"/>
      <c r="B16" s="1119"/>
      <c r="C16" s="1119"/>
      <c r="D16" s="4911" t="s">
        <v>1450</v>
      </c>
      <c r="E16" s="4911"/>
      <c r="F16" s="4911"/>
      <c r="G16" s="4911"/>
      <c r="H16" s="4911"/>
      <c r="I16" s="4911"/>
      <c r="J16" s="4912"/>
      <c r="K16" s="4913" t="s">
        <v>1451</v>
      </c>
      <c r="L16" s="4911"/>
      <c r="M16" s="4911"/>
      <c r="N16" s="4911"/>
      <c r="O16" s="4911"/>
      <c r="P16" s="4911"/>
      <c r="Q16" s="4911"/>
      <c r="R16" s="4912"/>
      <c r="S16" s="192"/>
      <c r="T16" s="192"/>
      <c r="U16" s="192"/>
      <c r="V16" s="192"/>
      <c r="W16" s="192"/>
      <c r="X16" s="192"/>
    </row>
    <row r="17" spans="1:28" s="1661" customFormat="1" x14ac:dyDescent="0.25">
      <c r="A17" s="509"/>
      <c r="B17" s="1659"/>
      <c r="C17" s="1659"/>
      <c r="D17" s="4903" t="s">
        <v>1413</v>
      </c>
      <c r="E17" s="4903"/>
      <c r="F17" s="4903"/>
      <c r="G17" s="4903" t="s">
        <v>1412</v>
      </c>
      <c r="H17" s="4903"/>
      <c r="I17" s="4903"/>
      <c r="J17" s="4904"/>
      <c r="K17" s="4905" t="s">
        <v>1413</v>
      </c>
      <c r="L17" s="4903"/>
      <c r="M17" s="4903"/>
      <c r="N17" s="4903"/>
      <c r="O17" s="4903" t="s">
        <v>1412</v>
      </c>
      <c r="P17" s="4903"/>
      <c r="Q17" s="4903"/>
      <c r="R17" s="4904"/>
      <c r="S17" s="192"/>
      <c r="T17" s="192"/>
      <c r="U17" s="192"/>
      <c r="V17" s="192"/>
      <c r="W17" s="192"/>
      <c r="X17" s="192"/>
      <c r="Y17" s="1660"/>
    </row>
    <row r="18" spans="1:28" x14ac:dyDescent="0.25">
      <c r="A18" s="509"/>
      <c r="B18" s="1119"/>
      <c r="C18" s="1119"/>
      <c r="D18" s="4906"/>
      <c r="E18" s="4906"/>
      <c r="F18" s="4907"/>
      <c r="G18" s="3685"/>
      <c r="H18" s="4908"/>
      <c r="I18" s="4908"/>
      <c r="J18" s="4909"/>
      <c r="K18" s="4910"/>
      <c r="L18" s="4908"/>
      <c r="M18" s="4908"/>
      <c r="N18" s="4909"/>
      <c r="O18" s="3686"/>
      <c r="P18" s="3686"/>
      <c r="Q18" s="3686"/>
      <c r="R18" s="3592"/>
      <c r="S18" s="192"/>
      <c r="T18" s="192"/>
      <c r="U18" s="192"/>
      <c r="V18" s="192"/>
      <c r="W18" s="192"/>
      <c r="X18" s="192"/>
      <c r="Y18" s="192"/>
      <c r="Z18" s="1137"/>
    </row>
    <row r="19" spans="1:28" x14ac:dyDescent="0.25">
      <c r="A19" s="509"/>
      <c r="B19" s="1119"/>
      <c r="C19" s="1119"/>
      <c r="D19" s="857">
        <v>1995</v>
      </c>
      <c r="E19" s="857">
        <v>1999</v>
      </c>
      <c r="F19" s="1662">
        <v>2002</v>
      </c>
      <c r="G19" s="857">
        <v>1995</v>
      </c>
      <c r="H19" s="857">
        <v>1999</v>
      </c>
      <c r="I19" s="857"/>
      <c r="J19" s="1662">
        <v>2002</v>
      </c>
      <c r="K19" s="1644">
        <v>2002</v>
      </c>
      <c r="L19" s="857">
        <v>2011</v>
      </c>
      <c r="M19" s="857">
        <v>2015</v>
      </c>
      <c r="N19" s="1662">
        <v>2019</v>
      </c>
      <c r="O19" s="312">
        <v>2002</v>
      </c>
      <c r="P19" s="857">
        <v>2011</v>
      </c>
      <c r="Q19" s="857">
        <v>2015</v>
      </c>
      <c r="R19" s="1663">
        <v>2019</v>
      </c>
      <c r="S19" s="88"/>
      <c r="T19" s="88"/>
      <c r="U19" s="88"/>
      <c r="V19" s="88"/>
      <c r="W19" s="1137"/>
      <c r="X19" s="192"/>
      <c r="Y19" s="192"/>
      <c r="Z19" s="192"/>
      <c r="AA19" s="192"/>
      <c r="AB19" s="88"/>
    </row>
    <row r="20" spans="1:28" x14ac:dyDescent="0.25">
      <c r="A20" s="509"/>
      <c r="B20" s="1119"/>
      <c r="C20" s="1119"/>
      <c r="D20" s="555" t="s">
        <v>1452</v>
      </c>
      <c r="E20" s="1515" t="s">
        <v>1444</v>
      </c>
      <c r="F20" s="1664" t="s">
        <v>1445</v>
      </c>
      <c r="G20" s="910" t="s">
        <v>1453</v>
      </c>
      <c r="H20" s="910" t="s">
        <v>1439</v>
      </c>
      <c r="I20" s="910"/>
      <c r="J20" s="1665" t="s">
        <v>1440</v>
      </c>
      <c r="K20" s="1666" t="s">
        <v>1454</v>
      </c>
      <c r="L20" s="910" t="s">
        <v>1446</v>
      </c>
      <c r="M20" s="910" t="s">
        <v>1447</v>
      </c>
      <c r="N20" s="1667" t="s">
        <v>1448</v>
      </c>
      <c r="O20" s="864" t="s">
        <v>1455</v>
      </c>
      <c r="P20" s="910" t="s">
        <v>1441</v>
      </c>
      <c r="Q20" s="910" t="s">
        <v>1442</v>
      </c>
      <c r="R20" s="1668" t="s">
        <v>1456</v>
      </c>
      <c r="S20" s="88"/>
      <c r="T20" s="88"/>
      <c r="U20" s="88"/>
      <c r="V20" s="88"/>
      <c r="W20" s="192"/>
      <c r="X20" s="192"/>
      <c r="Y20" s="192"/>
      <c r="Z20" s="192"/>
      <c r="AA20" s="192"/>
      <c r="AB20" s="88"/>
    </row>
    <row r="21" spans="1:28" x14ac:dyDescent="0.25">
      <c r="A21" s="509"/>
      <c r="B21" s="1119"/>
      <c r="C21" s="1119"/>
      <c r="D21" s="71"/>
      <c r="E21" s="1657"/>
      <c r="F21" s="413"/>
      <c r="G21" s="898"/>
      <c r="H21" s="898"/>
      <c r="I21" s="898"/>
      <c r="J21" s="419"/>
      <c r="K21" s="419"/>
      <c r="L21" s="898"/>
      <c r="M21" s="898"/>
      <c r="N21" s="898"/>
      <c r="O21" s="88"/>
      <c r="P21" s="88"/>
      <c r="Q21" s="88"/>
      <c r="R21" s="88"/>
      <c r="S21" s="88"/>
      <c r="T21" s="88"/>
      <c r="U21" s="88"/>
      <c r="V21" s="88"/>
      <c r="W21" s="88"/>
      <c r="X21" s="88"/>
      <c r="Y21" s="88"/>
      <c r="Z21" s="88"/>
      <c r="AA21" s="88"/>
    </row>
    <row r="23" spans="1:28" x14ac:dyDescent="0.25">
      <c r="A23" s="113"/>
      <c r="B23" s="113"/>
      <c r="C23" s="1119"/>
      <c r="D23" s="71" t="s">
        <v>7</v>
      </c>
      <c r="E23" s="1658" t="s">
        <v>1457</v>
      </c>
      <c r="F23" s="71"/>
      <c r="G23" s="71"/>
      <c r="H23" s="71"/>
      <c r="I23" s="71"/>
      <c r="J23" s="71"/>
      <c r="K23" s="71"/>
      <c r="L23" s="71"/>
      <c r="M23" s="71"/>
      <c r="N23" s="71"/>
      <c r="O23" s="71"/>
      <c r="P23" s="71"/>
      <c r="Q23" s="71"/>
      <c r="R23" s="71"/>
      <c r="S23" s="71"/>
      <c r="T23" s="1137"/>
      <c r="U23" s="1137"/>
      <c r="V23" s="1137"/>
      <c r="W23" s="1137"/>
      <c r="X23" s="1137"/>
      <c r="Y23" s="1137"/>
      <c r="Z23" s="1137"/>
      <c r="AA23" s="1137"/>
    </row>
    <row r="24" spans="1:28" ht="15" customHeight="1" x14ac:dyDescent="0.25">
      <c r="A24" s="509"/>
      <c r="B24" s="1119"/>
      <c r="C24" s="1119"/>
      <c r="D24" s="3747"/>
      <c r="E24" s="4898" t="s">
        <v>1413</v>
      </c>
      <c r="F24" s="4898"/>
      <c r="G24" s="4898"/>
      <c r="H24" s="3748"/>
      <c r="I24" s="4899" t="s">
        <v>1412</v>
      </c>
      <c r="J24" s="4898"/>
      <c r="K24" s="4898"/>
      <c r="L24" s="4900"/>
      <c r="M24" s="4901" t="s">
        <v>1412</v>
      </c>
      <c r="N24" s="3593" t="s">
        <v>1413</v>
      </c>
      <c r="Q24" s="1137"/>
      <c r="R24" s="1137"/>
      <c r="S24" s="1137"/>
      <c r="T24" s="1137"/>
      <c r="U24" s="1137"/>
      <c r="V24" s="1137"/>
      <c r="W24" s="1137"/>
      <c r="AB24" s="1758">
        <v>2020</v>
      </c>
    </row>
    <row r="25" spans="1:28" ht="21.6" customHeight="1" x14ac:dyDescent="0.25">
      <c r="A25" s="509"/>
      <c r="B25" s="1119"/>
      <c r="C25" s="1119"/>
      <c r="D25" s="3468" t="s">
        <v>655</v>
      </c>
      <c r="E25" s="3469">
        <v>2011</v>
      </c>
      <c r="F25" s="3469">
        <v>2015</v>
      </c>
      <c r="G25" s="3469">
        <v>2019</v>
      </c>
      <c r="H25" s="3749" t="s">
        <v>1458</v>
      </c>
      <c r="I25" s="3750">
        <v>2011</v>
      </c>
      <c r="J25" s="3751">
        <v>2015</v>
      </c>
      <c r="K25" s="3751">
        <v>2019</v>
      </c>
      <c r="L25" s="3749" t="s">
        <v>1458</v>
      </c>
      <c r="M25" s="4902"/>
      <c r="N25" s="3470"/>
      <c r="Q25" s="312"/>
      <c r="R25" s="312"/>
      <c r="S25" s="312"/>
      <c r="T25" s="312"/>
      <c r="U25" s="312"/>
      <c r="V25" s="312"/>
      <c r="AB25" s="1758"/>
    </row>
    <row r="26" spans="1:28" x14ac:dyDescent="0.25">
      <c r="A26" s="509"/>
      <c r="B26" s="1119"/>
      <c r="C26" s="1119"/>
      <c r="D26" s="10" t="s">
        <v>276</v>
      </c>
      <c r="E26" s="3687">
        <v>316</v>
      </c>
      <c r="F26" s="3687">
        <v>346</v>
      </c>
      <c r="G26" s="413">
        <v>366</v>
      </c>
      <c r="H26" s="1669" t="s">
        <v>289</v>
      </c>
      <c r="I26" s="1670">
        <v>282</v>
      </c>
      <c r="J26" s="419">
        <v>328</v>
      </c>
      <c r="K26" s="419">
        <v>334</v>
      </c>
      <c r="L26" s="3594" t="s">
        <v>289</v>
      </c>
      <c r="M26" s="1645">
        <f>K26-J26</f>
        <v>6</v>
      </c>
      <c r="N26" s="1671">
        <f t="shared" ref="N26:N34" si="0">G26-F26</f>
        <v>20</v>
      </c>
      <c r="Q26" s="1645"/>
      <c r="R26" s="1645"/>
      <c r="S26" s="1645"/>
      <c r="T26" s="1645"/>
      <c r="U26" s="1645"/>
      <c r="V26" s="1645"/>
      <c r="AB26" s="1758"/>
    </row>
    <row r="27" spans="1:28" x14ac:dyDescent="0.25">
      <c r="A27" s="509"/>
      <c r="B27" s="1119"/>
      <c r="C27" s="1119"/>
      <c r="D27" s="88" t="s">
        <v>277</v>
      </c>
      <c r="E27" s="413">
        <v>359</v>
      </c>
      <c r="F27" s="413">
        <v>367</v>
      </c>
      <c r="G27" s="413">
        <v>396</v>
      </c>
      <c r="H27" s="1669" t="s">
        <v>289</v>
      </c>
      <c r="I27" s="898">
        <v>341</v>
      </c>
      <c r="J27" s="419">
        <v>351</v>
      </c>
      <c r="K27" s="419">
        <v>380</v>
      </c>
      <c r="L27" s="1669" t="s">
        <v>289</v>
      </c>
      <c r="M27" s="1645">
        <f t="shared" ref="M27:M34" si="1">K27-J27</f>
        <v>29</v>
      </c>
      <c r="N27" s="1671">
        <f t="shared" si="0"/>
        <v>29</v>
      </c>
      <c r="Q27" s="109"/>
      <c r="R27" s="109"/>
      <c r="S27" s="109"/>
      <c r="T27" s="109"/>
      <c r="U27" s="109"/>
      <c r="V27" s="109"/>
      <c r="AB27" s="1758"/>
    </row>
    <row r="28" spans="1:28" x14ac:dyDescent="0.25">
      <c r="A28" s="509"/>
      <c r="B28" s="1119"/>
      <c r="C28" s="1119"/>
      <c r="D28" s="88" t="s">
        <v>278</v>
      </c>
      <c r="E28" s="413">
        <v>389</v>
      </c>
      <c r="F28" s="413">
        <v>408</v>
      </c>
      <c r="G28" s="413">
        <v>421</v>
      </c>
      <c r="H28" s="1669" t="s">
        <v>289</v>
      </c>
      <c r="I28" s="898">
        <v>387</v>
      </c>
      <c r="J28" s="419">
        <v>405</v>
      </c>
      <c r="K28" s="419">
        <v>422</v>
      </c>
      <c r="L28" s="1669" t="s">
        <v>289</v>
      </c>
      <c r="M28" s="1645">
        <f t="shared" si="1"/>
        <v>17</v>
      </c>
      <c r="N28" s="1671">
        <f t="shared" si="0"/>
        <v>13</v>
      </c>
      <c r="Q28" s="109"/>
      <c r="R28" s="109"/>
      <c r="S28" s="109"/>
      <c r="T28" s="109"/>
      <c r="U28" s="109"/>
      <c r="V28" s="109"/>
      <c r="AB28" s="1758" t="s">
        <v>1244</v>
      </c>
    </row>
    <row r="29" spans="1:28" x14ac:dyDescent="0.25">
      <c r="A29" s="509"/>
      <c r="B29" s="1119"/>
      <c r="C29" s="1119"/>
      <c r="D29" s="88" t="s">
        <v>1459</v>
      </c>
      <c r="E29" s="413">
        <v>337</v>
      </c>
      <c r="F29" s="413">
        <v>369</v>
      </c>
      <c r="G29" s="413">
        <v>378</v>
      </c>
      <c r="H29" s="1669" t="s">
        <v>289</v>
      </c>
      <c r="I29" s="898">
        <v>308</v>
      </c>
      <c r="J29" s="419">
        <v>352</v>
      </c>
      <c r="K29" s="419">
        <v>352</v>
      </c>
      <c r="L29" s="1669" t="s">
        <v>289</v>
      </c>
      <c r="M29" s="1645">
        <f t="shared" si="1"/>
        <v>0</v>
      </c>
      <c r="N29" s="1671">
        <f t="shared" si="0"/>
        <v>9</v>
      </c>
      <c r="Q29" s="109"/>
      <c r="R29" s="109"/>
      <c r="S29" s="109"/>
      <c r="T29" s="109"/>
      <c r="U29" s="109"/>
      <c r="V29" s="109"/>
    </row>
    <row r="30" spans="1:28" x14ac:dyDescent="0.25">
      <c r="A30" s="509"/>
      <c r="B30" s="1119"/>
      <c r="C30" s="1119"/>
      <c r="D30" s="88" t="s">
        <v>280</v>
      </c>
      <c r="E30" s="413">
        <v>322</v>
      </c>
      <c r="F30" s="413">
        <v>361</v>
      </c>
      <c r="G30" s="413">
        <v>364</v>
      </c>
      <c r="H30" s="1669" t="s">
        <v>289</v>
      </c>
      <c r="I30" s="898">
        <v>284</v>
      </c>
      <c r="J30" s="419">
        <v>339</v>
      </c>
      <c r="K30" s="419">
        <v>331</v>
      </c>
      <c r="L30" s="1669" t="s">
        <v>291</v>
      </c>
      <c r="M30" s="1645">
        <f t="shared" si="1"/>
        <v>-8</v>
      </c>
      <c r="N30" s="1671">
        <f t="shared" si="0"/>
        <v>3</v>
      </c>
      <c r="Q30" s="1645"/>
      <c r="R30" s="1645"/>
      <c r="S30" s="1645"/>
      <c r="T30" s="1645"/>
      <c r="U30" s="1645"/>
      <c r="V30" s="1645"/>
      <c r="W30" s="71"/>
    </row>
    <row r="31" spans="1:28" x14ac:dyDescent="0.25">
      <c r="A31" s="509"/>
      <c r="B31" s="1119"/>
      <c r="C31" s="1119"/>
      <c r="D31" s="88" t="s">
        <v>281</v>
      </c>
      <c r="E31" s="413">
        <v>344</v>
      </c>
      <c r="F31" s="413">
        <v>370</v>
      </c>
      <c r="G31" s="413">
        <v>375</v>
      </c>
      <c r="H31" s="1669" t="s">
        <v>289</v>
      </c>
      <c r="I31" s="898">
        <v>326</v>
      </c>
      <c r="J31" s="419">
        <v>348</v>
      </c>
      <c r="K31" s="419">
        <v>350</v>
      </c>
      <c r="L31" s="1669" t="s">
        <v>289</v>
      </c>
      <c r="M31" s="1645">
        <f t="shared" si="1"/>
        <v>2</v>
      </c>
      <c r="N31" s="1671">
        <f t="shared" si="0"/>
        <v>5</v>
      </c>
      <c r="Q31" s="109"/>
      <c r="R31" s="109"/>
      <c r="S31" s="109"/>
      <c r="T31" s="109"/>
      <c r="U31" s="109"/>
      <c r="V31" s="109"/>
      <c r="W31" s="88"/>
    </row>
    <row r="32" spans="1:28" x14ac:dyDescent="0.25">
      <c r="A32" s="509"/>
      <c r="B32" s="1119"/>
      <c r="C32" s="1119"/>
      <c r="D32" s="88" t="s">
        <v>282</v>
      </c>
      <c r="E32" s="413">
        <v>350</v>
      </c>
      <c r="F32" s="413">
        <v>354</v>
      </c>
      <c r="G32" s="413">
        <v>383</v>
      </c>
      <c r="H32" s="1669" t="s">
        <v>289</v>
      </c>
      <c r="I32" s="898">
        <v>334</v>
      </c>
      <c r="J32" s="419">
        <v>335</v>
      </c>
      <c r="K32" s="419">
        <v>358</v>
      </c>
      <c r="L32" s="1669" t="s">
        <v>289</v>
      </c>
      <c r="M32" s="1645">
        <f t="shared" si="1"/>
        <v>23</v>
      </c>
      <c r="N32" s="1671">
        <f t="shared" si="0"/>
        <v>29</v>
      </c>
      <c r="Q32" s="109"/>
      <c r="R32" s="109"/>
      <c r="S32" s="109"/>
      <c r="T32" s="109"/>
      <c r="U32" s="109"/>
      <c r="V32" s="109"/>
    </row>
    <row r="33" spans="1:28" x14ac:dyDescent="0.25">
      <c r="A33" s="509"/>
      <c r="B33" s="1119"/>
      <c r="C33" s="1119"/>
      <c r="D33" s="88" t="s">
        <v>283</v>
      </c>
      <c r="E33" s="413">
        <v>366</v>
      </c>
      <c r="F33" s="413">
        <v>364</v>
      </c>
      <c r="G33" s="413">
        <v>377</v>
      </c>
      <c r="H33" s="1669" t="s">
        <v>289</v>
      </c>
      <c r="I33" s="898">
        <v>368</v>
      </c>
      <c r="J33" s="419">
        <v>356</v>
      </c>
      <c r="K33" s="419">
        <v>358</v>
      </c>
      <c r="L33" s="1669" t="s">
        <v>289</v>
      </c>
      <c r="M33" s="1645">
        <f t="shared" si="1"/>
        <v>2</v>
      </c>
      <c r="N33" s="1671">
        <f t="shared" si="0"/>
        <v>13</v>
      </c>
      <c r="Q33" s="109"/>
      <c r="R33" s="109"/>
      <c r="S33" s="109"/>
      <c r="T33" s="109"/>
      <c r="U33" s="109"/>
      <c r="V33" s="109"/>
      <c r="AB33" s="2777">
        <v>2020</v>
      </c>
    </row>
    <row r="34" spans="1:28" x14ac:dyDescent="0.25">
      <c r="A34" s="509"/>
      <c r="B34" s="1119"/>
      <c r="C34" s="1119"/>
      <c r="D34" s="95" t="s">
        <v>284</v>
      </c>
      <c r="E34" s="555">
        <v>404</v>
      </c>
      <c r="F34" s="555">
        <v>391</v>
      </c>
      <c r="G34" s="555">
        <v>441</v>
      </c>
      <c r="H34" s="1672" t="s">
        <v>289</v>
      </c>
      <c r="I34" s="910">
        <v>409</v>
      </c>
      <c r="J34" s="864">
        <v>388</v>
      </c>
      <c r="K34" s="864">
        <v>439</v>
      </c>
      <c r="L34" s="1672" t="s">
        <v>289</v>
      </c>
      <c r="M34" s="1673">
        <f t="shared" si="1"/>
        <v>51</v>
      </c>
      <c r="N34" s="1671">
        <f t="shared" si="0"/>
        <v>50</v>
      </c>
      <c r="Q34" s="1638"/>
      <c r="R34" s="1638"/>
      <c r="S34" s="1638"/>
      <c r="T34" s="1638"/>
      <c r="U34" s="1638"/>
      <c r="V34" s="1638"/>
      <c r="W34" s="1638"/>
      <c r="X34" s="1638"/>
      <c r="Y34" s="88"/>
      <c r="AB34" s="1758"/>
    </row>
    <row r="35" spans="1:28" x14ac:dyDescent="0.25">
      <c r="A35" s="509"/>
      <c r="B35" s="1119"/>
      <c r="C35" s="1119"/>
      <c r="D35" s="88"/>
      <c r="E35" s="413"/>
      <c r="F35" s="413"/>
      <c r="G35" s="1674"/>
      <c r="H35" s="898"/>
      <c r="I35" s="898"/>
      <c r="J35" s="419"/>
      <c r="K35" s="1674"/>
      <c r="M35" s="1638"/>
      <c r="N35" s="1638"/>
      <c r="O35" s="1638"/>
      <c r="P35" s="1638"/>
      <c r="Q35" s="1638"/>
      <c r="R35" s="1638"/>
      <c r="S35" s="1638"/>
      <c r="T35" s="1638"/>
      <c r="U35" s="1638"/>
      <c r="V35" s="1638"/>
      <c r="W35" s="1638"/>
      <c r="X35" s="1638"/>
      <c r="Y35" s="88"/>
      <c r="AB35" s="1758"/>
    </row>
    <row r="36" spans="1:28" x14ac:dyDescent="0.25">
      <c r="A36" s="509"/>
      <c r="B36" s="1119"/>
      <c r="C36" s="1119"/>
      <c r="D36" s="1137"/>
      <c r="E36" s="1647"/>
      <c r="F36" s="1137"/>
      <c r="G36" s="1137"/>
      <c r="H36" s="1137"/>
      <c r="I36" s="1137"/>
      <c r="J36" s="1137"/>
      <c r="K36" s="1137"/>
      <c r="L36" s="1137"/>
      <c r="M36" s="1137"/>
      <c r="N36" s="1137"/>
      <c r="O36" s="1137"/>
      <c r="P36" s="1137"/>
      <c r="Q36" s="1137"/>
      <c r="R36" s="1137"/>
      <c r="S36" s="1137"/>
      <c r="T36" s="1137"/>
      <c r="U36" s="1137"/>
      <c r="V36" s="1137"/>
      <c r="W36" s="1638"/>
      <c r="X36" s="1638"/>
      <c r="Y36" s="1638"/>
      <c r="Z36" s="1638"/>
      <c r="AA36" s="1638"/>
      <c r="AB36" s="1758"/>
    </row>
    <row r="37" spans="1:28" x14ac:dyDescent="0.25">
      <c r="A37" s="509">
        <v>5</v>
      </c>
      <c r="B37" s="509" t="s">
        <v>52</v>
      </c>
      <c r="C37" s="509"/>
      <c r="D37" s="4603" t="s">
        <v>1460</v>
      </c>
      <c r="E37" s="4604"/>
      <c r="F37" s="4604"/>
      <c r="G37" s="4604"/>
      <c r="H37" s="4604"/>
      <c r="I37" s="4604"/>
      <c r="J37" s="4604"/>
      <c r="K37" s="4604"/>
      <c r="L37" s="4604"/>
      <c r="M37" s="4604"/>
      <c r="N37" s="4604"/>
      <c r="O37" s="4604"/>
      <c r="P37" s="4604"/>
      <c r="Q37" s="4604"/>
      <c r="R37" s="4604"/>
      <c r="S37" s="4604"/>
      <c r="T37" s="4605"/>
      <c r="U37" s="880"/>
      <c r="V37" s="880"/>
      <c r="W37" s="1638"/>
      <c r="X37" s="1638"/>
      <c r="Y37" s="1638"/>
      <c r="Z37" s="1638"/>
      <c r="AA37" s="1638"/>
      <c r="AB37" s="2779" t="s">
        <v>1244</v>
      </c>
    </row>
    <row r="38" spans="1:28" ht="67.5" customHeight="1" x14ac:dyDescent="0.25">
      <c r="A38" s="509">
        <v>6</v>
      </c>
      <c r="B38" s="509" t="s">
        <v>355</v>
      </c>
      <c r="C38" s="509"/>
      <c r="D38" s="4603" t="s">
        <v>1461</v>
      </c>
      <c r="E38" s="4604"/>
      <c r="F38" s="4604"/>
      <c r="G38" s="4604"/>
      <c r="H38" s="4604"/>
      <c r="I38" s="4604"/>
      <c r="J38" s="4604"/>
      <c r="K38" s="4604"/>
      <c r="L38" s="4604"/>
      <c r="M38" s="4604"/>
      <c r="N38" s="4604"/>
      <c r="O38" s="4604"/>
      <c r="P38" s="4604"/>
      <c r="Q38" s="4604"/>
      <c r="R38" s="4604"/>
      <c r="S38" s="4604"/>
      <c r="T38" s="4605"/>
      <c r="U38" s="880"/>
      <c r="V38" s="880"/>
      <c r="W38" s="1638"/>
      <c r="X38" s="1638"/>
      <c r="Y38" s="1638"/>
      <c r="Z38" s="1638"/>
      <c r="AA38" s="1638"/>
    </row>
    <row r="39" spans="1:28" ht="17.45" customHeight="1" x14ac:dyDescent="0.25">
      <c r="A39" s="546">
        <v>7</v>
      </c>
      <c r="B39" s="546" t="s">
        <v>54</v>
      </c>
      <c r="C39" s="546"/>
      <c r="D39" s="4740" t="s">
        <v>1462</v>
      </c>
      <c r="E39" s="4741"/>
      <c r="F39" s="4741"/>
      <c r="G39" s="4741"/>
      <c r="H39" s="4741"/>
      <c r="I39" s="4741"/>
      <c r="J39" s="4741"/>
      <c r="K39" s="4741"/>
      <c r="L39" s="4741"/>
      <c r="M39" s="4741"/>
      <c r="N39" s="4741"/>
      <c r="O39" s="4741"/>
      <c r="P39" s="4741"/>
      <c r="Q39" s="4741"/>
      <c r="R39" s="4741"/>
      <c r="S39" s="4741"/>
      <c r="T39" s="4756"/>
      <c r="U39" s="880"/>
      <c r="V39" s="880"/>
      <c r="W39" s="1638"/>
      <c r="X39" s="1638"/>
      <c r="Y39" s="1638"/>
      <c r="Z39" s="1638"/>
      <c r="AA39" s="1638"/>
    </row>
    <row r="40" spans="1:28" ht="15" customHeight="1" x14ac:dyDescent="0.25">
      <c r="A40" s="509">
        <v>8</v>
      </c>
      <c r="B40" s="509" t="s">
        <v>56</v>
      </c>
      <c r="C40" s="509"/>
      <c r="D40" s="4603" t="s">
        <v>1463</v>
      </c>
      <c r="E40" s="4604"/>
      <c r="F40" s="4604"/>
      <c r="G40" s="4604"/>
      <c r="H40" s="4604"/>
      <c r="I40" s="4604"/>
      <c r="J40" s="4604"/>
      <c r="K40" s="4604"/>
      <c r="L40" s="4604"/>
      <c r="M40" s="4604"/>
      <c r="N40" s="4604"/>
      <c r="O40" s="4604"/>
      <c r="P40" s="4604"/>
      <c r="Q40" s="4604"/>
      <c r="R40" s="4604"/>
      <c r="S40" s="4604"/>
      <c r="T40" s="4605"/>
      <c r="U40" s="880"/>
      <c r="V40" s="880"/>
      <c r="W40" s="1638"/>
      <c r="X40" s="1638"/>
      <c r="Y40" s="1638"/>
      <c r="Z40" s="1638"/>
      <c r="AA40" s="1638"/>
    </row>
    <row r="41" spans="1:28" x14ac:dyDescent="0.25">
      <c r="W41" s="1638"/>
      <c r="X41" s="1638"/>
      <c r="Y41" s="1638"/>
      <c r="Z41" s="1638"/>
      <c r="AA41" s="1638"/>
    </row>
    <row r="45" spans="1:28" x14ac:dyDescent="0.25">
      <c r="D45" s="38"/>
    </row>
  </sheetData>
  <mergeCells count="21">
    <mergeCell ref="D16:J16"/>
    <mergeCell ref="K16:R16"/>
    <mergeCell ref="D2:V2"/>
    <mergeCell ref="D3:V3"/>
    <mergeCell ref="D4:V4"/>
    <mergeCell ref="E7:I7"/>
    <mergeCell ref="J7:O7"/>
    <mergeCell ref="D17:F17"/>
    <mergeCell ref="G17:J17"/>
    <mergeCell ref="K17:N17"/>
    <mergeCell ref="O17:R17"/>
    <mergeCell ref="D18:F18"/>
    <mergeCell ref="H18:J18"/>
    <mergeCell ref="K18:N18"/>
    <mergeCell ref="D40:T40"/>
    <mergeCell ref="E24:G24"/>
    <mergeCell ref="I24:L24"/>
    <mergeCell ref="M24:M25"/>
    <mergeCell ref="D37:T37"/>
    <mergeCell ref="D38:T38"/>
    <mergeCell ref="D39:T39"/>
  </mergeCells>
  <pageMargins left="0.74803149606299202" right="0.74803149606299202" top="0.98425196850393704" bottom="0.98425196850393704" header="0.511811023622047" footer="0.511811023622047"/>
  <pageSetup paperSize="9" scale="53"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1DEB8-6548-4684-A13D-7C58504BB1E8}">
  <sheetPr>
    <tabColor rgb="FF0070C0"/>
    <pageSetUpPr fitToPage="1"/>
  </sheetPr>
  <dimension ref="A1:AI51"/>
  <sheetViews>
    <sheetView showGridLines="0" view="pageBreakPreview" topLeftCell="A4" zoomScaleNormal="100" zoomScaleSheetLayoutView="100" workbookViewId="0">
      <selection activeCell="D4" sqref="D4:V4"/>
    </sheetView>
  </sheetViews>
  <sheetFormatPr defaultRowHeight="12.75" x14ac:dyDescent="0.2"/>
  <cols>
    <col min="1" max="1" width="3" style="3923" bestFit="1" customWidth="1"/>
    <col min="2" max="2" width="14.140625" style="3923" bestFit="1" customWidth="1"/>
    <col min="3" max="3" width="3" style="3923" bestFit="1" customWidth="1"/>
    <col min="4" max="4" width="27.140625" style="3923" customWidth="1"/>
    <col min="5" max="7" width="8.140625" style="3923" customWidth="1"/>
    <col min="8" max="11" width="8.140625" style="3923" hidden="1" customWidth="1"/>
    <col min="12" max="15" width="9.85546875" style="3923" hidden="1" customWidth="1"/>
    <col min="16" max="18" width="9.85546875" style="3923" customWidth="1"/>
    <col min="19" max="19" width="10.85546875" style="3923" customWidth="1"/>
    <col min="20" max="27" width="9.85546875" style="3923" customWidth="1"/>
    <col min="28" max="262" width="8.85546875" style="3923"/>
    <col min="263" max="263" width="3" style="3923" bestFit="1" customWidth="1"/>
    <col min="264" max="264" width="14.140625" style="3923" bestFit="1" customWidth="1"/>
    <col min="265" max="265" width="3" style="3923" bestFit="1" customWidth="1"/>
    <col min="266" max="266" width="12.140625" style="3923" customWidth="1"/>
    <col min="267" max="274" width="7.140625" style="3923" customWidth="1"/>
    <col min="275" max="276" width="12.140625" style="3923" customWidth="1"/>
    <col min="277" max="277" width="7.140625" style="3923" customWidth="1"/>
    <col min="278" max="278" width="9.85546875" style="3923" customWidth="1"/>
    <col min="279" max="518" width="8.85546875" style="3923"/>
    <col min="519" max="519" width="3" style="3923" bestFit="1" customWidth="1"/>
    <col min="520" max="520" width="14.140625" style="3923" bestFit="1" customWidth="1"/>
    <col min="521" max="521" width="3" style="3923" bestFit="1" customWidth="1"/>
    <col min="522" max="522" width="12.140625" style="3923" customWidth="1"/>
    <col min="523" max="530" width="7.140625" style="3923" customWidth="1"/>
    <col min="531" max="532" width="12.140625" style="3923" customWidth="1"/>
    <col min="533" max="533" width="7.140625" style="3923" customWidth="1"/>
    <col min="534" max="534" width="9.85546875" style="3923" customWidth="1"/>
    <col min="535" max="774" width="8.85546875" style="3923"/>
    <col min="775" max="775" width="3" style="3923" bestFit="1" customWidth="1"/>
    <col min="776" max="776" width="14.140625" style="3923" bestFit="1" customWidth="1"/>
    <col min="777" max="777" width="3" style="3923" bestFit="1" customWidth="1"/>
    <col min="778" max="778" width="12.140625" style="3923" customWidth="1"/>
    <col min="779" max="786" width="7.140625" style="3923" customWidth="1"/>
    <col min="787" max="788" width="12.140625" style="3923" customWidth="1"/>
    <col min="789" max="789" width="7.140625" style="3923" customWidth="1"/>
    <col min="790" max="790" width="9.85546875" style="3923" customWidth="1"/>
    <col min="791" max="1030" width="8.85546875" style="3923"/>
    <col min="1031" max="1031" width="3" style="3923" bestFit="1" customWidth="1"/>
    <col min="1032" max="1032" width="14.140625" style="3923" bestFit="1" customWidth="1"/>
    <col min="1033" max="1033" width="3" style="3923" bestFit="1" customWidth="1"/>
    <col min="1034" max="1034" width="12.140625" style="3923" customWidth="1"/>
    <col min="1035" max="1042" width="7.140625" style="3923" customWidth="1"/>
    <col min="1043" max="1044" width="12.140625" style="3923" customWidth="1"/>
    <col min="1045" max="1045" width="7.140625" style="3923" customWidth="1"/>
    <col min="1046" max="1046" width="9.85546875" style="3923" customWidth="1"/>
    <col min="1047" max="1286" width="8.85546875" style="3923"/>
    <col min="1287" max="1287" width="3" style="3923" bestFit="1" customWidth="1"/>
    <col min="1288" max="1288" width="14.140625" style="3923" bestFit="1" customWidth="1"/>
    <col min="1289" max="1289" width="3" style="3923" bestFit="1" customWidth="1"/>
    <col min="1290" max="1290" width="12.140625" style="3923" customWidth="1"/>
    <col min="1291" max="1298" width="7.140625" style="3923" customWidth="1"/>
    <col min="1299" max="1300" width="12.140625" style="3923" customWidth="1"/>
    <col min="1301" max="1301" width="7.140625" style="3923" customWidth="1"/>
    <col min="1302" max="1302" width="9.85546875" style="3923" customWidth="1"/>
    <col min="1303" max="1542" width="8.85546875" style="3923"/>
    <col min="1543" max="1543" width="3" style="3923" bestFit="1" customWidth="1"/>
    <col min="1544" max="1544" width="14.140625" style="3923" bestFit="1" customWidth="1"/>
    <col min="1545" max="1545" width="3" style="3923" bestFit="1" customWidth="1"/>
    <col min="1546" max="1546" width="12.140625" style="3923" customWidth="1"/>
    <col min="1547" max="1554" width="7.140625" style="3923" customWidth="1"/>
    <col min="1555" max="1556" width="12.140625" style="3923" customWidth="1"/>
    <col min="1557" max="1557" width="7.140625" style="3923" customWidth="1"/>
    <col min="1558" max="1558" width="9.85546875" style="3923" customWidth="1"/>
    <col min="1559" max="1798" width="8.85546875" style="3923"/>
    <col min="1799" max="1799" width="3" style="3923" bestFit="1" customWidth="1"/>
    <col min="1800" max="1800" width="14.140625" style="3923" bestFit="1" customWidth="1"/>
    <col min="1801" max="1801" width="3" style="3923" bestFit="1" customWidth="1"/>
    <col min="1802" max="1802" width="12.140625" style="3923" customWidth="1"/>
    <col min="1803" max="1810" width="7.140625" style="3923" customWidth="1"/>
    <col min="1811" max="1812" width="12.140625" style="3923" customWidth="1"/>
    <col min="1813" max="1813" width="7.140625" style="3923" customWidth="1"/>
    <col min="1814" max="1814" width="9.85546875" style="3923" customWidth="1"/>
    <col min="1815" max="2054" width="8.85546875" style="3923"/>
    <col min="2055" max="2055" width="3" style="3923" bestFit="1" customWidth="1"/>
    <col min="2056" max="2056" width="14.140625" style="3923" bestFit="1" customWidth="1"/>
    <col min="2057" max="2057" width="3" style="3923" bestFit="1" customWidth="1"/>
    <col min="2058" max="2058" width="12.140625" style="3923" customWidth="1"/>
    <col min="2059" max="2066" width="7.140625" style="3923" customWidth="1"/>
    <col min="2067" max="2068" width="12.140625" style="3923" customWidth="1"/>
    <col min="2069" max="2069" width="7.140625" style="3923" customWidth="1"/>
    <col min="2070" max="2070" width="9.85546875" style="3923" customWidth="1"/>
    <col min="2071" max="2310" width="8.85546875" style="3923"/>
    <col min="2311" max="2311" width="3" style="3923" bestFit="1" customWidth="1"/>
    <col min="2312" max="2312" width="14.140625" style="3923" bestFit="1" customWidth="1"/>
    <col min="2313" max="2313" width="3" style="3923" bestFit="1" customWidth="1"/>
    <col min="2314" max="2314" width="12.140625" style="3923" customWidth="1"/>
    <col min="2315" max="2322" width="7.140625" style="3923" customWidth="1"/>
    <col min="2323" max="2324" width="12.140625" style="3923" customWidth="1"/>
    <col min="2325" max="2325" width="7.140625" style="3923" customWidth="1"/>
    <col min="2326" max="2326" width="9.85546875" style="3923" customWidth="1"/>
    <col min="2327" max="2566" width="8.85546875" style="3923"/>
    <col min="2567" max="2567" width="3" style="3923" bestFit="1" customWidth="1"/>
    <col min="2568" max="2568" width="14.140625" style="3923" bestFit="1" customWidth="1"/>
    <col min="2569" max="2569" width="3" style="3923" bestFit="1" customWidth="1"/>
    <col min="2570" max="2570" width="12.140625" style="3923" customWidth="1"/>
    <col min="2571" max="2578" width="7.140625" style="3923" customWidth="1"/>
    <col min="2579" max="2580" width="12.140625" style="3923" customWidth="1"/>
    <col min="2581" max="2581" width="7.140625" style="3923" customWidth="1"/>
    <col min="2582" max="2582" width="9.85546875" style="3923" customWidth="1"/>
    <col min="2583" max="2822" width="8.85546875" style="3923"/>
    <col min="2823" max="2823" width="3" style="3923" bestFit="1" customWidth="1"/>
    <col min="2824" max="2824" width="14.140625" style="3923" bestFit="1" customWidth="1"/>
    <col min="2825" max="2825" width="3" style="3923" bestFit="1" customWidth="1"/>
    <col min="2826" max="2826" width="12.140625" style="3923" customWidth="1"/>
    <col min="2827" max="2834" width="7.140625" style="3923" customWidth="1"/>
    <col min="2835" max="2836" width="12.140625" style="3923" customWidth="1"/>
    <col min="2837" max="2837" width="7.140625" style="3923" customWidth="1"/>
    <col min="2838" max="2838" width="9.85546875" style="3923" customWidth="1"/>
    <col min="2839" max="3078" width="8.85546875" style="3923"/>
    <col min="3079" max="3079" width="3" style="3923" bestFit="1" customWidth="1"/>
    <col min="3080" max="3080" width="14.140625" style="3923" bestFit="1" customWidth="1"/>
    <col min="3081" max="3081" width="3" style="3923" bestFit="1" customWidth="1"/>
    <col min="3082" max="3082" width="12.140625" style="3923" customWidth="1"/>
    <col min="3083" max="3090" width="7.140625" style="3923" customWidth="1"/>
    <col min="3091" max="3092" width="12.140625" style="3923" customWidth="1"/>
    <col min="3093" max="3093" width="7.140625" style="3923" customWidth="1"/>
    <col min="3094" max="3094" width="9.85546875" style="3923" customWidth="1"/>
    <col min="3095" max="3334" width="8.85546875" style="3923"/>
    <col min="3335" max="3335" width="3" style="3923" bestFit="1" customWidth="1"/>
    <col min="3336" max="3336" width="14.140625" style="3923" bestFit="1" customWidth="1"/>
    <col min="3337" max="3337" width="3" style="3923" bestFit="1" customWidth="1"/>
    <col min="3338" max="3338" width="12.140625" style="3923" customWidth="1"/>
    <col min="3339" max="3346" width="7.140625" style="3923" customWidth="1"/>
    <col min="3347" max="3348" width="12.140625" style="3923" customWidth="1"/>
    <col min="3349" max="3349" width="7.140625" style="3923" customWidth="1"/>
    <col min="3350" max="3350" width="9.85546875" style="3923" customWidth="1"/>
    <col min="3351" max="3590" width="8.85546875" style="3923"/>
    <col min="3591" max="3591" width="3" style="3923" bestFit="1" customWidth="1"/>
    <col min="3592" max="3592" width="14.140625" style="3923" bestFit="1" customWidth="1"/>
    <col min="3593" max="3593" width="3" style="3923" bestFit="1" customWidth="1"/>
    <col min="3594" max="3594" width="12.140625" style="3923" customWidth="1"/>
    <col min="3595" max="3602" width="7.140625" style="3923" customWidth="1"/>
    <col min="3603" max="3604" width="12.140625" style="3923" customWidth="1"/>
    <col min="3605" max="3605" width="7.140625" style="3923" customWidth="1"/>
    <col min="3606" max="3606" width="9.85546875" style="3923" customWidth="1"/>
    <col min="3607" max="3846" width="8.85546875" style="3923"/>
    <col min="3847" max="3847" width="3" style="3923" bestFit="1" customWidth="1"/>
    <col min="3848" max="3848" width="14.140625" style="3923" bestFit="1" customWidth="1"/>
    <col min="3849" max="3849" width="3" style="3923" bestFit="1" customWidth="1"/>
    <col min="3850" max="3850" width="12.140625" style="3923" customWidth="1"/>
    <col min="3851" max="3858" width="7.140625" style="3923" customWidth="1"/>
    <col min="3859" max="3860" width="12.140625" style="3923" customWidth="1"/>
    <col min="3861" max="3861" width="7.140625" style="3923" customWidth="1"/>
    <col min="3862" max="3862" width="9.85546875" style="3923" customWidth="1"/>
    <col min="3863" max="4102" width="8.85546875" style="3923"/>
    <col min="4103" max="4103" width="3" style="3923" bestFit="1" customWidth="1"/>
    <col min="4104" max="4104" width="14.140625" style="3923" bestFit="1" customWidth="1"/>
    <col min="4105" max="4105" width="3" style="3923" bestFit="1" customWidth="1"/>
    <col min="4106" max="4106" width="12.140625" style="3923" customWidth="1"/>
    <col min="4107" max="4114" width="7.140625" style="3923" customWidth="1"/>
    <col min="4115" max="4116" width="12.140625" style="3923" customWidth="1"/>
    <col min="4117" max="4117" width="7.140625" style="3923" customWidth="1"/>
    <col min="4118" max="4118" width="9.85546875" style="3923" customWidth="1"/>
    <col min="4119" max="4358" width="8.85546875" style="3923"/>
    <col min="4359" max="4359" width="3" style="3923" bestFit="1" customWidth="1"/>
    <col min="4360" max="4360" width="14.140625" style="3923" bestFit="1" customWidth="1"/>
    <col min="4361" max="4361" width="3" style="3923" bestFit="1" customWidth="1"/>
    <col min="4362" max="4362" width="12.140625" style="3923" customWidth="1"/>
    <col min="4363" max="4370" width="7.140625" style="3923" customWidth="1"/>
    <col min="4371" max="4372" width="12.140625" style="3923" customWidth="1"/>
    <col min="4373" max="4373" width="7.140625" style="3923" customWidth="1"/>
    <col min="4374" max="4374" width="9.85546875" style="3923" customWidth="1"/>
    <col min="4375" max="4614" width="8.85546875" style="3923"/>
    <col min="4615" max="4615" width="3" style="3923" bestFit="1" customWidth="1"/>
    <col min="4616" max="4616" width="14.140625" style="3923" bestFit="1" customWidth="1"/>
    <col min="4617" max="4617" width="3" style="3923" bestFit="1" customWidth="1"/>
    <col min="4618" max="4618" width="12.140625" style="3923" customWidth="1"/>
    <col min="4619" max="4626" width="7.140625" style="3923" customWidth="1"/>
    <col min="4627" max="4628" width="12.140625" style="3923" customWidth="1"/>
    <col min="4629" max="4629" width="7.140625" style="3923" customWidth="1"/>
    <col min="4630" max="4630" width="9.85546875" style="3923" customWidth="1"/>
    <col min="4631" max="4870" width="8.85546875" style="3923"/>
    <col min="4871" max="4871" width="3" style="3923" bestFit="1" customWidth="1"/>
    <col min="4872" max="4872" width="14.140625" style="3923" bestFit="1" customWidth="1"/>
    <col min="4873" max="4873" width="3" style="3923" bestFit="1" customWidth="1"/>
    <col min="4874" max="4874" width="12.140625" style="3923" customWidth="1"/>
    <col min="4875" max="4882" width="7.140625" style="3923" customWidth="1"/>
    <col min="4883" max="4884" width="12.140625" style="3923" customWidth="1"/>
    <col min="4885" max="4885" width="7.140625" style="3923" customWidth="1"/>
    <col min="4886" max="4886" width="9.85546875" style="3923" customWidth="1"/>
    <col min="4887" max="5126" width="8.85546875" style="3923"/>
    <col min="5127" max="5127" width="3" style="3923" bestFit="1" customWidth="1"/>
    <col min="5128" max="5128" width="14.140625" style="3923" bestFit="1" customWidth="1"/>
    <col min="5129" max="5129" width="3" style="3923" bestFit="1" customWidth="1"/>
    <col min="5130" max="5130" width="12.140625" style="3923" customWidth="1"/>
    <col min="5131" max="5138" width="7.140625" style="3923" customWidth="1"/>
    <col min="5139" max="5140" width="12.140625" style="3923" customWidth="1"/>
    <col min="5141" max="5141" width="7.140625" style="3923" customWidth="1"/>
    <col min="5142" max="5142" width="9.85546875" style="3923" customWidth="1"/>
    <col min="5143" max="5382" width="8.85546875" style="3923"/>
    <col min="5383" max="5383" width="3" style="3923" bestFit="1" customWidth="1"/>
    <col min="5384" max="5384" width="14.140625" style="3923" bestFit="1" customWidth="1"/>
    <col min="5385" max="5385" width="3" style="3923" bestFit="1" customWidth="1"/>
    <col min="5386" max="5386" width="12.140625" style="3923" customWidth="1"/>
    <col min="5387" max="5394" width="7.140625" style="3923" customWidth="1"/>
    <col min="5395" max="5396" width="12.140625" style="3923" customWidth="1"/>
    <col min="5397" max="5397" width="7.140625" style="3923" customWidth="1"/>
    <col min="5398" max="5398" width="9.85546875" style="3923" customWidth="1"/>
    <col min="5399" max="5638" width="8.85546875" style="3923"/>
    <col min="5639" max="5639" width="3" style="3923" bestFit="1" customWidth="1"/>
    <col min="5640" max="5640" width="14.140625" style="3923" bestFit="1" customWidth="1"/>
    <col min="5641" max="5641" width="3" style="3923" bestFit="1" customWidth="1"/>
    <col min="5642" max="5642" width="12.140625" style="3923" customWidth="1"/>
    <col min="5643" max="5650" width="7.140625" style="3923" customWidth="1"/>
    <col min="5651" max="5652" width="12.140625" style="3923" customWidth="1"/>
    <col min="5653" max="5653" width="7.140625" style="3923" customWidth="1"/>
    <col min="5654" max="5654" width="9.85546875" style="3923" customWidth="1"/>
    <col min="5655" max="5894" width="8.85546875" style="3923"/>
    <col min="5895" max="5895" width="3" style="3923" bestFit="1" customWidth="1"/>
    <col min="5896" max="5896" width="14.140625" style="3923" bestFit="1" customWidth="1"/>
    <col min="5897" max="5897" width="3" style="3923" bestFit="1" customWidth="1"/>
    <col min="5898" max="5898" width="12.140625" style="3923" customWidth="1"/>
    <col min="5899" max="5906" width="7.140625" style="3923" customWidth="1"/>
    <col min="5907" max="5908" width="12.140625" style="3923" customWidth="1"/>
    <col min="5909" max="5909" width="7.140625" style="3923" customWidth="1"/>
    <col min="5910" max="5910" width="9.85546875" style="3923" customWidth="1"/>
    <col min="5911" max="6150" width="8.85546875" style="3923"/>
    <col min="6151" max="6151" width="3" style="3923" bestFit="1" customWidth="1"/>
    <col min="6152" max="6152" width="14.140625" style="3923" bestFit="1" customWidth="1"/>
    <col min="6153" max="6153" width="3" style="3923" bestFit="1" customWidth="1"/>
    <col min="6154" max="6154" width="12.140625" style="3923" customWidth="1"/>
    <col min="6155" max="6162" width="7.140625" style="3923" customWidth="1"/>
    <col min="6163" max="6164" width="12.140625" style="3923" customWidth="1"/>
    <col min="6165" max="6165" width="7.140625" style="3923" customWidth="1"/>
    <col min="6166" max="6166" width="9.85546875" style="3923" customWidth="1"/>
    <col min="6167" max="6406" width="8.85546875" style="3923"/>
    <col min="6407" max="6407" width="3" style="3923" bestFit="1" customWidth="1"/>
    <col min="6408" max="6408" width="14.140625" style="3923" bestFit="1" customWidth="1"/>
    <col min="6409" max="6409" width="3" style="3923" bestFit="1" customWidth="1"/>
    <col min="6410" max="6410" width="12.140625" style="3923" customWidth="1"/>
    <col min="6411" max="6418" width="7.140625" style="3923" customWidth="1"/>
    <col min="6419" max="6420" width="12.140625" style="3923" customWidth="1"/>
    <col min="6421" max="6421" width="7.140625" style="3923" customWidth="1"/>
    <col min="6422" max="6422" width="9.85546875" style="3923" customWidth="1"/>
    <col min="6423" max="6662" width="8.85546875" style="3923"/>
    <col min="6663" max="6663" width="3" style="3923" bestFit="1" customWidth="1"/>
    <col min="6664" max="6664" width="14.140625" style="3923" bestFit="1" customWidth="1"/>
    <col min="6665" max="6665" width="3" style="3923" bestFit="1" customWidth="1"/>
    <col min="6666" max="6666" width="12.140625" style="3923" customWidth="1"/>
    <col min="6667" max="6674" width="7.140625" style="3923" customWidth="1"/>
    <col min="6675" max="6676" width="12.140625" style="3923" customWidth="1"/>
    <col min="6677" max="6677" width="7.140625" style="3923" customWidth="1"/>
    <col min="6678" max="6678" width="9.85546875" style="3923" customWidth="1"/>
    <col min="6679" max="6918" width="8.85546875" style="3923"/>
    <col min="6919" max="6919" width="3" style="3923" bestFit="1" customWidth="1"/>
    <col min="6920" max="6920" width="14.140625" style="3923" bestFit="1" customWidth="1"/>
    <col min="6921" max="6921" width="3" style="3923" bestFit="1" customWidth="1"/>
    <col min="6922" max="6922" width="12.140625" style="3923" customWidth="1"/>
    <col min="6923" max="6930" width="7.140625" style="3923" customWidth="1"/>
    <col min="6931" max="6932" width="12.140625" style="3923" customWidth="1"/>
    <col min="6933" max="6933" width="7.140625" style="3923" customWidth="1"/>
    <col min="6934" max="6934" width="9.85546875" style="3923" customWidth="1"/>
    <col min="6935" max="7174" width="8.85546875" style="3923"/>
    <col min="7175" max="7175" width="3" style="3923" bestFit="1" customWidth="1"/>
    <col min="7176" max="7176" width="14.140625" style="3923" bestFit="1" customWidth="1"/>
    <col min="7177" max="7177" width="3" style="3923" bestFit="1" customWidth="1"/>
    <col min="7178" max="7178" width="12.140625" style="3923" customWidth="1"/>
    <col min="7179" max="7186" width="7.140625" style="3923" customWidth="1"/>
    <col min="7187" max="7188" width="12.140625" style="3923" customWidth="1"/>
    <col min="7189" max="7189" width="7.140625" style="3923" customWidth="1"/>
    <col min="7190" max="7190" width="9.85546875" style="3923" customWidth="1"/>
    <col min="7191" max="7430" width="8.85546875" style="3923"/>
    <col min="7431" max="7431" width="3" style="3923" bestFit="1" customWidth="1"/>
    <col min="7432" max="7432" width="14.140625" style="3923" bestFit="1" customWidth="1"/>
    <col min="7433" max="7433" width="3" style="3923" bestFit="1" customWidth="1"/>
    <col min="7434" max="7434" width="12.140625" style="3923" customWidth="1"/>
    <col min="7435" max="7442" width="7.140625" style="3923" customWidth="1"/>
    <col min="7443" max="7444" width="12.140625" style="3923" customWidth="1"/>
    <col min="7445" max="7445" width="7.140625" style="3923" customWidth="1"/>
    <col min="7446" max="7446" width="9.85546875" style="3923" customWidth="1"/>
    <col min="7447" max="7686" width="8.85546875" style="3923"/>
    <col min="7687" max="7687" width="3" style="3923" bestFit="1" customWidth="1"/>
    <col min="7688" max="7688" width="14.140625" style="3923" bestFit="1" customWidth="1"/>
    <col min="7689" max="7689" width="3" style="3923" bestFit="1" customWidth="1"/>
    <col min="7690" max="7690" width="12.140625" style="3923" customWidth="1"/>
    <col min="7691" max="7698" width="7.140625" style="3923" customWidth="1"/>
    <col min="7699" max="7700" width="12.140625" style="3923" customWidth="1"/>
    <col min="7701" max="7701" width="7.140625" style="3923" customWidth="1"/>
    <col min="7702" max="7702" width="9.85546875" style="3923" customWidth="1"/>
    <col min="7703" max="7942" width="8.85546875" style="3923"/>
    <col min="7943" max="7943" width="3" style="3923" bestFit="1" customWidth="1"/>
    <col min="7944" max="7944" width="14.140625" style="3923" bestFit="1" customWidth="1"/>
    <col min="7945" max="7945" width="3" style="3923" bestFit="1" customWidth="1"/>
    <col min="7946" max="7946" width="12.140625" style="3923" customWidth="1"/>
    <col min="7947" max="7954" width="7.140625" style="3923" customWidth="1"/>
    <col min="7955" max="7956" width="12.140625" style="3923" customWidth="1"/>
    <col min="7957" max="7957" width="7.140625" style="3923" customWidth="1"/>
    <col min="7958" max="7958" width="9.85546875" style="3923" customWidth="1"/>
    <col min="7959" max="8198" width="8.85546875" style="3923"/>
    <col min="8199" max="8199" width="3" style="3923" bestFit="1" customWidth="1"/>
    <col min="8200" max="8200" width="14.140625" style="3923" bestFit="1" customWidth="1"/>
    <col min="8201" max="8201" width="3" style="3923" bestFit="1" customWidth="1"/>
    <col min="8202" max="8202" width="12.140625" style="3923" customWidth="1"/>
    <col min="8203" max="8210" width="7.140625" style="3923" customWidth="1"/>
    <col min="8211" max="8212" width="12.140625" style="3923" customWidth="1"/>
    <col min="8213" max="8213" width="7.140625" style="3923" customWidth="1"/>
    <col min="8214" max="8214" width="9.85546875" style="3923" customWidth="1"/>
    <col min="8215" max="8454" width="8.85546875" style="3923"/>
    <col min="8455" max="8455" width="3" style="3923" bestFit="1" customWidth="1"/>
    <col min="8456" max="8456" width="14.140625" style="3923" bestFit="1" customWidth="1"/>
    <col min="8457" max="8457" width="3" style="3923" bestFit="1" customWidth="1"/>
    <col min="8458" max="8458" width="12.140625" style="3923" customWidth="1"/>
    <col min="8459" max="8466" width="7.140625" style="3923" customWidth="1"/>
    <col min="8467" max="8468" width="12.140625" style="3923" customWidth="1"/>
    <col min="8469" max="8469" width="7.140625" style="3923" customWidth="1"/>
    <col min="8470" max="8470" width="9.85546875" style="3923" customWidth="1"/>
    <col min="8471" max="8710" width="8.85546875" style="3923"/>
    <col min="8711" max="8711" width="3" style="3923" bestFit="1" customWidth="1"/>
    <col min="8712" max="8712" width="14.140625" style="3923" bestFit="1" customWidth="1"/>
    <col min="8713" max="8713" width="3" style="3923" bestFit="1" customWidth="1"/>
    <col min="8714" max="8714" width="12.140625" style="3923" customWidth="1"/>
    <col min="8715" max="8722" width="7.140625" style="3923" customWidth="1"/>
    <col min="8723" max="8724" width="12.140625" style="3923" customWidth="1"/>
    <col min="8725" max="8725" width="7.140625" style="3923" customWidth="1"/>
    <col min="8726" max="8726" width="9.85546875" style="3923" customWidth="1"/>
    <col min="8727" max="8966" width="8.85546875" style="3923"/>
    <col min="8967" max="8967" width="3" style="3923" bestFit="1" customWidth="1"/>
    <col min="8968" max="8968" width="14.140625" style="3923" bestFit="1" customWidth="1"/>
    <col min="8969" max="8969" width="3" style="3923" bestFit="1" customWidth="1"/>
    <col min="8970" max="8970" width="12.140625" style="3923" customWidth="1"/>
    <col min="8971" max="8978" width="7.140625" style="3923" customWidth="1"/>
    <col min="8979" max="8980" width="12.140625" style="3923" customWidth="1"/>
    <col min="8981" max="8981" width="7.140625" style="3923" customWidth="1"/>
    <col min="8982" max="8982" width="9.85546875" style="3923" customWidth="1"/>
    <col min="8983" max="9222" width="8.85546875" style="3923"/>
    <col min="9223" max="9223" width="3" style="3923" bestFit="1" customWidth="1"/>
    <col min="9224" max="9224" width="14.140625" style="3923" bestFit="1" customWidth="1"/>
    <col min="9225" max="9225" width="3" style="3923" bestFit="1" customWidth="1"/>
    <col min="9226" max="9226" width="12.140625" style="3923" customWidth="1"/>
    <col min="9227" max="9234" width="7.140625" style="3923" customWidth="1"/>
    <col min="9235" max="9236" width="12.140625" style="3923" customWidth="1"/>
    <col min="9237" max="9237" width="7.140625" style="3923" customWidth="1"/>
    <col min="9238" max="9238" width="9.85546875" style="3923" customWidth="1"/>
    <col min="9239" max="9478" width="8.85546875" style="3923"/>
    <col min="9479" max="9479" width="3" style="3923" bestFit="1" customWidth="1"/>
    <col min="9480" max="9480" width="14.140625" style="3923" bestFit="1" customWidth="1"/>
    <col min="9481" max="9481" width="3" style="3923" bestFit="1" customWidth="1"/>
    <col min="9482" max="9482" width="12.140625" style="3923" customWidth="1"/>
    <col min="9483" max="9490" width="7.140625" style="3923" customWidth="1"/>
    <col min="9491" max="9492" width="12.140625" style="3923" customWidth="1"/>
    <col min="9493" max="9493" width="7.140625" style="3923" customWidth="1"/>
    <col min="9494" max="9494" width="9.85546875" style="3923" customWidth="1"/>
    <col min="9495" max="9734" width="8.85546875" style="3923"/>
    <col min="9735" max="9735" width="3" style="3923" bestFit="1" customWidth="1"/>
    <col min="9736" max="9736" width="14.140625" style="3923" bestFit="1" customWidth="1"/>
    <col min="9737" max="9737" width="3" style="3923" bestFit="1" customWidth="1"/>
    <col min="9738" max="9738" width="12.140625" style="3923" customWidth="1"/>
    <col min="9739" max="9746" width="7.140625" style="3923" customWidth="1"/>
    <col min="9747" max="9748" width="12.140625" style="3923" customWidth="1"/>
    <col min="9749" max="9749" width="7.140625" style="3923" customWidth="1"/>
    <col min="9750" max="9750" width="9.85546875" style="3923" customWidth="1"/>
    <col min="9751" max="9990" width="8.85546875" style="3923"/>
    <col min="9991" max="9991" width="3" style="3923" bestFit="1" customWidth="1"/>
    <col min="9992" max="9992" width="14.140625" style="3923" bestFit="1" customWidth="1"/>
    <col min="9993" max="9993" width="3" style="3923" bestFit="1" customWidth="1"/>
    <col min="9994" max="9994" width="12.140625" style="3923" customWidth="1"/>
    <col min="9995" max="10002" width="7.140625" style="3923" customWidth="1"/>
    <col min="10003" max="10004" width="12.140625" style="3923" customWidth="1"/>
    <col min="10005" max="10005" width="7.140625" style="3923" customWidth="1"/>
    <col min="10006" max="10006" width="9.85546875" style="3923" customWidth="1"/>
    <col min="10007" max="10246" width="8.85546875" style="3923"/>
    <col min="10247" max="10247" width="3" style="3923" bestFit="1" customWidth="1"/>
    <col min="10248" max="10248" width="14.140625" style="3923" bestFit="1" customWidth="1"/>
    <col min="10249" max="10249" width="3" style="3923" bestFit="1" customWidth="1"/>
    <col min="10250" max="10250" width="12.140625" style="3923" customWidth="1"/>
    <col min="10251" max="10258" width="7.140625" style="3923" customWidth="1"/>
    <col min="10259" max="10260" width="12.140625" style="3923" customWidth="1"/>
    <col min="10261" max="10261" width="7.140625" style="3923" customWidth="1"/>
    <col min="10262" max="10262" width="9.85546875" style="3923" customWidth="1"/>
    <col min="10263" max="10502" width="8.85546875" style="3923"/>
    <col min="10503" max="10503" width="3" style="3923" bestFit="1" customWidth="1"/>
    <col min="10504" max="10504" width="14.140625" style="3923" bestFit="1" customWidth="1"/>
    <col min="10505" max="10505" width="3" style="3923" bestFit="1" customWidth="1"/>
    <col min="10506" max="10506" width="12.140625" style="3923" customWidth="1"/>
    <col min="10507" max="10514" width="7.140625" style="3923" customWidth="1"/>
    <col min="10515" max="10516" width="12.140625" style="3923" customWidth="1"/>
    <col min="10517" max="10517" width="7.140625" style="3923" customWidth="1"/>
    <col min="10518" max="10518" width="9.85546875" style="3923" customWidth="1"/>
    <col min="10519" max="10758" width="8.85546875" style="3923"/>
    <col min="10759" max="10759" width="3" style="3923" bestFit="1" customWidth="1"/>
    <col min="10760" max="10760" width="14.140625" style="3923" bestFit="1" customWidth="1"/>
    <col min="10761" max="10761" width="3" style="3923" bestFit="1" customWidth="1"/>
    <col min="10762" max="10762" width="12.140625" style="3923" customWidth="1"/>
    <col min="10763" max="10770" width="7.140625" style="3923" customWidth="1"/>
    <col min="10771" max="10772" width="12.140625" style="3923" customWidth="1"/>
    <col min="10773" max="10773" width="7.140625" style="3923" customWidth="1"/>
    <col min="10774" max="10774" width="9.85546875" style="3923" customWidth="1"/>
    <col min="10775" max="11014" width="8.85546875" style="3923"/>
    <col min="11015" max="11015" width="3" style="3923" bestFit="1" customWidth="1"/>
    <col min="11016" max="11016" width="14.140625" style="3923" bestFit="1" customWidth="1"/>
    <col min="11017" max="11017" width="3" style="3923" bestFit="1" customWidth="1"/>
    <col min="11018" max="11018" width="12.140625" style="3923" customWidth="1"/>
    <col min="11019" max="11026" width="7.140625" style="3923" customWidth="1"/>
    <col min="11027" max="11028" width="12.140625" style="3923" customWidth="1"/>
    <col min="11029" max="11029" width="7.140625" style="3923" customWidth="1"/>
    <col min="11030" max="11030" width="9.85546875" style="3923" customWidth="1"/>
    <col min="11031" max="11270" width="8.85546875" style="3923"/>
    <col min="11271" max="11271" width="3" style="3923" bestFit="1" customWidth="1"/>
    <col min="11272" max="11272" width="14.140625" style="3923" bestFit="1" customWidth="1"/>
    <col min="11273" max="11273" width="3" style="3923" bestFit="1" customWidth="1"/>
    <col min="11274" max="11274" width="12.140625" style="3923" customWidth="1"/>
    <col min="11275" max="11282" width="7.140625" style="3923" customWidth="1"/>
    <col min="11283" max="11284" width="12.140625" style="3923" customWidth="1"/>
    <col min="11285" max="11285" width="7.140625" style="3923" customWidth="1"/>
    <col min="11286" max="11286" width="9.85546875" style="3923" customWidth="1"/>
    <col min="11287" max="11526" width="8.85546875" style="3923"/>
    <col min="11527" max="11527" width="3" style="3923" bestFit="1" customWidth="1"/>
    <col min="11528" max="11528" width="14.140625" style="3923" bestFit="1" customWidth="1"/>
    <col min="11529" max="11529" width="3" style="3923" bestFit="1" customWidth="1"/>
    <col min="11530" max="11530" width="12.140625" style="3923" customWidth="1"/>
    <col min="11531" max="11538" width="7.140625" style="3923" customWidth="1"/>
    <col min="11539" max="11540" width="12.140625" style="3923" customWidth="1"/>
    <col min="11541" max="11541" width="7.140625" style="3923" customWidth="1"/>
    <col min="11542" max="11542" width="9.85546875" style="3923" customWidth="1"/>
    <col min="11543" max="11782" width="8.85546875" style="3923"/>
    <col min="11783" max="11783" width="3" style="3923" bestFit="1" customWidth="1"/>
    <col min="11784" max="11784" width="14.140625" style="3923" bestFit="1" customWidth="1"/>
    <col min="11785" max="11785" width="3" style="3923" bestFit="1" customWidth="1"/>
    <col min="11786" max="11786" width="12.140625" style="3923" customWidth="1"/>
    <col min="11787" max="11794" width="7.140625" style="3923" customWidth="1"/>
    <col min="11795" max="11796" width="12.140625" style="3923" customWidth="1"/>
    <col min="11797" max="11797" width="7.140625" style="3923" customWidth="1"/>
    <col min="11798" max="11798" width="9.85546875" style="3923" customWidth="1"/>
    <col min="11799" max="12038" width="8.85546875" style="3923"/>
    <col min="12039" max="12039" width="3" style="3923" bestFit="1" customWidth="1"/>
    <col min="12040" max="12040" width="14.140625" style="3923" bestFit="1" customWidth="1"/>
    <col min="12041" max="12041" width="3" style="3923" bestFit="1" customWidth="1"/>
    <col min="12042" max="12042" width="12.140625" style="3923" customWidth="1"/>
    <col min="12043" max="12050" width="7.140625" style="3923" customWidth="1"/>
    <col min="12051" max="12052" width="12.140625" style="3923" customWidth="1"/>
    <col min="12053" max="12053" width="7.140625" style="3923" customWidth="1"/>
    <col min="12054" max="12054" width="9.85546875" style="3923" customWidth="1"/>
    <col min="12055" max="12294" width="8.85546875" style="3923"/>
    <col min="12295" max="12295" width="3" style="3923" bestFit="1" customWidth="1"/>
    <col min="12296" max="12296" width="14.140625" style="3923" bestFit="1" customWidth="1"/>
    <col min="12297" max="12297" width="3" style="3923" bestFit="1" customWidth="1"/>
    <col min="12298" max="12298" width="12.140625" style="3923" customWidth="1"/>
    <col min="12299" max="12306" width="7.140625" style="3923" customWidth="1"/>
    <col min="12307" max="12308" width="12.140625" style="3923" customWidth="1"/>
    <col min="12309" max="12309" width="7.140625" style="3923" customWidth="1"/>
    <col min="12310" max="12310" width="9.85546875" style="3923" customWidth="1"/>
    <col min="12311" max="12550" width="8.85546875" style="3923"/>
    <col min="12551" max="12551" width="3" style="3923" bestFit="1" customWidth="1"/>
    <col min="12552" max="12552" width="14.140625" style="3923" bestFit="1" customWidth="1"/>
    <col min="12553" max="12553" width="3" style="3923" bestFit="1" customWidth="1"/>
    <col min="12554" max="12554" width="12.140625" style="3923" customWidth="1"/>
    <col min="12555" max="12562" width="7.140625" style="3923" customWidth="1"/>
    <col min="12563" max="12564" width="12.140625" style="3923" customWidth="1"/>
    <col min="12565" max="12565" width="7.140625" style="3923" customWidth="1"/>
    <col min="12566" max="12566" width="9.85546875" style="3923" customWidth="1"/>
    <col min="12567" max="12806" width="8.85546875" style="3923"/>
    <col min="12807" max="12807" width="3" style="3923" bestFit="1" customWidth="1"/>
    <col min="12808" max="12808" width="14.140625" style="3923" bestFit="1" customWidth="1"/>
    <col min="12809" max="12809" width="3" style="3923" bestFit="1" customWidth="1"/>
    <col min="12810" max="12810" width="12.140625" style="3923" customWidth="1"/>
    <col min="12811" max="12818" width="7.140625" style="3923" customWidth="1"/>
    <col min="12819" max="12820" width="12.140625" style="3923" customWidth="1"/>
    <col min="12821" max="12821" width="7.140625" style="3923" customWidth="1"/>
    <col min="12822" max="12822" width="9.85546875" style="3923" customWidth="1"/>
    <col min="12823" max="13062" width="8.85546875" style="3923"/>
    <col min="13063" max="13063" width="3" style="3923" bestFit="1" customWidth="1"/>
    <col min="13064" max="13064" width="14.140625" style="3923" bestFit="1" customWidth="1"/>
    <col min="13065" max="13065" width="3" style="3923" bestFit="1" customWidth="1"/>
    <col min="13066" max="13066" width="12.140625" style="3923" customWidth="1"/>
    <col min="13067" max="13074" width="7.140625" style="3923" customWidth="1"/>
    <col min="13075" max="13076" width="12.140625" style="3923" customWidth="1"/>
    <col min="13077" max="13077" width="7.140625" style="3923" customWidth="1"/>
    <col min="13078" max="13078" width="9.85546875" style="3923" customWidth="1"/>
    <col min="13079" max="13318" width="8.85546875" style="3923"/>
    <col min="13319" max="13319" width="3" style="3923" bestFit="1" customWidth="1"/>
    <col min="13320" max="13320" width="14.140625" style="3923" bestFit="1" customWidth="1"/>
    <col min="13321" max="13321" width="3" style="3923" bestFit="1" customWidth="1"/>
    <col min="13322" max="13322" width="12.140625" style="3923" customWidth="1"/>
    <col min="13323" max="13330" width="7.140625" style="3923" customWidth="1"/>
    <col min="13331" max="13332" width="12.140625" style="3923" customWidth="1"/>
    <col min="13333" max="13333" width="7.140625" style="3923" customWidth="1"/>
    <col min="13334" max="13334" width="9.85546875" style="3923" customWidth="1"/>
    <col min="13335" max="13574" width="8.85546875" style="3923"/>
    <col min="13575" max="13575" width="3" style="3923" bestFit="1" customWidth="1"/>
    <col min="13576" max="13576" width="14.140625" style="3923" bestFit="1" customWidth="1"/>
    <col min="13577" max="13577" width="3" style="3923" bestFit="1" customWidth="1"/>
    <col min="13578" max="13578" width="12.140625" style="3923" customWidth="1"/>
    <col min="13579" max="13586" width="7.140625" style="3923" customWidth="1"/>
    <col min="13587" max="13588" width="12.140625" style="3923" customWidth="1"/>
    <col min="13589" max="13589" width="7.140625" style="3923" customWidth="1"/>
    <col min="13590" max="13590" width="9.85546875" style="3923" customWidth="1"/>
    <col min="13591" max="13830" width="8.85546875" style="3923"/>
    <col min="13831" max="13831" width="3" style="3923" bestFit="1" customWidth="1"/>
    <col min="13832" max="13832" width="14.140625" style="3923" bestFit="1" customWidth="1"/>
    <col min="13833" max="13833" width="3" style="3923" bestFit="1" customWidth="1"/>
    <col min="13834" max="13834" width="12.140625" style="3923" customWidth="1"/>
    <col min="13835" max="13842" width="7.140625" style="3923" customWidth="1"/>
    <col min="13843" max="13844" width="12.140625" style="3923" customWidth="1"/>
    <col min="13845" max="13845" width="7.140625" style="3923" customWidth="1"/>
    <col min="13846" max="13846" width="9.85546875" style="3923" customWidth="1"/>
    <col min="13847" max="14086" width="8.85546875" style="3923"/>
    <col min="14087" max="14087" width="3" style="3923" bestFit="1" customWidth="1"/>
    <col min="14088" max="14088" width="14.140625" style="3923" bestFit="1" customWidth="1"/>
    <col min="14089" max="14089" width="3" style="3923" bestFit="1" customWidth="1"/>
    <col min="14090" max="14090" width="12.140625" style="3923" customWidth="1"/>
    <col min="14091" max="14098" width="7.140625" style="3923" customWidth="1"/>
    <col min="14099" max="14100" width="12.140625" style="3923" customWidth="1"/>
    <col min="14101" max="14101" width="7.140625" style="3923" customWidth="1"/>
    <col min="14102" max="14102" width="9.85546875" style="3923" customWidth="1"/>
    <col min="14103" max="14342" width="8.85546875" style="3923"/>
    <col min="14343" max="14343" width="3" style="3923" bestFit="1" customWidth="1"/>
    <col min="14344" max="14344" width="14.140625" style="3923" bestFit="1" customWidth="1"/>
    <col min="14345" max="14345" width="3" style="3923" bestFit="1" customWidth="1"/>
    <col min="14346" max="14346" width="12.140625" style="3923" customWidth="1"/>
    <col min="14347" max="14354" width="7.140625" style="3923" customWidth="1"/>
    <col min="14355" max="14356" width="12.140625" style="3923" customWidth="1"/>
    <col min="14357" max="14357" width="7.140625" style="3923" customWidth="1"/>
    <col min="14358" max="14358" width="9.85546875" style="3923" customWidth="1"/>
    <col min="14359" max="14598" width="8.85546875" style="3923"/>
    <col min="14599" max="14599" width="3" style="3923" bestFit="1" customWidth="1"/>
    <col min="14600" max="14600" width="14.140625" style="3923" bestFit="1" customWidth="1"/>
    <col min="14601" max="14601" width="3" style="3923" bestFit="1" customWidth="1"/>
    <col min="14602" max="14602" width="12.140625" style="3923" customWidth="1"/>
    <col min="14603" max="14610" width="7.140625" style="3923" customWidth="1"/>
    <col min="14611" max="14612" width="12.140625" style="3923" customWidth="1"/>
    <col min="14613" max="14613" width="7.140625" style="3923" customWidth="1"/>
    <col min="14614" max="14614" width="9.85546875" style="3923" customWidth="1"/>
    <col min="14615" max="14854" width="8.85546875" style="3923"/>
    <col min="14855" max="14855" width="3" style="3923" bestFit="1" customWidth="1"/>
    <col min="14856" max="14856" width="14.140625" style="3923" bestFit="1" customWidth="1"/>
    <col min="14857" max="14857" width="3" style="3923" bestFit="1" customWidth="1"/>
    <col min="14858" max="14858" width="12.140625" style="3923" customWidth="1"/>
    <col min="14859" max="14866" width="7.140625" style="3923" customWidth="1"/>
    <col min="14867" max="14868" width="12.140625" style="3923" customWidth="1"/>
    <col min="14869" max="14869" width="7.140625" style="3923" customWidth="1"/>
    <col min="14870" max="14870" width="9.85546875" style="3923" customWidth="1"/>
    <col min="14871" max="15110" width="8.85546875" style="3923"/>
    <col min="15111" max="15111" width="3" style="3923" bestFit="1" customWidth="1"/>
    <col min="15112" max="15112" width="14.140625" style="3923" bestFit="1" customWidth="1"/>
    <col min="15113" max="15113" width="3" style="3923" bestFit="1" customWidth="1"/>
    <col min="15114" max="15114" width="12.140625" style="3923" customWidth="1"/>
    <col min="15115" max="15122" width="7.140625" style="3923" customWidth="1"/>
    <col min="15123" max="15124" width="12.140625" style="3923" customWidth="1"/>
    <col min="15125" max="15125" width="7.140625" style="3923" customWidth="1"/>
    <col min="15126" max="15126" width="9.85546875" style="3923" customWidth="1"/>
    <col min="15127" max="15366" width="8.85546875" style="3923"/>
    <col min="15367" max="15367" width="3" style="3923" bestFit="1" customWidth="1"/>
    <col min="15368" max="15368" width="14.140625" style="3923" bestFit="1" customWidth="1"/>
    <col min="15369" max="15369" width="3" style="3923" bestFit="1" customWidth="1"/>
    <col min="15370" max="15370" width="12.140625" style="3923" customWidth="1"/>
    <col min="15371" max="15378" width="7.140625" style="3923" customWidth="1"/>
    <col min="15379" max="15380" width="12.140625" style="3923" customWidth="1"/>
    <col min="15381" max="15381" width="7.140625" style="3923" customWidth="1"/>
    <col min="15382" max="15382" width="9.85546875" style="3923" customWidth="1"/>
    <col min="15383" max="15622" width="8.85546875" style="3923"/>
    <col min="15623" max="15623" width="3" style="3923" bestFit="1" customWidth="1"/>
    <col min="15624" max="15624" width="14.140625" style="3923" bestFit="1" customWidth="1"/>
    <col min="15625" max="15625" width="3" style="3923" bestFit="1" customWidth="1"/>
    <col min="15626" max="15626" width="12.140625" style="3923" customWidth="1"/>
    <col min="15627" max="15634" width="7.140625" style="3923" customWidth="1"/>
    <col min="15635" max="15636" width="12.140625" style="3923" customWidth="1"/>
    <col min="15637" max="15637" width="7.140625" style="3923" customWidth="1"/>
    <col min="15638" max="15638" width="9.85546875" style="3923" customWidth="1"/>
    <col min="15639" max="15878" width="8.85546875" style="3923"/>
    <col min="15879" max="15879" width="3" style="3923" bestFit="1" customWidth="1"/>
    <col min="15880" max="15880" width="14.140625" style="3923" bestFit="1" customWidth="1"/>
    <col min="15881" max="15881" width="3" style="3923" bestFit="1" customWidth="1"/>
    <col min="15882" max="15882" width="12.140625" style="3923" customWidth="1"/>
    <col min="15883" max="15890" width="7.140625" style="3923" customWidth="1"/>
    <col min="15891" max="15892" width="12.140625" style="3923" customWidth="1"/>
    <col min="15893" max="15893" width="7.140625" style="3923" customWidth="1"/>
    <col min="15894" max="15894" width="9.85546875" style="3923" customWidth="1"/>
    <col min="15895" max="16134" width="8.85546875" style="3923"/>
    <col min="16135" max="16135" width="3" style="3923" bestFit="1" customWidth="1"/>
    <col min="16136" max="16136" width="14.140625" style="3923" bestFit="1" customWidth="1"/>
    <col min="16137" max="16137" width="3" style="3923" bestFit="1" customWidth="1"/>
    <col min="16138" max="16138" width="12.140625" style="3923" customWidth="1"/>
    <col min="16139" max="16146" width="7.140625" style="3923" customWidth="1"/>
    <col min="16147" max="16148" width="12.140625" style="3923" customWidth="1"/>
    <col min="16149" max="16149" width="7.140625" style="3923" customWidth="1"/>
    <col min="16150" max="16150" width="9.85546875" style="3923" customWidth="1"/>
    <col min="16151" max="16384" width="8.85546875" style="3923"/>
  </cols>
  <sheetData>
    <row r="1" spans="1:29" ht="14.25" x14ac:dyDescent="0.2">
      <c r="A1" s="3854"/>
      <c r="B1" s="3919"/>
      <c r="C1" s="3919"/>
      <c r="D1" s="3920"/>
      <c r="E1" s="3920"/>
      <c r="F1" s="3920"/>
      <c r="G1" s="3920"/>
      <c r="H1" s="3920"/>
      <c r="I1" s="3920"/>
      <c r="J1" s="3920"/>
      <c r="K1" s="3920"/>
      <c r="L1" s="3920"/>
      <c r="M1" s="3920"/>
      <c r="N1" s="3920"/>
      <c r="O1" s="3920"/>
      <c r="P1" s="3920"/>
      <c r="Q1" s="3920"/>
      <c r="R1" s="3920"/>
      <c r="S1" s="3920"/>
      <c r="T1" s="3921"/>
      <c r="U1" s="3921"/>
      <c r="V1" s="3921"/>
      <c r="W1" s="3922"/>
      <c r="X1" s="3922"/>
      <c r="Y1" s="3922"/>
      <c r="Z1" s="3922"/>
      <c r="AA1" s="3922"/>
    </row>
    <row r="2" spans="1:29" ht="14.45" customHeight="1" x14ac:dyDescent="0.2">
      <c r="A2" s="3854">
        <v>1</v>
      </c>
      <c r="B2" s="3854" t="s">
        <v>0</v>
      </c>
      <c r="C2" s="3854">
        <v>54</v>
      </c>
      <c r="D2" s="4925" t="s">
        <v>2194</v>
      </c>
      <c r="E2" s="4926"/>
      <c r="F2" s="4926"/>
      <c r="G2" s="4926"/>
      <c r="H2" s="4926"/>
      <c r="I2" s="4926"/>
      <c r="J2" s="4926"/>
      <c r="K2" s="4926"/>
      <c r="L2" s="4926"/>
      <c r="M2" s="4926"/>
      <c r="N2" s="4926"/>
      <c r="O2" s="4926"/>
      <c r="P2" s="4926"/>
      <c r="Q2" s="4926"/>
      <c r="R2" s="4926"/>
      <c r="S2" s="4926"/>
      <c r="T2" s="4926"/>
      <c r="U2" s="4926"/>
      <c r="V2" s="4927"/>
      <c r="W2" s="3924"/>
      <c r="X2" s="3924"/>
      <c r="Y2" s="3924"/>
      <c r="Z2" s="3922"/>
      <c r="AA2" s="3922"/>
    </row>
    <row r="3" spans="1:29" ht="15" customHeight="1" x14ac:dyDescent="0.2">
      <c r="A3" s="3854">
        <v>2</v>
      </c>
      <c r="B3" s="3854" t="s">
        <v>2</v>
      </c>
      <c r="C3" s="3854"/>
      <c r="D3" s="4925" t="s">
        <v>1365</v>
      </c>
      <c r="E3" s="4926"/>
      <c r="F3" s="4926"/>
      <c r="G3" s="4926"/>
      <c r="H3" s="4926"/>
      <c r="I3" s="4926"/>
      <c r="J3" s="4926"/>
      <c r="K3" s="4926"/>
      <c r="L3" s="4926"/>
      <c r="M3" s="4926"/>
      <c r="N3" s="4926"/>
      <c r="O3" s="4926"/>
      <c r="P3" s="4926"/>
      <c r="Q3" s="4926"/>
      <c r="R3" s="4926"/>
      <c r="S3" s="4926"/>
      <c r="T3" s="4926"/>
      <c r="U3" s="4926"/>
      <c r="V3" s="4927"/>
      <c r="W3" s="3922"/>
      <c r="X3" s="3922"/>
      <c r="Y3" s="3922"/>
      <c r="Z3" s="3922"/>
      <c r="AA3" s="3922"/>
    </row>
    <row r="4" spans="1:29" ht="13.35" customHeight="1" x14ac:dyDescent="0.2">
      <c r="A4" s="3854">
        <v>3</v>
      </c>
      <c r="B4" s="3854" t="s">
        <v>4</v>
      </c>
      <c r="C4" s="3854"/>
      <c r="D4" s="4925" t="s">
        <v>1464</v>
      </c>
      <c r="E4" s="4926"/>
      <c r="F4" s="4926"/>
      <c r="G4" s="4926"/>
      <c r="H4" s="4926"/>
      <c r="I4" s="4926"/>
      <c r="J4" s="4926"/>
      <c r="K4" s="4926"/>
      <c r="L4" s="4926"/>
      <c r="M4" s="4926"/>
      <c r="N4" s="4926"/>
      <c r="O4" s="4926"/>
      <c r="P4" s="4926"/>
      <c r="Q4" s="4926"/>
      <c r="R4" s="4926"/>
      <c r="S4" s="4926"/>
      <c r="T4" s="4926"/>
      <c r="U4" s="4926"/>
      <c r="V4" s="4927"/>
      <c r="W4" s="3925"/>
      <c r="X4" s="3925"/>
      <c r="Y4" s="3925"/>
      <c r="Z4" s="3925"/>
      <c r="AA4" s="3925"/>
      <c r="AB4" s="3925"/>
      <c r="AC4" s="3925"/>
    </row>
    <row r="5" spans="1:29" ht="13.35" customHeight="1" x14ac:dyDescent="0.2">
      <c r="A5" s="3854"/>
      <c r="B5" s="3854"/>
      <c r="C5" s="3926"/>
      <c r="D5" s="3926"/>
      <c r="E5" s="3926"/>
      <c r="F5" s="3926"/>
      <c r="G5" s="3926"/>
      <c r="H5" s="3926"/>
      <c r="I5" s="3926"/>
      <c r="J5" s="3926"/>
      <c r="K5" s="3926"/>
      <c r="L5" s="3926"/>
      <c r="M5" s="3926"/>
      <c r="N5" s="3926"/>
      <c r="O5" s="3926"/>
      <c r="P5" s="3926"/>
      <c r="Q5" s="3926"/>
      <c r="R5" s="3926"/>
      <c r="S5" s="3926"/>
      <c r="T5" s="3926"/>
      <c r="U5" s="3926"/>
      <c r="V5" s="3926"/>
      <c r="W5" s="3926"/>
      <c r="X5" s="3925"/>
      <c r="Y5" s="3925"/>
      <c r="Z5" s="3925"/>
      <c r="AA5" s="3925"/>
      <c r="AB5" s="3925"/>
      <c r="AC5" s="3925"/>
    </row>
    <row r="6" spans="1:29" ht="14.25" x14ac:dyDescent="0.2">
      <c r="N6" s="3927"/>
      <c r="O6" s="3927"/>
      <c r="T6" s="3928"/>
      <c r="U6" s="3928"/>
      <c r="V6" s="3928"/>
      <c r="W6" s="3922"/>
      <c r="X6" s="3922"/>
      <c r="Y6" s="3922"/>
      <c r="Z6" s="3922"/>
      <c r="AA6" s="3922"/>
    </row>
    <row r="7" spans="1:29" s="3931" customFormat="1" ht="14.25" x14ac:dyDescent="0.2">
      <c r="A7" s="3854">
        <v>4</v>
      </c>
      <c r="B7" s="3854" t="s">
        <v>6</v>
      </c>
      <c r="C7" s="3929"/>
      <c r="D7" s="3930" t="s">
        <v>1465</v>
      </c>
      <c r="E7" s="1614"/>
      <c r="F7" s="1615"/>
      <c r="G7" s="1615"/>
      <c r="H7" s="1615"/>
      <c r="I7" s="1615"/>
      <c r="J7" s="1615"/>
      <c r="K7" s="1615"/>
      <c r="L7" s="1615"/>
      <c r="M7" s="1615"/>
      <c r="N7" s="1676"/>
      <c r="O7" s="1677"/>
      <c r="P7" s="1677"/>
      <c r="Q7" s="1677"/>
      <c r="R7" s="1677"/>
      <c r="S7" s="1677"/>
      <c r="T7" s="1677"/>
      <c r="U7" s="1677"/>
      <c r="V7" s="1677"/>
      <c r="W7" s="1677"/>
      <c r="X7" s="3926"/>
      <c r="Y7" s="3926"/>
      <c r="Z7" s="3926"/>
      <c r="AA7" s="3926"/>
      <c r="AB7" s="3926"/>
    </row>
    <row r="8" spans="1:29" s="3931" customFormat="1" ht="14.25" x14ac:dyDescent="0.2">
      <c r="A8" s="3932"/>
      <c r="B8" s="3929"/>
      <c r="C8" s="3929"/>
      <c r="D8" s="3933"/>
      <c r="E8" s="1678" t="s">
        <v>20</v>
      </c>
      <c r="F8" s="1678" t="s">
        <v>21</v>
      </c>
      <c r="G8" s="1678" t="s">
        <v>22</v>
      </c>
      <c r="H8" s="1678" t="s">
        <v>23</v>
      </c>
      <c r="I8" s="1678" t="s">
        <v>24</v>
      </c>
      <c r="J8" s="1678" t="s">
        <v>25</v>
      </c>
      <c r="K8" s="1678" t="s">
        <v>26</v>
      </c>
      <c r="L8" s="1678" t="s">
        <v>27</v>
      </c>
      <c r="M8" s="1678">
        <v>3372</v>
      </c>
      <c r="N8" s="1678" t="s">
        <v>29</v>
      </c>
      <c r="O8" s="1678"/>
      <c r="P8" s="1678" t="s">
        <v>31</v>
      </c>
      <c r="Q8" s="1678" t="s">
        <v>32</v>
      </c>
      <c r="R8" s="1678" t="s">
        <v>33</v>
      </c>
      <c r="S8" s="1678" t="s">
        <v>59</v>
      </c>
      <c r="T8" s="1677"/>
      <c r="U8" s="1677"/>
      <c r="V8" s="1677"/>
      <c r="W8" s="1677"/>
      <c r="X8" s="1677"/>
      <c r="Y8" s="3926"/>
      <c r="Z8" s="3926"/>
      <c r="AA8" s="3926"/>
      <c r="AB8" s="3926"/>
      <c r="AC8" s="3926"/>
    </row>
    <row r="9" spans="1:29" s="3931" customFormat="1" ht="14.25" x14ac:dyDescent="0.2">
      <c r="A9" s="3932"/>
      <c r="B9" s="3929"/>
      <c r="C9" s="3929"/>
      <c r="D9" s="3934" t="s">
        <v>1466</v>
      </c>
      <c r="E9" s="1618">
        <v>6030</v>
      </c>
      <c r="F9" s="1618">
        <v>8935</v>
      </c>
      <c r="G9" s="1618">
        <v>8238</v>
      </c>
      <c r="H9" s="1618">
        <v>11778</v>
      </c>
      <c r="I9" s="1618">
        <v>14023</v>
      </c>
      <c r="J9" s="1618">
        <v>15277</v>
      </c>
      <c r="K9" s="1618">
        <v>18110</v>
      </c>
      <c r="L9" s="1618">
        <v>14389</v>
      </c>
      <c r="M9" s="1618">
        <v>16114</v>
      </c>
      <c r="N9" s="1618">
        <v>21198</v>
      </c>
      <c r="O9" s="1618">
        <v>21151</v>
      </c>
      <c r="P9" s="1618">
        <v>19627</v>
      </c>
      <c r="Q9" s="1618">
        <v>24050</v>
      </c>
      <c r="R9" s="3935">
        <v>15106</v>
      </c>
      <c r="S9" s="3935">
        <v>19536</v>
      </c>
      <c r="T9" s="1677"/>
      <c r="U9" s="1677"/>
      <c r="V9" s="1677"/>
      <c r="W9" s="1677"/>
      <c r="X9" s="1677"/>
      <c r="Y9" s="3926"/>
      <c r="Z9" s="3926"/>
      <c r="AA9" s="3926"/>
      <c r="AB9" s="3926"/>
      <c r="AC9" s="3926"/>
    </row>
    <row r="10" spans="1:29" s="3931" customFormat="1" ht="14.25" x14ac:dyDescent="0.2">
      <c r="A10" s="3872"/>
      <c r="B10" s="3936"/>
      <c r="C10" s="3936"/>
      <c r="D10" s="3937"/>
      <c r="E10" s="3937"/>
      <c r="F10" s="3937"/>
      <c r="G10" s="3937"/>
      <c r="H10" s="3937"/>
      <c r="I10" s="3937"/>
      <c r="J10" s="3937"/>
      <c r="K10" s="3937"/>
      <c r="L10" s="3937"/>
      <c r="M10" s="3937">
        <v>9191</v>
      </c>
      <c r="N10" s="3937"/>
      <c r="O10" s="1676"/>
      <c r="P10" s="1676"/>
      <c r="Q10" s="1676"/>
      <c r="R10" s="1676"/>
      <c r="S10" s="1676"/>
      <c r="T10" s="1676"/>
      <c r="U10" s="1676"/>
      <c r="V10" s="1676"/>
      <c r="W10" s="1676"/>
      <c r="X10" s="3926"/>
      <c r="Y10" s="3926"/>
      <c r="Z10" s="3926"/>
      <c r="AA10" s="3926"/>
      <c r="AB10" s="3926"/>
    </row>
    <row r="11" spans="1:29" s="3931" customFormat="1" ht="14.25" x14ac:dyDescent="0.2">
      <c r="A11" s="3872"/>
      <c r="B11" s="3936"/>
      <c r="C11" s="3936"/>
      <c r="D11" s="3930" t="s">
        <v>1467</v>
      </c>
      <c r="E11" s="1614"/>
      <c r="F11" s="1615"/>
      <c r="G11" s="1615"/>
      <c r="H11" s="1615"/>
      <c r="I11" s="1615"/>
      <c r="J11" s="1615"/>
      <c r="K11" s="1615"/>
      <c r="L11" s="1615"/>
      <c r="M11" s="1615"/>
      <c r="N11" s="1615"/>
      <c r="O11" s="1615"/>
      <c r="P11" s="1615"/>
      <c r="Q11" s="1676"/>
      <c r="R11" s="1676"/>
      <c r="S11" s="1676"/>
      <c r="T11" s="1676"/>
      <c r="U11" s="1676"/>
      <c r="V11" s="1676"/>
      <c r="W11" s="1676"/>
      <c r="X11" s="3926"/>
      <c r="Y11" s="3926"/>
      <c r="Z11" s="3926"/>
      <c r="AA11" s="3926"/>
      <c r="AB11" s="3926"/>
    </row>
    <row r="12" spans="1:29" s="3931" customFormat="1" ht="14.25" x14ac:dyDescent="0.2">
      <c r="A12" s="3872"/>
      <c r="B12" s="3936"/>
      <c r="C12" s="3936"/>
      <c r="D12" s="3938"/>
      <c r="E12" s="4928" t="s">
        <v>25</v>
      </c>
      <c r="F12" s="4929"/>
      <c r="G12" s="3917" t="s">
        <v>26</v>
      </c>
      <c r="H12" s="3918"/>
      <c r="I12" s="4928" t="s">
        <v>27</v>
      </c>
      <c r="J12" s="4929"/>
      <c r="K12" s="4928" t="s">
        <v>28</v>
      </c>
      <c r="L12" s="4929"/>
      <c r="M12" s="4930" t="s">
        <v>29</v>
      </c>
      <c r="N12" s="4929"/>
      <c r="O12" s="4931" t="s">
        <v>30</v>
      </c>
      <c r="P12" s="4931"/>
      <c r="Q12" s="4923" t="s">
        <v>31</v>
      </c>
      <c r="R12" s="4924"/>
      <c r="S12" s="4923" t="s">
        <v>32</v>
      </c>
      <c r="T12" s="4924"/>
      <c r="U12" s="4923" t="s">
        <v>33</v>
      </c>
      <c r="V12" s="4924"/>
      <c r="W12" s="4923" t="s">
        <v>59</v>
      </c>
      <c r="X12" s="4924"/>
      <c r="Y12" s="3926"/>
      <c r="Z12" s="3926"/>
      <c r="AA12" s="3926"/>
      <c r="AB12" s="3926"/>
    </row>
    <row r="13" spans="1:29" s="3931" customFormat="1" ht="14.25" x14ac:dyDescent="0.2">
      <c r="A13" s="3872"/>
      <c r="B13" s="3936"/>
      <c r="C13" s="3936"/>
      <c r="D13" s="3939"/>
      <c r="E13" s="3595" t="s">
        <v>1468</v>
      </c>
      <c r="F13" s="3471" t="s">
        <v>1469</v>
      </c>
      <c r="G13" s="3940" t="s">
        <v>1468</v>
      </c>
      <c r="H13" s="3471" t="s">
        <v>1469</v>
      </c>
      <c r="I13" s="3940" t="s">
        <v>1468</v>
      </c>
      <c r="J13" s="3471" t="s">
        <v>1469</v>
      </c>
      <c r="K13" s="3940" t="s">
        <v>1468</v>
      </c>
      <c r="L13" s="3471" t="s">
        <v>1469</v>
      </c>
      <c r="M13" s="3941" t="s">
        <v>1468</v>
      </c>
      <c r="N13" s="3472" t="s">
        <v>1469</v>
      </c>
      <c r="O13" s="3941" t="s">
        <v>1468</v>
      </c>
      <c r="P13" s="3942" t="s">
        <v>1469</v>
      </c>
      <c r="Q13" s="3596" t="s">
        <v>1468</v>
      </c>
      <c r="R13" s="3472" t="s">
        <v>1469</v>
      </c>
      <c r="S13" s="3596" t="s">
        <v>1468</v>
      </c>
      <c r="T13" s="3472" t="s">
        <v>1469</v>
      </c>
      <c r="U13" s="3596" t="s">
        <v>1468</v>
      </c>
      <c r="V13" s="3472" t="s">
        <v>1469</v>
      </c>
      <c r="W13" s="3596" t="s">
        <v>1468</v>
      </c>
      <c r="X13" s="3472" t="s">
        <v>1469</v>
      </c>
      <c r="Y13" s="3926"/>
      <c r="Z13" s="3926"/>
      <c r="AA13" s="3926"/>
      <c r="AB13" s="3926"/>
    </row>
    <row r="14" spans="1:29" s="3931" customFormat="1" ht="14.25" x14ac:dyDescent="0.2">
      <c r="A14" s="3872"/>
      <c r="B14" s="3936"/>
      <c r="C14" s="3936"/>
      <c r="D14" s="3943"/>
      <c r="E14" s="1679"/>
      <c r="F14" s="1680"/>
      <c r="G14" s="1681"/>
      <c r="H14" s="1680"/>
      <c r="I14" s="1681"/>
      <c r="J14" s="1680"/>
      <c r="K14" s="1681"/>
      <c r="L14" s="1680"/>
      <c r="M14" s="1682"/>
      <c r="N14" s="1683"/>
      <c r="O14" s="1682"/>
      <c r="P14" s="1066"/>
      <c r="Q14" s="1684"/>
      <c r="R14" s="1683"/>
      <c r="S14" s="1684"/>
      <c r="T14" s="1683"/>
      <c r="U14" s="1684"/>
      <c r="V14" s="1683"/>
      <c r="W14" s="1684"/>
      <c r="X14" s="1683"/>
      <c r="Y14" s="3926"/>
      <c r="Z14" s="3926"/>
      <c r="AA14" s="3926"/>
      <c r="AB14" s="3926"/>
    </row>
    <row r="15" spans="1:29" s="3931" customFormat="1" ht="14.25" x14ac:dyDescent="0.2">
      <c r="A15" s="3872"/>
      <c r="B15" s="3936"/>
      <c r="C15" s="3936"/>
      <c r="D15" s="3944" t="s">
        <v>1470</v>
      </c>
      <c r="E15" s="1685">
        <v>30207</v>
      </c>
      <c r="F15" s="1686">
        <v>22759</v>
      </c>
      <c r="G15" s="1687">
        <v>45742</v>
      </c>
      <c r="H15" s="1686">
        <v>23823</v>
      </c>
      <c r="I15" s="1687">
        <v>48831</v>
      </c>
      <c r="J15" s="1686">
        <v>22206</v>
      </c>
      <c r="K15" s="1687">
        <v>67029</v>
      </c>
      <c r="L15" s="1686">
        <v>28365</v>
      </c>
      <c r="M15" s="1682" t="s">
        <v>1471</v>
      </c>
      <c r="N15" s="1688" t="s">
        <v>1472</v>
      </c>
      <c r="O15" s="1687">
        <v>76857</v>
      </c>
      <c r="P15" s="1687">
        <v>31611</v>
      </c>
      <c r="Q15" s="1685">
        <v>74799</v>
      </c>
      <c r="R15" s="1686">
        <v>44080</v>
      </c>
      <c r="S15" s="1685">
        <v>56100</v>
      </c>
      <c r="T15" s="1686">
        <v>40432</v>
      </c>
      <c r="U15" s="1685">
        <v>31347</v>
      </c>
      <c r="V15" s="1686">
        <v>25460</v>
      </c>
      <c r="W15" s="1685">
        <v>48028</v>
      </c>
      <c r="X15" s="1686">
        <v>29047</v>
      </c>
      <c r="Y15" s="3926"/>
      <c r="Z15" s="3926"/>
      <c r="AA15" s="3926"/>
      <c r="AB15" s="3926"/>
    </row>
    <row r="16" spans="1:29" s="3931" customFormat="1" ht="14.25" x14ac:dyDescent="0.2">
      <c r="A16" s="3872"/>
      <c r="B16" s="3936"/>
      <c r="C16" s="3936"/>
      <c r="D16" s="3945" t="s">
        <v>1473</v>
      </c>
      <c r="E16" s="1689">
        <v>6127</v>
      </c>
      <c r="F16" s="1619">
        <v>2195</v>
      </c>
      <c r="G16" s="1690">
        <v>8011</v>
      </c>
      <c r="H16" s="1619">
        <v>2510</v>
      </c>
      <c r="I16" s="1690">
        <v>12006</v>
      </c>
      <c r="J16" s="1619">
        <v>3663</v>
      </c>
      <c r="K16" s="1690">
        <v>13135</v>
      </c>
      <c r="L16" s="1690">
        <v>3352</v>
      </c>
      <c r="M16" s="1691" t="s">
        <v>1474</v>
      </c>
      <c r="N16" s="1692" t="s">
        <v>1475</v>
      </c>
      <c r="O16" s="1689">
        <v>12935</v>
      </c>
      <c r="P16" s="1690">
        <v>6496</v>
      </c>
      <c r="Q16" s="1689">
        <v>15482</v>
      </c>
      <c r="R16" s="1619">
        <v>6123</v>
      </c>
      <c r="S16" s="1689">
        <v>11784</v>
      </c>
      <c r="T16" s="1619">
        <v>7711</v>
      </c>
      <c r="U16" s="1689">
        <v>6022</v>
      </c>
      <c r="V16" s="1619">
        <v>7405</v>
      </c>
      <c r="W16" s="1689">
        <v>9598</v>
      </c>
      <c r="X16" s="1619">
        <v>3607</v>
      </c>
      <c r="Y16" s="3926"/>
      <c r="Z16" s="3926"/>
      <c r="AA16" s="3926"/>
      <c r="AB16" s="3926"/>
    </row>
    <row r="17" spans="1:32" s="3949" customFormat="1" ht="15" x14ac:dyDescent="0.2">
      <c r="A17" s="3872"/>
      <c r="B17" s="3946"/>
      <c r="C17" s="3946"/>
      <c r="D17" s="3947"/>
      <c r="E17" s="1687"/>
      <c r="F17" s="1687"/>
      <c r="G17" s="3948"/>
      <c r="H17" s="1687"/>
      <c r="I17" s="1687"/>
      <c r="J17" s="3948"/>
      <c r="K17" s="1687"/>
      <c r="L17" s="1687"/>
      <c r="M17" s="3948"/>
      <c r="N17" s="1687"/>
      <c r="O17" s="1687"/>
      <c r="P17" s="1677"/>
      <c r="Q17" s="1677"/>
      <c r="R17" s="1677"/>
      <c r="S17" s="1677"/>
      <c r="T17" s="1693"/>
      <c r="W17" s="3922"/>
      <c r="X17" s="1677"/>
      <c r="Y17" s="1677"/>
      <c r="Z17" s="1677"/>
      <c r="AA17" s="1677"/>
    </row>
    <row r="18" spans="1:32" s="3949" customFormat="1" ht="14.25" x14ac:dyDescent="0.2">
      <c r="A18" s="3950"/>
      <c r="B18" s="3951"/>
      <c r="C18" s="3951"/>
      <c r="D18" s="3947"/>
      <c r="E18" s="1687"/>
      <c r="F18" s="1687"/>
      <c r="G18" s="3948"/>
      <c r="H18" s="1687"/>
      <c r="I18" s="1687"/>
      <c r="J18" s="3948"/>
      <c r="K18" s="1687"/>
      <c r="L18" s="1687"/>
      <c r="M18" s="3948"/>
      <c r="N18" s="1687"/>
      <c r="O18" s="1687"/>
      <c r="P18" s="1677"/>
      <c r="Q18" s="1677"/>
      <c r="R18" s="1677"/>
      <c r="S18" s="1677"/>
      <c r="T18" s="1693"/>
      <c r="U18" s="1693"/>
      <c r="V18" s="1693"/>
      <c r="W18" s="3922"/>
      <c r="X18" s="1677"/>
      <c r="Y18" s="1677"/>
      <c r="Z18" s="1677"/>
      <c r="AA18" s="1677"/>
    </row>
    <row r="19" spans="1:32" s="3949" customFormat="1" ht="14.25" x14ac:dyDescent="0.2">
      <c r="A19" s="3854">
        <v>5</v>
      </c>
      <c r="B19" s="3854" t="s">
        <v>52</v>
      </c>
      <c r="C19" s="3951"/>
      <c r="D19" s="4925" t="s">
        <v>642</v>
      </c>
      <c r="E19" s="4926"/>
      <c r="F19" s="4926"/>
      <c r="G19" s="4926"/>
      <c r="H19" s="4926"/>
      <c r="I19" s="4926"/>
      <c r="J19" s="4926"/>
      <c r="K19" s="4926"/>
      <c r="L19" s="4926"/>
      <c r="M19" s="4926"/>
      <c r="N19" s="4926"/>
      <c r="O19" s="4926"/>
      <c r="P19" s="4926"/>
      <c r="Q19" s="4926"/>
      <c r="R19" s="4926"/>
      <c r="S19" s="4926"/>
      <c r="T19" s="4926"/>
      <c r="U19" s="4926"/>
      <c r="V19" s="4927"/>
      <c r="W19" s="3922"/>
      <c r="X19" s="1677"/>
      <c r="Y19" s="1677"/>
      <c r="Z19" s="1677"/>
      <c r="AA19" s="1677"/>
    </row>
    <row r="20" spans="1:32" s="3949" customFormat="1" ht="39" customHeight="1" x14ac:dyDescent="0.2">
      <c r="A20" s="3854">
        <v>6</v>
      </c>
      <c r="B20" s="3854" t="s">
        <v>355</v>
      </c>
      <c r="C20" s="3951"/>
      <c r="D20" s="4925" t="s">
        <v>1476</v>
      </c>
      <c r="E20" s="4926"/>
      <c r="F20" s="4926"/>
      <c r="G20" s="4926"/>
      <c r="H20" s="4926"/>
      <c r="I20" s="4926"/>
      <c r="J20" s="4926"/>
      <c r="K20" s="4926"/>
      <c r="L20" s="4926"/>
      <c r="M20" s="4926"/>
      <c r="N20" s="4926"/>
      <c r="O20" s="4926"/>
      <c r="P20" s="4926"/>
      <c r="Q20" s="4926"/>
      <c r="R20" s="4926"/>
      <c r="S20" s="4926"/>
      <c r="T20" s="4926"/>
      <c r="U20" s="4926"/>
      <c r="V20" s="4927"/>
      <c r="W20" s="3922"/>
      <c r="X20" s="1677"/>
      <c r="Y20" s="1677"/>
      <c r="Z20" s="1677"/>
      <c r="AA20" s="1677"/>
    </row>
    <row r="21" spans="1:32" s="3949" customFormat="1" ht="51.6" customHeight="1" x14ac:dyDescent="0.2">
      <c r="A21" s="3856">
        <v>7</v>
      </c>
      <c r="B21" s="3856" t="s">
        <v>54</v>
      </c>
      <c r="C21" s="3919"/>
      <c r="D21" s="4925" t="s">
        <v>2171</v>
      </c>
      <c r="E21" s="4926"/>
      <c r="F21" s="4926"/>
      <c r="G21" s="4926"/>
      <c r="H21" s="4926"/>
      <c r="I21" s="4926"/>
      <c r="J21" s="4926"/>
      <c r="K21" s="4926"/>
      <c r="L21" s="4926"/>
      <c r="M21" s="4926"/>
      <c r="N21" s="4926"/>
      <c r="O21" s="4926"/>
      <c r="P21" s="4926"/>
      <c r="Q21" s="4926"/>
      <c r="R21" s="4926"/>
      <c r="S21" s="4926"/>
      <c r="T21" s="4926"/>
      <c r="U21" s="4926"/>
      <c r="V21" s="4927"/>
      <c r="W21" s="3922"/>
      <c r="X21" s="1677"/>
      <c r="Y21" s="1677"/>
      <c r="Z21" s="1677"/>
    </row>
    <row r="22" spans="1:32" s="3949" customFormat="1" ht="27.95" customHeight="1" x14ac:dyDescent="0.2">
      <c r="A22" s="3854">
        <v>8</v>
      </c>
      <c r="B22" s="3854" t="s">
        <v>56</v>
      </c>
      <c r="C22" s="3936"/>
      <c r="D22" s="4925" t="s">
        <v>2172</v>
      </c>
      <c r="E22" s="4926"/>
      <c r="F22" s="4926"/>
      <c r="G22" s="4926"/>
      <c r="H22" s="4926"/>
      <c r="I22" s="4926"/>
      <c r="J22" s="4926"/>
      <c r="K22" s="4926"/>
      <c r="L22" s="4926"/>
      <c r="M22" s="4926"/>
      <c r="N22" s="4926"/>
      <c r="O22" s="4926"/>
      <c r="P22" s="4926"/>
      <c r="Q22" s="4926"/>
      <c r="R22" s="4926"/>
      <c r="S22" s="4926"/>
      <c r="T22" s="4926"/>
      <c r="U22" s="4926"/>
      <c r="V22" s="4927"/>
      <c r="W22" s="3922"/>
      <c r="X22" s="1677"/>
      <c r="Y22" s="1677"/>
      <c r="Z22" s="1677"/>
    </row>
    <row r="23" spans="1:32" s="3949" customFormat="1" ht="14.25" x14ac:dyDescent="0.2">
      <c r="C23" s="3936"/>
      <c r="D23" s="3922"/>
      <c r="E23" s="3922"/>
      <c r="F23" s="3922"/>
      <c r="G23" s="3922"/>
      <c r="H23" s="3922"/>
      <c r="I23" s="3922"/>
      <c r="J23" s="3922"/>
      <c r="K23" s="3922"/>
      <c r="L23" s="3922"/>
      <c r="M23" s="3922"/>
      <c r="N23" s="3922"/>
      <c r="O23" s="3922"/>
      <c r="P23" s="3922"/>
      <c r="Q23" s="3922"/>
      <c r="R23" s="3922"/>
      <c r="S23" s="3922"/>
      <c r="T23" s="3922"/>
      <c r="U23" s="3922"/>
      <c r="V23" s="3952"/>
      <c r="W23" s="3922"/>
      <c r="X23" s="1677"/>
      <c r="Y23" s="1677"/>
      <c r="Z23" s="1677"/>
    </row>
    <row r="24" spans="1:32" s="3949" customFormat="1" ht="14.25" x14ac:dyDescent="0.2">
      <c r="A24" s="3854"/>
      <c r="B24" s="3919"/>
      <c r="C24" s="3919"/>
      <c r="D24" s="3922"/>
      <c r="E24" s="3922"/>
      <c r="F24" s="3922"/>
      <c r="G24" s="3922"/>
      <c r="H24" s="3922"/>
      <c r="I24" s="3922"/>
      <c r="J24" s="3922"/>
      <c r="K24" s="3922"/>
      <c r="L24" s="3922"/>
      <c r="M24" s="3922"/>
      <c r="N24" s="3922"/>
      <c r="O24" s="3922"/>
      <c r="P24" s="3922"/>
      <c r="Q24" s="3922"/>
      <c r="R24" s="3922"/>
      <c r="S24" s="3922"/>
      <c r="T24" s="3922"/>
      <c r="U24" s="3922"/>
      <c r="V24" s="3922"/>
      <c r="W24" s="3922"/>
      <c r="X24" s="1677"/>
      <c r="Y24" s="1677"/>
      <c r="Z24" s="1677"/>
    </row>
    <row r="25" spans="1:32" s="3937" customFormat="1" ht="14.25" x14ac:dyDescent="0.2">
      <c r="A25" s="3854"/>
      <c r="B25" s="3919"/>
      <c r="C25" s="3919"/>
      <c r="D25" s="3922"/>
      <c r="E25" s="3922"/>
      <c r="F25" s="3922"/>
      <c r="G25" s="3922"/>
      <c r="H25" s="3922"/>
      <c r="I25" s="3922"/>
      <c r="J25" s="3922"/>
      <c r="K25" s="3922"/>
      <c r="L25" s="3922"/>
      <c r="M25" s="3922"/>
      <c r="N25" s="3922"/>
      <c r="O25" s="3922"/>
      <c r="P25" s="3922"/>
      <c r="Q25" s="3922"/>
      <c r="R25" s="3922"/>
      <c r="S25" s="3922"/>
      <c r="T25" s="3922"/>
      <c r="U25" s="3922"/>
      <c r="V25" s="3922"/>
      <c r="W25" s="3922"/>
      <c r="X25" s="1676"/>
      <c r="Y25" s="1676"/>
      <c r="Z25" s="1676"/>
      <c r="AA25" s="1676"/>
      <c r="AB25" s="3949"/>
    </row>
    <row r="26" spans="1:32" s="3937" customFormat="1" ht="14.25" x14ac:dyDescent="0.2">
      <c r="A26" s="3854"/>
      <c r="B26" s="3919"/>
      <c r="C26" s="3919"/>
      <c r="D26" s="3922"/>
      <c r="E26" s="3922"/>
      <c r="F26" s="3922"/>
      <c r="G26" s="3922"/>
      <c r="H26" s="3922"/>
      <c r="I26" s="3922"/>
      <c r="J26" s="3922"/>
      <c r="K26" s="3922"/>
      <c r="L26" s="3922"/>
      <c r="M26" s="3922"/>
      <c r="N26" s="3922"/>
      <c r="O26" s="3922"/>
      <c r="P26" s="3922"/>
      <c r="Q26" s="3922"/>
      <c r="R26" s="3922"/>
      <c r="S26" s="3922"/>
      <c r="T26" s="3922"/>
      <c r="U26" s="3922"/>
      <c r="V26" s="3922"/>
      <c r="W26" s="3922"/>
      <c r="X26" s="1676"/>
      <c r="Y26" s="1676"/>
      <c r="Z26" s="1676"/>
      <c r="AA26" s="1676"/>
      <c r="AB26" s="3949"/>
      <c r="AC26" s="1676"/>
    </row>
    <row r="27" spans="1:32" s="3937" customFormat="1" ht="14.25" x14ac:dyDescent="0.2">
      <c r="A27" s="3923"/>
      <c r="B27" s="3923"/>
      <c r="C27" s="3854"/>
      <c r="D27" s="3922"/>
      <c r="E27" s="3922"/>
      <c r="F27" s="3922"/>
      <c r="G27" s="3922"/>
      <c r="H27" s="3922"/>
      <c r="I27" s="3922"/>
      <c r="J27" s="3922"/>
      <c r="K27" s="3922"/>
      <c r="L27" s="3922"/>
      <c r="M27" s="3922"/>
      <c r="N27" s="3922"/>
      <c r="O27" s="3922"/>
      <c r="P27" s="3922"/>
      <c r="Q27" s="3922"/>
      <c r="R27" s="3922"/>
      <c r="S27" s="3922"/>
      <c r="T27" s="3922"/>
      <c r="U27" s="3922"/>
      <c r="V27" s="3922"/>
      <c r="W27" s="3922"/>
      <c r="X27" s="1676"/>
      <c r="Y27" s="1676"/>
      <c r="Z27" s="1676"/>
      <c r="AA27" s="1676"/>
      <c r="AB27" s="3949"/>
    </row>
    <row r="28" spans="1:32" s="3937" customFormat="1" ht="14.25" x14ac:dyDescent="0.2">
      <c r="A28" s="3923"/>
      <c r="B28" s="3923"/>
      <c r="C28" s="3854"/>
      <c r="D28" s="3922"/>
      <c r="E28" s="3922"/>
      <c r="F28" s="3922"/>
      <c r="G28" s="3922"/>
      <c r="H28" s="3922"/>
      <c r="I28" s="3922"/>
      <c r="J28" s="3922"/>
      <c r="K28" s="3922"/>
      <c r="L28" s="3922"/>
      <c r="M28" s="3922"/>
      <c r="N28" s="3922"/>
      <c r="O28" s="3922"/>
      <c r="P28" s="3922"/>
      <c r="Q28" s="3922"/>
      <c r="R28" s="3922"/>
      <c r="S28" s="3922"/>
      <c r="T28" s="3922"/>
      <c r="U28" s="3922"/>
      <c r="V28" s="3922"/>
      <c r="W28" s="3922"/>
      <c r="X28" s="1676"/>
      <c r="Y28" s="1676"/>
      <c r="Z28" s="1676"/>
      <c r="AA28" s="1676"/>
      <c r="AB28" s="3949"/>
    </row>
    <row r="29" spans="1:32" s="3937" customFormat="1" ht="14.25" x14ac:dyDescent="0.2">
      <c r="A29" s="3923"/>
      <c r="B29" s="3923"/>
      <c r="C29" s="3856"/>
      <c r="D29" s="3922"/>
      <c r="E29" s="3922"/>
      <c r="F29" s="3922"/>
      <c r="G29" s="3922"/>
      <c r="H29" s="3922"/>
      <c r="I29" s="3922"/>
      <c r="J29" s="3922"/>
      <c r="K29" s="3922"/>
      <c r="L29" s="3922"/>
      <c r="M29" s="3922"/>
      <c r="N29" s="3922"/>
      <c r="O29" s="3922"/>
      <c r="P29" s="3922"/>
      <c r="Q29" s="3922"/>
      <c r="R29" s="3922"/>
      <c r="S29" s="3922"/>
      <c r="T29" s="3922"/>
      <c r="U29" s="3922"/>
      <c r="V29" s="3922"/>
      <c r="W29" s="3922"/>
      <c r="X29" s="1676"/>
      <c r="Y29" s="1676"/>
      <c r="Z29" s="1676"/>
      <c r="AA29" s="1676"/>
      <c r="AB29" s="1676"/>
    </row>
    <row r="30" spans="1:32" s="3937" customFormat="1" x14ac:dyDescent="0.2">
      <c r="A30" s="3923"/>
      <c r="B30" s="3923"/>
      <c r="C30" s="3854"/>
      <c r="D30" s="3923"/>
      <c r="E30" s="3923"/>
      <c r="F30" s="3923"/>
      <c r="G30" s="3923"/>
      <c r="H30" s="3923"/>
      <c r="I30" s="3923"/>
      <c r="J30" s="3923"/>
      <c r="K30" s="3923"/>
      <c r="L30" s="3923"/>
      <c r="M30" s="3923"/>
      <c r="N30" s="3923"/>
      <c r="O30" s="3923"/>
      <c r="P30" s="3923"/>
      <c r="Q30" s="3923"/>
      <c r="R30" s="3923"/>
      <c r="S30" s="3923"/>
      <c r="T30" s="3923"/>
      <c r="U30" s="3923"/>
      <c r="V30" s="3923"/>
      <c r="W30" s="3923"/>
      <c r="X30" s="1676"/>
      <c r="Y30" s="1676"/>
      <c r="Z30" s="1676"/>
      <c r="AA30" s="1676"/>
    </row>
    <row r="31" spans="1:32" s="3937" customFormat="1" ht="14.25" x14ac:dyDescent="0.2">
      <c r="A31" s="3953"/>
      <c r="B31" s="3954"/>
      <c r="C31" s="3954"/>
      <c r="D31" s="3923"/>
      <c r="E31" s="3923"/>
      <c r="F31" s="3923"/>
      <c r="G31" s="3923"/>
      <c r="H31" s="3923"/>
      <c r="I31" s="3923"/>
      <c r="J31" s="3923"/>
      <c r="K31" s="3923"/>
      <c r="L31" s="3923"/>
      <c r="M31" s="3923"/>
      <c r="N31" s="3923"/>
      <c r="O31" s="3923"/>
      <c r="P31" s="3923"/>
      <c r="Q31" s="3923"/>
      <c r="R31" s="3923"/>
      <c r="S31" s="3923"/>
      <c r="T31" s="3923"/>
      <c r="U31" s="3923"/>
      <c r="V31" s="3923"/>
      <c r="W31" s="3923"/>
      <c r="X31" s="1676"/>
      <c r="Y31" s="1676"/>
      <c r="Z31" s="1676"/>
      <c r="AA31" s="1676"/>
      <c r="AB31" s="1676"/>
    </row>
    <row r="32" spans="1:32" s="3958" customFormat="1" ht="14.25" x14ac:dyDescent="0.2">
      <c r="A32" s="3953"/>
      <c r="B32" s="3954"/>
      <c r="C32" s="3954"/>
      <c r="D32" s="3923"/>
      <c r="E32" s="3923"/>
      <c r="F32" s="3923"/>
      <c r="G32" s="3923"/>
      <c r="H32" s="3923"/>
      <c r="I32" s="3923"/>
      <c r="J32" s="3923"/>
      <c r="K32" s="3923"/>
      <c r="L32" s="3923"/>
      <c r="M32" s="3923"/>
      <c r="N32" s="3923"/>
      <c r="O32" s="3923"/>
      <c r="P32" s="3923"/>
      <c r="Q32" s="3923"/>
      <c r="R32" s="3923"/>
      <c r="S32" s="3923"/>
      <c r="T32" s="3923"/>
      <c r="U32" s="3923"/>
      <c r="V32" s="3923"/>
      <c r="W32" s="3923"/>
      <c r="X32" s="3955"/>
      <c r="Y32" s="3956"/>
      <c r="Z32" s="3956"/>
      <c r="AA32" s="3956"/>
      <c r="AB32" s="3922"/>
      <c r="AC32" s="3957"/>
      <c r="AD32" s="3957"/>
      <c r="AE32" s="3957"/>
      <c r="AF32" s="3957"/>
    </row>
    <row r="33" spans="1:35" s="3958" customFormat="1" ht="14.25" x14ac:dyDescent="0.2">
      <c r="A33" s="3953"/>
      <c r="B33" s="3954"/>
      <c r="C33" s="3954"/>
      <c r="D33" s="3923"/>
      <c r="E33" s="3923"/>
      <c r="F33" s="3923"/>
      <c r="G33" s="3923"/>
      <c r="H33" s="3923"/>
      <c r="I33" s="3923"/>
      <c r="J33" s="3923"/>
      <c r="K33" s="3923"/>
      <c r="L33" s="3923"/>
      <c r="M33" s="3923"/>
      <c r="N33" s="3923"/>
      <c r="O33" s="3923"/>
      <c r="P33" s="3923"/>
      <c r="Q33" s="3923"/>
      <c r="R33" s="3923"/>
      <c r="S33" s="3923"/>
      <c r="T33" s="3923"/>
      <c r="U33" s="3923"/>
      <c r="V33" s="3923"/>
      <c r="W33" s="3923"/>
      <c r="X33" s="3955"/>
      <c r="Y33" s="3955"/>
      <c r="Z33" s="3955"/>
      <c r="AA33" s="3955"/>
      <c r="AB33" s="3922"/>
      <c r="AC33" s="3956"/>
      <c r="AD33" s="3956"/>
      <c r="AE33" s="3957"/>
      <c r="AF33" s="3957"/>
      <c r="AG33" s="3957"/>
      <c r="AH33" s="3957"/>
      <c r="AI33" s="3957"/>
    </row>
    <row r="34" spans="1:35" s="3958" customFormat="1" ht="14.25" x14ac:dyDescent="0.2">
      <c r="A34" s="3953"/>
      <c r="B34" s="3954"/>
      <c r="C34" s="3954"/>
      <c r="D34" s="3923"/>
      <c r="E34" s="3923"/>
      <c r="F34" s="3923"/>
      <c r="G34" s="3923"/>
      <c r="H34" s="3923"/>
      <c r="I34" s="3923"/>
      <c r="J34" s="3923"/>
      <c r="K34" s="3923"/>
      <c r="L34" s="3923"/>
      <c r="M34" s="3923"/>
      <c r="N34" s="3923"/>
      <c r="O34" s="3923"/>
      <c r="P34" s="3923"/>
      <c r="Q34" s="3923"/>
      <c r="R34" s="3923"/>
      <c r="S34" s="3923"/>
      <c r="T34" s="3923"/>
      <c r="U34" s="3923"/>
      <c r="V34" s="3923"/>
      <c r="W34" s="3923"/>
      <c r="X34" s="3955"/>
      <c r="Y34" s="3955"/>
      <c r="Z34" s="3955"/>
      <c r="AA34" s="3955"/>
      <c r="AB34" s="3922"/>
      <c r="AC34" s="3956"/>
      <c r="AD34" s="3956"/>
      <c r="AE34" s="3957"/>
      <c r="AF34" s="3957"/>
      <c r="AG34" s="3957"/>
      <c r="AH34" s="3957"/>
      <c r="AI34" s="3957"/>
    </row>
    <row r="35" spans="1:35" ht="14.25" x14ac:dyDescent="0.2">
      <c r="A35" s="3953"/>
      <c r="B35" s="3954"/>
      <c r="C35" s="3954"/>
      <c r="X35" s="3959"/>
      <c r="Y35" s="3959"/>
      <c r="Z35" s="3922"/>
      <c r="AA35" s="3922"/>
      <c r="AB35" s="3922"/>
      <c r="AC35" s="3922"/>
      <c r="AD35" s="3922"/>
    </row>
    <row r="36" spans="1:35" s="3949" customFormat="1" ht="14.25" x14ac:dyDescent="0.2">
      <c r="A36" s="3953"/>
      <c r="B36" s="3954"/>
      <c r="C36" s="3954"/>
      <c r="D36" s="3923"/>
      <c r="E36" s="3923"/>
      <c r="F36" s="3923"/>
      <c r="G36" s="3923"/>
      <c r="H36" s="3923"/>
      <c r="I36" s="3923"/>
      <c r="J36" s="3923"/>
      <c r="K36" s="3923"/>
      <c r="L36" s="3923"/>
      <c r="M36" s="3923"/>
      <c r="N36" s="3923"/>
      <c r="O36" s="3923"/>
      <c r="P36" s="3923"/>
      <c r="Q36" s="3923"/>
      <c r="R36" s="3923"/>
      <c r="S36" s="3923"/>
      <c r="T36" s="3923"/>
      <c r="U36" s="3923"/>
      <c r="V36" s="3923"/>
      <c r="W36" s="3923"/>
      <c r="X36" s="3959"/>
      <c r="Y36" s="3959"/>
      <c r="Z36" s="3927"/>
      <c r="AA36" s="3927"/>
      <c r="AB36" s="3922"/>
      <c r="AC36" s="3927"/>
      <c r="AD36" s="3927"/>
    </row>
    <row r="37" spans="1:35" s="3949" customFormat="1" ht="14.25" x14ac:dyDescent="0.2">
      <c r="A37" s="3953"/>
      <c r="B37" s="3954"/>
      <c r="C37" s="3954"/>
      <c r="D37" s="3923"/>
      <c r="E37" s="3923"/>
      <c r="F37" s="3923"/>
      <c r="G37" s="3923"/>
      <c r="H37" s="3923"/>
      <c r="I37" s="3923"/>
      <c r="J37" s="3923"/>
      <c r="K37" s="3923"/>
      <c r="L37" s="3923"/>
      <c r="M37" s="3923"/>
      <c r="N37" s="3923"/>
      <c r="O37" s="3923"/>
      <c r="P37" s="3923"/>
      <c r="Q37" s="3923"/>
      <c r="R37" s="3923"/>
      <c r="S37" s="3923"/>
      <c r="T37" s="3923"/>
      <c r="U37" s="3923"/>
      <c r="V37" s="3923"/>
      <c r="W37" s="3923"/>
      <c r="X37" s="3959"/>
      <c r="Y37" s="3959"/>
      <c r="Z37" s="3927"/>
      <c r="AA37" s="3927"/>
      <c r="AB37" s="3922"/>
      <c r="AC37" s="3927"/>
      <c r="AD37" s="3927"/>
    </row>
    <row r="38" spans="1:35" ht="14.25" x14ac:dyDescent="0.2">
      <c r="X38" s="1693"/>
      <c r="Y38" s="1693"/>
      <c r="Z38" s="3922"/>
      <c r="AA38" s="3922"/>
      <c r="AB38" s="3922"/>
      <c r="AC38" s="3922"/>
      <c r="AD38" s="3922"/>
    </row>
    <row r="39" spans="1:35" ht="14.25" x14ac:dyDescent="0.2">
      <c r="X39" s="3922"/>
      <c r="Y39" s="3922"/>
      <c r="Z39" s="3922"/>
      <c r="AA39" s="3922"/>
    </row>
    <row r="40" spans="1:35" ht="14.25" x14ac:dyDescent="0.2">
      <c r="X40" s="3922"/>
      <c r="Y40" s="3922"/>
      <c r="Z40" s="3922"/>
      <c r="AA40" s="3922"/>
    </row>
    <row r="41" spans="1:35" ht="15" customHeight="1" x14ac:dyDescent="0.2">
      <c r="X41" s="3922"/>
      <c r="Y41" s="3922"/>
      <c r="Z41" s="3922"/>
      <c r="AA41" s="3922"/>
    </row>
    <row r="42" spans="1:35" ht="14.25" customHeight="1" x14ac:dyDescent="0.2">
      <c r="X42" s="3922"/>
      <c r="Y42" s="3922"/>
      <c r="Z42" s="3922"/>
      <c r="AA42" s="3922"/>
    </row>
    <row r="43" spans="1:35" ht="14.25" customHeight="1" x14ac:dyDescent="0.2">
      <c r="X43" s="3922"/>
      <c r="Y43" s="3922"/>
      <c r="Z43" s="3922"/>
      <c r="AA43" s="3922"/>
    </row>
    <row r="44" spans="1:35" ht="14.25" customHeight="1" x14ac:dyDescent="0.2">
      <c r="X44" s="3922"/>
      <c r="Y44" s="3922"/>
      <c r="Z44" s="3922"/>
      <c r="AA44" s="3922"/>
    </row>
    <row r="45" spans="1:35" ht="14.25" x14ac:dyDescent="0.2">
      <c r="X45" s="3922"/>
      <c r="Y45" s="3922"/>
      <c r="Z45" s="3922"/>
      <c r="AA45" s="3922"/>
    </row>
    <row r="46" spans="1:35" ht="14.25" x14ac:dyDescent="0.2">
      <c r="X46" s="3922"/>
      <c r="Y46" s="3922"/>
      <c r="Z46" s="3922"/>
      <c r="AA46" s="3922"/>
    </row>
    <row r="47" spans="1:35" ht="14.25" x14ac:dyDescent="0.2">
      <c r="X47" s="3922"/>
      <c r="Y47" s="3922"/>
      <c r="Z47" s="3922"/>
      <c r="AA47" s="3922"/>
    </row>
    <row r="48" spans="1:35" ht="14.25" x14ac:dyDescent="0.2">
      <c r="X48" s="3922"/>
      <c r="Y48" s="3922"/>
      <c r="Z48" s="3922"/>
      <c r="AA48" s="3922"/>
    </row>
    <row r="49" spans="24:27" ht="14.25" x14ac:dyDescent="0.2">
      <c r="X49" s="3922"/>
      <c r="Y49" s="3922"/>
      <c r="Z49" s="3922"/>
      <c r="AA49" s="3922"/>
    </row>
    <row r="50" spans="24:27" ht="14.25" x14ac:dyDescent="0.2">
      <c r="X50" s="3922"/>
      <c r="Y50" s="3922"/>
      <c r="Z50" s="3922"/>
      <c r="AA50" s="3922"/>
    </row>
    <row r="51" spans="24:27" ht="14.25" x14ac:dyDescent="0.2">
      <c r="X51" s="3922"/>
      <c r="Y51" s="3922"/>
      <c r="Z51" s="3922"/>
      <c r="AA51" s="3922"/>
    </row>
  </sheetData>
  <mergeCells count="16">
    <mergeCell ref="D2:V2"/>
    <mergeCell ref="D3:V3"/>
    <mergeCell ref="D4:V4"/>
    <mergeCell ref="E12:F12"/>
    <mergeCell ref="I12:J12"/>
    <mergeCell ref="K12:L12"/>
    <mergeCell ref="M12:N12"/>
    <mergeCell ref="O12:P12"/>
    <mergeCell ref="Q12:R12"/>
    <mergeCell ref="S12:T12"/>
    <mergeCell ref="U12:V12"/>
    <mergeCell ref="W12:X12"/>
    <mergeCell ref="D19:V19"/>
    <mergeCell ref="D20:V20"/>
    <mergeCell ref="D21:V21"/>
    <mergeCell ref="D22:V22"/>
  </mergeCells>
  <pageMargins left="0.74803149606299202" right="0.74803149606299202" top="0.98425196850393704" bottom="0.98425196850393704" header="0.511811023622047" footer="0.511811023622047"/>
  <pageSetup paperSize="9" scale="75"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F60E6-43F6-4F76-A91F-0D2C57B6EC27}">
  <sheetPr>
    <tabColor rgb="FFFFC000"/>
    <pageSetUpPr fitToPage="1"/>
  </sheetPr>
  <dimension ref="A1:AS57"/>
  <sheetViews>
    <sheetView showGridLines="0" view="pageBreakPreview" zoomScaleNormal="100" zoomScaleSheetLayoutView="100" workbookViewId="0">
      <selection activeCell="D19" sqref="D18:D19"/>
    </sheetView>
  </sheetViews>
  <sheetFormatPr defaultColWidth="9.140625" defaultRowHeight="15" x14ac:dyDescent="0.25"/>
  <cols>
    <col min="1" max="1" width="3.5703125" style="1119" customWidth="1"/>
    <col min="2" max="2" width="14.42578125" style="1119" customWidth="1"/>
    <col min="3" max="3" width="3.5703125" style="1119" customWidth="1"/>
    <col min="4" max="4" width="21.5703125" style="113" customWidth="1"/>
    <col min="5" max="5" width="7.5703125" style="113" customWidth="1"/>
    <col min="6" max="6" width="9.5703125" style="113" customWidth="1"/>
    <col min="7" max="7" width="8.5703125" style="113" customWidth="1"/>
    <col min="8" max="8" width="9.5703125" style="113" customWidth="1"/>
    <col min="9" max="9" width="9.85546875" style="113" customWidth="1"/>
    <col min="10" max="10" width="9.42578125" style="113" customWidth="1"/>
    <col min="11" max="11" width="10.42578125" style="113" customWidth="1"/>
    <col min="12" max="13" width="9.5703125" style="113" customWidth="1"/>
    <col min="14" max="14" width="9.85546875" style="113" customWidth="1"/>
    <col min="15" max="16" width="10.5703125" style="113" customWidth="1"/>
    <col min="17" max="17" width="12" style="113" customWidth="1"/>
    <col min="18" max="18" width="12.85546875" style="113" customWidth="1"/>
    <col min="19" max="19" width="10.85546875" style="113" customWidth="1"/>
    <col min="20" max="27" width="7.5703125" style="113" customWidth="1"/>
    <col min="28" max="28" width="9.140625" style="113"/>
    <col min="29" max="29" width="12.42578125" style="113" customWidth="1"/>
    <col min="30" max="30" width="11.5703125" style="113" customWidth="1"/>
    <col min="31" max="31" width="12.42578125" style="113" customWidth="1"/>
    <col min="32" max="32" width="11.42578125" style="113" customWidth="1"/>
    <col min="33" max="33" width="9.140625" style="113"/>
    <col min="34" max="34" width="11" style="113" customWidth="1"/>
    <col min="35" max="35" width="8.140625" style="113" customWidth="1"/>
    <col min="36" max="36" width="8" style="113" customWidth="1"/>
    <col min="37" max="37" width="7.140625" style="113" customWidth="1"/>
    <col min="38" max="38" width="7.85546875" style="113" customWidth="1"/>
    <col min="39" max="16384" width="9.140625" style="113"/>
  </cols>
  <sheetData>
    <row r="1" spans="1:45" x14ac:dyDescent="0.25">
      <c r="D1" s="1137"/>
      <c r="E1" s="1137"/>
      <c r="F1" s="1137"/>
      <c r="G1" s="1137"/>
      <c r="H1" s="1137"/>
      <c r="I1" s="1137"/>
      <c r="J1" s="1137"/>
      <c r="K1" s="1137"/>
      <c r="L1" s="1137"/>
      <c r="M1" s="1137"/>
      <c r="N1" s="1137"/>
      <c r="O1" s="1137"/>
      <c r="P1" s="1137"/>
      <c r="Q1" s="1137"/>
      <c r="R1" s="1137"/>
      <c r="S1" s="1137"/>
      <c r="T1" s="1137"/>
      <c r="U1" s="1137"/>
      <c r="V1" s="1137"/>
      <c r="W1" s="1137"/>
      <c r="X1" s="1137"/>
      <c r="Y1" s="1137"/>
      <c r="Z1" s="1137"/>
      <c r="AA1" s="1137"/>
    </row>
    <row r="2" spans="1:45" ht="14.45" customHeight="1" x14ac:dyDescent="0.25">
      <c r="A2" s="509">
        <v>1</v>
      </c>
      <c r="B2" s="509" t="s">
        <v>0</v>
      </c>
      <c r="C2" s="509">
        <v>55</v>
      </c>
      <c r="D2" s="4603" t="s">
        <v>1477</v>
      </c>
      <c r="E2" s="4604"/>
      <c r="F2" s="4604"/>
      <c r="G2" s="4604"/>
      <c r="H2" s="4604"/>
      <c r="I2" s="4604"/>
      <c r="J2" s="4604"/>
      <c r="K2" s="4604"/>
      <c r="L2" s="4604"/>
      <c r="M2" s="4604"/>
      <c r="N2" s="4604"/>
      <c r="O2" s="4604"/>
      <c r="P2" s="4604"/>
      <c r="Q2" s="4604"/>
      <c r="R2" s="4604"/>
      <c r="S2" s="4604"/>
      <c r="T2" s="4604"/>
      <c r="U2" s="4604"/>
      <c r="V2" s="4604"/>
      <c r="W2" s="4604"/>
      <c r="X2" s="4604"/>
      <c r="Y2" s="4604"/>
      <c r="Z2" s="4604"/>
      <c r="AA2" s="4604"/>
      <c r="AB2" s="4604"/>
      <c r="AC2" s="4604"/>
      <c r="AD2" s="4604"/>
      <c r="AE2" s="4604"/>
      <c r="AF2" s="4604"/>
      <c r="AG2" s="4604"/>
      <c r="AH2" s="4604"/>
      <c r="AI2" s="4604"/>
      <c r="AJ2" s="4604"/>
      <c r="AK2" s="4605"/>
    </row>
    <row r="3" spans="1:45" ht="15" customHeight="1" x14ac:dyDescent="0.25">
      <c r="A3" s="509">
        <v>2</v>
      </c>
      <c r="B3" s="509" t="s">
        <v>2</v>
      </c>
      <c r="C3" s="509"/>
      <c r="D3" s="4603" t="s">
        <v>1478</v>
      </c>
      <c r="E3" s="4604"/>
      <c r="F3" s="4604"/>
      <c r="G3" s="4604"/>
      <c r="H3" s="4604"/>
      <c r="I3" s="4604"/>
      <c r="J3" s="4604"/>
      <c r="K3" s="4604"/>
      <c r="L3" s="4604"/>
      <c r="M3" s="4604"/>
      <c r="N3" s="4604"/>
      <c r="O3" s="4604"/>
      <c r="P3" s="4604"/>
      <c r="Q3" s="4604"/>
      <c r="R3" s="4604"/>
      <c r="S3" s="4604"/>
      <c r="T3" s="4604"/>
      <c r="U3" s="4604"/>
      <c r="V3" s="4604"/>
      <c r="W3" s="4604"/>
      <c r="X3" s="4604"/>
      <c r="Y3" s="4604"/>
      <c r="Z3" s="4604"/>
      <c r="AA3" s="4604"/>
      <c r="AB3" s="4604"/>
      <c r="AC3" s="4604"/>
      <c r="AD3" s="4604"/>
      <c r="AE3" s="4604"/>
      <c r="AF3" s="4604"/>
      <c r="AG3" s="4604"/>
      <c r="AH3" s="4604"/>
      <c r="AI3" s="4604"/>
      <c r="AJ3" s="4604"/>
      <c r="AK3" s="4605"/>
    </row>
    <row r="4" spans="1:45" ht="15" customHeight="1" x14ac:dyDescent="0.25">
      <c r="A4" s="509">
        <v>3</v>
      </c>
      <c r="B4" s="509" t="s">
        <v>4</v>
      </c>
      <c r="C4" s="509"/>
      <c r="D4" s="4932" t="s">
        <v>2178</v>
      </c>
      <c r="E4" s="4933"/>
      <c r="F4" s="4933"/>
      <c r="G4" s="4933"/>
      <c r="H4" s="4933"/>
      <c r="I4" s="4933"/>
      <c r="J4" s="4933"/>
      <c r="K4" s="4933"/>
      <c r="L4" s="4933"/>
      <c r="M4" s="4933"/>
      <c r="N4" s="4933"/>
      <c r="O4" s="4933"/>
      <c r="P4" s="4933"/>
      <c r="Q4" s="4933"/>
      <c r="R4" s="4933"/>
      <c r="S4" s="4933"/>
      <c r="T4" s="4933"/>
      <c r="U4" s="4933"/>
      <c r="V4" s="4933"/>
      <c r="W4" s="4933"/>
      <c r="X4" s="4933"/>
      <c r="Y4" s="4933"/>
      <c r="Z4" s="4933"/>
      <c r="AA4" s="4933"/>
      <c r="AB4" s="4933"/>
      <c r="AC4" s="4933"/>
      <c r="AD4" s="4933"/>
      <c r="AE4" s="4933"/>
      <c r="AF4" s="4933"/>
      <c r="AG4" s="4933"/>
      <c r="AH4" s="4933"/>
      <c r="AI4" s="4933"/>
      <c r="AJ4" s="4933"/>
      <c r="AK4" s="4934"/>
    </row>
    <row r="5" spans="1:45" x14ac:dyDescent="0.25">
      <c r="C5" s="509"/>
      <c r="D5" s="508"/>
      <c r="E5" s="508"/>
      <c r="F5" s="508"/>
      <c r="G5" s="508"/>
      <c r="H5" s="508"/>
      <c r="I5" s="508"/>
      <c r="J5" s="508"/>
      <c r="K5" s="508"/>
      <c r="L5" s="508"/>
      <c r="M5" s="508"/>
      <c r="N5" s="508"/>
      <c r="O5" s="508"/>
      <c r="P5" s="508"/>
      <c r="Q5" s="508"/>
      <c r="R5" s="508"/>
      <c r="S5" s="508"/>
      <c r="T5" s="508"/>
      <c r="U5" s="508"/>
      <c r="V5" s="508"/>
      <c r="W5" s="508"/>
      <c r="X5" s="508"/>
      <c r="Y5" s="508"/>
      <c r="Z5" s="508"/>
      <c r="AA5" s="508"/>
    </row>
    <row r="6" spans="1:45" x14ac:dyDescent="0.25">
      <c r="A6" s="509">
        <v>4</v>
      </c>
      <c r="B6" s="509" t="s">
        <v>6</v>
      </c>
      <c r="C6" s="836"/>
      <c r="D6" s="72" t="s">
        <v>7</v>
      </c>
      <c r="E6" s="72" t="str">
        <f>D2</f>
        <v>Pride in being South African</v>
      </c>
      <c r="F6" s="72"/>
      <c r="G6" s="72"/>
      <c r="H6" s="72"/>
      <c r="I6" s="72"/>
      <c r="J6" s="72"/>
      <c r="K6" s="72"/>
      <c r="L6" s="71"/>
      <c r="M6" s="71"/>
      <c r="N6" s="71"/>
      <c r="O6" s="71"/>
      <c r="P6" s="88"/>
      <c r="Q6" s="88"/>
      <c r="R6" s="88"/>
      <c r="S6" s="88"/>
      <c r="T6" s="88"/>
      <c r="U6" s="88"/>
      <c r="V6" s="88"/>
      <c r="W6" s="88"/>
      <c r="X6" s="88"/>
      <c r="Y6" s="88"/>
      <c r="Z6" s="88"/>
      <c r="AA6" s="88"/>
    </row>
    <row r="7" spans="1:45" x14ac:dyDescent="0.25">
      <c r="A7" s="860"/>
      <c r="B7" s="836"/>
      <c r="C7" s="836"/>
      <c r="D7" s="1850" t="s">
        <v>389</v>
      </c>
      <c r="E7" s="1851">
        <v>2003</v>
      </c>
      <c r="F7" s="1852">
        <v>2004</v>
      </c>
      <c r="G7" s="1852">
        <v>2005</v>
      </c>
      <c r="H7" s="1852">
        <v>2006</v>
      </c>
      <c r="I7" s="1852">
        <v>2007</v>
      </c>
      <c r="J7" s="1852">
        <v>2008</v>
      </c>
      <c r="K7" s="1853">
        <v>2009</v>
      </c>
      <c r="L7" s="4935" t="s">
        <v>23</v>
      </c>
      <c r="M7" s="4936"/>
      <c r="N7" s="4936"/>
      <c r="O7" s="4937"/>
      <c r="P7" s="4936" t="s">
        <v>24</v>
      </c>
      <c r="Q7" s="4936"/>
      <c r="R7" s="4936"/>
      <c r="S7" s="4937"/>
      <c r="T7" s="4936" t="s">
        <v>25</v>
      </c>
      <c r="U7" s="4936"/>
      <c r="V7" s="4936"/>
      <c r="W7" s="4937"/>
      <c r="X7" s="4935" t="s">
        <v>26</v>
      </c>
      <c r="Y7" s="4936"/>
      <c r="Z7" s="4936"/>
      <c r="AA7" s="4937"/>
      <c r="AB7" s="4935" t="s">
        <v>27</v>
      </c>
      <c r="AC7" s="4936"/>
      <c r="AD7" s="4936"/>
      <c r="AE7" s="4937"/>
      <c r="AF7" s="4935" t="s">
        <v>28</v>
      </c>
      <c r="AG7" s="4938"/>
      <c r="AH7" s="1854" t="s">
        <v>29</v>
      </c>
      <c r="AI7" s="1855"/>
      <c r="AJ7" s="1856" t="s">
        <v>30</v>
      </c>
      <c r="AK7" s="1857"/>
      <c r="AL7" s="4936" t="s">
        <v>31</v>
      </c>
      <c r="AM7" s="4937"/>
      <c r="AN7" s="4936" t="s">
        <v>32</v>
      </c>
      <c r="AO7" s="4937"/>
      <c r="AP7" s="4939" t="s">
        <v>33</v>
      </c>
      <c r="AQ7" s="4940"/>
      <c r="AR7" s="4939" t="s">
        <v>59</v>
      </c>
      <c r="AS7" s="4940"/>
    </row>
    <row r="8" spans="1:45" x14ac:dyDescent="0.25">
      <c r="A8" s="860"/>
      <c r="B8" s="836"/>
      <c r="C8" s="836"/>
      <c r="D8" s="1858"/>
      <c r="E8" s="1644"/>
      <c r="F8" s="312"/>
      <c r="G8" s="312"/>
      <c r="H8" s="312"/>
      <c r="I8" s="312"/>
      <c r="J8" s="312"/>
      <c r="K8" s="1761"/>
      <c r="L8" s="1644" t="s">
        <v>1479</v>
      </c>
      <c r="M8" s="312" t="s">
        <v>1480</v>
      </c>
      <c r="N8" s="312" t="s">
        <v>1481</v>
      </c>
      <c r="O8" s="1761" t="s">
        <v>1482</v>
      </c>
      <c r="P8" s="312" t="s">
        <v>1479</v>
      </c>
      <c r="Q8" s="312" t="s">
        <v>1480</v>
      </c>
      <c r="R8" s="312" t="s">
        <v>1481</v>
      </c>
      <c r="S8" s="1761" t="s">
        <v>1482</v>
      </c>
      <c r="T8" s="312" t="s">
        <v>1479</v>
      </c>
      <c r="U8" s="312" t="s">
        <v>1480</v>
      </c>
      <c r="V8" s="312" t="s">
        <v>1481</v>
      </c>
      <c r="W8" s="1761" t="s">
        <v>1482</v>
      </c>
      <c r="X8" s="1644" t="s">
        <v>1479</v>
      </c>
      <c r="Y8" s="312" t="s">
        <v>1480</v>
      </c>
      <c r="Z8" s="312" t="s">
        <v>1481</v>
      </c>
      <c r="AA8" s="1761" t="s">
        <v>1482</v>
      </c>
      <c r="AB8" s="1644" t="s">
        <v>1479</v>
      </c>
      <c r="AC8" s="312" t="s">
        <v>1480</v>
      </c>
      <c r="AD8" s="312" t="s">
        <v>1481</v>
      </c>
      <c r="AE8" s="1761" t="s">
        <v>1482</v>
      </c>
      <c r="AF8" s="1644" t="s">
        <v>1483</v>
      </c>
      <c r="AG8" s="1859" t="s">
        <v>1484</v>
      </c>
      <c r="AH8" s="1644" t="s">
        <v>1483</v>
      </c>
      <c r="AI8" s="1859" t="s">
        <v>1484</v>
      </c>
      <c r="AJ8" s="1644" t="s">
        <v>1483</v>
      </c>
      <c r="AK8" s="1859" t="s">
        <v>1484</v>
      </c>
      <c r="AL8" s="1644" t="s">
        <v>1483</v>
      </c>
      <c r="AM8" s="1859" t="s">
        <v>1484</v>
      </c>
      <c r="AN8" s="1644" t="s">
        <v>1483</v>
      </c>
      <c r="AO8" s="1859" t="s">
        <v>1484</v>
      </c>
      <c r="AP8" s="3788" t="s">
        <v>1483</v>
      </c>
      <c r="AQ8" s="3789" t="s">
        <v>1484</v>
      </c>
      <c r="AR8" s="3788" t="s">
        <v>1483</v>
      </c>
      <c r="AS8" s="3789" t="s">
        <v>1484</v>
      </c>
    </row>
    <row r="9" spans="1:45" ht="19.5" customHeight="1" x14ac:dyDescent="0.25">
      <c r="A9" s="860"/>
      <c r="B9" s="836"/>
      <c r="C9" s="836"/>
      <c r="D9" s="4231" t="str">
        <f>D2</f>
        <v>Pride in being South African</v>
      </c>
      <c r="E9" s="1443">
        <v>84</v>
      </c>
      <c r="F9" s="95">
        <v>90</v>
      </c>
      <c r="G9" s="95">
        <v>90</v>
      </c>
      <c r="H9" s="95">
        <v>90</v>
      </c>
      <c r="I9" s="95">
        <v>78</v>
      </c>
      <c r="J9" s="95">
        <v>65</v>
      </c>
      <c r="K9" s="1169">
        <v>75</v>
      </c>
      <c r="L9" s="1184">
        <v>92.097967444973222</v>
      </c>
      <c r="M9" s="1183">
        <v>86.799492718143796</v>
      </c>
      <c r="N9" s="1183">
        <v>89.693507511431292</v>
      </c>
      <c r="O9" s="1703">
        <v>89.606609925510114</v>
      </c>
      <c r="P9" s="1184">
        <v>86.853583304450169</v>
      </c>
      <c r="Q9" s="1183">
        <v>89.799252722580988</v>
      </c>
      <c r="R9" s="1183">
        <v>87.961947738935748</v>
      </c>
      <c r="S9" s="1703">
        <v>87.156873874472439</v>
      </c>
      <c r="T9" s="1183">
        <v>88</v>
      </c>
      <c r="U9" s="1183">
        <v>88</v>
      </c>
      <c r="V9" s="1183">
        <v>88</v>
      </c>
      <c r="W9" s="1703">
        <v>85</v>
      </c>
      <c r="X9" s="1184">
        <v>86</v>
      </c>
      <c r="Y9" s="1183">
        <v>88</v>
      </c>
      <c r="Z9" s="1183">
        <v>90</v>
      </c>
      <c r="AA9" s="1703">
        <v>89</v>
      </c>
      <c r="AB9" s="1184">
        <v>89</v>
      </c>
      <c r="AC9" s="1183">
        <v>90</v>
      </c>
      <c r="AD9" s="1183">
        <v>89</v>
      </c>
      <c r="AE9" s="1703">
        <v>89</v>
      </c>
      <c r="AF9" s="1184">
        <v>85</v>
      </c>
      <c r="AG9" s="1705">
        <v>84</v>
      </c>
      <c r="AH9" s="1183">
        <v>89.2</v>
      </c>
      <c r="AI9" s="1705">
        <v>86</v>
      </c>
      <c r="AJ9" s="1183">
        <v>78.8</v>
      </c>
      <c r="AK9" s="1705">
        <v>82.9</v>
      </c>
      <c r="AL9" s="1860">
        <v>83</v>
      </c>
      <c r="AM9" s="1861">
        <v>82</v>
      </c>
      <c r="AN9" s="1862">
        <v>82</v>
      </c>
      <c r="AO9" s="1863">
        <v>80</v>
      </c>
      <c r="AP9" s="3790"/>
      <c r="AQ9" s="3791"/>
      <c r="AR9" s="3790"/>
      <c r="AS9" s="3791">
        <v>76</v>
      </c>
    </row>
    <row r="10" spans="1:45" x14ac:dyDescent="0.25">
      <c r="A10" s="506"/>
      <c r="B10" s="1864"/>
      <c r="C10" s="1864"/>
      <c r="D10" s="508"/>
      <c r="E10" s="508"/>
      <c r="F10" s="508"/>
      <c r="G10" s="508"/>
      <c r="H10" s="508"/>
      <c r="I10" s="508"/>
      <c r="J10" s="508"/>
      <c r="K10" s="508"/>
      <c r="L10" s="1709">
        <f>+AVERAGE(L9:O9)</f>
        <v>89.549394400014606</v>
      </c>
      <c r="M10" s="508"/>
      <c r="N10" s="508"/>
      <c r="O10" s="508"/>
      <c r="P10" s="1709">
        <f>+AVERAGE(P9:S9)</f>
        <v>87.942914410109836</v>
      </c>
      <c r="Q10" s="1865"/>
      <c r="R10" s="1865"/>
      <c r="S10" s="508"/>
      <c r="T10" s="1709">
        <f>+AVERAGE(T9:W9)</f>
        <v>87.25</v>
      </c>
      <c r="U10" s="1865"/>
      <c r="V10" s="1865"/>
      <c r="W10" s="508"/>
      <c r="X10" s="1709">
        <f>+AVERAGE(X9:AA9)</f>
        <v>88.25</v>
      </c>
      <c r="Y10" s="1865"/>
      <c r="Z10" s="1865"/>
      <c r="AA10" s="508"/>
      <c r="AB10" s="1709">
        <f>+AVERAGE(AB9:AE9)</f>
        <v>89.25</v>
      </c>
      <c r="AF10" s="1709">
        <f>+AVERAGE(AF9:AG9)</f>
        <v>84.5</v>
      </c>
      <c r="AG10" s="1709"/>
      <c r="AH10" s="1709">
        <v>88</v>
      </c>
      <c r="AI10" s="1709"/>
      <c r="AJ10" s="1709">
        <f>+AVERAGE(AJ9:AK9)</f>
        <v>80.849999999999994</v>
      </c>
      <c r="AK10" s="1709"/>
      <c r="AL10" s="1661">
        <v>83</v>
      </c>
      <c r="AN10" s="113">
        <v>81</v>
      </c>
      <c r="AP10" s="4945" t="s">
        <v>1485</v>
      </c>
      <c r="AQ10" s="4945"/>
      <c r="AR10" s="3792"/>
      <c r="AS10" s="3792">
        <v>76</v>
      </c>
    </row>
    <row r="11" spans="1:45" x14ac:dyDescent="0.25">
      <c r="A11" s="506"/>
      <c r="B11" s="1864"/>
      <c r="C11" s="1864"/>
      <c r="D11" s="508"/>
      <c r="E11" s="508"/>
      <c r="F11" s="508"/>
      <c r="G11" s="508"/>
      <c r="H11" s="508"/>
      <c r="I11" s="508"/>
      <c r="J11" s="508"/>
      <c r="K11" s="508"/>
      <c r="L11" s="1709"/>
      <c r="M11" s="508"/>
      <c r="N11" s="508"/>
      <c r="O11" s="508"/>
      <c r="P11" s="1709"/>
      <c r="Q11" s="1865"/>
      <c r="R11" s="1865"/>
      <c r="S11" s="508"/>
      <c r="T11" s="1709"/>
      <c r="U11" s="1865"/>
      <c r="V11" s="1865"/>
      <c r="W11" s="508"/>
      <c r="X11" s="1709"/>
      <c r="Y11" s="1865"/>
      <c r="Z11" s="1865"/>
      <c r="AA11" s="508"/>
      <c r="AB11" s="1709"/>
      <c r="AF11" s="1709"/>
      <c r="AG11" s="1709"/>
      <c r="AH11" s="1709"/>
      <c r="AI11" s="1709"/>
      <c r="AJ11" s="1709"/>
      <c r="AK11" s="1709"/>
    </row>
    <row r="12" spans="1:45" x14ac:dyDescent="0.25">
      <c r="A12" s="509">
        <v>5</v>
      </c>
      <c r="B12" s="546" t="s">
        <v>51</v>
      </c>
      <c r="C12" s="546"/>
      <c r="D12" s="508"/>
      <c r="E12" s="508"/>
      <c r="F12" s="508"/>
      <c r="G12" s="508"/>
      <c r="H12" s="508"/>
      <c r="I12" s="508"/>
      <c r="J12" s="508"/>
      <c r="K12" s="508"/>
      <c r="L12" s="508"/>
      <c r="M12" s="1709"/>
      <c r="N12" s="508"/>
      <c r="O12" s="508"/>
      <c r="P12" s="1865"/>
      <c r="Q12" s="1865"/>
      <c r="R12" s="1865"/>
      <c r="S12" s="508"/>
      <c r="T12" s="1865"/>
      <c r="U12" s="1865"/>
      <c r="V12" s="1865"/>
      <c r="W12" s="508"/>
      <c r="X12" s="1865"/>
      <c r="Y12" s="1865"/>
      <c r="Z12" s="1865"/>
      <c r="AA12" s="508"/>
    </row>
    <row r="13" spans="1:45" x14ac:dyDescent="0.25">
      <c r="A13" s="506"/>
      <c r="B13" s="1864"/>
      <c r="C13" s="1864"/>
      <c r="D13" s="508"/>
      <c r="E13" s="508"/>
      <c r="F13" s="508"/>
      <c r="G13" s="508"/>
      <c r="H13" s="508"/>
      <c r="I13" s="508"/>
      <c r="J13" s="508"/>
      <c r="K13" s="508"/>
      <c r="L13" s="508"/>
      <c r="M13" s="508"/>
      <c r="N13" s="508"/>
      <c r="O13" s="508"/>
      <c r="P13" s="1865"/>
      <c r="Q13" s="1865"/>
      <c r="R13" s="1865"/>
      <c r="S13" s="508"/>
      <c r="T13" s="1865"/>
      <c r="U13" s="1865"/>
      <c r="V13" s="1865"/>
      <c r="W13" s="508"/>
      <c r="X13" s="1865"/>
      <c r="Y13" s="1865"/>
      <c r="Z13" s="1865"/>
      <c r="AA13" s="508"/>
      <c r="AC13" s="4950"/>
      <c r="AD13" s="4950"/>
      <c r="AE13" s="1866"/>
      <c r="AF13" s="4950"/>
      <c r="AG13" s="4950"/>
    </row>
    <row r="14" spans="1:45" x14ac:dyDescent="0.25">
      <c r="A14" s="506"/>
      <c r="B14" s="1864"/>
      <c r="C14" s="1864"/>
      <c r="D14" s="508"/>
      <c r="E14" s="508"/>
      <c r="F14" s="508"/>
      <c r="G14" s="508"/>
      <c r="H14" s="508"/>
      <c r="I14" s="508"/>
      <c r="J14" s="508"/>
      <c r="K14" s="508"/>
      <c r="L14" s="508"/>
      <c r="M14" s="508"/>
      <c r="N14" s="508"/>
      <c r="O14" s="508"/>
      <c r="P14" s="1865"/>
      <c r="Q14" s="1865"/>
      <c r="R14" s="1865"/>
      <c r="S14" s="508"/>
      <c r="T14" s="1865"/>
      <c r="U14" s="1865"/>
      <c r="V14" s="1865"/>
      <c r="W14" s="508"/>
      <c r="X14" s="1865"/>
      <c r="Y14" s="1865"/>
      <c r="Z14" s="1865"/>
      <c r="AA14" s="508"/>
      <c r="AD14" s="1867"/>
      <c r="AG14" s="1867"/>
    </row>
    <row r="15" spans="1:45" x14ac:dyDescent="0.25">
      <c r="A15" s="506"/>
      <c r="B15" s="1864"/>
      <c r="C15" s="1864"/>
      <c r="D15" s="508"/>
      <c r="E15" s="508"/>
      <c r="F15" s="508"/>
      <c r="G15" s="508"/>
      <c r="H15" s="508"/>
      <c r="I15" s="508"/>
      <c r="J15" s="508"/>
      <c r="K15" s="508"/>
      <c r="L15" s="508"/>
      <c r="M15" s="508"/>
      <c r="N15" s="508"/>
      <c r="O15" s="508"/>
      <c r="P15" s="1865"/>
      <c r="Q15" s="1865"/>
      <c r="R15" s="1865"/>
      <c r="S15" s="508"/>
      <c r="T15" s="1865"/>
      <c r="U15" s="1865"/>
      <c r="V15" s="1865"/>
      <c r="W15" s="508"/>
      <c r="X15" s="1865"/>
      <c r="Y15" s="1865"/>
      <c r="Z15" s="1865"/>
      <c r="AA15" s="508"/>
      <c r="AG15" s="1867"/>
    </row>
    <row r="16" spans="1:45" x14ac:dyDescent="0.25">
      <c r="A16" s="506"/>
      <c r="B16" s="1864"/>
      <c r="C16" s="1864"/>
      <c r="D16" s="508"/>
      <c r="E16" s="508"/>
      <c r="F16" s="508"/>
      <c r="G16" s="508"/>
      <c r="H16" s="508"/>
      <c r="I16" s="508"/>
      <c r="J16" s="508"/>
      <c r="K16" s="508"/>
      <c r="L16" s="508"/>
      <c r="M16" s="508"/>
      <c r="N16" s="508"/>
      <c r="O16" s="508"/>
      <c r="P16" s="1865"/>
      <c r="Q16" s="1865"/>
      <c r="R16" s="1865"/>
      <c r="S16" s="508"/>
      <c r="T16" s="1865"/>
      <c r="U16" s="1865"/>
      <c r="V16" s="1865"/>
      <c r="W16" s="508"/>
      <c r="X16" s="1865"/>
      <c r="Y16" s="1865"/>
      <c r="Z16" s="1865"/>
      <c r="AA16" s="508"/>
      <c r="AG16" s="1868"/>
    </row>
    <row r="17" spans="1:33" x14ac:dyDescent="0.25">
      <c r="A17" s="506"/>
      <c r="B17" s="1864"/>
      <c r="C17" s="1864"/>
      <c r="D17" s="508"/>
      <c r="E17" s="508"/>
      <c r="F17" s="508"/>
      <c r="G17" s="508"/>
      <c r="H17" s="508"/>
      <c r="I17" s="508"/>
      <c r="J17" s="508"/>
      <c r="K17" s="508"/>
      <c r="L17" s="508"/>
      <c r="M17" s="508"/>
      <c r="N17" s="508"/>
      <c r="O17" s="508"/>
      <c r="P17" s="1865"/>
      <c r="Q17" s="1865"/>
      <c r="R17" s="1865"/>
      <c r="S17" s="508"/>
      <c r="T17" s="1865"/>
      <c r="U17" s="1865"/>
      <c r="V17" s="1865"/>
      <c r="W17" s="508"/>
      <c r="X17" s="1865"/>
      <c r="Y17" s="1865"/>
      <c r="Z17" s="1865"/>
      <c r="AA17" s="508"/>
      <c r="AG17" s="1869"/>
    </row>
    <row r="18" spans="1:33" x14ac:dyDescent="0.25">
      <c r="A18" s="506"/>
      <c r="B18" s="1864"/>
      <c r="C18" s="1864"/>
      <c r="D18" s="508"/>
      <c r="E18" s="508"/>
      <c r="F18" s="508"/>
      <c r="G18" s="508"/>
      <c r="H18" s="508"/>
      <c r="I18" s="508"/>
      <c r="J18" s="508"/>
      <c r="K18" s="508"/>
      <c r="L18" s="508"/>
      <c r="M18" s="508"/>
      <c r="N18" s="508"/>
      <c r="O18" s="508"/>
      <c r="P18" s="1865"/>
      <c r="Q18" s="1865"/>
      <c r="R18" s="1865"/>
      <c r="S18" s="508"/>
      <c r="T18" s="1865"/>
      <c r="U18" s="1865"/>
      <c r="V18" s="1865"/>
      <c r="W18" s="508"/>
      <c r="X18" s="1865"/>
      <c r="Y18" s="1865"/>
      <c r="Z18" s="1865"/>
      <c r="AA18" s="508"/>
    </row>
    <row r="19" spans="1:33" x14ac:dyDescent="0.25">
      <c r="A19" s="506"/>
      <c r="B19" s="1864"/>
      <c r="C19" s="1864"/>
      <c r="D19" s="508"/>
      <c r="E19" s="508"/>
      <c r="F19" s="508"/>
      <c r="G19" s="508"/>
      <c r="H19" s="508"/>
      <c r="I19" s="508"/>
      <c r="J19" s="508"/>
      <c r="K19" s="508"/>
      <c r="L19" s="508"/>
      <c r="M19" s="508"/>
      <c r="N19" s="508"/>
      <c r="O19" s="508"/>
      <c r="P19" s="1865"/>
      <c r="Q19" s="1865"/>
      <c r="R19" s="1865"/>
      <c r="S19" s="508"/>
      <c r="T19" s="1865"/>
      <c r="U19" s="1865"/>
      <c r="V19" s="1865"/>
      <c r="W19" s="508"/>
      <c r="X19" s="1865"/>
      <c r="Y19" s="1865"/>
      <c r="Z19" s="1865"/>
      <c r="AA19" s="508"/>
    </row>
    <row r="20" spans="1:33" x14ac:dyDescent="0.25">
      <c r="A20" s="506"/>
      <c r="B20" s="1864"/>
      <c r="C20" s="1864"/>
      <c r="D20" s="508"/>
      <c r="E20" s="508"/>
      <c r="F20" s="508"/>
      <c r="G20" s="508"/>
      <c r="H20" s="508"/>
      <c r="I20" s="508"/>
      <c r="J20" s="508"/>
      <c r="K20" s="508"/>
      <c r="L20" s="508"/>
      <c r="M20" s="508"/>
      <c r="N20" s="508"/>
      <c r="O20" s="508"/>
      <c r="P20" s="1865"/>
      <c r="Q20" s="1865"/>
      <c r="R20" s="1865"/>
      <c r="S20" s="508"/>
      <c r="T20" s="1865"/>
      <c r="U20" s="1865"/>
      <c r="V20" s="1865"/>
      <c r="W20" s="508"/>
      <c r="X20" s="1865"/>
      <c r="Y20" s="1865"/>
      <c r="Z20" s="1865"/>
      <c r="AA20" s="508"/>
    </row>
    <row r="21" spans="1:33" x14ac:dyDescent="0.25">
      <c r="A21" s="506"/>
      <c r="B21" s="1864"/>
      <c r="C21" s="1864"/>
      <c r="D21" s="508"/>
      <c r="E21" s="508"/>
      <c r="F21" s="508"/>
      <c r="G21" s="508"/>
      <c r="H21" s="508"/>
      <c r="I21" s="508"/>
      <c r="J21" s="508"/>
      <c r="K21" s="508"/>
      <c r="L21" s="508"/>
      <c r="M21" s="508"/>
      <c r="N21" s="508"/>
      <c r="O21" s="508"/>
      <c r="P21" s="1865"/>
      <c r="Q21" s="1865"/>
      <c r="R21" s="1865"/>
      <c r="S21" s="508"/>
      <c r="T21" s="1865"/>
      <c r="U21" s="1865"/>
      <c r="V21" s="1865"/>
      <c r="W21" s="508"/>
      <c r="X21" s="1865"/>
      <c r="Y21" s="1865"/>
      <c r="Z21" s="1865"/>
      <c r="AA21" s="508"/>
    </row>
    <row r="22" spans="1:33" x14ac:dyDescent="0.25">
      <c r="A22" s="506"/>
      <c r="B22" s="1864"/>
      <c r="C22" s="1864"/>
      <c r="D22" s="508"/>
      <c r="E22" s="508"/>
      <c r="F22" s="508"/>
      <c r="G22" s="508"/>
      <c r="H22" s="508"/>
      <c r="I22" s="508"/>
      <c r="J22" s="508"/>
      <c r="K22" s="508"/>
      <c r="L22" s="508"/>
      <c r="M22" s="508"/>
      <c r="N22" s="508"/>
      <c r="O22" s="508"/>
      <c r="P22" s="1865"/>
      <c r="Q22" s="1865"/>
      <c r="R22" s="1865"/>
      <c r="S22" s="508"/>
      <c r="T22" s="1865"/>
      <c r="U22" s="1865"/>
      <c r="V22" s="1865"/>
      <c r="W22" s="508"/>
      <c r="X22" s="1865"/>
      <c r="Y22" s="1865"/>
      <c r="Z22" s="1865"/>
      <c r="AA22" s="508"/>
    </row>
    <row r="23" spans="1:33" x14ac:dyDescent="0.25">
      <c r="A23" s="506"/>
      <c r="C23" s="1864"/>
      <c r="D23" s="508"/>
      <c r="E23" s="508"/>
      <c r="F23" s="508"/>
      <c r="G23" s="508"/>
      <c r="H23" s="508"/>
      <c r="I23" s="508"/>
      <c r="J23" s="508"/>
      <c r="K23" s="508"/>
      <c r="L23" s="508"/>
      <c r="M23" s="508"/>
      <c r="N23" s="508"/>
      <c r="O23" s="508"/>
      <c r="P23" s="1865"/>
      <c r="Q23" s="1865"/>
      <c r="R23" s="1865"/>
      <c r="S23" s="508"/>
      <c r="T23" s="1865"/>
      <c r="U23" s="1865"/>
      <c r="V23" s="1865"/>
      <c r="W23" s="508"/>
      <c r="X23" s="1865"/>
      <c r="Y23" s="1865"/>
      <c r="Z23" s="1865"/>
      <c r="AA23" s="508"/>
    </row>
    <row r="24" spans="1:33" x14ac:dyDescent="0.25">
      <c r="A24" s="506"/>
      <c r="C24" s="1864"/>
      <c r="D24" s="508"/>
      <c r="E24" s="508"/>
      <c r="F24" s="508"/>
      <c r="G24" s="508"/>
      <c r="H24" s="508"/>
      <c r="I24" s="508"/>
      <c r="J24" s="508"/>
      <c r="K24" s="508"/>
      <c r="L24" s="508"/>
      <c r="M24" s="508"/>
      <c r="N24" s="508"/>
      <c r="O24" s="508"/>
      <c r="P24" s="1865"/>
      <c r="Q24" s="1865"/>
      <c r="R24" s="1865"/>
      <c r="S24" s="508"/>
      <c r="T24" s="1865"/>
      <c r="U24" s="1865"/>
      <c r="V24" s="1865"/>
      <c r="W24" s="508"/>
      <c r="X24" s="1865"/>
      <c r="Y24" s="1865"/>
      <c r="Z24" s="1865"/>
      <c r="AA24" s="508"/>
    </row>
    <row r="25" spans="1:33" x14ac:dyDescent="0.25">
      <c r="A25" s="506"/>
      <c r="B25" s="1864"/>
      <c r="C25" s="1864"/>
      <c r="D25" s="508"/>
      <c r="E25" s="508"/>
      <c r="F25" s="508"/>
      <c r="G25" s="508"/>
      <c r="H25" s="508"/>
      <c r="I25" s="508"/>
      <c r="J25" s="508"/>
      <c r="K25" s="508"/>
      <c r="L25" s="508"/>
      <c r="M25" s="508"/>
      <c r="N25" s="508"/>
      <c r="O25" s="508"/>
      <c r="P25" s="1865"/>
      <c r="Q25" s="1865"/>
      <c r="R25" s="1865"/>
      <c r="S25" s="508"/>
      <c r="T25" s="1865"/>
      <c r="U25" s="1865"/>
      <c r="V25" s="1865"/>
      <c r="W25" s="508"/>
      <c r="X25" s="1865"/>
      <c r="Y25" s="1865"/>
      <c r="Z25" s="1865"/>
      <c r="AA25" s="508"/>
    </row>
    <row r="26" spans="1:33" x14ac:dyDescent="0.25">
      <c r="A26" s="506"/>
      <c r="B26" s="1864"/>
      <c r="C26" s="1864"/>
      <c r="D26" s="508"/>
      <c r="E26" s="508"/>
      <c r="F26" s="508"/>
      <c r="G26" s="508"/>
      <c r="H26" s="508"/>
      <c r="I26" s="508"/>
      <c r="J26" s="508"/>
      <c r="K26" s="508"/>
      <c r="L26" s="508"/>
      <c r="M26" s="508"/>
      <c r="N26" s="508"/>
      <c r="O26" s="508"/>
      <c r="P26" s="1865"/>
      <c r="Q26" s="1865"/>
      <c r="R26" s="1865"/>
      <c r="S26" s="508"/>
      <c r="T26" s="1865"/>
      <c r="U26" s="1865"/>
      <c r="V26" s="1865"/>
      <c r="W26" s="508"/>
      <c r="X26" s="1865"/>
      <c r="Y26" s="1865"/>
      <c r="Z26" s="1865"/>
      <c r="AA26" s="508"/>
    </row>
    <row r="27" spans="1:33" x14ac:dyDescent="0.25">
      <c r="A27" s="506"/>
      <c r="B27" s="1864"/>
      <c r="C27" s="1864"/>
      <c r="D27" s="508"/>
      <c r="E27" s="508"/>
      <c r="F27" s="508"/>
      <c r="G27" s="508"/>
      <c r="H27" s="508"/>
      <c r="I27" s="508"/>
      <c r="J27" s="508"/>
      <c r="K27" s="508"/>
      <c r="L27" s="508"/>
      <c r="M27" s="508"/>
      <c r="N27" s="508"/>
      <c r="O27" s="508"/>
      <c r="P27" s="1865"/>
      <c r="Q27" s="1865"/>
      <c r="R27" s="1865"/>
      <c r="S27" s="508"/>
      <c r="T27" s="1865"/>
      <c r="U27" s="1865"/>
      <c r="V27" s="1865"/>
      <c r="W27" s="508"/>
      <c r="X27" s="1865"/>
      <c r="Y27" s="1865"/>
      <c r="Z27" s="1865"/>
      <c r="AA27" s="508"/>
    </row>
    <row r="28" spans="1:33" x14ac:dyDescent="0.25">
      <c r="A28" s="506"/>
      <c r="B28" s="1864"/>
      <c r="C28" s="1864"/>
      <c r="D28" s="508"/>
      <c r="E28" s="508"/>
      <c r="F28" s="508"/>
      <c r="G28" s="508"/>
      <c r="H28" s="508"/>
      <c r="I28" s="508"/>
      <c r="J28" s="508"/>
      <c r="K28" s="508"/>
      <c r="L28" s="508"/>
      <c r="M28" s="508"/>
      <c r="N28" s="508"/>
      <c r="O28" s="508"/>
      <c r="P28" s="1865"/>
      <c r="Q28" s="1865"/>
      <c r="R28" s="1865"/>
      <c r="S28" s="508"/>
      <c r="T28" s="1865"/>
      <c r="U28" s="1865"/>
      <c r="V28" s="1865"/>
      <c r="W28" s="508"/>
      <c r="X28" s="1865"/>
      <c r="Y28" s="1865"/>
      <c r="Z28" s="1865"/>
      <c r="AA28" s="508"/>
    </row>
    <row r="29" spans="1:33" x14ac:dyDescent="0.25">
      <c r="D29" s="1137"/>
      <c r="E29" s="1137"/>
      <c r="F29" s="1137"/>
      <c r="G29" s="1137"/>
      <c r="H29" s="1137"/>
      <c r="I29" s="1137"/>
      <c r="J29" s="1137"/>
      <c r="K29" s="1137"/>
      <c r="L29" s="1137"/>
      <c r="M29" s="1137"/>
      <c r="N29" s="1137"/>
      <c r="O29" s="1137"/>
      <c r="P29" s="1137"/>
      <c r="Q29" s="1137"/>
      <c r="R29" s="1137"/>
      <c r="S29" s="1137"/>
      <c r="T29" s="1137"/>
      <c r="U29" s="1137"/>
      <c r="V29" s="1137"/>
      <c r="W29" s="1137"/>
      <c r="X29" s="1137"/>
      <c r="Y29" s="1137"/>
      <c r="Z29" s="1137"/>
      <c r="AA29" s="1137"/>
    </row>
    <row r="30" spans="1:33" x14ac:dyDescent="0.25">
      <c r="D30" s="1137"/>
      <c r="E30" s="1137"/>
      <c r="F30" s="1137"/>
      <c r="G30" s="1137"/>
      <c r="H30" s="1137"/>
      <c r="I30" s="1137"/>
      <c r="J30" s="1137"/>
      <c r="K30" s="1137"/>
      <c r="L30" s="1137"/>
      <c r="M30" s="1137"/>
      <c r="N30" s="1137"/>
      <c r="O30" s="1137"/>
      <c r="P30" s="1137"/>
      <c r="Q30" s="1137"/>
      <c r="R30" s="1137"/>
      <c r="S30" s="1137"/>
      <c r="T30" s="1137"/>
      <c r="U30" s="1137"/>
      <c r="V30" s="1137"/>
      <c r="W30" s="1137"/>
      <c r="X30" s="1137"/>
      <c r="Y30" s="1137"/>
      <c r="Z30" s="1137"/>
      <c r="AA30" s="1137"/>
    </row>
    <row r="31" spans="1:33" x14ac:dyDescent="0.25">
      <c r="D31" s="1137"/>
      <c r="E31" s="1137"/>
      <c r="F31" s="1137"/>
      <c r="G31" s="1137"/>
      <c r="H31" s="1137"/>
      <c r="I31" s="1137"/>
      <c r="J31" s="1137"/>
      <c r="K31" s="1137"/>
      <c r="L31" s="1137"/>
      <c r="M31" s="1137"/>
      <c r="N31" s="1137"/>
      <c r="O31" s="1137"/>
      <c r="P31" s="1137"/>
      <c r="Q31" s="1137"/>
      <c r="R31" s="1137"/>
      <c r="S31" s="1137"/>
      <c r="T31" s="1137"/>
      <c r="U31" s="1137"/>
      <c r="V31" s="1137"/>
      <c r="W31" s="1137"/>
      <c r="X31" s="1137"/>
      <c r="Y31" s="1137"/>
      <c r="Z31" s="1137"/>
      <c r="AA31" s="1137"/>
    </row>
    <row r="32" spans="1:33" x14ac:dyDescent="0.25">
      <c r="D32" s="4946" t="s">
        <v>275</v>
      </c>
      <c r="E32" s="4947"/>
      <c r="F32" s="1870" t="s">
        <v>28</v>
      </c>
      <c r="G32" s="1871"/>
      <c r="H32" s="1870" t="s">
        <v>29</v>
      </c>
      <c r="I32" s="1871"/>
      <c r="J32" s="1870" t="s">
        <v>30</v>
      </c>
      <c r="K32" s="1871"/>
      <c r="L32" s="4648" t="s">
        <v>31</v>
      </c>
      <c r="M32" s="4649"/>
      <c r="N32" s="4941" t="s">
        <v>32</v>
      </c>
      <c r="O32" s="4942"/>
      <c r="P32" s="4941" t="s">
        <v>33</v>
      </c>
      <c r="Q32" s="4942"/>
      <c r="R32" s="4941" t="s">
        <v>59</v>
      </c>
      <c r="S32" s="4942"/>
      <c r="T32" s="1137"/>
      <c r="U32" s="1137"/>
      <c r="Z32" s="1137"/>
      <c r="AA32" s="1137"/>
    </row>
    <row r="33" spans="1:35" x14ac:dyDescent="0.25">
      <c r="D33" s="4948"/>
      <c r="E33" s="4949"/>
      <c r="F33" s="1811" t="s">
        <v>1486</v>
      </c>
      <c r="G33" s="1811" t="s">
        <v>1487</v>
      </c>
      <c r="H33" s="1811" t="s">
        <v>1488</v>
      </c>
      <c r="I33" s="1811" t="s">
        <v>1489</v>
      </c>
      <c r="J33" s="1811" t="s">
        <v>1490</v>
      </c>
      <c r="K33" s="1811" t="s">
        <v>1491</v>
      </c>
      <c r="L33" s="1811" t="s">
        <v>1492</v>
      </c>
      <c r="M33" s="1811" t="s">
        <v>1493</v>
      </c>
      <c r="N33" s="4362" t="s">
        <v>1494</v>
      </c>
      <c r="O33" s="4362" t="s">
        <v>1495</v>
      </c>
      <c r="P33" s="4362" t="s">
        <v>1496</v>
      </c>
      <c r="Q33" s="4362" t="s">
        <v>1497</v>
      </c>
      <c r="R33" s="4362" t="s">
        <v>1498</v>
      </c>
      <c r="S33" s="4363" t="s">
        <v>1499</v>
      </c>
      <c r="T33" s="1137"/>
      <c r="U33" s="1137"/>
      <c r="Z33" s="1137"/>
      <c r="AA33" s="1137"/>
    </row>
    <row r="34" spans="1:35" x14ac:dyDescent="0.25">
      <c r="D34" s="4951" t="s">
        <v>276</v>
      </c>
      <c r="E34" s="4948"/>
      <c r="F34" s="1817">
        <v>96</v>
      </c>
      <c r="G34" s="1872">
        <v>87</v>
      </c>
      <c r="H34" s="914">
        <v>92</v>
      </c>
      <c r="I34" s="1818">
        <v>91</v>
      </c>
      <c r="J34" s="1817">
        <v>90</v>
      </c>
      <c r="K34" s="1818">
        <v>86</v>
      </c>
      <c r="L34" s="1873">
        <v>90</v>
      </c>
      <c r="M34" s="1872">
        <v>78</v>
      </c>
      <c r="N34" s="4364">
        <v>77</v>
      </c>
      <c r="O34" s="4365">
        <v>82</v>
      </c>
      <c r="P34" s="4364"/>
      <c r="Q34" s="4365"/>
      <c r="R34" s="4364"/>
      <c r="S34" s="4365">
        <v>79</v>
      </c>
      <c r="T34" s="1137"/>
      <c r="U34" s="1137"/>
      <c r="Z34" s="1137"/>
      <c r="AA34" s="1137"/>
    </row>
    <row r="35" spans="1:35" x14ac:dyDescent="0.25">
      <c r="D35" s="4943" t="s">
        <v>277</v>
      </c>
      <c r="E35" s="4944"/>
      <c r="F35" s="1817">
        <v>91</v>
      </c>
      <c r="G35" s="1818">
        <v>92</v>
      </c>
      <c r="H35" s="914">
        <v>84</v>
      </c>
      <c r="I35" s="1818">
        <v>90</v>
      </c>
      <c r="J35" s="1817">
        <v>88</v>
      </c>
      <c r="K35" s="1818">
        <v>82</v>
      </c>
      <c r="L35" s="1817">
        <v>86</v>
      </c>
      <c r="M35" s="1818">
        <v>81</v>
      </c>
      <c r="N35" s="4366">
        <v>85</v>
      </c>
      <c r="O35" s="4367">
        <v>75</v>
      </c>
      <c r="P35" s="4366"/>
      <c r="Q35" s="4367"/>
      <c r="R35" s="4366"/>
      <c r="S35" s="4367">
        <v>85</v>
      </c>
      <c r="T35" s="1137"/>
      <c r="U35" s="1137"/>
      <c r="Z35" s="1137"/>
      <c r="AA35" s="1137"/>
    </row>
    <row r="36" spans="1:35" x14ac:dyDescent="0.25">
      <c r="D36" s="4943" t="s">
        <v>278</v>
      </c>
      <c r="E36" s="4944"/>
      <c r="F36" s="1817">
        <v>83</v>
      </c>
      <c r="G36" s="1818">
        <v>81</v>
      </c>
      <c r="H36" s="914">
        <v>83</v>
      </c>
      <c r="I36" s="1818">
        <v>80</v>
      </c>
      <c r="J36" s="1817">
        <v>83</v>
      </c>
      <c r="K36" s="1818">
        <v>82</v>
      </c>
      <c r="L36" s="1817">
        <v>78</v>
      </c>
      <c r="M36" s="1818">
        <v>82</v>
      </c>
      <c r="N36" s="4366">
        <v>79</v>
      </c>
      <c r="O36" s="4367">
        <v>79</v>
      </c>
      <c r="P36" s="4366"/>
      <c r="Q36" s="4367"/>
      <c r="R36" s="4366"/>
      <c r="S36" s="4367">
        <v>73</v>
      </c>
      <c r="T36" s="1137"/>
      <c r="U36" s="1137"/>
      <c r="Z36" s="1137"/>
      <c r="AA36" s="1137"/>
    </row>
    <row r="37" spans="1:35" x14ac:dyDescent="0.25">
      <c r="D37" s="4943" t="s">
        <v>279</v>
      </c>
      <c r="E37" s="4944"/>
      <c r="F37" s="1817">
        <v>89</v>
      </c>
      <c r="G37" s="1818">
        <v>83</v>
      </c>
      <c r="H37" s="914">
        <v>94</v>
      </c>
      <c r="I37" s="1818">
        <v>84</v>
      </c>
      <c r="J37" s="1817">
        <v>60</v>
      </c>
      <c r="K37" s="1818">
        <v>79</v>
      </c>
      <c r="L37" s="1817">
        <v>80</v>
      </c>
      <c r="M37" s="1818">
        <v>81</v>
      </c>
      <c r="N37" s="4366">
        <v>85</v>
      </c>
      <c r="O37" s="4367">
        <v>76</v>
      </c>
      <c r="P37" s="4366"/>
      <c r="Q37" s="4367"/>
      <c r="R37" s="4366"/>
      <c r="S37" s="4367">
        <v>63</v>
      </c>
      <c r="T37" s="1137"/>
      <c r="U37" s="1137"/>
      <c r="Z37" s="1137"/>
      <c r="AA37" s="1137"/>
    </row>
    <row r="38" spans="1:35" x14ac:dyDescent="0.25">
      <c r="D38" s="4952" t="s">
        <v>280</v>
      </c>
      <c r="E38" s="4953"/>
      <c r="F38" s="1817">
        <v>73</v>
      </c>
      <c r="G38" s="1818">
        <v>90</v>
      </c>
      <c r="H38" s="914">
        <v>93</v>
      </c>
      <c r="I38" s="1818">
        <v>88</v>
      </c>
      <c r="J38" s="1817">
        <v>82</v>
      </c>
      <c r="K38" s="1818">
        <v>87</v>
      </c>
      <c r="L38" s="1817">
        <v>90</v>
      </c>
      <c r="M38" s="1818">
        <v>88</v>
      </c>
      <c r="N38" s="4366">
        <v>92</v>
      </c>
      <c r="O38" s="4367">
        <v>86</v>
      </c>
      <c r="P38" s="4366"/>
      <c r="Q38" s="4367"/>
      <c r="R38" s="4366"/>
      <c r="S38" s="4367">
        <v>87</v>
      </c>
      <c r="T38" s="1137"/>
      <c r="U38" s="1137"/>
      <c r="Z38" s="1137"/>
      <c r="AA38" s="1137"/>
    </row>
    <row r="39" spans="1:35" x14ac:dyDescent="0.25">
      <c r="D39" s="4943" t="s">
        <v>281</v>
      </c>
      <c r="E39" s="4944"/>
      <c r="F39" s="1817">
        <v>95</v>
      </c>
      <c r="G39" s="1818">
        <v>88</v>
      </c>
      <c r="H39" s="914">
        <v>88</v>
      </c>
      <c r="I39" s="1818">
        <v>86</v>
      </c>
      <c r="J39" s="1817">
        <v>83</v>
      </c>
      <c r="K39" s="1818">
        <v>85</v>
      </c>
      <c r="L39" s="1817">
        <v>90</v>
      </c>
      <c r="M39" s="1818">
        <v>89</v>
      </c>
      <c r="N39" s="4366">
        <v>87</v>
      </c>
      <c r="O39" s="4367">
        <v>89</v>
      </c>
      <c r="P39" s="4366"/>
      <c r="Q39" s="4367"/>
      <c r="R39" s="4366"/>
      <c r="S39" s="4367">
        <v>92</v>
      </c>
      <c r="T39" s="1137"/>
      <c r="U39" s="1137"/>
      <c r="Z39" s="1137"/>
      <c r="AA39" s="1137"/>
    </row>
    <row r="40" spans="1:35" x14ac:dyDescent="0.25">
      <c r="D40" s="4943" t="s">
        <v>282</v>
      </c>
      <c r="E40" s="4944"/>
      <c r="F40" s="1817">
        <v>79</v>
      </c>
      <c r="G40" s="1818">
        <v>88</v>
      </c>
      <c r="H40" s="914">
        <v>90</v>
      </c>
      <c r="I40" s="1818">
        <v>84</v>
      </c>
      <c r="J40" s="1817">
        <v>87</v>
      </c>
      <c r="K40" s="1818">
        <v>86</v>
      </c>
      <c r="L40" s="1817">
        <v>83</v>
      </c>
      <c r="M40" s="1818">
        <v>87</v>
      </c>
      <c r="N40" s="4366">
        <v>76</v>
      </c>
      <c r="O40" s="4367">
        <v>82</v>
      </c>
      <c r="P40" s="4366"/>
      <c r="Q40" s="4367"/>
      <c r="R40" s="4366"/>
      <c r="S40" s="4367">
        <v>85</v>
      </c>
      <c r="T40" s="1137"/>
      <c r="U40" s="1137"/>
      <c r="Z40" s="1137"/>
      <c r="AA40" s="1137"/>
    </row>
    <row r="41" spans="1:35" x14ac:dyDescent="0.25">
      <c r="D41" s="4943" t="s">
        <v>283</v>
      </c>
      <c r="E41" s="4944"/>
      <c r="F41" s="1817">
        <v>96</v>
      </c>
      <c r="G41" s="1818">
        <v>92</v>
      </c>
      <c r="H41" s="914">
        <v>87</v>
      </c>
      <c r="I41" s="1818">
        <v>92</v>
      </c>
      <c r="J41" s="1817">
        <v>89</v>
      </c>
      <c r="K41" s="1818">
        <v>95</v>
      </c>
      <c r="L41" s="1817">
        <v>85</v>
      </c>
      <c r="M41" s="1818">
        <v>84</v>
      </c>
      <c r="N41" s="4366">
        <v>92</v>
      </c>
      <c r="O41" s="4367">
        <v>92</v>
      </c>
      <c r="P41" s="4366"/>
      <c r="Q41" s="4367"/>
      <c r="R41" s="4366"/>
      <c r="S41" s="4367">
        <v>81</v>
      </c>
      <c r="T41" s="1137"/>
      <c r="U41" s="1137"/>
      <c r="Z41" s="1137"/>
      <c r="AA41" s="1137"/>
    </row>
    <row r="42" spans="1:35" x14ac:dyDescent="0.25">
      <c r="D42" s="4943" t="s">
        <v>284</v>
      </c>
      <c r="E42" s="4944"/>
      <c r="F42" s="1829">
        <v>80</v>
      </c>
      <c r="G42" s="1830">
        <v>77</v>
      </c>
      <c r="H42" s="1829">
        <v>91</v>
      </c>
      <c r="I42" s="1830">
        <v>93</v>
      </c>
      <c r="J42" s="1829">
        <v>73</v>
      </c>
      <c r="K42" s="1830">
        <v>81</v>
      </c>
      <c r="L42" s="1829">
        <v>85</v>
      </c>
      <c r="M42" s="1830">
        <v>77</v>
      </c>
      <c r="N42" s="4368">
        <v>78</v>
      </c>
      <c r="O42" s="4369">
        <v>75</v>
      </c>
      <c r="P42" s="4368"/>
      <c r="Q42" s="4369"/>
      <c r="R42" s="4368"/>
      <c r="S42" s="4369">
        <v>69</v>
      </c>
      <c r="T42" s="1137"/>
      <c r="U42" s="1137"/>
      <c r="Z42" s="1137"/>
      <c r="AA42" s="1137"/>
    </row>
    <row r="43" spans="1:35" x14ac:dyDescent="0.25">
      <c r="D43" s="1137"/>
      <c r="E43" s="1137"/>
      <c r="F43" s="1137"/>
      <c r="G43" s="1137"/>
      <c r="H43" s="1137"/>
      <c r="I43" s="1137"/>
      <c r="J43" s="1137"/>
      <c r="K43" s="1137"/>
      <c r="L43" s="1137"/>
      <c r="M43" s="1137"/>
      <c r="N43" s="1137"/>
      <c r="O43" s="1137"/>
      <c r="P43" s="1137"/>
      <c r="Q43" s="1137"/>
      <c r="R43" s="1137"/>
      <c r="S43" s="1137"/>
      <c r="T43" s="1137"/>
      <c r="U43" s="1137"/>
      <c r="V43" s="1137"/>
      <c r="W43" s="1137"/>
      <c r="X43" s="1137"/>
      <c r="Y43" s="1137"/>
      <c r="Z43" s="1137"/>
      <c r="AA43" s="1137"/>
    </row>
    <row r="44" spans="1:35" x14ac:dyDescent="0.25">
      <c r="D44" s="1137"/>
      <c r="E44" s="1137"/>
      <c r="F44" s="1137"/>
      <c r="G44" s="1137"/>
      <c r="H44" s="1137"/>
      <c r="I44" s="1137"/>
      <c r="J44" s="1137"/>
      <c r="K44" s="1137"/>
      <c r="L44" s="1137"/>
      <c r="M44" s="1137"/>
      <c r="N44" s="1137"/>
      <c r="O44" s="1137"/>
      <c r="P44" s="1137"/>
      <c r="Q44" s="1137"/>
      <c r="R44" s="1137"/>
      <c r="S44" s="1137"/>
      <c r="T44" s="1137"/>
      <c r="U44" s="1137"/>
      <c r="V44" s="1137"/>
      <c r="W44" s="1137"/>
      <c r="X44" s="1137"/>
      <c r="Y44" s="1137"/>
      <c r="Z44" s="1137"/>
      <c r="AA44" s="1137"/>
    </row>
    <row r="45" spans="1:35" x14ac:dyDescent="0.25">
      <c r="A45" s="509">
        <v>6</v>
      </c>
      <c r="B45" s="509" t="s">
        <v>52</v>
      </c>
      <c r="C45" s="509"/>
      <c r="D45" s="4603" t="s">
        <v>533</v>
      </c>
      <c r="E45" s="4604"/>
      <c r="F45" s="4604"/>
      <c r="G45" s="4604"/>
      <c r="H45" s="4604"/>
      <c r="I45" s="4604"/>
      <c r="J45" s="4604"/>
      <c r="K45" s="4604"/>
      <c r="L45" s="4604"/>
      <c r="M45" s="4604"/>
      <c r="N45" s="4604"/>
      <c r="O45" s="4604"/>
      <c r="P45" s="4604"/>
      <c r="Q45" s="4604"/>
      <c r="R45" s="4604"/>
      <c r="S45" s="4604"/>
      <c r="T45" s="4604"/>
      <c r="U45" s="4604"/>
      <c r="V45" s="4604"/>
      <c r="W45" s="4604"/>
      <c r="X45" s="4604"/>
      <c r="Y45" s="4604"/>
      <c r="Z45" s="4604"/>
      <c r="AA45" s="4604"/>
      <c r="AB45" s="4604"/>
      <c r="AC45" s="4604"/>
      <c r="AD45" s="4604"/>
      <c r="AE45" s="4604"/>
      <c r="AF45" s="4604"/>
      <c r="AG45" s="4604"/>
      <c r="AH45" s="4604"/>
      <c r="AI45" s="4605"/>
    </row>
    <row r="46" spans="1:35" ht="15" customHeight="1" x14ac:dyDescent="0.25">
      <c r="A46" s="546">
        <v>7</v>
      </c>
      <c r="B46" s="546" t="s">
        <v>54</v>
      </c>
      <c r="C46" s="546"/>
      <c r="D46" s="4737" t="s">
        <v>1500</v>
      </c>
      <c r="E46" s="4738"/>
      <c r="F46" s="4738"/>
      <c r="G46" s="4738"/>
      <c r="H46" s="4738"/>
      <c r="I46" s="4738"/>
      <c r="J46" s="4738"/>
      <c r="K46" s="4738"/>
      <c r="L46" s="4738"/>
      <c r="M46" s="4738"/>
      <c r="N46" s="4738"/>
      <c r="O46" s="4738"/>
      <c r="P46" s="4738"/>
      <c r="Q46" s="4738"/>
      <c r="R46" s="4738"/>
      <c r="S46" s="4738"/>
      <c r="T46" s="4738"/>
      <c r="U46" s="4738"/>
      <c r="V46" s="4738"/>
      <c r="W46" s="4738"/>
      <c r="X46" s="4738"/>
      <c r="Y46" s="4738"/>
      <c r="Z46" s="4738"/>
      <c r="AA46" s="4738"/>
      <c r="AB46" s="4738"/>
      <c r="AC46" s="4738"/>
      <c r="AD46" s="4738"/>
      <c r="AE46" s="4738"/>
      <c r="AF46" s="4738"/>
      <c r="AG46" s="4738"/>
      <c r="AH46" s="4738"/>
      <c r="AI46" s="4739"/>
    </row>
    <row r="47" spans="1:35" ht="12.75" customHeight="1" x14ac:dyDescent="0.25">
      <c r="A47" s="509">
        <v>8</v>
      </c>
      <c r="B47" s="509" t="s">
        <v>56</v>
      </c>
      <c r="C47" s="509"/>
      <c r="D47" s="4737" t="s">
        <v>1501</v>
      </c>
      <c r="E47" s="4738"/>
      <c r="F47" s="4738"/>
      <c r="G47" s="4738"/>
      <c r="H47" s="4738"/>
      <c r="I47" s="4738"/>
      <c r="J47" s="4738"/>
      <c r="K47" s="4738"/>
      <c r="L47" s="4738"/>
      <c r="M47" s="4738"/>
      <c r="N47" s="4738"/>
      <c r="O47" s="4738"/>
      <c r="P47" s="4738"/>
      <c r="Q47" s="4738"/>
      <c r="R47" s="4738"/>
      <c r="S47" s="4738"/>
      <c r="T47" s="4738"/>
      <c r="U47" s="4738"/>
      <c r="V47" s="4738"/>
      <c r="W47" s="4738"/>
      <c r="X47" s="4738"/>
      <c r="Y47" s="4738"/>
      <c r="Z47" s="4738"/>
      <c r="AA47" s="4738"/>
      <c r="AB47" s="4738"/>
      <c r="AC47" s="4738"/>
      <c r="AD47" s="4738"/>
      <c r="AE47" s="4738"/>
      <c r="AF47" s="4738"/>
      <c r="AG47" s="4738"/>
      <c r="AH47" s="4738"/>
      <c r="AI47" s="4739"/>
    </row>
    <row r="48" spans="1:35" ht="51.75" customHeight="1" x14ac:dyDescent="0.25">
      <c r="A48" s="509">
        <v>9</v>
      </c>
      <c r="B48" s="509" t="s">
        <v>58</v>
      </c>
      <c r="D48" s="4737" t="s">
        <v>1502</v>
      </c>
      <c r="E48" s="4738"/>
      <c r="F48" s="4738"/>
      <c r="G48" s="4738"/>
      <c r="H48" s="4738"/>
      <c r="I48" s="4738"/>
      <c r="J48" s="4738"/>
      <c r="K48" s="4738"/>
      <c r="L48" s="4738"/>
      <c r="M48" s="4738"/>
      <c r="N48" s="4738"/>
      <c r="O48" s="4738"/>
      <c r="P48" s="4738"/>
      <c r="Q48" s="4738"/>
      <c r="R48" s="4738"/>
      <c r="S48" s="4738"/>
      <c r="T48" s="4738"/>
      <c r="U48" s="4738"/>
      <c r="V48" s="4738"/>
      <c r="W48" s="4738"/>
      <c r="X48" s="4738"/>
      <c r="Y48" s="4738"/>
      <c r="Z48" s="4738"/>
      <c r="AA48" s="4738"/>
      <c r="AB48" s="4738"/>
      <c r="AC48" s="4738"/>
      <c r="AD48" s="4738"/>
      <c r="AE48" s="4738"/>
      <c r="AF48" s="4738"/>
      <c r="AG48" s="4738"/>
      <c r="AH48" s="4738"/>
      <c r="AI48" s="4739"/>
    </row>
    <row r="53" spans="1:31" s="1875" customFormat="1" x14ac:dyDescent="0.25">
      <c r="A53" s="1874"/>
      <c r="B53" s="1874"/>
      <c r="C53" s="1874"/>
    </row>
    <row r="54" spans="1:31" s="1875" customFormat="1" x14ac:dyDescent="0.25">
      <c r="A54" s="1874"/>
      <c r="B54" s="1874"/>
      <c r="C54" s="1874"/>
      <c r="E54" s="312">
        <v>2003</v>
      </c>
      <c r="F54" s="312">
        <v>2004</v>
      </c>
      <c r="G54" s="312">
        <v>2005</v>
      </c>
      <c r="H54" s="312">
        <v>2006</v>
      </c>
      <c r="I54" s="312">
        <v>2007</v>
      </c>
      <c r="J54" s="312">
        <v>2008</v>
      </c>
      <c r="K54" s="312">
        <v>2009</v>
      </c>
      <c r="L54" s="1876" t="s">
        <v>23</v>
      </c>
      <c r="M54" s="1876" t="s">
        <v>24</v>
      </c>
      <c r="N54" s="1876" t="s">
        <v>25</v>
      </c>
      <c r="O54" s="1876" t="s">
        <v>26</v>
      </c>
      <c r="P54" s="1876" t="s">
        <v>27</v>
      </c>
      <c r="Q54" s="1876" t="s">
        <v>28</v>
      </c>
      <c r="R54" s="1876" t="s">
        <v>29</v>
      </c>
      <c r="S54" s="1876" t="s">
        <v>30</v>
      </c>
      <c r="T54" s="1876" t="s">
        <v>31</v>
      </c>
      <c r="U54" s="1876" t="s">
        <v>32</v>
      </c>
      <c r="V54" s="1876" t="s">
        <v>59</v>
      </c>
      <c r="X54" s="1877"/>
      <c r="Y54" s="1877"/>
      <c r="Z54" s="1877"/>
      <c r="AB54" s="1877"/>
      <c r="AC54" s="1877"/>
      <c r="AD54" s="1877"/>
    </row>
    <row r="55" spans="1:31" s="1875" customFormat="1" x14ac:dyDescent="0.25">
      <c r="A55" s="1874"/>
      <c r="B55" s="1874"/>
      <c r="C55" s="1874"/>
      <c r="E55" s="88">
        <v>84</v>
      </c>
      <c r="F55" s="88">
        <v>90</v>
      </c>
      <c r="G55" s="88">
        <v>90</v>
      </c>
      <c r="H55" s="88">
        <v>90</v>
      </c>
      <c r="I55" s="88">
        <v>78</v>
      </c>
      <c r="J55" s="88">
        <v>65</v>
      </c>
      <c r="K55" s="88">
        <v>75</v>
      </c>
      <c r="L55" s="617">
        <v>90</v>
      </c>
      <c r="M55" s="1878">
        <v>88.25</v>
      </c>
      <c r="N55" s="617">
        <v>87</v>
      </c>
      <c r="O55" s="1878">
        <v>88</v>
      </c>
      <c r="P55" s="1878">
        <v>89</v>
      </c>
      <c r="Q55" s="1878">
        <v>85</v>
      </c>
      <c r="R55" s="617">
        <v>88</v>
      </c>
      <c r="S55" s="312">
        <v>81</v>
      </c>
      <c r="T55" s="312">
        <v>83</v>
      </c>
      <c r="U55" s="312">
        <v>81</v>
      </c>
      <c r="V55" s="312">
        <v>76</v>
      </c>
      <c r="X55" s="1879"/>
      <c r="Y55" s="1879"/>
      <c r="Z55" s="1879"/>
      <c r="AA55" s="1879"/>
      <c r="AB55" s="1879"/>
      <c r="AC55" s="1879"/>
      <c r="AD55" s="1879"/>
    </row>
    <row r="56" spans="1:31" s="1875" customFormat="1" x14ac:dyDescent="0.25">
      <c r="A56" s="1874"/>
      <c r="B56" s="1874"/>
      <c r="C56" s="1874"/>
      <c r="AB56" s="1880"/>
      <c r="AC56" s="1880"/>
      <c r="AD56" s="1880"/>
      <c r="AE56" s="1880"/>
    </row>
    <row r="57" spans="1:31" s="1875" customFormat="1" x14ac:dyDescent="0.25">
      <c r="A57" s="1874"/>
      <c r="B57" s="1874"/>
      <c r="C57" s="1874"/>
    </row>
  </sheetData>
  <mergeCells count="34">
    <mergeCell ref="D39:E39"/>
    <mergeCell ref="AL7:AM7"/>
    <mergeCell ref="AN7:AO7"/>
    <mergeCell ref="AP7:AQ7"/>
    <mergeCell ref="AC13:AD13"/>
    <mergeCell ref="AF13:AG13"/>
    <mergeCell ref="D34:E34"/>
    <mergeCell ref="D35:E35"/>
    <mergeCell ref="D38:E38"/>
    <mergeCell ref="D48:AI48"/>
    <mergeCell ref="D40:E40"/>
    <mergeCell ref="D41:E41"/>
    <mergeCell ref="D42:E42"/>
    <mergeCell ref="D45:AI45"/>
    <mergeCell ref="D46:AI46"/>
    <mergeCell ref="D47:AI47"/>
    <mergeCell ref="AR7:AS7"/>
    <mergeCell ref="P32:Q32"/>
    <mergeCell ref="R32:S32"/>
    <mergeCell ref="D36:E36"/>
    <mergeCell ref="D37:E37"/>
    <mergeCell ref="AP10:AQ10"/>
    <mergeCell ref="D32:E33"/>
    <mergeCell ref="L32:M32"/>
    <mergeCell ref="N32:O32"/>
    <mergeCell ref="D2:AK2"/>
    <mergeCell ref="D3:AK3"/>
    <mergeCell ref="D4:AK4"/>
    <mergeCell ref="L7:O7"/>
    <mergeCell ref="P7:S7"/>
    <mergeCell ref="T7:W7"/>
    <mergeCell ref="X7:AA7"/>
    <mergeCell ref="AB7:AE7"/>
    <mergeCell ref="AF7:AG7"/>
  </mergeCells>
  <pageMargins left="0.74803149606299213" right="0.74803149606299213" top="0.98425196850393704" bottom="0.98425196850393704" header="0.51181102362204722" footer="0.51181102362204722"/>
  <pageSetup paperSize="9" scale="2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0735A-BE9F-4559-89D0-D897A27BE6EA}">
  <sheetPr>
    <tabColor rgb="FFFFC000"/>
    <pageSetUpPr fitToPage="1"/>
  </sheetPr>
  <dimension ref="A1:AD59"/>
  <sheetViews>
    <sheetView showGridLines="0" view="pageBreakPreview" zoomScaleNormal="100" zoomScaleSheetLayoutView="100" workbookViewId="0">
      <selection activeCell="O35" sqref="O35"/>
    </sheetView>
  </sheetViews>
  <sheetFormatPr defaultColWidth="9.140625" defaultRowHeight="15" x14ac:dyDescent="0.25"/>
  <cols>
    <col min="1" max="1" width="3.5703125" style="309" customWidth="1"/>
    <col min="2" max="2" width="14.42578125" style="309" customWidth="1"/>
    <col min="3" max="3" width="3.5703125" style="309" customWidth="1"/>
    <col min="4" max="4" width="14.5703125" style="113" customWidth="1"/>
    <col min="5" max="11" width="6.5703125" style="113" customWidth="1"/>
    <col min="12" max="12" width="9.5703125" style="113" customWidth="1"/>
    <col min="13" max="14" width="9.42578125" style="113" customWidth="1"/>
    <col min="15" max="15" width="8.5703125" style="113" customWidth="1"/>
    <col min="16" max="17" width="10.5703125" style="113" customWidth="1"/>
    <col min="18" max="18" width="12.5703125" style="113" customWidth="1"/>
    <col min="19" max="19" width="13" style="113" customWidth="1"/>
    <col min="20" max="257" width="9.140625" style="113"/>
    <col min="258" max="258" width="3.5703125" style="113" customWidth="1"/>
    <col min="259" max="259" width="14.42578125" style="113" customWidth="1"/>
    <col min="260" max="260" width="3.5703125" style="113" customWidth="1"/>
    <col min="261" max="261" width="14.5703125" style="113" customWidth="1"/>
    <col min="262" max="272" width="6.5703125" style="113" customWidth="1"/>
    <col min="273" max="273" width="9.42578125" style="113" bestFit="1" customWidth="1"/>
    <col min="274" max="513" width="9.140625" style="113"/>
    <col min="514" max="514" width="3.5703125" style="113" customWidth="1"/>
    <col min="515" max="515" width="14.42578125" style="113" customWidth="1"/>
    <col min="516" max="516" width="3.5703125" style="113" customWidth="1"/>
    <col min="517" max="517" width="14.5703125" style="113" customWidth="1"/>
    <col min="518" max="528" width="6.5703125" style="113" customWidth="1"/>
    <col min="529" max="529" width="9.42578125" style="113" bestFit="1" customWidth="1"/>
    <col min="530" max="769" width="9.140625" style="113"/>
    <col min="770" max="770" width="3.5703125" style="113" customWidth="1"/>
    <col min="771" max="771" width="14.42578125" style="113" customWidth="1"/>
    <col min="772" max="772" width="3.5703125" style="113" customWidth="1"/>
    <col min="773" max="773" width="14.5703125" style="113" customWidth="1"/>
    <col min="774" max="784" width="6.5703125" style="113" customWidth="1"/>
    <col min="785" max="785" width="9.42578125" style="113" bestFit="1" customWidth="1"/>
    <col min="786" max="1025" width="9.140625" style="113"/>
    <col min="1026" max="1026" width="3.5703125" style="113" customWidth="1"/>
    <col min="1027" max="1027" width="14.42578125" style="113" customWidth="1"/>
    <col min="1028" max="1028" width="3.5703125" style="113" customWidth="1"/>
    <col min="1029" max="1029" width="14.5703125" style="113" customWidth="1"/>
    <col min="1030" max="1040" width="6.5703125" style="113" customWidth="1"/>
    <col min="1041" max="1041" width="9.42578125" style="113" bestFit="1" customWidth="1"/>
    <col min="1042" max="1281" width="9.140625" style="113"/>
    <col min="1282" max="1282" width="3.5703125" style="113" customWidth="1"/>
    <col min="1283" max="1283" width="14.42578125" style="113" customWidth="1"/>
    <col min="1284" max="1284" width="3.5703125" style="113" customWidth="1"/>
    <col min="1285" max="1285" width="14.5703125" style="113" customWidth="1"/>
    <col min="1286" max="1296" width="6.5703125" style="113" customWidth="1"/>
    <col min="1297" max="1297" width="9.42578125" style="113" bestFit="1" customWidth="1"/>
    <col min="1298" max="1537" width="9.140625" style="113"/>
    <col min="1538" max="1538" width="3.5703125" style="113" customWidth="1"/>
    <col min="1539" max="1539" width="14.42578125" style="113" customWidth="1"/>
    <col min="1540" max="1540" width="3.5703125" style="113" customWidth="1"/>
    <col min="1541" max="1541" width="14.5703125" style="113" customWidth="1"/>
    <col min="1542" max="1552" width="6.5703125" style="113" customWidth="1"/>
    <col min="1553" max="1553" width="9.42578125" style="113" bestFit="1" customWidth="1"/>
    <col min="1554" max="1793" width="9.140625" style="113"/>
    <col min="1794" max="1794" width="3.5703125" style="113" customWidth="1"/>
    <col min="1795" max="1795" width="14.42578125" style="113" customWidth="1"/>
    <col min="1796" max="1796" width="3.5703125" style="113" customWidth="1"/>
    <col min="1797" max="1797" width="14.5703125" style="113" customWidth="1"/>
    <col min="1798" max="1808" width="6.5703125" style="113" customWidth="1"/>
    <col min="1809" max="1809" width="9.42578125" style="113" bestFit="1" customWidth="1"/>
    <col min="1810" max="2049" width="9.140625" style="113"/>
    <col min="2050" max="2050" width="3.5703125" style="113" customWidth="1"/>
    <col min="2051" max="2051" width="14.42578125" style="113" customWidth="1"/>
    <col min="2052" max="2052" width="3.5703125" style="113" customWidth="1"/>
    <col min="2053" max="2053" width="14.5703125" style="113" customWidth="1"/>
    <col min="2054" max="2064" width="6.5703125" style="113" customWidth="1"/>
    <col min="2065" max="2065" width="9.42578125" style="113" bestFit="1" customWidth="1"/>
    <col min="2066" max="2305" width="9.140625" style="113"/>
    <col min="2306" max="2306" width="3.5703125" style="113" customWidth="1"/>
    <col min="2307" max="2307" width="14.42578125" style="113" customWidth="1"/>
    <col min="2308" max="2308" width="3.5703125" style="113" customWidth="1"/>
    <col min="2309" max="2309" width="14.5703125" style="113" customWidth="1"/>
    <col min="2310" max="2320" width="6.5703125" style="113" customWidth="1"/>
    <col min="2321" max="2321" width="9.42578125" style="113" bestFit="1" customWidth="1"/>
    <col min="2322" max="2561" width="9.140625" style="113"/>
    <col min="2562" max="2562" width="3.5703125" style="113" customWidth="1"/>
    <col min="2563" max="2563" width="14.42578125" style="113" customWidth="1"/>
    <col min="2564" max="2564" width="3.5703125" style="113" customWidth="1"/>
    <col min="2565" max="2565" width="14.5703125" style="113" customWidth="1"/>
    <col min="2566" max="2576" width="6.5703125" style="113" customWidth="1"/>
    <col min="2577" max="2577" width="9.42578125" style="113" bestFit="1" customWidth="1"/>
    <col min="2578" max="2817" width="9.140625" style="113"/>
    <col min="2818" max="2818" width="3.5703125" style="113" customWidth="1"/>
    <col min="2819" max="2819" width="14.42578125" style="113" customWidth="1"/>
    <col min="2820" max="2820" width="3.5703125" style="113" customWidth="1"/>
    <col min="2821" max="2821" width="14.5703125" style="113" customWidth="1"/>
    <col min="2822" max="2832" width="6.5703125" style="113" customWidth="1"/>
    <col min="2833" max="2833" width="9.42578125" style="113" bestFit="1" customWidth="1"/>
    <col min="2834" max="3073" width="9.140625" style="113"/>
    <col min="3074" max="3074" width="3.5703125" style="113" customWidth="1"/>
    <col min="3075" max="3075" width="14.42578125" style="113" customWidth="1"/>
    <col min="3076" max="3076" width="3.5703125" style="113" customWidth="1"/>
    <col min="3077" max="3077" width="14.5703125" style="113" customWidth="1"/>
    <col min="3078" max="3088" width="6.5703125" style="113" customWidth="1"/>
    <col min="3089" max="3089" width="9.42578125" style="113" bestFit="1" customWidth="1"/>
    <col min="3090" max="3329" width="9.140625" style="113"/>
    <col min="3330" max="3330" width="3.5703125" style="113" customWidth="1"/>
    <col min="3331" max="3331" width="14.42578125" style="113" customWidth="1"/>
    <col min="3332" max="3332" width="3.5703125" style="113" customWidth="1"/>
    <col min="3333" max="3333" width="14.5703125" style="113" customWidth="1"/>
    <col min="3334" max="3344" width="6.5703125" style="113" customWidth="1"/>
    <col min="3345" max="3345" width="9.42578125" style="113" bestFit="1" customWidth="1"/>
    <col min="3346" max="3585" width="9.140625" style="113"/>
    <col min="3586" max="3586" width="3.5703125" style="113" customWidth="1"/>
    <col min="3587" max="3587" width="14.42578125" style="113" customWidth="1"/>
    <col min="3588" max="3588" width="3.5703125" style="113" customWidth="1"/>
    <col min="3589" max="3589" width="14.5703125" style="113" customWidth="1"/>
    <col min="3590" max="3600" width="6.5703125" style="113" customWidth="1"/>
    <col min="3601" max="3601" width="9.42578125" style="113" bestFit="1" customWidth="1"/>
    <col min="3602" max="3841" width="9.140625" style="113"/>
    <col min="3842" max="3842" width="3.5703125" style="113" customWidth="1"/>
    <col min="3843" max="3843" width="14.42578125" style="113" customWidth="1"/>
    <col min="3844" max="3844" width="3.5703125" style="113" customWidth="1"/>
    <col min="3845" max="3845" width="14.5703125" style="113" customWidth="1"/>
    <col min="3846" max="3856" width="6.5703125" style="113" customWidth="1"/>
    <col min="3857" max="3857" width="9.42578125" style="113" bestFit="1" customWidth="1"/>
    <col min="3858" max="4097" width="9.140625" style="113"/>
    <col min="4098" max="4098" width="3.5703125" style="113" customWidth="1"/>
    <col min="4099" max="4099" width="14.42578125" style="113" customWidth="1"/>
    <col min="4100" max="4100" width="3.5703125" style="113" customWidth="1"/>
    <col min="4101" max="4101" width="14.5703125" style="113" customWidth="1"/>
    <col min="4102" max="4112" width="6.5703125" style="113" customWidth="1"/>
    <col min="4113" max="4113" width="9.42578125" style="113" bestFit="1" customWidth="1"/>
    <col min="4114" max="4353" width="9.140625" style="113"/>
    <col min="4354" max="4354" width="3.5703125" style="113" customWidth="1"/>
    <col min="4355" max="4355" width="14.42578125" style="113" customWidth="1"/>
    <col min="4356" max="4356" width="3.5703125" style="113" customWidth="1"/>
    <col min="4357" max="4357" width="14.5703125" style="113" customWidth="1"/>
    <col min="4358" max="4368" width="6.5703125" style="113" customWidth="1"/>
    <col min="4369" max="4369" width="9.42578125" style="113" bestFit="1" customWidth="1"/>
    <col min="4370" max="4609" width="9.140625" style="113"/>
    <col min="4610" max="4610" width="3.5703125" style="113" customWidth="1"/>
    <col min="4611" max="4611" width="14.42578125" style="113" customWidth="1"/>
    <col min="4612" max="4612" width="3.5703125" style="113" customWidth="1"/>
    <col min="4613" max="4613" width="14.5703125" style="113" customWidth="1"/>
    <col min="4614" max="4624" width="6.5703125" style="113" customWidth="1"/>
    <col min="4625" max="4625" width="9.42578125" style="113" bestFit="1" customWidth="1"/>
    <col min="4626" max="4865" width="9.140625" style="113"/>
    <col min="4866" max="4866" width="3.5703125" style="113" customWidth="1"/>
    <col min="4867" max="4867" width="14.42578125" style="113" customWidth="1"/>
    <col min="4868" max="4868" width="3.5703125" style="113" customWidth="1"/>
    <col min="4869" max="4869" width="14.5703125" style="113" customWidth="1"/>
    <col min="4870" max="4880" width="6.5703125" style="113" customWidth="1"/>
    <col min="4881" max="4881" width="9.42578125" style="113" bestFit="1" customWidth="1"/>
    <col min="4882" max="5121" width="9.140625" style="113"/>
    <col min="5122" max="5122" width="3.5703125" style="113" customWidth="1"/>
    <col min="5123" max="5123" width="14.42578125" style="113" customWidth="1"/>
    <col min="5124" max="5124" width="3.5703125" style="113" customWidth="1"/>
    <col min="5125" max="5125" width="14.5703125" style="113" customWidth="1"/>
    <col min="5126" max="5136" width="6.5703125" style="113" customWidth="1"/>
    <col min="5137" max="5137" width="9.42578125" style="113" bestFit="1" customWidth="1"/>
    <col min="5138" max="5377" width="9.140625" style="113"/>
    <col min="5378" max="5378" width="3.5703125" style="113" customWidth="1"/>
    <col min="5379" max="5379" width="14.42578125" style="113" customWidth="1"/>
    <col min="5380" max="5380" width="3.5703125" style="113" customWidth="1"/>
    <col min="5381" max="5381" width="14.5703125" style="113" customWidth="1"/>
    <col min="5382" max="5392" width="6.5703125" style="113" customWidth="1"/>
    <col min="5393" max="5393" width="9.42578125" style="113" bestFit="1" customWidth="1"/>
    <col min="5394" max="5633" width="9.140625" style="113"/>
    <col min="5634" max="5634" width="3.5703125" style="113" customWidth="1"/>
    <col min="5635" max="5635" width="14.42578125" style="113" customWidth="1"/>
    <col min="5636" max="5636" width="3.5703125" style="113" customWidth="1"/>
    <col min="5637" max="5637" width="14.5703125" style="113" customWidth="1"/>
    <col min="5638" max="5648" width="6.5703125" style="113" customWidth="1"/>
    <col min="5649" max="5649" width="9.42578125" style="113" bestFit="1" customWidth="1"/>
    <col min="5650" max="5889" width="9.140625" style="113"/>
    <col min="5890" max="5890" width="3.5703125" style="113" customWidth="1"/>
    <col min="5891" max="5891" width="14.42578125" style="113" customWidth="1"/>
    <col min="5892" max="5892" width="3.5703125" style="113" customWidth="1"/>
    <col min="5893" max="5893" width="14.5703125" style="113" customWidth="1"/>
    <col min="5894" max="5904" width="6.5703125" style="113" customWidth="1"/>
    <col min="5905" max="5905" width="9.42578125" style="113" bestFit="1" customWidth="1"/>
    <col min="5906" max="6145" width="9.140625" style="113"/>
    <col min="6146" max="6146" width="3.5703125" style="113" customWidth="1"/>
    <col min="6147" max="6147" width="14.42578125" style="113" customWidth="1"/>
    <col min="6148" max="6148" width="3.5703125" style="113" customWidth="1"/>
    <col min="6149" max="6149" width="14.5703125" style="113" customWidth="1"/>
    <col min="6150" max="6160" width="6.5703125" style="113" customWidth="1"/>
    <col min="6161" max="6161" width="9.42578125" style="113" bestFit="1" customWidth="1"/>
    <col min="6162" max="6401" width="9.140625" style="113"/>
    <col min="6402" max="6402" width="3.5703125" style="113" customWidth="1"/>
    <col min="6403" max="6403" width="14.42578125" style="113" customWidth="1"/>
    <col min="6404" max="6404" width="3.5703125" style="113" customWidth="1"/>
    <col min="6405" max="6405" width="14.5703125" style="113" customWidth="1"/>
    <col min="6406" max="6416" width="6.5703125" style="113" customWidth="1"/>
    <col min="6417" max="6417" width="9.42578125" style="113" bestFit="1" customWidth="1"/>
    <col min="6418" max="6657" width="9.140625" style="113"/>
    <col min="6658" max="6658" width="3.5703125" style="113" customWidth="1"/>
    <col min="6659" max="6659" width="14.42578125" style="113" customWidth="1"/>
    <col min="6660" max="6660" width="3.5703125" style="113" customWidth="1"/>
    <col min="6661" max="6661" width="14.5703125" style="113" customWidth="1"/>
    <col min="6662" max="6672" width="6.5703125" style="113" customWidth="1"/>
    <col min="6673" max="6673" width="9.42578125" style="113" bestFit="1" customWidth="1"/>
    <col min="6674" max="6913" width="9.140625" style="113"/>
    <col min="6914" max="6914" width="3.5703125" style="113" customWidth="1"/>
    <col min="6915" max="6915" width="14.42578125" style="113" customWidth="1"/>
    <col min="6916" max="6916" width="3.5703125" style="113" customWidth="1"/>
    <col min="6917" max="6917" width="14.5703125" style="113" customWidth="1"/>
    <col min="6918" max="6928" width="6.5703125" style="113" customWidth="1"/>
    <col min="6929" max="6929" width="9.42578125" style="113" bestFit="1" customWidth="1"/>
    <col min="6930" max="7169" width="9.140625" style="113"/>
    <col min="7170" max="7170" width="3.5703125" style="113" customWidth="1"/>
    <col min="7171" max="7171" width="14.42578125" style="113" customWidth="1"/>
    <col min="7172" max="7172" width="3.5703125" style="113" customWidth="1"/>
    <col min="7173" max="7173" width="14.5703125" style="113" customWidth="1"/>
    <col min="7174" max="7184" width="6.5703125" style="113" customWidth="1"/>
    <col min="7185" max="7185" width="9.42578125" style="113" bestFit="1" customWidth="1"/>
    <col min="7186" max="7425" width="9.140625" style="113"/>
    <col min="7426" max="7426" width="3.5703125" style="113" customWidth="1"/>
    <col min="7427" max="7427" width="14.42578125" style="113" customWidth="1"/>
    <col min="7428" max="7428" width="3.5703125" style="113" customWidth="1"/>
    <col min="7429" max="7429" width="14.5703125" style="113" customWidth="1"/>
    <col min="7430" max="7440" width="6.5703125" style="113" customWidth="1"/>
    <col min="7441" max="7441" width="9.42578125" style="113" bestFit="1" customWidth="1"/>
    <col min="7442" max="7681" width="9.140625" style="113"/>
    <col min="7682" max="7682" width="3.5703125" style="113" customWidth="1"/>
    <col min="7683" max="7683" width="14.42578125" style="113" customWidth="1"/>
    <col min="7684" max="7684" width="3.5703125" style="113" customWidth="1"/>
    <col min="7685" max="7685" width="14.5703125" style="113" customWidth="1"/>
    <col min="7686" max="7696" width="6.5703125" style="113" customWidth="1"/>
    <col min="7697" max="7697" width="9.42578125" style="113" bestFit="1" customWidth="1"/>
    <col min="7698" max="7937" width="9.140625" style="113"/>
    <col min="7938" max="7938" width="3.5703125" style="113" customWidth="1"/>
    <col min="7939" max="7939" width="14.42578125" style="113" customWidth="1"/>
    <col min="7940" max="7940" width="3.5703125" style="113" customWidth="1"/>
    <col min="7941" max="7941" width="14.5703125" style="113" customWidth="1"/>
    <col min="7942" max="7952" width="6.5703125" style="113" customWidth="1"/>
    <col min="7953" max="7953" width="9.42578125" style="113" bestFit="1" customWidth="1"/>
    <col min="7954" max="8193" width="9.140625" style="113"/>
    <col min="8194" max="8194" width="3.5703125" style="113" customWidth="1"/>
    <col min="8195" max="8195" width="14.42578125" style="113" customWidth="1"/>
    <col min="8196" max="8196" width="3.5703125" style="113" customWidth="1"/>
    <col min="8197" max="8197" width="14.5703125" style="113" customWidth="1"/>
    <col min="8198" max="8208" width="6.5703125" style="113" customWidth="1"/>
    <col min="8209" max="8209" width="9.42578125" style="113" bestFit="1" customWidth="1"/>
    <col min="8210" max="8449" width="9.140625" style="113"/>
    <col min="8450" max="8450" width="3.5703125" style="113" customWidth="1"/>
    <col min="8451" max="8451" width="14.42578125" style="113" customWidth="1"/>
    <col min="8452" max="8452" width="3.5703125" style="113" customWidth="1"/>
    <col min="8453" max="8453" width="14.5703125" style="113" customWidth="1"/>
    <col min="8454" max="8464" width="6.5703125" style="113" customWidth="1"/>
    <col min="8465" max="8465" width="9.42578125" style="113" bestFit="1" customWidth="1"/>
    <col min="8466" max="8705" width="9.140625" style="113"/>
    <col min="8706" max="8706" width="3.5703125" style="113" customWidth="1"/>
    <col min="8707" max="8707" width="14.42578125" style="113" customWidth="1"/>
    <col min="8708" max="8708" width="3.5703125" style="113" customWidth="1"/>
    <col min="8709" max="8709" width="14.5703125" style="113" customWidth="1"/>
    <col min="8710" max="8720" width="6.5703125" style="113" customWidth="1"/>
    <col min="8721" max="8721" width="9.42578125" style="113" bestFit="1" customWidth="1"/>
    <col min="8722" max="8961" width="9.140625" style="113"/>
    <col min="8962" max="8962" width="3.5703125" style="113" customWidth="1"/>
    <col min="8963" max="8963" width="14.42578125" style="113" customWidth="1"/>
    <col min="8964" max="8964" width="3.5703125" style="113" customWidth="1"/>
    <col min="8965" max="8965" width="14.5703125" style="113" customWidth="1"/>
    <col min="8966" max="8976" width="6.5703125" style="113" customWidth="1"/>
    <col min="8977" max="8977" width="9.42578125" style="113" bestFit="1" customWidth="1"/>
    <col min="8978" max="9217" width="9.140625" style="113"/>
    <col min="9218" max="9218" width="3.5703125" style="113" customWidth="1"/>
    <col min="9219" max="9219" width="14.42578125" style="113" customWidth="1"/>
    <col min="9220" max="9220" width="3.5703125" style="113" customWidth="1"/>
    <col min="9221" max="9221" width="14.5703125" style="113" customWidth="1"/>
    <col min="9222" max="9232" width="6.5703125" style="113" customWidth="1"/>
    <col min="9233" max="9233" width="9.42578125" style="113" bestFit="1" customWidth="1"/>
    <col min="9234" max="9473" width="9.140625" style="113"/>
    <col min="9474" max="9474" width="3.5703125" style="113" customWidth="1"/>
    <col min="9475" max="9475" width="14.42578125" style="113" customWidth="1"/>
    <col min="9476" max="9476" width="3.5703125" style="113" customWidth="1"/>
    <col min="9477" max="9477" width="14.5703125" style="113" customWidth="1"/>
    <col min="9478" max="9488" width="6.5703125" style="113" customWidth="1"/>
    <col min="9489" max="9489" width="9.42578125" style="113" bestFit="1" customWidth="1"/>
    <col min="9490" max="9729" width="9.140625" style="113"/>
    <col min="9730" max="9730" width="3.5703125" style="113" customWidth="1"/>
    <col min="9731" max="9731" width="14.42578125" style="113" customWidth="1"/>
    <col min="9732" max="9732" width="3.5703125" style="113" customWidth="1"/>
    <col min="9733" max="9733" width="14.5703125" style="113" customWidth="1"/>
    <col min="9734" max="9744" width="6.5703125" style="113" customWidth="1"/>
    <col min="9745" max="9745" width="9.42578125" style="113" bestFit="1" customWidth="1"/>
    <col min="9746" max="9985" width="9.140625" style="113"/>
    <col min="9986" max="9986" width="3.5703125" style="113" customWidth="1"/>
    <col min="9987" max="9987" width="14.42578125" style="113" customWidth="1"/>
    <col min="9988" max="9988" width="3.5703125" style="113" customWidth="1"/>
    <col min="9989" max="9989" width="14.5703125" style="113" customWidth="1"/>
    <col min="9990" max="10000" width="6.5703125" style="113" customWidth="1"/>
    <col min="10001" max="10001" width="9.42578125" style="113" bestFit="1" customWidth="1"/>
    <col min="10002" max="10241" width="9.140625" style="113"/>
    <col min="10242" max="10242" width="3.5703125" style="113" customWidth="1"/>
    <col min="10243" max="10243" width="14.42578125" style="113" customWidth="1"/>
    <col min="10244" max="10244" width="3.5703125" style="113" customWidth="1"/>
    <col min="10245" max="10245" width="14.5703125" style="113" customWidth="1"/>
    <col min="10246" max="10256" width="6.5703125" style="113" customWidth="1"/>
    <col min="10257" max="10257" width="9.42578125" style="113" bestFit="1" customWidth="1"/>
    <col min="10258" max="10497" width="9.140625" style="113"/>
    <col min="10498" max="10498" width="3.5703125" style="113" customWidth="1"/>
    <col min="10499" max="10499" width="14.42578125" style="113" customWidth="1"/>
    <col min="10500" max="10500" width="3.5703125" style="113" customWidth="1"/>
    <col min="10501" max="10501" width="14.5703125" style="113" customWidth="1"/>
    <col min="10502" max="10512" width="6.5703125" style="113" customWidth="1"/>
    <col min="10513" max="10513" width="9.42578125" style="113" bestFit="1" customWidth="1"/>
    <col min="10514" max="10753" width="9.140625" style="113"/>
    <col min="10754" max="10754" width="3.5703125" style="113" customWidth="1"/>
    <col min="10755" max="10755" width="14.42578125" style="113" customWidth="1"/>
    <col min="10756" max="10756" width="3.5703125" style="113" customWidth="1"/>
    <col min="10757" max="10757" width="14.5703125" style="113" customWidth="1"/>
    <col min="10758" max="10768" width="6.5703125" style="113" customWidth="1"/>
    <col min="10769" max="10769" width="9.42578125" style="113" bestFit="1" customWidth="1"/>
    <col min="10770" max="11009" width="9.140625" style="113"/>
    <col min="11010" max="11010" width="3.5703125" style="113" customWidth="1"/>
    <col min="11011" max="11011" width="14.42578125" style="113" customWidth="1"/>
    <col min="11012" max="11012" width="3.5703125" style="113" customWidth="1"/>
    <col min="11013" max="11013" width="14.5703125" style="113" customWidth="1"/>
    <col min="11014" max="11024" width="6.5703125" style="113" customWidth="1"/>
    <col min="11025" max="11025" width="9.42578125" style="113" bestFit="1" customWidth="1"/>
    <col min="11026" max="11265" width="9.140625" style="113"/>
    <col min="11266" max="11266" width="3.5703125" style="113" customWidth="1"/>
    <col min="11267" max="11267" width="14.42578125" style="113" customWidth="1"/>
    <col min="11268" max="11268" width="3.5703125" style="113" customWidth="1"/>
    <col min="11269" max="11269" width="14.5703125" style="113" customWidth="1"/>
    <col min="11270" max="11280" width="6.5703125" style="113" customWidth="1"/>
    <col min="11281" max="11281" width="9.42578125" style="113" bestFit="1" customWidth="1"/>
    <col min="11282" max="11521" width="9.140625" style="113"/>
    <col min="11522" max="11522" width="3.5703125" style="113" customWidth="1"/>
    <col min="11523" max="11523" width="14.42578125" style="113" customWidth="1"/>
    <col min="11524" max="11524" width="3.5703125" style="113" customWidth="1"/>
    <col min="11525" max="11525" width="14.5703125" style="113" customWidth="1"/>
    <col min="11526" max="11536" width="6.5703125" style="113" customWidth="1"/>
    <col min="11537" max="11537" width="9.42578125" style="113" bestFit="1" customWidth="1"/>
    <col min="11538" max="11777" width="9.140625" style="113"/>
    <col min="11778" max="11778" width="3.5703125" style="113" customWidth="1"/>
    <col min="11779" max="11779" width="14.42578125" style="113" customWidth="1"/>
    <col min="11780" max="11780" width="3.5703125" style="113" customWidth="1"/>
    <col min="11781" max="11781" width="14.5703125" style="113" customWidth="1"/>
    <col min="11782" max="11792" width="6.5703125" style="113" customWidth="1"/>
    <col min="11793" max="11793" width="9.42578125" style="113" bestFit="1" customWidth="1"/>
    <col min="11794" max="12033" width="9.140625" style="113"/>
    <col min="12034" max="12034" width="3.5703125" style="113" customWidth="1"/>
    <col min="12035" max="12035" width="14.42578125" style="113" customWidth="1"/>
    <col min="12036" max="12036" width="3.5703125" style="113" customWidth="1"/>
    <col min="12037" max="12037" width="14.5703125" style="113" customWidth="1"/>
    <col min="12038" max="12048" width="6.5703125" style="113" customWidth="1"/>
    <col min="12049" max="12049" width="9.42578125" style="113" bestFit="1" customWidth="1"/>
    <col min="12050" max="12289" width="9.140625" style="113"/>
    <col min="12290" max="12290" width="3.5703125" style="113" customWidth="1"/>
    <col min="12291" max="12291" width="14.42578125" style="113" customWidth="1"/>
    <col min="12292" max="12292" width="3.5703125" style="113" customWidth="1"/>
    <col min="12293" max="12293" width="14.5703125" style="113" customWidth="1"/>
    <col min="12294" max="12304" width="6.5703125" style="113" customWidth="1"/>
    <col min="12305" max="12305" width="9.42578125" style="113" bestFit="1" customWidth="1"/>
    <col min="12306" max="12545" width="9.140625" style="113"/>
    <col min="12546" max="12546" width="3.5703125" style="113" customWidth="1"/>
    <col min="12547" max="12547" width="14.42578125" style="113" customWidth="1"/>
    <col min="12548" max="12548" width="3.5703125" style="113" customWidth="1"/>
    <col min="12549" max="12549" width="14.5703125" style="113" customWidth="1"/>
    <col min="12550" max="12560" width="6.5703125" style="113" customWidth="1"/>
    <col min="12561" max="12561" width="9.42578125" style="113" bestFit="1" customWidth="1"/>
    <col min="12562" max="12801" width="9.140625" style="113"/>
    <col min="12802" max="12802" width="3.5703125" style="113" customWidth="1"/>
    <col min="12803" max="12803" width="14.42578125" style="113" customWidth="1"/>
    <col min="12804" max="12804" width="3.5703125" style="113" customWidth="1"/>
    <col min="12805" max="12805" width="14.5703125" style="113" customWidth="1"/>
    <col min="12806" max="12816" width="6.5703125" style="113" customWidth="1"/>
    <col min="12817" max="12817" width="9.42578125" style="113" bestFit="1" customWidth="1"/>
    <col min="12818" max="13057" width="9.140625" style="113"/>
    <col min="13058" max="13058" width="3.5703125" style="113" customWidth="1"/>
    <col min="13059" max="13059" width="14.42578125" style="113" customWidth="1"/>
    <col min="13060" max="13060" width="3.5703125" style="113" customWidth="1"/>
    <col min="13061" max="13061" width="14.5703125" style="113" customWidth="1"/>
    <col min="13062" max="13072" width="6.5703125" style="113" customWidth="1"/>
    <col min="13073" max="13073" width="9.42578125" style="113" bestFit="1" customWidth="1"/>
    <col min="13074" max="13313" width="9.140625" style="113"/>
    <col min="13314" max="13314" width="3.5703125" style="113" customWidth="1"/>
    <col min="13315" max="13315" width="14.42578125" style="113" customWidth="1"/>
    <col min="13316" max="13316" width="3.5703125" style="113" customWidth="1"/>
    <col min="13317" max="13317" width="14.5703125" style="113" customWidth="1"/>
    <col min="13318" max="13328" width="6.5703125" style="113" customWidth="1"/>
    <col min="13329" max="13329" width="9.42578125" style="113" bestFit="1" customWidth="1"/>
    <col min="13330" max="13569" width="9.140625" style="113"/>
    <col min="13570" max="13570" width="3.5703125" style="113" customWidth="1"/>
    <col min="13571" max="13571" width="14.42578125" style="113" customWidth="1"/>
    <col min="13572" max="13572" width="3.5703125" style="113" customWidth="1"/>
    <col min="13573" max="13573" width="14.5703125" style="113" customWidth="1"/>
    <col min="13574" max="13584" width="6.5703125" style="113" customWidth="1"/>
    <col min="13585" max="13585" width="9.42578125" style="113" bestFit="1" customWidth="1"/>
    <col min="13586" max="13825" width="9.140625" style="113"/>
    <col min="13826" max="13826" width="3.5703125" style="113" customWidth="1"/>
    <col min="13827" max="13827" width="14.42578125" style="113" customWidth="1"/>
    <col min="13828" max="13828" width="3.5703125" style="113" customWidth="1"/>
    <col min="13829" max="13829" width="14.5703125" style="113" customWidth="1"/>
    <col min="13830" max="13840" width="6.5703125" style="113" customWidth="1"/>
    <col min="13841" max="13841" width="9.42578125" style="113" bestFit="1" customWidth="1"/>
    <col min="13842" max="14081" width="9.140625" style="113"/>
    <col min="14082" max="14082" width="3.5703125" style="113" customWidth="1"/>
    <col min="14083" max="14083" width="14.42578125" style="113" customWidth="1"/>
    <col min="14084" max="14084" width="3.5703125" style="113" customWidth="1"/>
    <col min="14085" max="14085" width="14.5703125" style="113" customWidth="1"/>
    <col min="14086" max="14096" width="6.5703125" style="113" customWidth="1"/>
    <col min="14097" max="14097" width="9.42578125" style="113" bestFit="1" customWidth="1"/>
    <col min="14098" max="14337" width="9.140625" style="113"/>
    <col min="14338" max="14338" width="3.5703125" style="113" customWidth="1"/>
    <col min="14339" max="14339" width="14.42578125" style="113" customWidth="1"/>
    <col min="14340" max="14340" width="3.5703125" style="113" customWidth="1"/>
    <col min="14341" max="14341" width="14.5703125" style="113" customWidth="1"/>
    <col min="14342" max="14352" width="6.5703125" style="113" customWidth="1"/>
    <col min="14353" max="14353" width="9.42578125" style="113" bestFit="1" customWidth="1"/>
    <col min="14354" max="14593" width="9.140625" style="113"/>
    <col min="14594" max="14594" width="3.5703125" style="113" customWidth="1"/>
    <col min="14595" max="14595" width="14.42578125" style="113" customWidth="1"/>
    <col min="14596" max="14596" width="3.5703125" style="113" customWidth="1"/>
    <col min="14597" max="14597" width="14.5703125" style="113" customWidth="1"/>
    <col min="14598" max="14608" width="6.5703125" style="113" customWidth="1"/>
    <col min="14609" max="14609" width="9.42578125" style="113" bestFit="1" customWidth="1"/>
    <col min="14610" max="14849" width="9.140625" style="113"/>
    <col min="14850" max="14850" width="3.5703125" style="113" customWidth="1"/>
    <col min="14851" max="14851" width="14.42578125" style="113" customWidth="1"/>
    <col min="14852" max="14852" width="3.5703125" style="113" customWidth="1"/>
    <col min="14853" max="14853" width="14.5703125" style="113" customWidth="1"/>
    <col min="14854" max="14864" width="6.5703125" style="113" customWidth="1"/>
    <col min="14865" max="14865" width="9.42578125" style="113" bestFit="1" customWidth="1"/>
    <col min="14866" max="15105" width="9.140625" style="113"/>
    <col min="15106" max="15106" width="3.5703125" style="113" customWidth="1"/>
    <col min="15107" max="15107" width="14.42578125" style="113" customWidth="1"/>
    <col min="15108" max="15108" width="3.5703125" style="113" customWidth="1"/>
    <col min="15109" max="15109" width="14.5703125" style="113" customWidth="1"/>
    <col min="15110" max="15120" width="6.5703125" style="113" customWidth="1"/>
    <col min="15121" max="15121" width="9.42578125" style="113" bestFit="1" customWidth="1"/>
    <col min="15122" max="15361" width="9.140625" style="113"/>
    <col min="15362" max="15362" width="3.5703125" style="113" customWidth="1"/>
    <col min="15363" max="15363" width="14.42578125" style="113" customWidth="1"/>
    <col min="15364" max="15364" width="3.5703125" style="113" customWidth="1"/>
    <col min="15365" max="15365" width="14.5703125" style="113" customWidth="1"/>
    <col min="15366" max="15376" width="6.5703125" style="113" customWidth="1"/>
    <col min="15377" max="15377" width="9.42578125" style="113" bestFit="1" customWidth="1"/>
    <col min="15378" max="15617" width="9.140625" style="113"/>
    <col min="15618" max="15618" width="3.5703125" style="113" customWidth="1"/>
    <col min="15619" max="15619" width="14.42578125" style="113" customWidth="1"/>
    <col min="15620" max="15620" width="3.5703125" style="113" customWidth="1"/>
    <col min="15621" max="15621" width="14.5703125" style="113" customWidth="1"/>
    <col min="15622" max="15632" width="6.5703125" style="113" customWidth="1"/>
    <col min="15633" max="15633" width="9.42578125" style="113" bestFit="1" customWidth="1"/>
    <col min="15634" max="15873" width="9.140625" style="113"/>
    <col min="15874" max="15874" width="3.5703125" style="113" customWidth="1"/>
    <col min="15875" max="15875" width="14.42578125" style="113" customWidth="1"/>
    <col min="15876" max="15876" width="3.5703125" style="113" customWidth="1"/>
    <col min="15877" max="15877" width="14.5703125" style="113" customWidth="1"/>
    <col min="15878" max="15888" width="6.5703125" style="113" customWidth="1"/>
    <col min="15889" max="15889" width="9.42578125" style="113" bestFit="1" customWidth="1"/>
    <col min="15890" max="16129" width="9.140625" style="113"/>
    <col min="16130" max="16130" width="3.5703125" style="113" customWidth="1"/>
    <col min="16131" max="16131" width="14.42578125" style="113" customWidth="1"/>
    <col min="16132" max="16132" width="3.5703125" style="113" customWidth="1"/>
    <col min="16133" max="16133" width="14.5703125" style="113" customWidth="1"/>
    <col min="16134" max="16144" width="6.5703125" style="113" customWidth="1"/>
    <col min="16145" max="16145" width="9.42578125" style="113" bestFit="1" customWidth="1"/>
    <col min="16146" max="16384" width="9.140625" style="113"/>
  </cols>
  <sheetData>
    <row r="1" spans="1:20" ht="15.75" x14ac:dyDescent="0.25">
      <c r="D1" s="1773"/>
      <c r="E1" s="1773"/>
      <c r="F1" s="1773"/>
      <c r="G1" s="1773"/>
      <c r="H1" s="1773"/>
      <c r="I1" s="1773"/>
      <c r="J1" s="1773"/>
      <c r="K1" s="1773"/>
      <c r="L1" s="1773"/>
      <c r="M1" s="1773"/>
      <c r="N1" s="1773"/>
      <c r="O1" s="1773"/>
      <c r="P1" s="1773"/>
      <c r="Q1" s="1774"/>
      <c r="R1" s="1774"/>
      <c r="S1" s="1774"/>
      <c r="T1" s="1774"/>
    </row>
    <row r="2" spans="1:20" ht="12.75" customHeight="1" x14ac:dyDescent="0.25">
      <c r="A2" s="509">
        <v>1</v>
      </c>
      <c r="B2" s="509" t="s">
        <v>0</v>
      </c>
      <c r="C2" s="509">
        <v>56</v>
      </c>
      <c r="D2" s="4737" t="s">
        <v>1503</v>
      </c>
      <c r="E2" s="4738"/>
      <c r="F2" s="4738"/>
      <c r="G2" s="4738"/>
      <c r="H2" s="4738"/>
      <c r="I2" s="4738"/>
      <c r="J2" s="4738"/>
      <c r="K2" s="4738"/>
      <c r="L2" s="4738"/>
      <c r="M2" s="4738"/>
      <c r="N2" s="4738"/>
      <c r="O2" s="4739"/>
      <c r="P2" s="344"/>
      <c r="Q2" s="1775"/>
      <c r="R2" s="1776"/>
      <c r="S2" s="1774"/>
      <c r="T2" s="1774"/>
    </row>
    <row r="3" spans="1:20" ht="12.75" customHeight="1" x14ac:dyDescent="0.25">
      <c r="A3" s="509">
        <v>2</v>
      </c>
      <c r="B3" s="509" t="s">
        <v>2</v>
      </c>
      <c r="C3" s="509"/>
      <c r="D3" s="4737" t="s">
        <v>1478</v>
      </c>
      <c r="E3" s="4738"/>
      <c r="F3" s="4738"/>
      <c r="G3" s="4738"/>
      <c r="H3" s="4738"/>
      <c r="I3" s="4738"/>
      <c r="J3" s="4738"/>
      <c r="K3" s="4738"/>
      <c r="L3" s="4738"/>
      <c r="M3" s="4738"/>
      <c r="N3" s="4738"/>
      <c r="O3" s="4739"/>
      <c r="P3" s="344"/>
      <c r="Q3" s="1775"/>
      <c r="R3" s="1776"/>
      <c r="S3" s="1774"/>
      <c r="T3" s="1774"/>
    </row>
    <row r="4" spans="1:20" ht="15" customHeight="1" x14ac:dyDescent="0.25">
      <c r="A4" s="509">
        <v>3</v>
      </c>
      <c r="B4" s="509" t="s">
        <v>4</v>
      </c>
      <c r="C4" s="509"/>
      <c r="D4" s="4737" t="s">
        <v>1504</v>
      </c>
      <c r="E4" s="4738"/>
      <c r="F4" s="4738"/>
      <c r="G4" s="4738"/>
      <c r="H4" s="4738"/>
      <c r="I4" s="4738"/>
      <c r="J4" s="4738"/>
      <c r="K4" s="4738"/>
      <c r="L4" s="4738"/>
      <c r="M4" s="4738"/>
      <c r="N4" s="4738"/>
      <c r="O4" s="4739"/>
      <c r="P4" s="344"/>
      <c r="Q4" s="1775"/>
      <c r="R4" s="1776"/>
      <c r="S4" s="1774"/>
      <c r="T4" s="1774"/>
    </row>
    <row r="5" spans="1:20" ht="16.5" customHeight="1" x14ac:dyDescent="0.25">
      <c r="A5" s="509"/>
      <c r="B5" s="509"/>
      <c r="C5" s="509"/>
      <c r="D5" s="880"/>
      <c r="E5" s="1163"/>
      <c r="F5" s="344"/>
      <c r="G5" s="344"/>
      <c r="H5" s="344"/>
      <c r="I5" s="344"/>
      <c r="J5" s="344"/>
      <c r="K5" s="344"/>
      <c r="L5" s="344"/>
      <c r="M5" s="344"/>
      <c r="N5" s="344"/>
      <c r="O5" s="344"/>
      <c r="P5" s="344"/>
      <c r="Q5" s="1775"/>
      <c r="R5" s="1776"/>
      <c r="S5" s="1774"/>
      <c r="T5" s="1774"/>
    </row>
    <row r="6" spans="1:20" ht="12.75" customHeight="1" x14ac:dyDescent="0.25">
      <c r="A6" s="509">
        <v>4</v>
      </c>
      <c r="B6" s="509" t="s">
        <v>6</v>
      </c>
      <c r="C6" s="509"/>
      <c r="D6" s="1777" t="s">
        <v>365</v>
      </c>
      <c r="E6" s="4959" t="str">
        <f>D2</f>
        <v>Country going in the right direction</v>
      </c>
      <c r="F6" s="4959"/>
      <c r="G6" s="4959"/>
      <c r="H6" s="4959"/>
      <c r="I6" s="4959"/>
      <c r="J6" s="4959"/>
      <c r="K6" s="4960"/>
      <c r="L6" s="4960"/>
      <c r="M6" s="4960"/>
      <c r="N6" s="4960"/>
      <c r="O6" s="4960"/>
      <c r="P6" s="4960"/>
      <c r="Q6" s="4960"/>
      <c r="R6" s="4960"/>
      <c r="S6" s="1774"/>
      <c r="T6" s="1774"/>
    </row>
    <row r="7" spans="1:20" ht="15.75" x14ac:dyDescent="0.25">
      <c r="A7" s="509"/>
      <c r="B7" s="509"/>
      <c r="C7" s="509"/>
      <c r="D7" s="1778"/>
      <c r="E7" s="4954" t="s">
        <v>1505</v>
      </c>
      <c r="F7" s="4638"/>
      <c r="G7" s="4955" t="s">
        <v>1506</v>
      </c>
      <c r="H7" s="4638"/>
      <c r="I7" s="4955" t="s">
        <v>1507</v>
      </c>
      <c r="J7" s="4638"/>
      <c r="K7" s="4956" t="s">
        <v>1508</v>
      </c>
      <c r="L7" s="4957"/>
      <c r="M7" s="4955" t="s">
        <v>1509</v>
      </c>
      <c r="N7" s="4958"/>
      <c r="O7" s="1779"/>
      <c r="P7" s="1779"/>
      <c r="Q7" s="1776"/>
      <c r="R7" s="1774"/>
      <c r="S7" s="1774"/>
    </row>
    <row r="8" spans="1:20" ht="15.75" x14ac:dyDescent="0.25">
      <c r="A8" s="509"/>
      <c r="B8" s="509"/>
      <c r="C8" s="509"/>
      <c r="D8" s="1780"/>
      <c r="E8" s="1781" t="s">
        <v>1510</v>
      </c>
      <c r="F8" s="1782" t="s">
        <v>1511</v>
      </c>
      <c r="G8" s="1783" t="s">
        <v>1510</v>
      </c>
      <c r="H8" s="1782" t="s">
        <v>1511</v>
      </c>
      <c r="I8" s="1783" t="s">
        <v>1510</v>
      </c>
      <c r="J8" s="1782" t="s">
        <v>1511</v>
      </c>
      <c r="K8" s="1783" t="s">
        <v>1510</v>
      </c>
      <c r="L8" s="1782" t="s">
        <v>1511</v>
      </c>
      <c r="M8" s="1784" t="s">
        <v>1510</v>
      </c>
      <c r="N8" s="1785" t="s">
        <v>1511</v>
      </c>
      <c r="O8" s="1779"/>
      <c r="P8" s="1779"/>
      <c r="Q8" s="1776"/>
      <c r="R8" s="1774"/>
      <c r="S8" s="1774"/>
    </row>
    <row r="9" spans="1:20" ht="15.75" x14ac:dyDescent="0.25">
      <c r="A9" s="509"/>
      <c r="B9" s="509"/>
      <c r="C9" s="509"/>
      <c r="D9" s="1786" t="s">
        <v>1512</v>
      </c>
      <c r="E9" s="1787">
        <v>76</v>
      </c>
      <c r="F9" s="1788">
        <v>62</v>
      </c>
      <c r="G9" s="1787">
        <v>49</v>
      </c>
      <c r="H9" s="1788">
        <v>66</v>
      </c>
      <c r="I9" s="1787">
        <v>57</v>
      </c>
      <c r="J9" s="1788">
        <v>56</v>
      </c>
      <c r="K9" s="1789"/>
      <c r="L9" s="1788"/>
      <c r="M9" s="1790">
        <v>43</v>
      </c>
      <c r="N9" s="1791">
        <v>48</v>
      </c>
      <c r="O9" s="1792"/>
      <c r="P9" s="1792"/>
      <c r="Q9" s="1793"/>
      <c r="R9" s="1774"/>
      <c r="S9" s="1774"/>
    </row>
    <row r="10" spans="1:20" ht="15.75" x14ac:dyDescent="0.25">
      <c r="A10" s="509"/>
      <c r="B10" s="509"/>
      <c r="C10" s="509"/>
      <c r="D10" s="1794" t="s">
        <v>1513</v>
      </c>
      <c r="E10" s="1787">
        <v>66</v>
      </c>
      <c r="F10" s="1788">
        <v>60</v>
      </c>
      <c r="G10" s="1787">
        <v>56</v>
      </c>
      <c r="H10" s="1788">
        <v>41</v>
      </c>
      <c r="I10" s="1787">
        <v>48.8</v>
      </c>
      <c r="J10" s="1788">
        <v>47.5</v>
      </c>
      <c r="K10" s="1787">
        <v>42.8</v>
      </c>
      <c r="L10" s="1787">
        <v>47.8</v>
      </c>
      <c r="M10" s="1790">
        <v>51.8</v>
      </c>
      <c r="N10" s="1791">
        <v>54</v>
      </c>
      <c r="O10" s="1792"/>
      <c r="P10" s="1792"/>
      <c r="Q10" s="1776"/>
      <c r="R10" s="1774"/>
      <c r="S10" s="1774"/>
    </row>
    <row r="11" spans="1:20" ht="15.75" x14ac:dyDescent="0.25">
      <c r="A11" s="509"/>
      <c r="B11" s="509"/>
      <c r="C11" s="509"/>
      <c r="D11" s="1795" t="s">
        <v>1514</v>
      </c>
      <c r="E11" s="1787">
        <v>73.5</v>
      </c>
      <c r="F11" s="1788">
        <v>67.599999999999994</v>
      </c>
      <c r="G11" s="1787">
        <v>67.5</v>
      </c>
      <c r="H11" s="1788">
        <v>65</v>
      </c>
      <c r="I11" s="1787">
        <v>69</v>
      </c>
      <c r="J11" s="1788">
        <v>50.5</v>
      </c>
      <c r="K11" s="1796">
        <v>59.6</v>
      </c>
      <c r="L11" s="1787">
        <v>54.3</v>
      </c>
      <c r="M11" s="1790">
        <v>45.5</v>
      </c>
      <c r="N11" s="1791">
        <v>38.4</v>
      </c>
      <c r="O11" s="1792"/>
      <c r="P11" s="1792"/>
      <c r="Q11" s="1776"/>
      <c r="R11" s="1774"/>
      <c r="S11" s="1774"/>
    </row>
    <row r="12" spans="1:20" ht="15.75" x14ac:dyDescent="0.25">
      <c r="A12" s="509"/>
      <c r="B12" s="509"/>
      <c r="C12" s="509"/>
      <c r="D12" s="1794" t="s">
        <v>1515</v>
      </c>
      <c r="E12" s="1787">
        <v>42.8</v>
      </c>
      <c r="F12" s="1788">
        <v>56.4</v>
      </c>
      <c r="G12" s="1787">
        <v>55.3</v>
      </c>
      <c r="H12" s="1788">
        <v>50</v>
      </c>
      <c r="I12" s="1787">
        <v>51</v>
      </c>
      <c r="J12" s="1788">
        <v>45.1</v>
      </c>
      <c r="K12" s="1787">
        <v>46.1</v>
      </c>
      <c r="L12" s="1787">
        <v>38.200000000000003</v>
      </c>
      <c r="M12" s="1790">
        <v>37.6</v>
      </c>
      <c r="N12" s="1791">
        <v>33.6</v>
      </c>
      <c r="O12" s="1792"/>
      <c r="P12" s="1792"/>
      <c r="Q12" s="1776"/>
      <c r="R12" s="1774"/>
      <c r="S12" s="1774"/>
    </row>
    <row r="13" spans="1:20" ht="15.75" x14ac:dyDescent="0.25">
      <c r="A13" s="509"/>
      <c r="B13" s="509"/>
      <c r="C13" s="509"/>
      <c r="D13" s="1797" t="s">
        <v>1516</v>
      </c>
      <c r="E13" s="1798">
        <v>40.799999999999997</v>
      </c>
      <c r="F13" s="1798">
        <v>42</v>
      </c>
      <c r="G13" s="1799">
        <v>44</v>
      </c>
      <c r="H13" s="1800">
        <v>40</v>
      </c>
      <c r="I13" s="1798">
        <v>28</v>
      </c>
      <c r="J13" s="1800">
        <v>31</v>
      </c>
      <c r="K13" s="1799">
        <v>20</v>
      </c>
      <c r="L13" s="1798">
        <v>26</v>
      </c>
      <c r="M13" s="1801">
        <v>27</v>
      </c>
      <c r="N13" s="1802">
        <v>27</v>
      </c>
      <c r="O13" s="1792"/>
      <c r="P13" s="1792"/>
      <c r="Q13" s="1776"/>
      <c r="R13" s="1774"/>
      <c r="S13" s="1774"/>
    </row>
    <row r="14" spans="1:20" ht="15.75" x14ac:dyDescent="0.25">
      <c r="A14" s="509"/>
      <c r="B14" s="509"/>
      <c r="C14" s="509"/>
      <c r="D14" s="1803" t="s">
        <v>1517</v>
      </c>
      <c r="E14" s="1804">
        <v>23.5</v>
      </c>
      <c r="F14" s="1805">
        <v>26.2</v>
      </c>
      <c r="G14" s="1805">
        <v>28</v>
      </c>
      <c r="H14" s="1805"/>
      <c r="I14" s="1805"/>
      <c r="J14" s="1805">
        <v>18</v>
      </c>
      <c r="K14" s="1805">
        <v>11</v>
      </c>
      <c r="L14" s="1805">
        <v>17</v>
      </c>
      <c r="M14" s="1805"/>
      <c r="N14" s="1806"/>
      <c r="O14" s="1792"/>
      <c r="P14" s="1792"/>
      <c r="Q14" s="1776"/>
      <c r="R14" s="1774"/>
      <c r="S14" s="1774"/>
    </row>
    <row r="15" spans="1:20" ht="15.75" x14ac:dyDescent="0.25">
      <c r="A15" s="509"/>
      <c r="B15" s="509"/>
      <c r="C15" s="509"/>
      <c r="D15" s="87"/>
      <c r="E15" s="1807"/>
      <c r="F15" s="1807"/>
      <c r="G15" s="1807"/>
      <c r="H15" s="1807"/>
      <c r="I15" s="1807"/>
      <c r="J15" s="1807"/>
      <c r="K15" s="1807"/>
      <c r="L15" s="1807"/>
      <c r="M15" s="1807"/>
      <c r="N15" s="1807"/>
      <c r="O15" s="1807"/>
      <c r="P15" s="1807"/>
      <c r="Q15" s="1792"/>
      <c r="R15" s="1776"/>
      <c r="S15" s="1774"/>
      <c r="T15" s="1774"/>
    </row>
    <row r="16" spans="1:20" ht="15.75" x14ac:dyDescent="0.25">
      <c r="A16" s="509">
        <v>5</v>
      </c>
      <c r="B16" s="509" t="s">
        <v>51</v>
      </c>
      <c r="C16" s="509"/>
      <c r="D16" s="87"/>
      <c r="E16" s="1807"/>
      <c r="F16" s="1807"/>
      <c r="G16" s="1807"/>
      <c r="H16" s="1807"/>
      <c r="I16" s="1807"/>
      <c r="J16" s="1807"/>
      <c r="K16" s="1807"/>
      <c r="L16" s="1807"/>
      <c r="M16" s="1807"/>
      <c r="N16" s="1807"/>
      <c r="O16" s="1807"/>
      <c r="P16" s="1807"/>
      <c r="Q16" s="1792"/>
      <c r="R16" s="1776"/>
      <c r="S16" s="1774"/>
      <c r="T16" s="1774"/>
    </row>
    <row r="17" spans="1:30" ht="15.75" x14ac:dyDescent="0.25">
      <c r="A17" s="509"/>
      <c r="B17" s="509"/>
      <c r="C17" s="509"/>
      <c r="D17" s="87"/>
      <c r="E17" s="1807"/>
      <c r="F17" s="1807"/>
      <c r="G17" s="1807"/>
      <c r="H17" s="1807"/>
      <c r="I17" s="1807"/>
      <c r="J17" s="1807"/>
      <c r="K17" s="1807"/>
      <c r="L17" s="1807"/>
      <c r="M17" s="1807"/>
      <c r="N17" s="1807"/>
      <c r="O17" s="1807"/>
      <c r="P17" s="1807"/>
      <c r="Q17" s="1792"/>
      <c r="R17" s="1776"/>
      <c r="S17" s="1774"/>
      <c r="T17" s="1774"/>
    </row>
    <row r="18" spans="1:30" ht="15.75" x14ac:dyDescent="0.25">
      <c r="A18" s="509"/>
      <c r="B18" s="509"/>
      <c r="C18" s="509"/>
      <c r="D18" s="87"/>
      <c r="E18" s="1807"/>
      <c r="F18" s="1807"/>
      <c r="G18" s="1807"/>
      <c r="H18" s="1807"/>
      <c r="I18" s="1807"/>
      <c r="J18" s="1807"/>
      <c r="K18" s="1807"/>
      <c r="L18" s="1807"/>
      <c r="M18" s="1807"/>
      <c r="N18" s="1807"/>
      <c r="O18" s="1807"/>
      <c r="P18" s="1807"/>
      <c r="Q18" s="1792"/>
      <c r="R18" s="1776"/>
      <c r="S18" s="1774"/>
      <c r="T18" s="1774"/>
      <c r="W18" s="1808"/>
    </row>
    <row r="19" spans="1:30" ht="15.75" x14ac:dyDescent="0.25">
      <c r="A19" s="509"/>
      <c r="B19" s="509"/>
      <c r="C19" s="509"/>
      <c r="D19" s="87"/>
      <c r="E19" s="1807"/>
      <c r="F19" s="1807"/>
      <c r="G19" s="1807"/>
      <c r="H19" s="1807"/>
      <c r="I19" s="1807"/>
      <c r="J19" s="1807"/>
      <c r="K19" s="1807"/>
      <c r="L19" s="1807"/>
      <c r="M19" s="1807"/>
      <c r="N19" s="1807"/>
      <c r="O19" s="1807"/>
      <c r="P19" s="1807"/>
      <c r="Q19" s="1792"/>
      <c r="R19" s="1776"/>
      <c r="S19" s="1774"/>
      <c r="T19" s="1774"/>
    </row>
    <row r="20" spans="1:30" ht="15.75" x14ac:dyDescent="0.25">
      <c r="A20" s="509"/>
      <c r="B20" s="509"/>
      <c r="C20" s="509"/>
      <c r="D20" s="87"/>
      <c r="E20" s="1807"/>
      <c r="F20" s="1807"/>
      <c r="G20" s="1807"/>
      <c r="H20" s="1807"/>
      <c r="I20" s="1807"/>
      <c r="J20" s="1807"/>
      <c r="K20" s="1807"/>
      <c r="L20" s="1807"/>
      <c r="M20" s="1807"/>
      <c r="N20" s="1807"/>
      <c r="O20" s="1807"/>
      <c r="P20" s="1807"/>
      <c r="Q20" s="1792"/>
      <c r="R20" s="1776"/>
      <c r="S20" s="1774"/>
      <c r="T20" s="1774"/>
    </row>
    <row r="21" spans="1:30" ht="15.75" x14ac:dyDescent="0.25">
      <c r="A21" s="509"/>
      <c r="B21" s="509"/>
      <c r="C21" s="509"/>
      <c r="D21" s="87"/>
      <c r="E21" s="1807"/>
      <c r="F21" s="1807"/>
      <c r="G21" s="1807"/>
      <c r="H21" s="1807"/>
      <c r="I21" s="1807"/>
      <c r="J21" s="1807"/>
      <c r="K21" s="1807"/>
      <c r="L21" s="1807"/>
      <c r="M21" s="1807"/>
      <c r="N21" s="1807"/>
      <c r="O21" s="1807"/>
      <c r="P21" s="1807"/>
      <c r="Q21" s="1792"/>
      <c r="R21" s="1776"/>
      <c r="S21" s="1774"/>
      <c r="T21" s="1774"/>
    </row>
    <row r="22" spans="1:30" ht="15.75" x14ac:dyDescent="0.25">
      <c r="A22" s="509"/>
      <c r="B22" s="509"/>
      <c r="C22" s="509"/>
      <c r="D22" s="87"/>
      <c r="E22" s="1807"/>
      <c r="F22" s="1807"/>
      <c r="G22" s="1807"/>
      <c r="H22" s="1807"/>
      <c r="I22" s="1807"/>
      <c r="J22" s="1807"/>
      <c r="K22" s="1807"/>
      <c r="L22" s="1807"/>
      <c r="M22" s="1807"/>
      <c r="N22" s="1807"/>
      <c r="O22" s="1807"/>
      <c r="P22" s="1807"/>
      <c r="Q22" s="1792"/>
      <c r="R22" s="1776"/>
      <c r="S22" s="1774"/>
      <c r="T22" s="1774"/>
    </row>
    <row r="23" spans="1:30" ht="15.75" x14ac:dyDescent="0.25">
      <c r="A23" s="509"/>
      <c r="B23" s="509"/>
      <c r="C23" s="509"/>
      <c r="D23" s="87"/>
      <c r="E23" s="1807"/>
      <c r="F23" s="1807"/>
      <c r="G23" s="1807"/>
      <c r="H23" s="1807"/>
      <c r="I23" s="1807"/>
      <c r="J23" s="1807"/>
      <c r="K23" s="1807"/>
      <c r="L23" s="1807"/>
      <c r="M23" s="1807"/>
      <c r="N23" s="1807"/>
      <c r="O23" s="1807"/>
      <c r="P23" s="1807"/>
      <c r="Q23" s="1792"/>
      <c r="R23" s="1776"/>
      <c r="S23" s="1774"/>
      <c r="T23" s="1774"/>
    </row>
    <row r="24" spans="1:30" ht="15.75" x14ac:dyDescent="0.25">
      <c r="A24" s="509"/>
      <c r="B24" s="509"/>
      <c r="C24" s="509"/>
      <c r="D24" s="87"/>
      <c r="E24" s="1807"/>
      <c r="F24" s="1807"/>
      <c r="G24" s="1807"/>
      <c r="H24" s="1807"/>
      <c r="I24" s="1807"/>
      <c r="J24" s="1807"/>
      <c r="K24" s="1807"/>
      <c r="L24" s="1807"/>
      <c r="M24" s="1807"/>
      <c r="N24" s="1807"/>
      <c r="O24" s="1807"/>
      <c r="P24" s="1807"/>
      <c r="Q24" s="1792"/>
      <c r="R24" s="1809"/>
      <c r="S24" s="1774"/>
      <c r="T24" s="1774"/>
      <c r="U24"/>
    </row>
    <row r="25" spans="1:30" ht="15.75" x14ac:dyDescent="0.25">
      <c r="A25" s="509"/>
      <c r="B25" s="509"/>
      <c r="C25" s="509"/>
      <c r="D25" s="87"/>
      <c r="E25" s="1807"/>
      <c r="F25" s="1807"/>
      <c r="G25" s="1807"/>
      <c r="H25" s="1807"/>
      <c r="I25" s="1807"/>
      <c r="J25" s="1807"/>
      <c r="K25" s="1807"/>
      <c r="L25" s="1807"/>
      <c r="M25" s="1807"/>
      <c r="N25" s="1807"/>
      <c r="O25" s="1807"/>
      <c r="P25" s="1807"/>
      <c r="Q25" s="1792"/>
      <c r="R25" s="1776"/>
      <c r="S25" s="1774"/>
      <c r="T25" s="1774"/>
      <c r="U25"/>
    </row>
    <row r="26" spans="1:30" ht="15.75" x14ac:dyDescent="0.25">
      <c r="A26" s="509"/>
      <c r="B26" s="509"/>
      <c r="C26" s="509"/>
      <c r="D26" s="87"/>
      <c r="E26" s="1807"/>
      <c r="F26" s="1807"/>
      <c r="G26" s="1807"/>
      <c r="H26" s="1807"/>
      <c r="I26" s="1807"/>
      <c r="J26" s="1807"/>
      <c r="K26" s="1807"/>
      <c r="L26" s="1807"/>
      <c r="M26" s="1807"/>
      <c r="N26" s="1807"/>
      <c r="O26" s="1807"/>
      <c r="P26" s="1807"/>
      <c r="Q26" s="1792"/>
      <c r="R26" s="1776"/>
      <c r="S26" s="1774"/>
      <c r="T26" s="1774"/>
      <c r="U26"/>
    </row>
    <row r="27" spans="1:30" ht="15.75" x14ac:dyDescent="0.25">
      <c r="A27" s="509"/>
      <c r="B27" s="509"/>
      <c r="C27" s="509"/>
      <c r="D27" s="87"/>
      <c r="E27" s="1807"/>
      <c r="F27" s="1807"/>
      <c r="G27" s="1807"/>
      <c r="H27" s="1807"/>
      <c r="I27" s="1807"/>
      <c r="J27" s="1807"/>
      <c r="K27" s="1807"/>
      <c r="L27" s="1807"/>
      <c r="M27" s="1807"/>
      <c r="N27" s="1807"/>
      <c r="O27" s="1807"/>
      <c r="P27" s="1807"/>
      <c r="Q27" s="1792"/>
      <c r="R27" s="1776"/>
      <c r="S27" s="1774"/>
      <c r="T27" s="1774"/>
      <c r="U27"/>
    </row>
    <row r="28" spans="1:30" ht="15.75" x14ac:dyDescent="0.25">
      <c r="A28" s="509"/>
      <c r="B28" s="509"/>
      <c r="C28" s="509"/>
      <c r="D28" s="87"/>
      <c r="E28" s="1807"/>
      <c r="F28" s="1807"/>
      <c r="G28" s="1807"/>
      <c r="H28" s="1807"/>
      <c r="I28" s="1807"/>
      <c r="J28" s="1807"/>
      <c r="K28" s="1807"/>
      <c r="L28" s="1807"/>
      <c r="M28" s="1807"/>
      <c r="N28" s="1807"/>
      <c r="O28" s="1807"/>
      <c r="P28" s="1807"/>
      <c r="Q28" s="1792"/>
      <c r="R28" s="1776"/>
      <c r="S28" s="1774"/>
      <c r="T28" s="1774"/>
      <c r="U28"/>
    </row>
    <row r="29" spans="1:30" ht="15.75" x14ac:dyDescent="0.25">
      <c r="A29" s="509"/>
      <c r="B29" s="509"/>
      <c r="C29" s="509"/>
      <c r="D29" s="87"/>
      <c r="E29" s="1807"/>
      <c r="F29" s="1807"/>
      <c r="G29" s="1807"/>
      <c r="H29" s="1807"/>
      <c r="I29" s="1807"/>
      <c r="J29" s="1807"/>
      <c r="K29" s="1807"/>
      <c r="L29" s="1807"/>
      <c r="M29" s="1807"/>
      <c r="N29" s="1807"/>
      <c r="O29" s="1807"/>
      <c r="P29" s="1807"/>
      <c r="Q29" s="1792"/>
      <c r="R29" s="1776"/>
      <c r="S29" s="1774"/>
      <c r="T29" s="1774"/>
      <c r="U29"/>
    </row>
    <row r="30" spans="1:30" ht="15.75" x14ac:dyDescent="0.25">
      <c r="A30" s="509"/>
      <c r="B30" s="509"/>
      <c r="C30" s="509"/>
      <c r="D30" s="87"/>
      <c r="E30" s="1807"/>
      <c r="F30" s="1807"/>
      <c r="G30" s="1807"/>
      <c r="H30" s="1807"/>
      <c r="I30" s="1807"/>
      <c r="J30" s="1807"/>
      <c r="K30" s="1807"/>
      <c r="L30" s="1807"/>
      <c r="M30" s="1807"/>
      <c r="N30" s="1807"/>
      <c r="O30" s="1807"/>
      <c r="P30" s="1807"/>
      <c r="Q30" s="1792"/>
      <c r="R30" s="1776"/>
      <c r="S30" s="1774"/>
      <c r="T30" s="1774"/>
      <c r="U30"/>
      <c r="V30"/>
      <c r="W30"/>
      <c r="X30"/>
      <c r="Y30"/>
      <c r="Z30"/>
      <c r="AA30"/>
      <c r="AB30"/>
      <c r="AC30"/>
      <c r="AD30"/>
    </row>
    <row r="31" spans="1:30" ht="15.75" x14ac:dyDescent="0.25">
      <c r="D31" s="510"/>
      <c r="E31" s="510"/>
      <c r="F31" s="510"/>
      <c r="G31" s="510"/>
      <c r="H31" s="510"/>
      <c r="I31" s="510"/>
      <c r="J31" s="510"/>
      <c r="K31" s="510"/>
      <c r="L31" s="510"/>
      <c r="M31" s="510"/>
      <c r="N31" s="510"/>
      <c r="O31" s="510"/>
      <c r="P31" s="510"/>
      <c r="Q31" s="1774"/>
      <c r="R31" s="1774"/>
      <c r="S31" s="1774"/>
      <c r="T31" s="1774"/>
      <c r="U31" s="1810"/>
      <c r="V31" s="1810"/>
      <c r="W31" s="1810"/>
      <c r="X31" s="1810"/>
      <c r="Y31" s="1810"/>
      <c r="Z31" s="1810"/>
      <c r="AA31" s="1810"/>
      <c r="AB31" s="1810"/>
      <c r="AC31" s="1810"/>
      <c r="AD31" s="1810"/>
    </row>
    <row r="32" spans="1:30" ht="15.75" x14ac:dyDescent="0.25">
      <c r="D32" s="510"/>
      <c r="E32" s="510"/>
      <c r="F32" s="510"/>
      <c r="G32" s="510"/>
      <c r="H32" s="510"/>
      <c r="I32" s="510"/>
      <c r="J32" s="510"/>
      <c r="K32" s="510"/>
      <c r="L32" s="510"/>
      <c r="M32" s="510"/>
      <c r="N32" s="510"/>
      <c r="O32" s="510"/>
      <c r="P32" s="510"/>
      <c r="Q32" s="1774"/>
      <c r="R32" s="1774"/>
      <c r="S32" s="1774"/>
      <c r="T32" s="1774"/>
      <c r="U32"/>
    </row>
    <row r="33" spans="1:20" ht="15.75" x14ac:dyDescent="0.25">
      <c r="D33" s="4946" t="s">
        <v>275</v>
      </c>
      <c r="E33" s="4947"/>
      <c r="F33" s="4963" t="s">
        <v>1518</v>
      </c>
      <c r="G33" s="4964"/>
      <c r="H33" s="4648" t="s">
        <v>1519</v>
      </c>
      <c r="I33" s="4649"/>
      <c r="J33" s="4648" t="s">
        <v>1520</v>
      </c>
      <c r="K33" s="4649"/>
      <c r="L33" s="4648" t="s">
        <v>1521</v>
      </c>
      <c r="M33" s="4649"/>
      <c r="N33" s="4648" t="s">
        <v>1522</v>
      </c>
      <c r="O33" s="4649"/>
      <c r="P33" s="4648" t="s">
        <v>1523</v>
      </c>
      <c r="Q33" s="4649"/>
      <c r="R33" s="4965" t="s">
        <v>1524</v>
      </c>
      <c r="S33" s="4966"/>
      <c r="T33" s="1774"/>
    </row>
    <row r="34" spans="1:20" ht="15.75" x14ac:dyDescent="0.25">
      <c r="D34" s="4961"/>
      <c r="E34" s="4962"/>
      <c r="F34" s="1811" t="s">
        <v>256</v>
      </c>
      <c r="G34" s="1812" t="s">
        <v>257</v>
      </c>
      <c r="H34" s="1811" t="s">
        <v>256</v>
      </c>
      <c r="I34" s="1812" t="s">
        <v>257</v>
      </c>
      <c r="J34" s="1811" t="s">
        <v>259</v>
      </c>
      <c r="K34" s="1812" t="s">
        <v>257</v>
      </c>
      <c r="L34" s="1811" t="s">
        <v>1490</v>
      </c>
      <c r="M34" s="1811" t="s">
        <v>1491</v>
      </c>
      <c r="N34" s="1811" t="s">
        <v>1492</v>
      </c>
      <c r="O34" s="1811" t="s">
        <v>1493</v>
      </c>
      <c r="P34" s="1811" t="s">
        <v>1494</v>
      </c>
      <c r="Q34" s="1813" t="s">
        <v>1495</v>
      </c>
      <c r="R34" s="3798" t="s">
        <v>1496</v>
      </c>
      <c r="S34" s="3799" t="s">
        <v>1497</v>
      </c>
      <c r="T34" s="1774"/>
    </row>
    <row r="35" spans="1:20" ht="15.75" x14ac:dyDescent="0.25">
      <c r="D35" s="4946" t="s">
        <v>276</v>
      </c>
      <c r="E35" s="4947"/>
      <c r="F35" s="3473">
        <v>34.700000000000003</v>
      </c>
      <c r="G35" s="1815">
        <v>34.200000000000003</v>
      </c>
      <c r="H35" s="1814">
        <v>35</v>
      </c>
      <c r="I35" s="1815">
        <v>32.4</v>
      </c>
      <c r="J35" s="3473">
        <v>25</v>
      </c>
      <c r="K35" s="1816">
        <v>30.28</v>
      </c>
      <c r="L35" s="1817">
        <v>24</v>
      </c>
      <c r="M35" s="1818">
        <v>26</v>
      </c>
      <c r="N35" s="1819">
        <v>29</v>
      </c>
      <c r="O35" s="1820">
        <v>28</v>
      </c>
      <c r="P35" s="1821">
        <v>28</v>
      </c>
      <c r="Q35" s="1822">
        <v>29</v>
      </c>
      <c r="R35" s="3800">
        <v>22</v>
      </c>
      <c r="S35" s="3801"/>
      <c r="T35" s="1774"/>
    </row>
    <row r="36" spans="1:20" ht="15.75" x14ac:dyDescent="0.25">
      <c r="D36" s="4961" t="s">
        <v>277</v>
      </c>
      <c r="E36" s="4962"/>
      <c r="F36" s="4370">
        <v>55.1</v>
      </c>
      <c r="G36" s="1824">
        <v>48.6</v>
      </c>
      <c r="H36" s="1823">
        <v>46</v>
      </c>
      <c r="I36" s="1824">
        <v>47.6</v>
      </c>
      <c r="J36" s="1825">
        <v>27.5</v>
      </c>
      <c r="K36" s="1816">
        <v>26.95</v>
      </c>
      <c r="L36" s="1817">
        <v>18</v>
      </c>
      <c r="M36" s="1818">
        <v>23</v>
      </c>
      <c r="N36" s="1819">
        <v>36</v>
      </c>
      <c r="O36" s="1820">
        <v>32</v>
      </c>
      <c r="P36" s="1819">
        <v>23</v>
      </c>
      <c r="Q36" s="1820">
        <v>31</v>
      </c>
      <c r="R36" s="3802">
        <v>32</v>
      </c>
      <c r="S36" s="3803"/>
      <c r="T36" s="1774"/>
    </row>
    <row r="37" spans="1:20" ht="15.75" x14ac:dyDescent="0.25">
      <c r="D37" s="4961" t="s">
        <v>278</v>
      </c>
      <c r="E37" s="4962"/>
      <c r="F37" s="4370">
        <v>39.9</v>
      </c>
      <c r="G37" s="1824">
        <v>40.9</v>
      </c>
      <c r="H37" s="1823">
        <v>51.6</v>
      </c>
      <c r="I37" s="1824">
        <v>45.6</v>
      </c>
      <c r="J37" s="1825">
        <v>32</v>
      </c>
      <c r="K37" s="1816">
        <v>34.01</v>
      </c>
      <c r="L37" s="1817">
        <v>16</v>
      </c>
      <c r="M37" s="1818">
        <v>29</v>
      </c>
      <c r="N37" s="1819">
        <v>25</v>
      </c>
      <c r="O37" s="1820">
        <v>26</v>
      </c>
      <c r="P37" s="1819">
        <v>22</v>
      </c>
      <c r="Q37" s="1820">
        <v>27</v>
      </c>
      <c r="R37" s="3802">
        <v>29</v>
      </c>
      <c r="S37" s="3803"/>
      <c r="T37" s="1774"/>
    </row>
    <row r="38" spans="1:20" ht="15.75" x14ac:dyDescent="0.25">
      <c r="D38" s="4961" t="s">
        <v>279</v>
      </c>
      <c r="E38" s="4962"/>
      <c r="F38" s="4370">
        <v>49.7</v>
      </c>
      <c r="G38" s="1824">
        <v>49.5</v>
      </c>
      <c r="H38" s="1823">
        <v>45.4</v>
      </c>
      <c r="I38" s="1824">
        <v>35.799999999999997</v>
      </c>
      <c r="J38" s="1825">
        <v>29.3</v>
      </c>
      <c r="K38" s="1816">
        <v>33.979999999999997</v>
      </c>
      <c r="L38" s="1817">
        <v>19</v>
      </c>
      <c r="M38" s="1818">
        <v>19</v>
      </c>
      <c r="N38" s="1819">
        <v>24</v>
      </c>
      <c r="O38" s="1820">
        <v>24</v>
      </c>
      <c r="P38" s="1819">
        <v>21</v>
      </c>
      <c r="Q38" s="1820">
        <v>23</v>
      </c>
      <c r="R38" s="3802">
        <v>26</v>
      </c>
      <c r="S38" s="3803"/>
      <c r="T38" s="1774"/>
    </row>
    <row r="39" spans="1:20" ht="15.75" x14ac:dyDescent="0.25">
      <c r="D39" s="4967" t="s">
        <v>280</v>
      </c>
      <c r="E39" s="4968"/>
      <c r="F39" s="4370">
        <v>57.2</v>
      </c>
      <c r="G39" s="1824">
        <v>32.6</v>
      </c>
      <c r="H39" s="1823">
        <v>57.3</v>
      </c>
      <c r="I39" s="1824">
        <v>46.1</v>
      </c>
      <c r="J39" s="1825">
        <v>19</v>
      </c>
      <c r="K39" s="1816">
        <v>48.83</v>
      </c>
      <c r="L39" s="1817">
        <v>24</v>
      </c>
      <c r="M39" s="1818">
        <v>37</v>
      </c>
      <c r="N39" s="1819">
        <v>38</v>
      </c>
      <c r="O39" s="1820">
        <v>44</v>
      </c>
      <c r="P39" s="1819">
        <v>37</v>
      </c>
      <c r="Q39" s="1820">
        <v>32</v>
      </c>
      <c r="R39" s="3802">
        <v>44</v>
      </c>
      <c r="S39" s="3803"/>
      <c r="T39" s="1774"/>
    </row>
    <row r="40" spans="1:20" ht="15.75" x14ac:dyDescent="0.25">
      <c r="D40" s="4961" t="s">
        <v>281</v>
      </c>
      <c r="E40" s="4962"/>
      <c r="F40" s="4370">
        <v>47.3</v>
      </c>
      <c r="G40" s="1824">
        <v>51.3</v>
      </c>
      <c r="H40" s="1823">
        <v>53.8</v>
      </c>
      <c r="I40" s="1824">
        <v>55.2</v>
      </c>
      <c r="J40" s="1825">
        <v>43</v>
      </c>
      <c r="K40" s="1816">
        <v>24.42</v>
      </c>
      <c r="L40" s="1817">
        <v>29</v>
      </c>
      <c r="M40" s="1818">
        <v>36</v>
      </c>
      <c r="N40" s="1819">
        <v>32</v>
      </c>
      <c r="O40" s="1820">
        <v>29</v>
      </c>
      <c r="P40" s="1819">
        <v>33</v>
      </c>
      <c r="Q40" s="1820">
        <v>36</v>
      </c>
      <c r="R40" s="3802">
        <v>36</v>
      </c>
      <c r="S40" s="3803"/>
      <c r="T40" s="1774"/>
    </row>
    <row r="41" spans="1:20" ht="15.75" x14ac:dyDescent="0.25">
      <c r="D41" s="4961" t="s">
        <v>282</v>
      </c>
      <c r="E41" s="4962"/>
      <c r="F41" s="4370">
        <v>31.8</v>
      </c>
      <c r="G41" s="1824">
        <v>74.099999999999994</v>
      </c>
      <c r="H41" s="1823">
        <v>38.9</v>
      </c>
      <c r="I41" s="1824">
        <v>50.4</v>
      </c>
      <c r="J41" s="1825">
        <v>37.9</v>
      </c>
      <c r="K41" s="1816">
        <v>25.11</v>
      </c>
      <c r="L41" s="1817">
        <v>23</v>
      </c>
      <c r="M41" s="1818">
        <v>29</v>
      </c>
      <c r="N41" s="1819">
        <v>33</v>
      </c>
      <c r="O41" s="1820">
        <v>31</v>
      </c>
      <c r="P41" s="1819">
        <v>22</v>
      </c>
      <c r="Q41" s="1820">
        <v>28</v>
      </c>
      <c r="R41" s="3802">
        <v>16</v>
      </c>
      <c r="S41" s="3803"/>
      <c r="T41" s="1774"/>
    </row>
    <row r="42" spans="1:20" ht="15.75" x14ac:dyDescent="0.25">
      <c r="D42" s="4961" t="s">
        <v>283</v>
      </c>
      <c r="E42" s="4962"/>
      <c r="F42" s="4370">
        <v>43.6</v>
      </c>
      <c r="G42" s="1824">
        <v>46.2</v>
      </c>
      <c r="H42" s="1823">
        <v>60.1</v>
      </c>
      <c r="I42" s="1824">
        <v>60.1</v>
      </c>
      <c r="J42" s="1825">
        <v>35</v>
      </c>
      <c r="K42" s="1816">
        <v>15.32</v>
      </c>
      <c r="L42" s="1817">
        <v>26</v>
      </c>
      <c r="M42" s="1818">
        <v>14</v>
      </c>
      <c r="N42" s="1819">
        <v>14</v>
      </c>
      <c r="O42" s="1820">
        <v>21</v>
      </c>
      <c r="P42" s="1819">
        <v>26</v>
      </c>
      <c r="Q42" s="1820">
        <v>26</v>
      </c>
      <c r="R42" s="3802">
        <v>30</v>
      </c>
      <c r="S42" s="3803"/>
      <c r="T42" s="1774"/>
    </row>
    <row r="43" spans="1:20" ht="15.75" x14ac:dyDescent="0.25">
      <c r="D43" s="4948" t="s">
        <v>284</v>
      </c>
      <c r="E43" s="4949"/>
      <c r="F43" s="4371">
        <v>16.600000000000001</v>
      </c>
      <c r="G43" s="1827">
        <v>23.9</v>
      </c>
      <c r="H43" s="1826">
        <v>22.3</v>
      </c>
      <c r="I43" s="1827">
        <v>21.3</v>
      </c>
      <c r="J43" s="1826">
        <v>11.4</v>
      </c>
      <c r="K43" s="1828">
        <v>15.93</v>
      </c>
      <c r="L43" s="1829">
        <v>16</v>
      </c>
      <c r="M43" s="1830">
        <v>17</v>
      </c>
      <c r="N43" s="1831">
        <v>20</v>
      </c>
      <c r="O43" s="1832">
        <v>18</v>
      </c>
      <c r="P43" s="1831">
        <v>10</v>
      </c>
      <c r="Q43" s="1832">
        <v>15</v>
      </c>
      <c r="R43" s="3804">
        <v>20</v>
      </c>
      <c r="S43" s="3805"/>
      <c r="T43" s="1774"/>
    </row>
    <row r="44" spans="1:20" ht="15.75" x14ac:dyDescent="0.25">
      <c r="D44" s="510"/>
      <c r="E44" s="510"/>
      <c r="F44" s="510"/>
      <c r="G44" s="510"/>
      <c r="H44" s="510"/>
      <c r="I44" s="510"/>
      <c r="J44" s="510"/>
      <c r="K44" s="510"/>
      <c r="L44" s="510"/>
      <c r="M44" s="510"/>
      <c r="N44" s="510"/>
      <c r="O44" s="510"/>
      <c r="P44" s="510"/>
      <c r="Q44" s="1774"/>
      <c r="R44" s="1774"/>
      <c r="S44" s="1774"/>
      <c r="T44" s="1774"/>
    </row>
    <row r="45" spans="1:20" ht="15.75" x14ac:dyDescent="0.25">
      <c r="D45" s="510"/>
      <c r="E45" s="510"/>
      <c r="F45" s="510"/>
      <c r="G45" s="510"/>
      <c r="H45" s="510"/>
      <c r="I45" s="510"/>
      <c r="J45" s="510"/>
      <c r="K45" s="510"/>
      <c r="L45" s="510"/>
      <c r="M45" s="510"/>
      <c r="N45" s="510"/>
      <c r="O45" s="510"/>
      <c r="P45" s="510"/>
      <c r="Q45" s="1774"/>
      <c r="R45" s="1774"/>
      <c r="S45" s="1774"/>
      <c r="T45" s="1774"/>
    </row>
    <row r="46" spans="1:20" ht="15.75" x14ac:dyDescent="0.25">
      <c r="A46" s="509">
        <v>6</v>
      </c>
      <c r="B46" s="509" t="s">
        <v>52</v>
      </c>
      <c r="C46" s="509"/>
      <c r="D46" s="4603" t="s">
        <v>533</v>
      </c>
      <c r="E46" s="4604"/>
      <c r="F46" s="4604"/>
      <c r="G46" s="4604"/>
      <c r="H46" s="4604"/>
      <c r="I46" s="4604"/>
      <c r="J46" s="4604"/>
      <c r="K46" s="4604"/>
      <c r="L46" s="4604"/>
      <c r="M46" s="4604"/>
      <c r="N46" s="4604"/>
      <c r="O46" s="4605"/>
      <c r="P46" s="880"/>
      <c r="Q46" s="1775"/>
      <c r="R46" s="1776"/>
      <c r="S46" s="1774"/>
      <c r="T46" s="1774"/>
    </row>
    <row r="47" spans="1:20" ht="15.75" customHeight="1" x14ac:dyDescent="0.25">
      <c r="A47" s="546">
        <v>7</v>
      </c>
      <c r="B47" s="546" t="s">
        <v>54</v>
      </c>
      <c r="C47" s="546"/>
      <c r="D47" s="4603" t="s">
        <v>1525</v>
      </c>
      <c r="E47" s="4604"/>
      <c r="F47" s="4604"/>
      <c r="G47" s="4604"/>
      <c r="H47" s="4604"/>
      <c r="I47" s="4604"/>
      <c r="J47" s="4604"/>
      <c r="K47" s="4604"/>
      <c r="L47" s="4604"/>
      <c r="M47" s="4604"/>
      <c r="N47" s="4604"/>
      <c r="O47" s="4605"/>
      <c r="P47" s="880"/>
      <c r="Q47" s="1775"/>
      <c r="R47" s="1776"/>
      <c r="S47" s="1774"/>
      <c r="T47" s="1774"/>
    </row>
    <row r="48" spans="1:20" ht="15.75" customHeight="1" x14ac:dyDescent="0.25">
      <c r="A48" s="509">
        <v>8</v>
      </c>
      <c r="B48" s="509" t="s">
        <v>56</v>
      </c>
      <c r="C48" s="509"/>
      <c r="D48" s="4603" t="s">
        <v>1526</v>
      </c>
      <c r="E48" s="4604"/>
      <c r="F48" s="4604"/>
      <c r="G48" s="4604"/>
      <c r="H48" s="4604"/>
      <c r="I48" s="4604"/>
      <c r="J48" s="4604"/>
      <c r="K48" s="4604"/>
      <c r="L48" s="4604"/>
      <c r="M48" s="4604"/>
      <c r="N48" s="4604"/>
      <c r="O48" s="4605"/>
      <c r="P48" s="880"/>
      <c r="Q48" s="1775"/>
      <c r="R48" s="1776"/>
      <c r="S48" s="1774"/>
      <c r="T48" s="1774"/>
    </row>
    <row r="49" spans="1:20" ht="102.6" customHeight="1" x14ac:dyDescent="0.25">
      <c r="A49" s="546">
        <v>9</v>
      </c>
      <c r="B49" s="509" t="s">
        <v>58</v>
      </c>
      <c r="D49" s="4603" t="s">
        <v>1527</v>
      </c>
      <c r="E49" s="4604"/>
      <c r="F49" s="4604"/>
      <c r="G49" s="4604"/>
      <c r="H49" s="4604"/>
      <c r="I49" s="4604"/>
      <c r="J49" s="4604"/>
      <c r="K49" s="4604"/>
      <c r="L49" s="4604"/>
      <c r="M49" s="4604"/>
      <c r="N49" s="4604"/>
      <c r="O49" s="4605"/>
      <c r="P49" s="880"/>
      <c r="Q49" s="1774"/>
      <c r="R49" s="1774"/>
      <c r="S49" s="1774"/>
      <c r="T49" s="1774"/>
    </row>
    <row r="50" spans="1:20" ht="15.75" x14ac:dyDescent="0.25">
      <c r="D50" s="1833"/>
      <c r="E50" s="1774"/>
      <c r="F50" s="1774"/>
      <c r="G50" s="1774"/>
      <c r="H50" s="1774"/>
      <c r="I50" s="1774"/>
      <c r="J50" s="1774"/>
      <c r="K50" s="1774"/>
      <c r="L50" s="1774"/>
      <c r="M50" s="1774"/>
      <c r="N50" s="1774"/>
      <c r="O50" s="1774"/>
      <c r="P50" s="1774"/>
      <c r="Q50" s="1774"/>
      <c r="R50" s="1774"/>
      <c r="S50" s="1774"/>
      <c r="T50" s="1774"/>
    </row>
    <row r="51" spans="1:20" ht="15.75" x14ac:dyDescent="0.25">
      <c r="D51" s="1774"/>
      <c r="E51" s="1774"/>
      <c r="F51" s="1774"/>
      <c r="G51" s="1774"/>
      <c r="H51" s="1774"/>
      <c r="I51" s="1774"/>
      <c r="J51" s="1774"/>
      <c r="K51" s="1774"/>
      <c r="L51" s="1774"/>
      <c r="M51" s="1774"/>
      <c r="N51" s="1774"/>
      <c r="O51" s="1774"/>
      <c r="P51" s="1774"/>
      <c r="Q51" s="1774"/>
      <c r="R51" s="1774"/>
      <c r="S51" s="1774"/>
      <c r="T51" s="1774"/>
    </row>
    <row r="52" spans="1:20" ht="15.75" x14ac:dyDescent="0.25">
      <c r="D52" s="1774"/>
      <c r="E52" s="1774"/>
      <c r="F52" s="1774"/>
      <c r="G52" s="1774"/>
      <c r="H52" s="1774"/>
      <c r="I52" s="1774"/>
      <c r="J52" s="1774"/>
      <c r="K52" s="1774"/>
      <c r="L52" s="1774"/>
      <c r="M52" s="1774"/>
      <c r="N52" s="1774"/>
      <c r="O52" s="1774"/>
      <c r="P52" s="1774"/>
      <c r="Q52" s="1774"/>
      <c r="R52" s="1774"/>
      <c r="S52" s="1774"/>
      <c r="T52" s="1774"/>
    </row>
    <row r="53" spans="1:20" ht="15.75" x14ac:dyDescent="0.25">
      <c r="D53" s="1774"/>
      <c r="E53" s="1774"/>
      <c r="F53" s="1774"/>
      <c r="G53" s="1774"/>
      <c r="H53" s="1774"/>
      <c r="I53" s="1774"/>
      <c r="J53" s="1774"/>
      <c r="K53" s="1774"/>
      <c r="L53" s="1774"/>
      <c r="M53" s="1774"/>
      <c r="N53" s="1774"/>
      <c r="O53" s="1774"/>
      <c r="P53" s="1774"/>
      <c r="Q53" s="1774"/>
      <c r="R53" s="1774"/>
      <c r="S53" s="1774"/>
      <c r="T53" s="1774"/>
    </row>
    <row r="54" spans="1:20" ht="15.75" x14ac:dyDescent="0.25">
      <c r="D54" s="1774"/>
      <c r="E54" s="1774"/>
      <c r="F54" s="1774"/>
      <c r="G54" s="1774"/>
      <c r="H54" s="1774"/>
      <c r="I54" s="1774"/>
      <c r="J54" s="1774"/>
      <c r="K54" s="1774"/>
      <c r="L54" s="1774"/>
      <c r="M54" s="1774"/>
      <c r="N54" s="1774"/>
      <c r="O54" s="1774"/>
      <c r="P54" s="1774"/>
      <c r="Q54" s="1774"/>
      <c r="R54" s="1774"/>
      <c r="S54" s="1774"/>
      <c r="T54" s="1774"/>
    </row>
    <row r="55" spans="1:20" ht="15.75" x14ac:dyDescent="0.25">
      <c r="D55" s="1774"/>
      <c r="E55" s="1774"/>
      <c r="F55" s="1774"/>
      <c r="G55" s="1774"/>
      <c r="H55" s="1774"/>
      <c r="I55" s="1774"/>
      <c r="J55" s="1774"/>
      <c r="K55" s="1774"/>
      <c r="L55" s="1774"/>
      <c r="M55" s="1774"/>
      <c r="N55" s="1774"/>
      <c r="O55" s="1774"/>
      <c r="P55" s="1774"/>
      <c r="Q55" s="1774"/>
      <c r="R55" s="1774"/>
      <c r="S55" s="1774"/>
      <c r="T55" s="1774"/>
    </row>
    <row r="56" spans="1:20" ht="15.75" x14ac:dyDescent="0.25">
      <c r="D56" s="1774"/>
      <c r="E56" s="1774"/>
      <c r="F56" s="1774"/>
      <c r="G56" s="1774"/>
      <c r="H56" s="1774"/>
      <c r="I56" s="1774"/>
      <c r="J56" s="1774"/>
      <c r="K56" s="1774"/>
      <c r="L56" s="1774"/>
      <c r="M56" s="1774"/>
      <c r="N56" s="1774"/>
      <c r="O56" s="1774"/>
      <c r="P56" s="1774"/>
      <c r="Q56" s="1774"/>
      <c r="R56" s="1774"/>
      <c r="S56" s="1774"/>
      <c r="T56" s="1774"/>
    </row>
    <row r="59" spans="1:20" x14ac:dyDescent="0.25">
      <c r="G59" s="1755"/>
    </row>
  </sheetData>
  <mergeCells count="31">
    <mergeCell ref="D47:O47"/>
    <mergeCell ref="D48:O48"/>
    <mergeCell ref="D49:O49"/>
    <mergeCell ref="D39:E39"/>
    <mergeCell ref="D40:E40"/>
    <mergeCell ref="D41:E41"/>
    <mergeCell ref="D42:E42"/>
    <mergeCell ref="D43:E43"/>
    <mergeCell ref="D46:O46"/>
    <mergeCell ref="P33:Q33"/>
    <mergeCell ref="R33:S33"/>
    <mergeCell ref="D35:E35"/>
    <mergeCell ref="D36:E36"/>
    <mergeCell ref="D37:E37"/>
    <mergeCell ref="L33:M33"/>
    <mergeCell ref="N33:O33"/>
    <mergeCell ref="D38:E38"/>
    <mergeCell ref="D33:E34"/>
    <mergeCell ref="F33:G33"/>
    <mergeCell ref="H33:I33"/>
    <mergeCell ref="J33:K33"/>
    <mergeCell ref="D2:O2"/>
    <mergeCell ref="D3:O3"/>
    <mergeCell ref="D4:O4"/>
    <mergeCell ref="E6:J6"/>
    <mergeCell ref="K6:R6"/>
    <mergeCell ref="E7:F7"/>
    <mergeCell ref="G7:H7"/>
    <mergeCell ref="I7:J7"/>
    <mergeCell ref="K7:L7"/>
    <mergeCell ref="M7:N7"/>
  </mergeCells>
  <pageMargins left="0.74803149606299213" right="0.74803149606299213" top="0.98425196850393704" bottom="0.98425196850393704" header="0.51181102362204722" footer="0.51181102362204722"/>
  <pageSetup paperSize="9" scale="53"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AF14E-668A-42C9-8369-DD468B59D66C}">
  <sheetPr>
    <tabColor rgb="FFFFC000"/>
    <pageSetUpPr fitToPage="1"/>
  </sheetPr>
  <dimension ref="A1:R51"/>
  <sheetViews>
    <sheetView showGridLines="0" view="pageBreakPreview" zoomScaleNormal="100" zoomScaleSheetLayoutView="100" workbookViewId="0">
      <selection activeCell="P27" sqref="P27"/>
    </sheetView>
  </sheetViews>
  <sheetFormatPr defaultColWidth="9.140625" defaultRowHeight="15" x14ac:dyDescent="0.2"/>
  <cols>
    <col min="1" max="1" width="3.5703125" style="309" customWidth="1"/>
    <col min="2" max="2" width="14.42578125" style="309" customWidth="1"/>
    <col min="3" max="3" width="3.5703125" style="309" customWidth="1"/>
    <col min="4" max="4" width="24.85546875" style="1774" customWidth="1"/>
    <col min="5" max="6" width="9.140625" style="1774" customWidth="1"/>
    <col min="7" max="14" width="9.140625" style="1774"/>
    <col min="15" max="15" width="8.140625" style="1774" customWidth="1"/>
    <col min="16" max="16" width="9.140625" style="1774" customWidth="1"/>
    <col min="17" max="17" width="8.85546875" style="1774" customWidth="1"/>
    <col min="18" max="18" width="7.42578125" style="1774" customWidth="1"/>
    <col min="19" max="257" width="9.140625" style="1774"/>
    <col min="258" max="258" width="3.5703125" style="1774" customWidth="1"/>
    <col min="259" max="259" width="14.42578125" style="1774" customWidth="1"/>
    <col min="260" max="260" width="3.5703125" style="1774" customWidth="1"/>
    <col min="261" max="261" width="24.85546875" style="1774" customWidth="1"/>
    <col min="262" max="263" width="9.140625" style="1774" customWidth="1"/>
    <col min="264" max="513" width="9.140625" style="1774"/>
    <col min="514" max="514" width="3.5703125" style="1774" customWidth="1"/>
    <col min="515" max="515" width="14.42578125" style="1774" customWidth="1"/>
    <col min="516" max="516" width="3.5703125" style="1774" customWidth="1"/>
    <col min="517" max="517" width="24.85546875" style="1774" customWidth="1"/>
    <col min="518" max="519" width="9.140625" style="1774" customWidth="1"/>
    <col min="520" max="769" width="9.140625" style="1774"/>
    <col min="770" max="770" width="3.5703125" style="1774" customWidth="1"/>
    <col min="771" max="771" width="14.42578125" style="1774" customWidth="1"/>
    <col min="772" max="772" width="3.5703125" style="1774" customWidth="1"/>
    <col min="773" max="773" width="24.85546875" style="1774" customWidth="1"/>
    <col min="774" max="775" width="9.140625" style="1774" customWidth="1"/>
    <col min="776" max="1025" width="9.140625" style="1774"/>
    <col min="1026" max="1026" width="3.5703125" style="1774" customWidth="1"/>
    <col min="1027" max="1027" width="14.42578125" style="1774" customWidth="1"/>
    <col min="1028" max="1028" width="3.5703125" style="1774" customWidth="1"/>
    <col min="1029" max="1029" width="24.85546875" style="1774" customWidth="1"/>
    <col min="1030" max="1031" width="9.140625" style="1774" customWidth="1"/>
    <col min="1032" max="1281" width="9.140625" style="1774"/>
    <col min="1282" max="1282" width="3.5703125" style="1774" customWidth="1"/>
    <col min="1283" max="1283" width="14.42578125" style="1774" customWidth="1"/>
    <col min="1284" max="1284" width="3.5703125" style="1774" customWidth="1"/>
    <col min="1285" max="1285" width="24.85546875" style="1774" customWidth="1"/>
    <col min="1286" max="1287" width="9.140625" style="1774" customWidth="1"/>
    <col min="1288" max="1537" width="9.140625" style="1774"/>
    <col min="1538" max="1538" width="3.5703125" style="1774" customWidth="1"/>
    <col min="1539" max="1539" width="14.42578125" style="1774" customWidth="1"/>
    <col min="1540" max="1540" width="3.5703125" style="1774" customWidth="1"/>
    <col min="1541" max="1541" width="24.85546875" style="1774" customWidth="1"/>
    <col min="1542" max="1543" width="9.140625" style="1774" customWidth="1"/>
    <col min="1544" max="1793" width="9.140625" style="1774"/>
    <col min="1794" max="1794" width="3.5703125" style="1774" customWidth="1"/>
    <col min="1795" max="1795" width="14.42578125" style="1774" customWidth="1"/>
    <col min="1796" max="1796" width="3.5703125" style="1774" customWidth="1"/>
    <col min="1797" max="1797" width="24.85546875" style="1774" customWidth="1"/>
    <col min="1798" max="1799" width="9.140625" style="1774" customWidth="1"/>
    <col min="1800" max="2049" width="9.140625" style="1774"/>
    <col min="2050" max="2050" width="3.5703125" style="1774" customWidth="1"/>
    <col min="2051" max="2051" width="14.42578125" style="1774" customWidth="1"/>
    <col min="2052" max="2052" width="3.5703125" style="1774" customWidth="1"/>
    <col min="2053" max="2053" width="24.85546875" style="1774" customWidth="1"/>
    <col min="2054" max="2055" width="9.140625" style="1774" customWidth="1"/>
    <col min="2056" max="2305" width="9.140625" style="1774"/>
    <col min="2306" max="2306" width="3.5703125" style="1774" customWidth="1"/>
    <col min="2307" max="2307" width="14.42578125" style="1774" customWidth="1"/>
    <col min="2308" max="2308" width="3.5703125" style="1774" customWidth="1"/>
    <col min="2309" max="2309" width="24.85546875" style="1774" customWidth="1"/>
    <col min="2310" max="2311" width="9.140625" style="1774" customWidth="1"/>
    <col min="2312" max="2561" width="9.140625" style="1774"/>
    <col min="2562" max="2562" width="3.5703125" style="1774" customWidth="1"/>
    <col min="2563" max="2563" width="14.42578125" style="1774" customWidth="1"/>
    <col min="2564" max="2564" width="3.5703125" style="1774" customWidth="1"/>
    <col min="2565" max="2565" width="24.85546875" style="1774" customWidth="1"/>
    <col min="2566" max="2567" width="9.140625" style="1774" customWidth="1"/>
    <col min="2568" max="2817" width="9.140625" style="1774"/>
    <col min="2818" max="2818" width="3.5703125" style="1774" customWidth="1"/>
    <col min="2819" max="2819" width="14.42578125" style="1774" customWidth="1"/>
    <col min="2820" max="2820" width="3.5703125" style="1774" customWidth="1"/>
    <col min="2821" max="2821" width="24.85546875" style="1774" customWidth="1"/>
    <col min="2822" max="2823" width="9.140625" style="1774" customWidth="1"/>
    <col min="2824" max="3073" width="9.140625" style="1774"/>
    <col min="3074" max="3074" width="3.5703125" style="1774" customWidth="1"/>
    <col min="3075" max="3075" width="14.42578125" style="1774" customWidth="1"/>
    <col min="3076" max="3076" width="3.5703125" style="1774" customWidth="1"/>
    <col min="3077" max="3077" width="24.85546875" style="1774" customWidth="1"/>
    <col min="3078" max="3079" width="9.140625" style="1774" customWidth="1"/>
    <col min="3080" max="3329" width="9.140625" style="1774"/>
    <col min="3330" max="3330" width="3.5703125" style="1774" customWidth="1"/>
    <col min="3331" max="3331" width="14.42578125" style="1774" customWidth="1"/>
    <col min="3332" max="3332" width="3.5703125" style="1774" customWidth="1"/>
    <col min="3333" max="3333" width="24.85546875" style="1774" customWidth="1"/>
    <col min="3334" max="3335" width="9.140625" style="1774" customWidth="1"/>
    <col min="3336" max="3585" width="9.140625" style="1774"/>
    <col min="3586" max="3586" width="3.5703125" style="1774" customWidth="1"/>
    <col min="3587" max="3587" width="14.42578125" style="1774" customWidth="1"/>
    <col min="3588" max="3588" width="3.5703125" style="1774" customWidth="1"/>
    <col min="3589" max="3589" width="24.85546875" style="1774" customWidth="1"/>
    <col min="3590" max="3591" width="9.140625" style="1774" customWidth="1"/>
    <col min="3592" max="3841" width="9.140625" style="1774"/>
    <col min="3842" max="3842" width="3.5703125" style="1774" customWidth="1"/>
    <col min="3843" max="3843" width="14.42578125" style="1774" customWidth="1"/>
    <col min="3844" max="3844" width="3.5703125" style="1774" customWidth="1"/>
    <col min="3845" max="3845" width="24.85546875" style="1774" customWidth="1"/>
    <col min="3846" max="3847" width="9.140625" style="1774" customWidth="1"/>
    <col min="3848" max="4097" width="9.140625" style="1774"/>
    <col min="4098" max="4098" width="3.5703125" style="1774" customWidth="1"/>
    <col min="4099" max="4099" width="14.42578125" style="1774" customWidth="1"/>
    <col min="4100" max="4100" width="3.5703125" style="1774" customWidth="1"/>
    <col min="4101" max="4101" width="24.85546875" style="1774" customWidth="1"/>
    <col min="4102" max="4103" width="9.140625" style="1774" customWidth="1"/>
    <col min="4104" max="4353" width="9.140625" style="1774"/>
    <col min="4354" max="4354" width="3.5703125" style="1774" customWidth="1"/>
    <col min="4355" max="4355" width="14.42578125" style="1774" customWidth="1"/>
    <col min="4356" max="4356" width="3.5703125" style="1774" customWidth="1"/>
    <col min="4357" max="4357" width="24.85546875" style="1774" customWidth="1"/>
    <col min="4358" max="4359" width="9.140625" style="1774" customWidth="1"/>
    <col min="4360" max="4609" width="9.140625" style="1774"/>
    <col min="4610" max="4610" width="3.5703125" style="1774" customWidth="1"/>
    <col min="4611" max="4611" width="14.42578125" style="1774" customWidth="1"/>
    <col min="4612" max="4612" width="3.5703125" style="1774" customWidth="1"/>
    <col min="4613" max="4613" width="24.85546875" style="1774" customWidth="1"/>
    <col min="4614" max="4615" width="9.140625" style="1774" customWidth="1"/>
    <col min="4616" max="4865" width="9.140625" style="1774"/>
    <col min="4866" max="4866" width="3.5703125" style="1774" customWidth="1"/>
    <col min="4867" max="4867" width="14.42578125" style="1774" customWidth="1"/>
    <col min="4868" max="4868" width="3.5703125" style="1774" customWidth="1"/>
    <col min="4869" max="4869" width="24.85546875" style="1774" customWidth="1"/>
    <col min="4870" max="4871" width="9.140625" style="1774" customWidth="1"/>
    <col min="4872" max="5121" width="9.140625" style="1774"/>
    <col min="5122" max="5122" width="3.5703125" style="1774" customWidth="1"/>
    <col min="5123" max="5123" width="14.42578125" style="1774" customWidth="1"/>
    <col min="5124" max="5124" width="3.5703125" style="1774" customWidth="1"/>
    <col min="5125" max="5125" width="24.85546875" style="1774" customWidth="1"/>
    <col min="5126" max="5127" width="9.140625" style="1774" customWidth="1"/>
    <col min="5128" max="5377" width="9.140625" style="1774"/>
    <col min="5378" max="5378" width="3.5703125" style="1774" customWidth="1"/>
    <col min="5379" max="5379" width="14.42578125" style="1774" customWidth="1"/>
    <col min="5380" max="5380" width="3.5703125" style="1774" customWidth="1"/>
    <col min="5381" max="5381" width="24.85546875" style="1774" customWidth="1"/>
    <col min="5382" max="5383" width="9.140625" style="1774" customWidth="1"/>
    <col min="5384" max="5633" width="9.140625" style="1774"/>
    <col min="5634" max="5634" width="3.5703125" style="1774" customWidth="1"/>
    <col min="5635" max="5635" width="14.42578125" style="1774" customWidth="1"/>
    <col min="5636" max="5636" width="3.5703125" style="1774" customWidth="1"/>
    <col min="5637" max="5637" width="24.85546875" style="1774" customWidth="1"/>
    <col min="5638" max="5639" width="9.140625" style="1774" customWidth="1"/>
    <col min="5640" max="5889" width="9.140625" style="1774"/>
    <col min="5890" max="5890" width="3.5703125" style="1774" customWidth="1"/>
    <col min="5891" max="5891" width="14.42578125" style="1774" customWidth="1"/>
    <col min="5892" max="5892" width="3.5703125" style="1774" customWidth="1"/>
    <col min="5893" max="5893" width="24.85546875" style="1774" customWidth="1"/>
    <col min="5894" max="5895" width="9.140625" style="1774" customWidth="1"/>
    <col min="5896" max="6145" width="9.140625" style="1774"/>
    <col min="6146" max="6146" width="3.5703125" style="1774" customWidth="1"/>
    <col min="6147" max="6147" width="14.42578125" style="1774" customWidth="1"/>
    <col min="6148" max="6148" width="3.5703125" style="1774" customWidth="1"/>
    <col min="6149" max="6149" width="24.85546875" style="1774" customWidth="1"/>
    <col min="6150" max="6151" width="9.140625" style="1774" customWidth="1"/>
    <col min="6152" max="6401" width="9.140625" style="1774"/>
    <col min="6402" max="6402" width="3.5703125" style="1774" customWidth="1"/>
    <col min="6403" max="6403" width="14.42578125" style="1774" customWidth="1"/>
    <col min="6404" max="6404" width="3.5703125" style="1774" customWidth="1"/>
    <col min="6405" max="6405" width="24.85546875" style="1774" customWidth="1"/>
    <col min="6406" max="6407" width="9.140625" style="1774" customWidth="1"/>
    <col min="6408" max="6657" width="9.140625" style="1774"/>
    <col min="6658" max="6658" width="3.5703125" style="1774" customWidth="1"/>
    <col min="6659" max="6659" width="14.42578125" style="1774" customWidth="1"/>
    <col min="6660" max="6660" width="3.5703125" style="1774" customWidth="1"/>
    <col min="6661" max="6661" width="24.85546875" style="1774" customWidth="1"/>
    <col min="6662" max="6663" width="9.140625" style="1774" customWidth="1"/>
    <col min="6664" max="6913" width="9.140625" style="1774"/>
    <col min="6914" max="6914" width="3.5703125" style="1774" customWidth="1"/>
    <col min="6915" max="6915" width="14.42578125" style="1774" customWidth="1"/>
    <col min="6916" max="6916" width="3.5703125" style="1774" customWidth="1"/>
    <col min="6917" max="6917" width="24.85546875" style="1774" customWidth="1"/>
    <col min="6918" max="6919" width="9.140625" style="1774" customWidth="1"/>
    <col min="6920" max="7169" width="9.140625" style="1774"/>
    <col min="7170" max="7170" width="3.5703125" style="1774" customWidth="1"/>
    <col min="7171" max="7171" width="14.42578125" style="1774" customWidth="1"/>
    <col min="7172" max="7172" width="3.5703125" style="1774" customWidth="1"/>
    <col min="7173" max="7173" width="24.85546875" style="1774" customWidth="1"/>
    <col min="7174" max="7175" width="9.140625" style="1774" customWidth="1"/>
    <col min="7176" max="7425" width="9.140625" style="1774"/>
    <col min="7426" max="7426" width="3.5703125" style="1774" customWidth="1"/>
    <col min="7427" max="7427" width="14.42578125" style="1774" customWidth="1"/>
    <col min="7428" max="7428" width="3.5703125" style="1774" customWidth="1"/>
    <col min="7429" max="7429" width="24.85546875" style="1774" customWidth="1"/>
    <col min="7430" max="7431" width="9.140625" style="1774" customWidth="1"/>
    <col min="7432" max="7681" width="9.140625" style="1774"/>
    <col min="7682" max="7682" width="3.5703125" style="1774" customWidth="1"/>
    <col min="7683" max="7683" width="14.42578125" style="1774" customWidth="1"/>
    <col min="7684" max="7684" width="3.5703125" style="1774" customWidth="1"/>
    <col min="7685" max="7685" width="24.85546875" style="1774" customWidth="1"/>
    <col min="7686" max="7687" width="9.140625" style="1774" customWidth="1"/>
    <col min="7688" max="7937" width="9.140625" style="1774"/>
    <col min="7938" max="7938" width="3.5703125" style="1774" customWidth="1"/>
    <col min="7939" max="7939" width="14.42578125" style="1774" customWidth="1"/>
    <col min="7940" max="7940" width="3.5703125" style="1774" customWidth="1"/>
    <col min="7941" max="7941" width="24.85546875" style="1774" customWidth="1"/>
    <col min="7942" max="7943" width="9.140625" style="1774" customWidth="1"/>
    <col min="7944" max="8193" width="9.140625" style="1774"/>
    <col min="8194" max="8194" width="3.5703125" style="1774" customWidth="1"/>
    <col min="8195" max="8195" width="14.42578125" style="1774" customWidth="1"/>
    <col min="8196" max="8196" width="3.5703125" style="1774" customWidth="1"/>
    <col min="8197" max="8197" width="24.85546875" style="1774" customWidth="1"/>
    <col min="8198" max="8199" width="9.140625" style="1774" customWidth="1"/>
    <col min="8200" max="8449" width="9.140625" style="1774"/>
    <col min="8450" max="8450" width="3.5703125" style="1774" customWidth="1"/>
    <col min="8451" max="8451" width="14.42578125" style="1774" customWidth="1"/>
    <col min="8452" max="8452" width="3.5703125" style="1774" customWidth="1"/>
    <col min="8453" max="8453" width="24.85546875" style="1774" customWidth="1"/>
    <col min="8454" max="8455" width="9.140625" style="1774" customWidth="1"/>
    <col min="8456" max="8705" width="9.140625" style="1774"/>
    <col min="8706" max="8706" width="3.5703125" style="1774" customWidth="1"/>
    <col min="8707" max="8707" width="14.42578125" style="1774" customWidth="1"/>
    <col min="8708" max="8708" width="3.5703125" style="1774" customWidth="1"/>
    <col min="8709" max="8709" width="24.85546875" style="1774" customWidth="1"/>
    <col min="8710" max="8711" width="9.140625" style="1774" customWidth="1"/>
    <col min="8712" max="8961" width="9.140625" style="1774"/>
    <col min="8962" max="8962" width="3.5703125" style="1774" customWidth="1"/>
    <col min="8963" max="8963" width="14.42578125" style="1774" customWidth="1"/>
    <col min="8964" max="8964" width="3.5703125" style="1774" customWidth="1"/>
    <col min="8965" max="8965" width="24.85546875" style="1774" customWidth="1"/>
    <col min="8966" max="8967" width="9.140625" style="1774" customWidth="1"/>
    <col min="8968" max="9217" width="9.140625" style="1774"/>
    <col min="9218" max="9218" width="3.5703125" style="1774" customWidth="1"/>
    <col min="9219" max="9219" width="14.42578125" style="1774" customWidth="1"/>
    <col min="9220" max="9220" width="3.5703125" style="1774" customWidth="1"/>
    <col min="9221" max="9221" width="24.85546875" style="1774" customWidth="1"/>
    <col min="9222" max="9223" width="9.140625" style="1774" customWidth="1"/>
    <col min="9224" max="9473" width="9.140625" style="1774"/>
    <col min="9474" max="9474" width="3.5703125" style="1774" customWidth="1"/>
    <col min="9475" max="9475" width="14.42578125" style="1774" customWidth="1"/>
    <col min="9476" max="9476" width="3.5703125" style="1774" customWidth="1"/>
    <col min="9477" max="9477" width="24.85546875" style="1774" customWidth="1"/>
    <col min="9478" max="9479" width="9.140625" style="1774" customWidth="1"/>
    <col min="9480" max="9729" width="9.140625" style="1774"/>
    <col min="9730" max="9730" width="3.5703125" style="1774" customWidth="1"/>
    <col min="9731" max="9731" width="14.42578125" style="1774" customWidth="1"/>
    <col min="9732" max="9732" width="3.5703125" style="1774" customWidth="1"/>
    <col min="9733" max="9733" width="24.85546875" style="1774" customWidth="1"/>
    <col min="9734" max="9735" width="9.140625" style="1774" customWidth="1"/>
    <col min="9736" max="9985" width="9.140625" style="1774"/>
    <col min="9986" max="9986" width="3.5703125" style="1774" customWidth="1"/>
    <col min="9987" max="9987" width="14.42578125" style="1774" customWidth="1"/>
    <col min="9988" max="9988" width="3.5703125" style="1774" customWidth="1"/>
    <col min="9989" max="9989" width="24.85546875" style="1774" customWidth="1"/>
    <col min="9990" max="9991" width="9.140625" style="1774" customWidth="1"/>
    <col min="9992" max="10241" width="9.140625" style="1774"/>
    <col min="10242" max="10242" width="3.5703125" style="1774" customWidth="1"/>
    <col min="10243" max="10243" width="14.42578125" style="1774" customWidth="1"/>
    <col min="10244" max="10244" width="3.5703125" style="1774" customWidth="1"/>
    <col min="10245" max="10245" width="24.85546875" style="1774" customWidth="1"/>
    <col min="10246" max="10247" width="9.140625" style="1774" customWidth="1"/>
    <col min="10248" max="10497" width="9.140625" style="1774"/>
    <col min="10498" max="10498" width="3.5703125" style="1774" customWidth="1"/>
    <col min="10499" max="10499" width="14.42578125" style="1774" customWidth="1"/>
    <col min="10500" max="10500" width="3.5703125" style="1774" customWidth="1"/>
    <col min="10501" max="10501" width="24.85546875" style="1774" customWidth="1"/>
    <col min="10502" max="10503" width="9.140625" style="1774" customWidth="1"/>
    <col min="10504" max="10753" width="9.140625" style="1774"/>
    <col min="10754" max="10754" width="3.5703125" style="1774" customWidth="1"/>
    <col min="10755" max="10755" width="14.42578125" style="1774" customWidth="1"/>
    <col min="10756" max="10756" width="3.5703125" style="1774" customWidth="1"/>
    <col min="10757" max="10757" width="24.85546875" style="1774" customWidth="1"/>
    <col min="10758" max="10759" width="9.140625" style="1774" customWidth="1"/>
    <col min="10760" max="11009" width="9.140625" style="1774"/>
    <col min="11010" max="11010" width="3.5703125" style="1774" customWidth="1"/>
    <col min="11011" max="11011" width="14.42578125" style="1774" customWidth="1"/>
    <col min="11012" max="11012" width="3.5703125" style="1774" customWidth="1"/>
    <col min="11013" max="11013" width="24.85546875" style="1774" customWidth="1"/>
    <col min="11014" max="11015" width="9.140625" style="1774" customWidth="1"/>
    <col min="11016" max="11265" width="9.140625" style="1774"/>
    <col min="11266" max="11266" width="3.5703125" style="1774" customWidth="1"/>
    <col min="11267" max="11267" width="14.42578125" style="1774" customWidth="1"/>
    <col min="11268" max="11268" width="3.5703125" style="1774" customWidth="1"/>
    <col min="11269" max="11269" width="24.85546875" style="1774" customWidth="1"/>
    <col min="11270" max="11271" width="9.140625" style="1774" customWidth="1"/>
    <col min="11272" max="11521" width="9.140625" style="1774"/>
    <col min="11522" max="11522" width="3.5703125" style="1774" customWidth="1"/>
    <col min="11523" max="11523" width="14.42578125" style="1774" customWidth="1"/>
    <col min="11524" max="11524" width="3.5703125" style="1774" customWidth="1"/>
    <col min="11525" max="11525" width="24.85546875" style="1774" customWidth="1"/>
    <col min="11526" max="11527" width="9.140625" style="1774" customWidth="1"/>
    <col min="11528" max="11777" width="9.140625" style="1774"/>
    <col min="11778" max="11778" width="3.5703125" style="1774" customWidth="1"/>
    <col min="11779" max="11779" width="14.42578125" style="1774" customWidth="1"/>
    <col min="11780" max="11780" width="3.5703125" style="1774" customWidth="1"/>
    <col min="11781" max="11781" width="24.85546875" style="1774" customWidth="1"/>
    <col min="11782" max="11783" width="9.140625" style="1774" customWidth="1"/>
    <col min="11784" max="12033" width="9.140625" style="1774"/>
    <col min="12034" max="12034" width="3.5703125" style="1774" customWidth="1"/>
    <col min="12035" max="12035" width="14.42578125" style="1774" customWidth="1"/>
    <col min="12036" max="12036" width="3.5703125" style="1774" customWidth="1"/>
    <col min="12037" max="12037" width="24.85546875" style="1774" customWidth="1"/>
    <col min="12038" max="12039" width="9.140625" style="1774" customWidth="1"/>
    <col min="12040" max="12289" width="9.140625" style="1774"/>
    <col min="12290" max="12290" width="3.5703125" style="1774" customWidth="1"/>
    <col min="12291" max="12291" width="14.42578125" style="1774" customWidth="1"/>
    <col min="12292" max="12292" width="3.5703125" style="1774" customWidth="1"/>
    <col min="12293" max="12293" width="24.85546875" style="1774" customWidth="1"/>
    <col min="12294" max="12295" width="9.140625" style="1774" customWidth="1"/>
    <col min="12296" max="12545" width="9.140625" style="1774"/>
    <col min="12546" max="12546" width="3.5703125" style="1774" customWidth="1"/>
    <col min="12547" max="12547" width="14.42578125" style="1774" customWidth="1"/>
    <col min="12548" max="12548" width="3.5703125" style="1774" customWidth="1"/>
    <col min="12549" max="12549" width="24.85546875" style="1774" customWidth="1"/>
    <col min="12550" max="12551" width="9.140625" style="1774" customWidth="1"/>
    <col min="12552" max="12801" width="9.140625" style="1774"/>
    <col min="12802" max="12802" width="3.5703125" style="1774" customWidth="1"/>
    <col min="12803" max="12803" width="14.42578125" style="1774" customWidth="1"/>
    <col min="12804" max="12804" width="3.5703125" style="1774" customWidth="1"/>
    <col min="12805" max="12805" width="24.85546875" style="1774" customWidth="1"/>
    <col min="12806" max="12807" width="9.140625" style="1774" customWidth="1"/>
    <col min="12808" max="13057" width="9.140625" style="1774"/>
    <col min="13058" max="13058" width="3.5703125" style="1774" customWidth="1"/>
    <col min="13059" max="13059" width="14.42578125" style="1774" customWidth="1"/>
    <col min="13060" max="13060" width="3.5703125" style="1774" customWidth="1"/>
    <col min="13061" max="13061" width="24.85546875" style="1774" customWidth="1"/>
    <col min="13062" max="13063" width="9.140625" style="1774" customWidth="1"/>
    <col min="13064" max="13313" width="9.140625" style="1774"/>
    <col min="13314" max="13314" width="3.5703125" style="1774" customWidth="1"/>
    <col min="13315" max="13315" width="14.42578125" style="1774" customWidth="1"/>
    <col min="13316" max="13316" width="3.5703125" style="1774" customWidth="1"/>
    <col min="13317" max="13317" width="24.85546875" style="1774" customWidth="1"/>
    <col min="13318" max="13319" width="9.140625" style="1774" customWidth="1"/>
    <col min="13320" max="13569" width="9.140625" style="1774"/>
    <col min="13570" max="13570" width="3.5703125" style="1774" customWidth="1"/>
    <col min="13571" max="13571" width="14.42578125" style="1774" customWidth="1"/>
    <col min="13572" max="13572" width="3.5703125" style="1774" customWidth="1"/>
    <col min="13573" max="13573" width="24.85546875" style="1774" customWidth="1"/>
    <col min="13574" max="13575" width="9.140625" style="1774" customWidth="1"/>
    <col min="13576" max="13825" width="9.140625" style="1774"/>
    <col min="13826" max="13826" width="3.5703125" style="1774" customWidth="1"/>
    <col min="13827" max="13827" width="14.42578125" style="1774" customWidth="1"/>
    <col min="13828" max="13828" width="3.5703125" style="1774" customWidth="1"/>
    <col min="13829" max="13829" width="24.85546875" style="1774" customWidth="1"/>
    <col min="13830" max="13831" width="9.140625" style="1774" customWidth="1"/>
    <col min="13832" max="14081" width="9.140625" style="1774"/>
    <col min="14082" max="14082" width="3.5703125" style="1774" customWidth="1"/>
    <col min="14083" max="14083" width="14.42578125" style="1774" customWidth="1"/>
    <col min="14084" max="14084" width="3.5703125" style="1774" customWidth="1"/>
    <col min="14085" max="14085" width="24.85546875" style="1774" customWidth="1"/>
    <col min="14086" max="14087" width="9.140625" style="1774" customWidth="1"/>
    <col min="14088" max="14337" width="9.140625" style="1774"/>
    <col min="14338" max="14338" width="3.5703125" style="1774" customWidth="1"/>
    <col min="14339" max="14339" width="14.42578125" style="1774" customWidth="1"/>
    <col min="14340" max="14340" width="3.5703125" style="1774" customWidth="1"/>
    <col min="14341" max="14341" width="24.85546875" style="1774" customWidth="1"/>
    <col min="14342" max="14343" width="9.140625" style="1774" customWidth="1"/>
    <col min="14344" max="14593" width="9.140625" style="1774"/>
    <col min="14594" max="14594" width="3.5703125" style="1774" customWidth="1"/>
    <col min="14595" max="14595" width="14.42578125" style="1774" customWidth="1"/>
    <col min="14596" max="14596" width="3.5703125" style="1774" customWidth="1"/>
    <col min="14597" max="14597" width="24.85546875" style="1774" customWidth="1"/>
    <col min="14598" max="14599" width="9.140625" style="1774" customWidth="1"/>
    <col min="14600" max="14849" width="9.140625" style="1774"/>
    <col min="14850" max="14850" width="3.5703125" style="1774" customWidth="1"/>
    <col min="14851" max="14851" width="14.42578125" style="1774" customWidth="1"/>
    <col min="14852" max="14852" width="3.5703125" style="1774" customWidth="1"/>
    <col min="14853" max="14853" width="24.85546875" style="1774" customWidth="1"/>
    <col min="14854" max="14855" width="9.140625" style="1774" customWidth="1"/>
    <col min="14856" max="15105" width="9.140625" style="1774"/>
    <col min="15106" max="15106" width="3.5703125" style="1774" customWidth="1"/>
    <col min="15107" max="15107" width="14.42578125" style="1774" customWidth="1"/>
    <col min="15108" max="15108" width="3.5703125" style="1774" customWidth="1"/>
    <col min="15109" max="15109" width="24.85546875" style="1774" customWidth="1"/>
    <col min="15110" max="15111" width="9.140625" style="1774" customWidth="1"/>
    <col min="15112" max="15361" width="9.140625" style="1774"/>
    <col min="15362" max="15362" width="3.5703125" style="1774" customWidth="1"/>
    <col min="15363" max="15363" width="14.42578125" style="1774" customWidth="1"/>
    <col min="15364" max="15364" width="3.5703125" style="1774" customWidth="1"/>
    <col min="15365" max="15365" width="24.85546875" style="1774" customWidth="1"/>
    <col min="15366" max="15367" width="9.140625" style="1774" customWidth="1"/>
    <col min="15368" max="15617" width="9.140625" style="1774"/>
    <col min="15618" max="15618" width="3.5703125" style="1774" customWidth="1"/>
    <col min="15619" max="15619" width="14.42578125" style="1774" customWidth="1"/>
    <col min="15620" max="15620" width="3.5703125" style="1774" customWidth="1"/>
    <col min="15621" max="15621" width="24.85546875" style="1774" customWidth="1"/>
    <col min="15622" max="15623" width="9.140625" style="1774" customWidth="1"/>
    <col min="15624" max="15873" width="9.140625" style="1774"/>
    <col min="15874" max="15874" width="3.5703125" style="1774" customWidth="1"/>
    <col min="15875" max="15875" width="14.42578125" style="1774" customWidth="1"/>
    <col min="15876" max="15876" width="3.5703125" style="1774" customWidth="1"/>
    <col min="15877" max="15877" width="24.85546875" style="1774" customWidth="1"/>
    <col min="15878" max="15879" width="9.140625" style="1774" customWidth="1"/>
    <col min="15880" max="16129" width="9.140625" style="1774"/>
    <col min="16130" max="16130" width="3.5703125" style="1774" customWidth="1"/>
    <col min="16131" max="16131" width="14.42578125" style="1774" customWidth="1"/>
    <col min="16132" max="16132" width="3.5703125" style="1774" customWidth="1"/>
    <col min="16133" max="16133" width="24.85546875" style="1774" customWidth="1"/>
    <col min="16134" max="16135" width="9.140625" style="1774" customWidth="1"/>
    <col min="16136" max="16384" width="9.140625" style="1774"/>
  </cols>
  <sheetData>
    <row r="1" spans="1:18" x14ac:dyDescent="0.2">
      <c r="D1" s="510"/>
      <c r="E1" s="510"/>
      <c r="F1" s="510"/>
      <c r="G1" s="510"/>
      <c r="H1" s="510"/>
      <c r="I1" s="510"/>
      <c r="J1" s="510"/>
      <c r="K1" s="510"/>
      <c r="L1" s="510"/>
    </row>
    <row r="2" spans="1:18" ht="15.75" customHeight="1" x14ac:dyDescent="0.2">
      <c r="A2" s="509">
        <v>1</v>
      </c>
      <c r="B2" s="509" t="s">
        <v>0</v>
      </c>
      <c r="C2" s="509">
        <v>57</v>
      </c>
      <c r="D2" s="4603" t="s">
        <v>1528</v>
      </c>
      <c r="E2" s="4604"/>
      <c r="F2" s="4604"/>
      <c r="G2" s="4604"/>
      <c r="H2" s="4604"/>
      <c r="I2" s="4604"/>
      <c r="J2" s="4604"/>
      <c r="K2" s="4604"/>
      <c r="L2" s="4604"/>
      <c r="M2" s="4604"/>
      <c r="N2" s="4604"/>
      <c r="O2" s="4604"/>
      <c r="P2" s="4605"/>
    </row>
    <row r="3" spans="1:18" ht="15" customHeight="1" x14ac:dyDescent="0.2">
      <c r="A3" s="509">
        <v>2</v>
      </c>
      <c r="B3" s="509" t="s">
        <v>2</v>
      </c>
      <c r="C3" s="509"/>
      <c r="D3" s="4603" t="s">
        <v>1478</v>
      </c>
      <c r="E3" s="4604"/>
      <c r="F3" s="4604"/>
      <c r="G3" s="4604"/>
      <c r="H3" s="4604"/>
      <c r="I3" s="4604"/>
      <c r="J3" s="4604"/>
      <c r="K3" s="4604"/>
      <c r="L3" s="4604"/>
      <c r="M3" s="4604"/>
      <c r="N3" s="4604"/>
      <c r="O3" s="4604"/>
      <c r="P3" s="4605"/>
    </row>
    <row r="4" spans="1:18" ht="14.25" customHeight="1" x14ac:dyDescent="0.2">
      <c r="A4" s="509">
        <v>3</v>
      </c>
      <c r="B4" s="509" t="s">
        <v>4</v>
      </c>
      <c r="C4" s="509"/>
      <c r="D4" s="4603" t="s">
        <v>1529</v>
      </c>
      <c r="E4" s="4604"/>
      <c r="F4" s="4604"/>
      <c r="G4" s="4604"/>
      <c r="H4" s="4604"/>
      <c r="I4" s="4604"/>
      <c r="J4" s="4604"/>
      <c r="K4" s="4604"/>
      <c r="L4" s="4604"/>
      <c r="M4" s="4604"/>
      <c r="N4" s="4604"/>
      <c r="O4" s="4604"/>
      <c r="P4" s="4605"/>
    </row>
    <row r="5" spans="1:18" ht="32.1" customHeight="1" x14ac:dyDescent="0.2">
      <c r="A5" s="509">
        <v>4</v>
      </c>
      <c r="B5" s="509" t="s">
        <v>1043</v>
      </c>
      <c r="C5" s="509"/>
      <c r="D5" s="4603" t="s">
        <v>2179</v>
      </c>
      <c r="E5" s="4604"/>
      <c r="F5" s="4604"/>
      <c r="G5" s="4604"/>
      <c r="H5" s="4604"/>
      <c r="I5" s="4604"/>
      <c r="J5" s="4604"/>
      <c r="K5" s="4604"/>
      <c r="L5" s="4604"/>
      <c r="M5" s="4604"/>
      <c r="N5" s="4604"/>
      <c r="O5" s="4604"/>
      <c r="P5" s="4605"/>
    </row>
    <row r="6" spans="1:18" x14ac:dyDescent="0.2">
      <c r="A6" s="509"/>
      <c r="B6" s="509"/>
      <c r="C6" s="509"/>
      <c r="D6" s="880"/>
      <c r="E6" s="880"/>
      <c r="F6" s="880"/>
      <c r="G6" s="880"/>
      <c r="H6" s="880"/>
      <c r="I6" s="880"/>
      <c r="J6" s="880"/>
      <c r="K6" s="880"/>
      <c r="L6" s="880"/>
      <c r="M6" s="880"/>
    </row>
    <row r="7" spans="1:18" x14ac:dyDescent="0.2">
      <c r="A7" s="509">
        <v>4</v>
      </c>
      <c r="B7" s="509" t="s">
        <v>6</v>
      </c>
      <c r="C7" s="509"/>
      <c r="D7" s="1834" t="s">
        <v>1530</v>
      </c>
      <c r="E7" s="72" t="s">
        <v>1531</v>
      </c>
      <c r="F7" s="1835"/>
      <c r="G7" s="1835"/>
      <c r="H7" s="1835"/>
      <c r="I7" s="1835"/>
      <c r="J7" s="510"/>
      <c r="K7" s="510"/>
      <c r="L7" s="510"/>
    </row>
    <row r="8" spans="1:18" x14ac:dyDescent="0.2">
      <c r="A8" s="509"/>
      <c r="B8" s="509"/>
      <c r="C8" s="509"/>
      <c r="D8" s="99"/>
      <c r="E8" s="1836">
        <v>2004</v>
      </c>
      <c r="F8" s="1836">
        <v>2007</v>
      </c>
      <c r="G8" s="1836">
        <v>2008</v>
      </c>
      <c r="H8" s="1836">
        <v>2009</v>
      </c>
      <c r="I8" s="1836">
        <v>2010</v>
      </c>
      <c r="J8" s="1836">
        <v>2011</v>
      </c>
      <c r="K8" s="1836">
        <v>2012</v>
      </c>
      <c r="L8" s="1836">
        <v>2014</v>
      </c>
      <c r="M8" s="1836">
        <v>2015</v>
      </c>
      <c r="N8" s="1837">
        <v>2016</v>
      </c>
      <c r="O8" s="1838" t="s">
        <v>30</v>
      </c>
      <c r="P8" s="1839" t="s">
        <v>31</v>
      </c>
      <c r="Q8" s="1840" t="s">
        <v>32</v>
      </c>
      <c r="R8" s="3106" t="s">
        <v>33</v>
      </c>
    </row>
    <row r="9" spans="1:18" x14ac:dyDescent="0.2">
      <c r="A9" s="509"/>
      <c r="B9" s="509"/>
      <c r="C9" s="509"/>
      <c r="D9" s="181" t="s">
        <v>1532</v>
      </c>
      <c r="E9" s="1482">
        <v>18.399999999999999</v>
      </c>
      <c r="F9" s="1482">
        <v>25.8</v>
      </c>
      <c r="G9" s="1482">
        <v>32.6</v>
      </c>
      <c r="H9" s="1482">
        <v>30.2</v>
      </c>
      <c r="I9" s="1482"/>
      <c r="J9" s="1482">
        <v>30.8</v>
      </c>
      <c r="K9" s="1482">
        <v>29.1</v>
      </c>
      <c r="L9" s="1482">
        <v>30</v>
      </c>
      <c r="M9" s="1482">
        <v>29</v>
      </c>
      <c r="N9" s="1650">
        <v>27.8</v>
      </c>
      <c r="O9" s="1841">
        <v>26</v>
      </c>
      <c r="P9" s="1842">
        <v>29.5</v>
      </c>
      <c r="Q9" s="1843">
        <v>29.4</v>
      </c>
      <c r="R9" s="3107">
        <v>35.4</v>
      </c>
    </row>
    <row r="10" spans="1:18" x14ac:dyDescent="0.2">
      <c r="A10" s="509"/>
      <c r="B10" s="509"/>
      <c r="C10" s="509"/>
      <c r="D10" s="181" t="s">
        <v>1533</v>
      </c>
      <c r="E10" s="1482">
        <v>52.8</v>
      </c>
      <c r="F10" s="1482">
        <v>52.6</v>
      </c>
      <c r="G10" s="1482">
        <v>45.7</v>
      </c>
      <c r="H10" s="1482">
        <v>54.1</v>
      </c>
      <c r="I10" s="1482"/>
      <c r="J10" s="1482">
        <v>50.8</v>
      </c>
      <c r="K10" s="1482">
        <v>52.4</v>
      </c>
      <c r="L10" s="1482">
        <v>57</v>
      </c>
      <c r="M10" s="1482">
        <v>52</v>
      </c>
      <c r="N10" s="1650">
        <v>48</v>
      </c>
      <c r="O10" s="1841">
        <v>50</v>
      </c>
      <c r="P10" s="1842">
        <v>48.9</v>
      </c>
      <c r="Q10" s="1843">
        <v>49.5</v>
      </c>
      <c r="R10" s="3107">
        <v>45.8</v>
      </c>
    </row>
    <row r="11" spans="1:18" x14ac:dyDescent="0.2">
      <c r="A11" s="509"/>
      <c r="B11" s="509"/>
      <c r="C11" s="509"/>
      <c r="D11" s="181" t="s">
        <v>1534</v>
      </c>
      <c r="E11" s="1482">
        <v>4.0999999999999996</v>
      </c>
      <c r="F11" s="1482">
        <v>9.9</v>
      </c>
      <c r="G11" s="1482">
        <v>11.3</v>
      </c>
      <c r="H11" s="1482">
        <v>7.1</v>
      </c>
      <c r="I11" s="1482"/>
      <c r="J11" s="1482">
        <v>9.1</v>
      </c>
      <c r="K11" s="1482">
        <v>8.8000000000000007</v>
      </c>
      <c r="L11" s="1482">
        <v>6</v>
      </c>
      <c r="M11" s="1482">
        <v>9</v>
      </c>
      <c r="N11" s="1650">
        <v>8.8000000000000007</v>
      </c>
      <c r="O11" s="1841">
        <v>10.3</v>
      </c>
      <c r="P11" s="1842">
        <v>8</v>
      </c>
      <c r="Q11" s="1843">
        <v>8.6</v>
      </c>
      <c r="R11" s="3107">
        <v>10.1</v>
      </c>
    </row>
    <row r="12" spans="1:18" x14ac:dyDescent="0.2">
      <c r="A12" s="509"/>
      <c r="B12" s="509"/>
      <c r="C12" s="509"/>
      <c r="D12" s="181" t="s">
        <v>1535</v>
      </c>
      <c r="E12" s="1482">
        <v>13.6</v>
      </c>
      <c r="F12" s="1482">
        <v>2.6</v>
      </c>
      <c r="G12" s="1482">
        <v>3.1</v>
      </c>
      <c r="H12" s="1482">
        <v>1.9</v>
      </c>
      <c r="I12" s="1482"/>
      <c r="J12" s="1482">
        <v>3.7</v>
      </c>
      <c r="K12" s="1482">
        <v>4.0999999999999996</v>
      </c>
      <c r="L12" s="1482">
        <v>2</v>
      </c>
      <c r="M12" s="1482">
        <v>3</v>
      </c>
      <c r="N12" s="1650">
        <v>4.8</v>
      </c>
      <c r="O12" s="1841">
        <v>4.0999999999999996</v>
      </c>
      <c r="P12" s="1842">
        <v>4</v>
      </c>
      <c r="Q12" s="1843">
        <v>4.0999999999999996</v>
      </c>
      <c r="R12" s="3107">
        <v>2.5</v>
      </c>
    </row>
    <row r="13" spans="1:18" x14ac:dyDescent="0.2">
      <c r="A13" s="509"/>
      <c r="B13" s="509"/>
      <c r="C13" s="509"/>
      <c r="D13" s="246" t="s">
        <v>1536</v>
      </c>
      <c r="E13" s="1844">
        <v>11.1</v>
      </c>
      <c r="F13" s="1844">
        <v>9.0999999999999943</v>
      </c>
      <c r="G13" s="1844">
        <v>7.3</v>
      </c>
      <c r="H13" s="1844">
        <v>6.7</v>
      </c>
      <c r="I13" s="1844"/>
      <c r="J13" s="1844">
        <v>5.6</v>
      </c>
      <c r="K13" s="1844">
        <v>5.6</v>
      </c>
      <c r="L13" s="1844">
        <v>6.9</v>
      </c>
      <c r="M13" s="1844">
        <v>7</v>
      </c>
      <c r="N13" s="1845">
        <v>4.9000000000000004</v>
      </c>
      <c r="O13" s="1846">
        <v>9.1999999999999993</v>
      </c>
      <c r="P13" s="1847">
        <v>4</v>
      </c>
      <c r="Q13" s="1848">
        <v>8.3000000000000007</v>
      </c>
      <c r="R13" s="3108">
        <v>6.1</v>
      </c>
    </row>
    <row r="14" spans="1:18" x14ac:dyDescent="0.2">
      <c r="A14" s="509"/>
      <c r="B14" s="509"/>
      <c r="C14" s="509"/>
      <c r="D14" s="88"/>
      <c r="E14" s="88"/>
      <c r="F14" s="88"/>
      <c r="G14" s="510"/>
      <c r="H14" s="510"/>
      <c r="I14" s="510"/>
      <c r="J14" s="510"/>
      <c r="K14" s="510"/>
      <c r="L14" s="510"/>
    </row>
    <row r="15" spans="1:18" x14ac:dyDescent="0.2">
      <c r="A15" s="509">
        <v>5</v>
      </c>
      <c r="B15" s="509" t="s">
        <v>51</v>
      </c>
      <c r="C15" s="509"/>
      <c r="D15" s="88"/>
      <c r="E15" s="88"/>
      <c r="F15" s="88"/>
      <c r="G15" s="510"/>
      <c r="H15" s="510"/>
      <c r="I15" s="510"/>
      <c r="J15" s="510"/>
      <c r="K15" s="510"/>
      <c r="L15" s="510"/>
    </row>
    <row r="16" spans="1:18" x14ac:dyDescent="0.2">
      <c r="A16" s="509"/>
      <c r="B16" s="509"/>
      <c r="C16" s="509"/>
      <c r="D16" s="88"/>
      <c r="E16" s="88"/>
      <c r="F16" s="88"/>
      <c r="G16" s="510"/>
      <c r="H16" s="510"/>
      <c r="I16" s="510"/>
      <c r="J16" s="510"/>
      <c r="K16" s="510"/>
      <c r="L16" s="510"/>
    </row>
    <row r="17" spans="1:12" x14ac:dyDescent="0.2">
      <c r="A17" s="509"/>
      <c r="B17" s="509"/>
      <c r="C17" s="509"/>
      <c r="D17" s="88"/>
      <c r="E17" s="88"/>
      <c r="F17" s="88"/>
      <c r="G17" s="510"/>
      <c r="H17" s="510"/>
      <c r="I17" s="510"/>
      <c r="J17" s="510"/>
      <c r="K17" s="510"/>
      <c r="L17" s="510"/>
    </row>
    <row r="18" spans="1:12" x14ac:dyDescent="0.2">
      <c r="A18" s="509"/>
      <c r="B18" s="509"/>
      <c r="C18" s="509"/>
      <c r="D18" s="88"/>
      <c r="E18" s="88"/>
      <c r="F18" s="88"/>
      <c r="G18" s="510"/>
      <c r="H18" s="510"/>
      <c r="I18" s="510"/>
      <c r="J18" s="510"/>
      <c r="K18" s="510"/>
      <c r="L18" s="510"/>
    </row>
    <row r="19" spans="1:12" x14ac:dyDescent="0.2">
      <c r="A19" s="509"/>
      <c r="B19" s="509"/>
      <c r="C19" s="509"/>
      <c r="D19" s="88"/>
      <c r="E19" s="88"/>
      <c r="F19" s="88"/>
      <c r="G19" s="510"/>
      <c r="H19" s="510"/>
      <c r="I19" s="510"/>
      <c r="J19" s="510"/>
      <c r="K19" s="510"/>
      <c r="L19" s="510"/>
    </row>
    <row r="20" spans="1:12" x14ac:dyDescent="0.2">
      <c r="A20" s="509"/>
      <c r="B20" s="509"/>
      <c r="C20" s="509"/>
      <c r="D20" s="88"/>
      <c r="E20" s="88"/>
      <c r="F20" s="88"/>
      <c r="G20" s="510"/>
      <c r="H20" s="510"/>
      <c r="I20" s="510"/>
      <c r="J20" s="510"/>
      <c r="K20" s="510"/>
      <c r="L20" s="510"/>
    </row>
    <row r="21" spans="1:12" x14ac:dyDescent="0.2">
      <c r="A21" s="509"/>
      <c r="B21" s="509"/>
      <c r="C21" s="509"/>
      <c r="D21" s="88"/>
      <c r="E21" s="88"/>
      <c r="F21" s="88"/>
      <c r="G21" s="510"/>
      <c r="H21" s="510"/>
      <c r="I21" s="510"/>
      <c r="J21" s="510"/>
      <c r="K21" s="510"/>
      <c r="L21" s="510"/>
    </row>
    <row r="22" spans="1:12" x14ac:dyDescent="0.2">
      <c r="A22" s="509"/>
      <c r="B22" s="509"/>
      <c r="C22" s="509"/>
      <c r="D22" s="88"/>
      <c r="E22" s="88"/>
      <c r="F22" s="88"/>
      <c r="G22" s="510"/>
      <c r="H22" s="510"/>
      <c r="I22" s="510"/>
      <c r="J22" s="510"/>
      <c r="K22" s="510"/>
      <c r="L22" s="510"/>
    </row>
    <row r="23" spans="1:12" x14ac:dyDescent="0.2">
      <c r="A23" s="509"/>
      <c r="B23" s="509"/>
      <c r="C23" s="509"/>
      <c r="D23" s="88"/>
      <c r="E23" s="88"/>
      <c r="F23" s="88"/>
      <c r="G23" s="510"/>
      <c r="H23" s="510"/>
      <c r="I23" s="510"/>
      <c r="J23" s="510"/>
      <c r="K23" s="510"/>
      <c r="L23" s="510"/>
    </row>
    <row r="24" spans="1:12" x14ac:dyDescent="0.2">
      <c r="A24" s="509"/>
      <c r="B24" s="509"/>
      <c r="C24" s="509"/>
      <c r="D24" s="88"/>
      <c r="E24" s="88"/>
      <c r="F24" s="88"/>
      <c r="G24" s="510"/>
      <c r="H24" s="510"/>
      <c r="I24" s="510"/>
      <c r="J24" s="510"/>
      <c r="K24" s="510"/>
      <c r="L24" s="510"/>
    </row>
    <row r="25" spans="1:12" x14ac:dyDescent="0.2">
      <c r="A25" s="509"/>
      <c r="B25" s="509"/>
      <c r="C25" s="509"/>
      <c r="D25" s="88"/>
      <c r="E25" s="88"/>
      <c r="F25" s="88"/>
      <c r="G25" s="510"/>
      <c r="H25" s="510"/>
      <c r="I25" s="510"/>
      <c r="J25" s="510"/>
      <c r="K25" s="510"/>
      <c r="L25" s="510"/>
    </row>
    <row r="26" spans="1:12" x14ac:dyDescent="0.2">
      <c r="A26" s="509"/>
      <c r="B26" s="509"/>
      <c r="C26" s="509"/>
      <c r="D26" s="88"/>
      <c r="E26" s="88"/>
      <c r="F26" s="88"/>
      <c r="G26" s="510"/>
      <c r="H26" s="510"/>
      <c r="I26" s="510"/>
      <c r="J26" s="510"/>
      <c r="K26" s="510"/>
      <c r="L26" s="510"/>
    </row>
    <row r="27" spans="1:12" x14ac:dyDescent="0.2">
      <c r="A27" s="509"/>
      <c r="B27" s="509"/>
      <c r="C27" s="509"/>
      <c r="D27" s="88"/>
      <c r="E27" s="88"/>
      <c r="F27" s="88"/>
      <c r="G27" s="510"/>
      <c r="H27" s="510"/>
      <c r="I27" s="510"/>
      <c r="J27" s="510"/>
      <c r="K27" s="510"/>
      <c r="L27" s="510"/>
    </row>
    <row r="28" spans="1:12" x14ac:dyDescent="0.2">
      <c r="A28" s="509"/>
      <c r="B28" s="509"/>
      <c r="C28" s="509"/>
      <c r="D28" s="88"/>
      <c r="E28" s="88"/>
      <c r="F28" s="88"/>
      <c r="G28" s="510"/>
      <c r="H28" s="510"/>
      <c r="I28" s="510"/>
      <c r="J28" s="510"/>
      <c r="K28" s="510"/>
      <c r="L28" s="510"/>
    </row>
    <row r="29" spans="1:12" x14ac:dyDescent="0.2">
      <c r="D29" s="510"/>
      <c r="E29" s="510"/>
      <c r="F29" s="510"/>
      <c r="G29" s="510"/>
      <c r="H29" s="510"/>
      <c r="I29" s="510"/>
      <c r="J29" s="510"/>
      <c r="K29" s="510"/>
      <c r="L29" s="510"/>
    </row>
    <row r="30" spans="1:12" x14ac:dyDescent="0.2">
      <c r="D30" s="510"/>
      <c r="E30" s="510"/>
      <c r="F30" s="510"/>
      <c r="G30" s="510"/>
      <c r="H30" s="510"/>
      <c r="I30" s="510"/>
      <c r="J30" s="510"/>
      <c r="K30" s="510"/>
      <c r="L30" s="510"/>
    </row>
    <row r="31" spans="1:12" x14ac:dyDescent="0.2">
      <c r="D31" s="510"/>
      <c r="E31" s="510"/>
      <c r="F31" s="510"/>
      <c r="G31" s="510"/>
      <c r="H31" s="510"/>
      <c r="I31" s="510"/>
      <c r="J31" s="510"/>
      <c r="K31" s="510"/>
      <c r="L31" s="510"/>
    </row>
    <row r="32" spans="1:12" x14ac:dyDescent="0.2">
      <c r="D32" s="510"/>
      <c r="E32" s="510"/>
      <c r="F32" s="510"/>
      <c r="G32" s="510"/>
      <c r="H32" s="510"/>
      <c r="I32" s="510"/>
      <c r="J32" s="510"/>
      <c r="K32" s="510"/>
      <c r="L32" s="510"/>
    </row>
    <row r="33" spans="1:16" ht="15.75" customHeight="1" x14ac:dyDescent="0.2">
      <c r="A33" s="509">
        <v>6</v>
      </c>
      <c r="B33" s="509" t="s">
        <v>52</v>
      </c>
      <c r="C33" s="509"/>
      <c r="D33" s="4603" t="s">
        <v>533</v>
      </c>
      <c r="E33" s="4604"/>
      <c r="F33" s="4604"/>
      <c r="G33" s="4604"/>
      <c r="H33" s="4604"/>
      <c r="I33" s="4604"/>
      <c r="J33" s="4604"/>
      <c r="K33" s="4604"/>
      <c r="L33" s="4604"/>
      <c r="M33" s="4604"/>
      <c r="N33" s="4604"/>
      <c r="O33" s="4604"/>
      <c r="P33" s="4605"/>
    </row>
    <row r="34" spans="1:16" ht="15" customHeight="1" x14ac:dyDescent="0.2">
      <c r="A34" s="546">
        <v>7</v>
      </c>
      <c r="B34" s="546" t="s">
        <v>54</v>
      </c>
      <c r="C34" s="546"/>
      <c r="D34" s="4603" t="s">
        <v>1537</v>
      </c>
      <c r="E34" s="4604"/>
      <c r="F34" s="4604"/>
      <c r="G34" s="4604"/>
      <c r="H34" s="4604"/>
      <c r="I34" s="4604"/>
      <c r="J34" s="4604"/>
      <c r="K34" s="4604"/>
      <c r="L34" s="4604"/>
      <c r="M34" s="4604"/>
      <c r="N34" s="4604"/>
      <c r="O34" s="4604"/>
      <c r="P34" s="4605"/>
    </row>
    <row r="35" spans="1:16" ht="15.75" customHeight="1" x14ac:dyDescent="0.2">
      <c r="A35" s="509">
        <v>8</v>
      </c>
      <c r="B35" s="509" t="s">
        <v>56</v>
      </c>
      <c r="C35" s="509"/>
      <c r="D35" s="4603" t="s">
        <v>1538</v>
      </c>
      <c r="E35" s="4604"/>
      <c r="F35" s="4604"/>
      <c r="G35" s="4604"/>
      <c r="H35" s="4604"/>
      <c r="I35" s="4604"/>
      <c r="J35" s="4604"/>
      <c r="K35" s="4604"/>
      <c r="L35" s="4604"/>
      <c r="M35" s="4604"/>
      <c r="N35" s="4604"/>
      <c r="O35" s="4604"/>
      <c r="P35" s="4605"/>
    </row>
    <row r="36" spans="1:16" ht="84.75" customHeight="1" x14ac:dyDescent="0.2">
      <c r="A36" s="509">
        <v>9</v>
      </c>
      <c r="B36" s="509" t="s">
        <v>58</v>
      </c>
      <c r="D36" s="4603" t="s">
        <v>1539</v>
      </c>
      <c r="E36" s="4604"/>
      <c r="F36" s="4604"/>
      <c r="G36" s="4604"/>
      <c r="H36" s="4604"/>
      <c r="I36" s="4604"/>
      <c r="J36" s="4604"/>
      <c r="K36" s="4604"/>
      <c r="L36" s="4604"/>
      <c r="M36" s="4604"/>
      <c r="N36" s="4604"/>
      <c r="O36" s="4604"/>
      <c r="P36" s="4605"/>
    </row>
    <row r="37" spans="1:16" x14ac:dyDescent="0.2">
      <c r="A37" s="546"/>
    </row>
    <row r="40" spans="1:16" ht="15.75" x14ac:dyDescent="0.25">
      <c r="F40" s="1849"/>
      <c r="G40" s="113"/>
      <c r="H40" s="113"/>
    </row>
    <row r="41" spans="1:16" ht="15.75" x14ac:dyDescent="0.25">
      <c r="F41" s="113"/>
      <c r="G41" s="1849"/>
      <c r="H41" s="1849"/>
    </row>
    <row r="42" spans="1:16" ht="15.75" x14ac:dyDescent="0.25">
      <c r="F42" s="113"/>
      <c r="G42" s="113"/>
      <c r="H42" s="113"/>
    </row>
    <row r="43" spans="1:16" ht="15.75" x14ac:dyDescent="0.25">
      <c r="F43" s="113"/>
      <c r="G43" s="113"/>
      <c r="H43" s="113"/>
    </row>
    <row r="44" spans="1:16" ht="15.75" x14ac:dyDescent="0.25">
      <c r="F44" s="113"/>
      <c r="G44" s="113"/>
      <c r="H44" s="113"/>
    </row>
    <row r="45" spans="1:16" ht="15.75" x14ac:dyDescent="0.25">
      <c r="F45" s="113"/>
      <c r="G45" s="1755"/>
      <c r="H45" s="113"/>
    </row>
    <row r="46" spans="1:16" ht="15.75" x14ac:dyDescent="0.25">
      <c r="F46" s="113"/>
      <c r="G46" s="113"/>
      <c r="H46" s="113"/>
    </row>
    <row r="47" spans="1:16" ht="15.75" x14ac:dyDescent="0.25">
      <c r="F47" s="113"/>
      <c r="G47" s="113"/>
      <c r="H47" s="113"/>
    </row>
    <row r="48" spans="1:16" ht="15.75" x14ac:dyDescent="0.25">
      <c r="F48" s="113"/>
      <c r="G48" s="113"/>
      <c r="H48" s="113"/>
    </row>
    <row r="49" spans="6:8" ht="15.75" x14ac:dyDescent="0.25">
      <c r="F49" s="113"/>
      <c r="G49" s="113"/>
      <c r="H49" s="113"/>
    </row>
    <row r="50" spans="6:8" ht="15.75" x14ac:dyDescent="0.25">
      <c r="F50" s="113"/>
      <c r="G50" s="113"/>
      <c r="H50" s="113"/>
    </row>
    <row r="51" spans="6:8" ht="15.75" x14ac:dyDescent="0.25">
      <c r="F51" s="113"/>
      <c r="G51" s="113"/>
      <c r="H51" s="113"/>
    </row>
  </sheetData>
  <mergeCells count="8">
    <mergeCell ref="D35:P35"/>
    <mergeCell ref="D36:P36"/>
    <mergeCell ref="D2:P2"/>
    <mergeCell ref="D3:P3"/>
    <mergeCell ref="D4:P4"/>
    <mergeCell ref="D5:P5"/>
    <mergeCell ref="D33:P33"/>
    <mergeCell ref="D34:P34"/>
  </mergeCells>
  <pageMargins left="0.74803149606299213" right="0.74803149606299213" top="0.98425196850393704" bottom="0.98425196850393704" header="0.51181102362204722" footer="0.51181102362204722"/>
  <pageSetup paperSize="9" scale="71"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A34FF-35A9-410A-941B-6D7662CA31CF}">
  <sheetPr>
    <tabColor rgb="FFFFC000"/>
    <pageSetUpPr fitToPage="1"/>
  </sheetPr>
  <dimension ref="A1:AR76"/>
  <sheetViews>
    <sheetView showGridLines="0" view="pageBreakPreview" zoomScaleNormal="100" zoomScaleSheetLayoutView="100" workbookViewId="0">
      <selection activeCell="X27" sqref="X27"/>
    </sheetView>
  </sheetViews>
  <sheetFormatPr defaultColWidth="9.140625" defaultRowHeight="15" x14ac:dyDescent="0.25"/>
  <cols>
    <col min="1" max="1" width="3.5703125" style="1119" customWidth="1"/>
    <col min="2" max="2" width="14.42578125" style="1119" customWidth="1"/>
    <col min="3" max="3" width="3.5703125" style="1119" customWidth="1"/>
    <col min="4" max="4" width="18.5703125" style="113" customWidth="1"/>
    <col min="5" max="11" width="6.5703125" style="113" customWidth="1"/>
    <col min="12" max="12" width="8.85546875" style="113" customWidth="1"/>
    <col min="13" max="13" width="8.5703125" style="113" customWidth="1"/>
    <col min="14" max="14" width="9.42578125" style="113" customWidth="1"/>
    <col min="15" max="15" width="9.140625" style="113" customWidth="1"/>
    <col min="16" max="16" width="8" style="113" customWidth="1"/>
    <col min="17" max="17" width="8.140625" style="113" customWidth="1"/>
    <col min="18" max="21" width="6.5703125" style="113" customWidth="1"/>
    <col min="22" max="22" width="7" style="113" customWidth="1"/>
    <col min="23" max="24" width="6.5703125" style="113" customWidth="1"/>
    <col min="25" max="29" width="6.42578125" style="113" customWidth="1"/>
    <col min="30" max="30" width="5.140625" style="113" customWidth="1"/>
    <col min="31" max="33" width="6.42578125" style="113" customWidth="1"/>
    <col min="34" max="34" width="5.140625" style="113" customWidth="1"/>
    <col min="35" max="35" width="6.42578125" style="113" customWidth="1"/>
    <col min="36" max="36" width="5.140625" style="113" customWidth="1"/>
    <col min="37" max="37" width="15.85546875" style="113" bestFit="1" customWidth="1"/>
    <col min="38" max="43" width="9.140625" style="113"/>
    <col min="44" max="44" width="10" style="113" customWidth="1"/>
    <col min="45" max="262" width="9.140625" style="113"/>
    <col min="263" max="263" width="3.5703125" style="113" customWidth="1"/>
    <col min="264" max="264" width="14.42578125" style="113" customWidth="1"/>
    <col min="265" max="265" width="3.5703125" style="113" customWidth="1"/>
    <col min="266" max="266" width="18.5703125" style="113" customWidth="1"/>
    <col min="267" max="286" width="6.5703125" style="113" customWidth="1"/>
    <col min="287" max="289" width="6.42578125" style="113" customWidth="1"/>
    <col min="290" max="518" width="9.140625" style="113"/>
    <col min="519" max="519" width="3.5703125" style="113" customWidth="1"/>
    <col min="520" max="520" width="14.42578125" style="113" customWidth="1"/>
    <col min="521" max="521" width="3.5703125" style="113" customWidth="1"/>
    <col min="522" max="522" width="18.5703125" style="113" customWidth="1"/>
    <col min="523" max="542" width="6.5703125" style="113" customWidth="1"/>
    <col min="543" max="545" width="6.42578125" style="113" customWidth="1"/>
    <col min="546" max="774" width="9.140625" style="113"/>
    <col min="775" max="775" width="3.5703125" style="113" customWidth="1"/>
    <col min="776" max="776" width="14.42578125" style="113" customWidth="1"/>
    <col min="777" max="777" width="3.5703125" style="113" customWidth="1"/>
    <col min="778" max="778" width="18.5703125" style="113" customWidth="1"/>
    <col min="779" max="798" width="6.5703125" style="113" customWidth="1"/>
    <col min="799" max="801" width="6.42578125" style="113" customWidth="1"/>
    <col min="802" max="1030" width="9.140625" style="113"/>
    <col min="1031" max="1031" width="3.5703125" style="113" customWidth="1"/>
    <col min="1032" max="1032" width="14.42578125" style="113" customWidth="1"/>
    <col min="1033" max="1033" width="3.5703125" style="113" customWidth="1"/>
    <col min="1034" max="1034" width="18.5703125" style="113" customWidth="1"/>
    <col min="1035" max="1054" width="6.5703125" style="113" customWidth="1"/>
    <col min="1055" max="1057" width="6.42578125" style="113" customWidth="1"/>
    <col min="1058" max="1286" width="9.140625" style="113"/>
    <col min="1287" max="1287" width="3.5703125" style="113" customWidth="1"/>
    <col min="1288" max="1288" width="14.42578125" style="113" customWidth="1"/>
    <col min="1289" max="1289" width="3.5703125" style="113" customWidth="1"/>
    <col min="1290" max="1290" width="18.5703125" style="113" customWidth="1"/>
    <col min="1291" max="1310" width="6.5703125" style="113" customWidth="1"/>
    <col min="1311" max="1313" width="6.42578125" style="113" customWidth="1"/>
    <col min="1314" max="1542" width="9.140625" style="113"/>
    <col min="1543" max="1543" width="3.5703125" style="113" customWidth="1"/>
    <col min="1544" max="1544" width="14.42578125" style="113" customWidth="1"/>
    <col min="1545" max="1545" width="3.5703125" style="113" customWidth="1"/>
    <col min="1546" max="1546" width="18.5703125" style="113" customWidth="1"/>
    <col min="1547" max="1566" width="6.5703125" style="113" customWidth="1"/>
    <col min="1567" max="1569" width="6.42578125" style="113" customWidth="1"/>
    <col min="1570" max="1798" width="9.140625" style="113"/>
    <col min="1799" max="1799" width="3.5703125" style="113" customWidth="1"/>
    <col min="1800" max="1800" width="14.42578125" style="113" customWidth="1"/>
    <col min="1801" max="1801" width="3.5703125" style="113" customWidth="1"/>
    <col min="1802" max="1802" width="18.5703125" style="113" customWidth="1"/>
    <col min="1803" max="1822" width="6.5703125" style="113" customWidth="1"/>
    <col min="1823" max="1825" width="6.42578125" style="113" customWidth="1"/>
    <col min="1826" max="2054" width="9.140625" style="113"/>
    <col min="2055" max="2055" width="3.5703125" style="113" customWidth="1"/>
    <col min="2056" max="2056" width="14.42578125" style="113" customWidth="1"/>
    <col min="2057" max="2057" width="3.5703125" style="113" customWidth="1"/>
    <col min="2058" max="2058" width="18.5703125" style="113" customWidth="1"/>
    <col min="2059" max="2078" width="6.5703125" style="113" customWidth="1"/>
    <col min="2079" max="2081" width="6.42578125" style="113" customWidth="1"/>
    <col min="2082" max="2310" width="9.140625" style="113"/>
    <col min="2311" max="2311" width="3.5703125" style="113" customWidth="1"/>
    <col min="2312" max="2312" width="14.42578125" style="113" customWidth="1"/>
    <col min="2313" max="2313" width="3.5703125" style="113" customWidth="1"/>
    <col min="2314" max="2314" width="18.5703125" style="113" customWidth="1"/>
    <col min="2315" max="2334" width="6.5703125" style="113" customWidth="1"/>
    <col min="2335" max="2337" width="6.42578125" style="113" customWidth="1"/>
    <col min="2338" max="2566" width="9.140625" style="113"/>
    <col min="2567" max="2567" width="3.5703125" style="113" customWidth="1"/>
    <col min="2568" max="2568" width="14.42578125" style="113" customWidth="1"/>
    <col min="2569" max="2569" width="3.5703125" style="113" customWidth="1"/>
    <col min="2570" max="2570" width="18.5703125" style="113" customWidth="1"/>
    <col min="2571" max="2590" width="6.5703125" style="113" customWidth="1"/>
    <col min="2591" max="2593" width="6.42578125" style="113" customWidth="1"/>
    <col min="2594" max="2822" width="9.140625" style="113"/>
    <col min="2823" max="2823" width="3.5703125" style="113" customWidth="1"/>
    <col min="2824" max="2824" width="14.42578125" style="113" customWidth="1"/>
    <col min="2825" max="2825" width="3.5703125" style="113" customWidth="1"/>
    <col min="2826" max="2826" width="18.5703125" style="113" customWidth="1"/>
    <col min="2827" max="2846" width="6.5703125" style="113" customWidth="1"/>
    <col min="2847" max="2849" width="6.42578125" style="113" customWidth="1"/>
    <col min="2850" max="3078" width="9.140625" style="113"/>
    <col min="3079" max="3079" width="3.5703125" style="113" customWidth="1"/>
    <col min="3080" max="3080" width="14.42578125" style="113" customWidth="1"/>
    <col min="3081" max="3081" width="3.5703125" style="113" customWidth="1"/>
    <col min="3082" max="3082" width="18.5703125" style="113" customWidth="1"/>
    <col min="3083" max="3102" width="6.5703125" style="113" customWidth="1"/>
    <col min="3103" max="3105" width="6.42578125" style="113" customWidth="1"/>
    <col min="3106" max="3334" width="9.140625" style="113"/>
    <col min="3335" max="3335" width="3.5703125" style="113" customWidth="1"/>
    <col min="3336" max="3336" width="14.42578125" style="113" customWidth="1"/>
    <col min="3337" max="3337" width="3.5703125" style="113" customWidth="1"/>
    <col min="3338" max="3338" width="18.5703125" style="113" customWidth="1"/>
    <col min="3339" max="3358" width="6.5703125" style="113" customWidth="1"/>
    <col min="3359" max="3361" width="6.42578125" style="113" customWidth="1"/>
    <col min="3362" max="3590" width="9.140625" style="113"/>
    <col min="3591" max="3591" width="3.5703125" style="113" customWidth="1"/>
    <col min="3592" max="3592" width="14.42578125" style="113" customWidth="1"/>
    <col min="3593" max="3593" width="3.5703125" style="113" customWidth="1"/>
    <col min="3594" max="3594" width="18.5703125" style="113" customWidth="1"/>
    <col min="3595" max="3614" width="6.5703125" style="113" customWidth="1"/>
    <col min="3615" max="3617" width="6.42578125" style="113" customWidth="1"/>
    <col min="3618" max="3846" width="9.140625" style="113"/>
    <col min="3847" max="3847" width="3.5703125" style="113" customWidth="1"/>
    <col min="3848" max="3848" width="14.42578125" style="113" customWidth="1"/>
    <col min="3849" max="3849" width="3.5703125" style="113" customWidth="1"/>
    <col min="3850" max="3850" width="18.5703125" style="113" customWidth="1"/>
    <col min="3851" max="3870" width="6.5703125" style="113" customWidth="1"/>
    <col min="3871" max="3873" width="6.42578125" style="113" customWidth="1"/>
    <col min="3874" max="4102" width="9.140625" style="113"/>
    <col min="4103" max="4103" width="3.5703125" style="113" customWidth="1"/>
    <col min="4104" max="4104" width="14.42578125" style="113" customWidth="1"/>
    <col min="4105" max="4105" width="3.5703125" style="113" customWidth="1"/>
    <col min="4106" max="4106" width="18.5703125" style="113" customWidth="1"/>
    <col min="4107" max="4126" width="6.5703125" style="113" customWidth="1"/>
    <col min="4127" max="4129" width="6.42578125" style="113" customWidth="1"/>
    <col min="4130" max="4358" width="9.140625" style="113"/>
    <col min="4359" max="4359" width="3.5703125" style="113" customWidth="1"/>
    <col min="4360" max="4360" width="14.42578125" style="113" customWidth="1"/>
    <col min="4361" max="4361" width="3.5703125" style="113" customWidth="1"/>
    <col min="4362" max="4362" width="18.5703125" style="113" customWidth="1"/>
    <col min="4363" max="4382" width="6.5703125" style="113" customWidth="1"/>
    <col min="4383" max="4385" width="6.42578125" style="113" customWidth="1"/>
    <col min="4386" max="4614" width="9.140625" style="113"/>
    <col min="4615" max="4615" width="3.5703125" style="113" customWidth="1"/>
    <col min="4616" max="4616" width="14.42578125" style="113" customWidth="1"/>
    <col min="4617" max="4617" width="3.5703125" style="113" customWidth="1"/>
    <col min="4618" max="4618" width="18.5703125" style="113" customWidth="1"/>
    <col min="4619" max="4638" width="6.5703125" style="113" customWidth="1"/>
    <col min="4639" max="4641" width="6.42578125" style="113" customWidth="1"/>
    <col min="4642" max="4870" width="9.140625" style="113"/>
    <col min="4871" max="4871" width="3.5703125" style="113" customWidth="1"/>
    <col min="4872" max="4872" width="14.42578125" style="113" customWidth="1"/>
    <col min="4873" max="4873" width="3.5703125" style="113" customWidth="1"/>
    <col min="4874" max="4874" width="18.5703125" style="113" customWidth="1"/>
    <col min="4875" max="4894" width="6.5703125" style="113" customWidth="1"/>
    <col min="4895" max="4897" width="6.42578125" style="113" customWidth="1"/>
    <col min="4898" max="5126" width="9.140625" style="113"/>
    <col min="5127" max="5127" width="3.5703125" style="113" customWidth="1"/>
    <col min="5128" max="5128" width="14.42578125" style="113" customWidth="1"/>
    <col min="5129" max="5129" width="3.5703125" style="113" customWidth="1"/>
    <col min="5130" max="5130" width="18.5703125" style="113" customWidth="1"/>
    <col min="5131" max="5150" width="6.5703125" style="113" customWidth="1"/>
    <col min="5151" max="5153" width="6.42578125" style="113" customWidth="1"/>
    <col min="5154" max="5382" width="9.140625" style="113"/>
    <col min="5383" max="5383" width="3.5703125" style="113" customWidth="1"/>
    <col min="5384" max="5384" width="14.42578125" style="113" customWidth="1"/>
    <col min="5385" max="5385" width="3.5703125" style="113" customWidth="1"/>
    <col min="5386" max="5386" width="18.5703125" style="113" customWidth="1"/>
    <col min="5387" max="5406" width="6.5703125" style="113" customWidth="1"/>
    <col min="5407" max="5409" width="6.42578125" style="113" customWidth="1"/>
    <col min="5410" max="5638" width="9.140625" style="113"/>
    <col min="5639" max="5639" width="3.5703125" style="113" customWidth="1"/>
    <col min="5640" max="5640" width="14.42578125" style="113" customWidth="1"/>
    <col min="5641" max="5641" width="3.5703125" style="113" customWidth="1"/>
    <col min="5642" max="5642" width="18.5703125" style="113" customWidth="1"/>
    <col min="5643" max="5662" width="6.5703125" style="113" customWidth="1"/>
    <col min="5663" max="5665" width="6.42578125" style="113" customWidth="1"/>
    <col min="5666" max="5894" width="9.140625" style="113"/>
    <col min="5895" max="5895" width="3.5703125" style="113" customWidth="1"/>
    <col min="5896" max="5896" width="14.42578125" style="113" customWidth="1"/>
    <col min="5897" max="5897" width="3.5703125" style="113" customWidth="1"/>
    <col min="5898" max="5898" width="18.5703125" style="113" customWidth="1"/>
    <col min="5899" max="5918" width="6.5703125" style="113" customWidth="1"/>
    <col min="5919" max="5921" width="6.42578125" style="113" customWidth="1"/>
    <col min="5922" max="6150" width="9.140625" style="113"/>
    <col min="6151" max="6151" width="3.5703125" style="113" customWidth="1"/>
    <col min="6152" max="6152" width="14.42578125" style="113" customWidth="1"/>
    <col min="6153" max="6153" width="3.5703125" style="113" customWidth="1"/>
    <col min="6154" max="6154" width="18.5703125" style="113" customWidth="1"/>
    <col min="6155" max="6174" width="6.5703125" style="113" customWidth="1"/>
    <col min="6175" max="6177" width="6.42578125" style="113" customWidth="1"/>
    <col min="6178" max="6406" width="9.140625" style="113"/>
    <col min="6407" max="6407" width="3.5703125" style="113" customWidth="1"/>
    <col min="6408" max="6408" width="14.42578125" style="113" customWidth="1"/>
    <col min="6409" max="6409" width="3.5703125" style="113" customWidth="1"/>
    <col min="6410" max="6410" width="18.5703125" style="113" customWidth="1"/>
    <col min="6411" max="6430" width="6.5703125" style="113" customWidth="1"/>
    <col min="6431" max="6433" width="6.42578125" style="113" customWidth="1"/>
    <col min="6434" max="6662" width="9.140625" style="113"/>
    <col min="6663" max="6663" width="3.5703125" style="113" customWidth="1"/>
    <col min="6664" max="6664" width="14.42578125" style="113" customWidth="1"/>
    <col min="6665" max="6665" width="3.5703125" style="113" customWidth="1"/>
    <col min="6666" max="6666" width="18.5703125" style="113" customWidth="1"/>
    <col min="6667" max="6686" width="6.5703125" style="113" customWidth="1"/>
    <col min="6687" max="6689" width="6.42578125" style="113" customWidth="1"/>
    <col min="6690" max="6918" width="9.140625" style="113"/>
    <col min="6919" max="6919" width="3.5703125" style="113" customWidth="1"/>
    <col min="6920" max="6920" width="14.42578125" style="113" customWidth="1"/>
    <col min="6921" max="6921" width="3.5703125" style="113" customWidth="1"/>
    <col min="6922" max="6922" width="18.5703125" style="113" customWidth="1"/>
    <col min="6923" max="6942" width="6.5703125" style="113" customWidth="1"/>
    <col min="6943" max="6945" width="6.42578125" style="113" customWidth="1"/>
    <col min="6946" max="7174" width="9.140625" style="113"/>
    <col min="7175" max="7175" width="3.5703125" style="113" customWidth="1"/>
    <col min="7176" max="7176" width="14.42578125" style="113" customWidth="1"/>
    <col min="7177" max="7177" width="3.5703125" style="113" customWidth="1"/>
    <col min="7178" max="7178" width="18.5703125" style="113" customWidth="1"/>
    <col min="7179" max="7198" width="6.5703125" style="113" customWidth="1"/>
    <col min="7199" max="7201" width="6.42578125" style="113" customWidth="1"/>
    <col min="7202" max="7430" width="9.140625" style="113"/>
    <col min="7431" max="7431" width="3.5703125" style="113" customWidth="1"/>
    <col min="7432" max="7432" width="14.42578125" style="113" customWidth="1"/>
    <col min="7433" max="7433" width="3.5703125" style="113" customWidth="1"/>
    <col min="7434" max="7434" width="18.5703125" style="113" customWidth="1"/>
    <col min="7435" max="7454" width="6.5703125" style="113" customWidth="1"/>
    <col min="7455" max="7457" width="6.42578125" style="113" customWidth="1"/>
    <col min="7458" max="7686" width="9.140625" style="113"/>
    <col min="7687" max="7687" width="3.5703125" style="113" customWidth="1"/>
    <col min="7688" max="7688" width="14.42578125" style="113" customWidth="1"/>
    <col min="7689" max="7689" width="3.5703125" style="113" customWidth="1"/>
    <col min="7690" max="7690" width="18.5703125" style="113" customWidth="1"/>
    <col min="7691" max="7710" width="6.5703125" style="113" customWidth="1"/>
    <col min="7711" max="7713" width="6.42578125" style="113" customWidth="1"/>
    <col min="7714" max="7942" width="9.140625" style="113"/>
    <col min="7943" max="7943" width="3.5703125" style="113" customWidth="1"/>
    <col min="7944" max="7944" width="14.42578125" style="113" customWidth="1"/>
    <col min="7945" max="7945" width="3.5703125" style="113" customWidth="1"/>
    <col min="7946" max="7946" width="18.5703125" style="113" customWidth="1"/>
    <col min="7947" max="7966" width="6.5703125" style="113" customWidth="1"/>
    <col min="7967" max="7969" width="6.42578125" style="113" customWidth="1"/>
    <col min="7970" max="8198" width="9.140625" style="113"/>
    <col min="8199" max="8199" width="3.5703125" style="113" customWidth="1"/>
    <col min="8200" max="8200" width="14.42578125" style="113" customWidth="1"/>
    <col min="8201" max="8201" width="3.5703125" style="113" customWidth="1"/>
    <col min="8202" max="8202" width="18.5703125" style="113" customWidth="1"/>
    <col min="8203" max="8222" width="6.5703125" style="113" customWidth="1"/>
    <col min="8223" max="8225" width="6.42578125" style="113" customWidth="1"/>
    <col min="8226" max="8454" width="9.140625" style="113"/>
    <col min="8455" max="8455" width="3.5703125" style="113" customWidth="1"/>
    <col min="8456" max="8456" width="14.42578125" style="113" customWidth="1"/>
    <col min="8457" max="8457" width="3.5703125" style="113" customWidth="1"/>
    <col min="8458" max="8458" width="18.5703125" style="113" customWidth="1"/>
    <col min="8459" max="8478" width="6.5703125" style="113" customWidth="1"/>
    <col min="8479" max="8481" width="6.42578125" style="113" customWidth="1"/>
    <col min="8482" max="8710" width="9.140625" style="113"/>
    <col min="8711" max="8711" width="3.5703125" style="113" customWidth="1"/>
    <col min="8712" max="8712" width="14.42578125" style="113" customWidth="1"/>
    <col min="8713" max="8713" width="3.5703125" style="113" customWidth="1"/>
    <col min="8714" max="8714" width="18.5703125" style="113" customWidth="1"/>
    <col min="8715" max="8734" width="6.5703125" style="113" customWidth="1"/>
    <col min="8735" max="8737" width="6.42578125" style="113" customWidth="1"/>
    <col min="8738" max="8966" width="9.140625" style="113"/>
    <col min="8967" max="8967" width="3.5703125" style="113" customWidth="1"/>
    <col min="8968" max="8968" width="14.42578125" style="113" customWidth="1"/>
    <col min="8969" max="8969" width="3.5703125" style="113" customWidth="1"/>
    <col min="8970" max="8970" width="18.5703125" style="113" customWidth="1"/>
    <col min="8971" max="8990" width="6.5703125" style="113" customWidth="1"/>
    <col min="8991" max="8993" width="6.42578125" style="113" customWidth="1"/>
    <col min="8994" max="9222" width="9.140625" style="113"/>
    <col min="9223" max="9223" width="3.5703125" style="113" customWidth="1"/>
    <col min="9224" max="9224" width="14.42578125" style="113" customWidth="1"/>
    <col min="9225" max="9225" width="3.5703125" style="113" customWidth="1"/>
    <col min="9226" max="9226" width="18.5703125" style="113" customWidth="1"/>
    <col min="9227" max="9246" width="6.5703125" style="113" customWidth="1"/>
    <col min="9247" max="9249" width="6.42578125" style="113" customWidth="1"/>
    <col min="9250" max="9478" width="9.140625" style="113"/>
    <col min="9479" max="9479" width="3.5703125" style="113" customWidth="1"/>
    <col min="9480" max="9480" width="14.42578125" style="113" customWidth="1"/>
    <col min="9481" max="9481" width="3.5703125" style="113" customWidth="1"/>
    <col min="9482" max="9482" width="18.5703125" style="113" customWidth="1"/>
    <col min="9483" max="9502" width="6.5703125" style="113" customWidth="1"/>
    <col min="9503" max="9505" width="6.42578125" style="113" customWidth="1"/>
    <col min="9506" max="9734" width="9.140625" style="113"/>
    <col min="9735" max="9735" width="3.5703125" style="113" customWidth="1"/>
    <col min="9736" max="9736" width="14.42578125" style="113" customWidth="1"/>
    <col min="9737" max="9737" width="3.5703125" style="113" customWidth="1"/>
    <col min="9738" max="9738" width="18.5703125" style="113" customWidth="1"/>
    <col min="9739" max="9758" width="6.5703125" style="113" customWidth="1"/>
    <col min="9759" max="9761" width="6.42578125" style="113" customWidth="1"/>
    <col min="9762" max="9990" width="9.140625" style="113"/>
    <col min="9991" max="9991" width="3.5703125" style="113" customWidth="1"/>
    <col min="9992" max="9992" width="14.42578125" style="113" customWidth="1"/>
    <col min="9993" max="9993" width="3.5703125" style="113" customWidth="1"/>
    <col min="9994" max="9994" width="18.5703125" style="113" customWidth="1"/>
    <col min="9995" max="10014" width="6.5703125" style="113" customWidth="1"/>
    <col min="10015" max="10017" width="6.42578125" style="113" customWidth="1"/>
    <col min="10018" max="10246" width="9.140625" style="113"/>
    <col min="10247" max="10247" width="3.5703125" style="113" customWidth="1"/>
    <col min="10248" max="10248" width="14.42578125" style="113" customWidth="1"/>
    <col min="10249" max="10249" width="3.5703125" style="113" customWidth="1"/>
    <col min="10250" max="10250" width="18.5703125" style="113" customWidth="1"/>
    <col min="10251" max="10270" width="6.5703125" style="113" customWidth="1"/>
    <col min="10271" max="10273" width="6.42578125" style="113" customWidth="1"/>
    <col min="10274" max="10502" width="9.140625" style="113"/>
    <col min="10503" max="10503" width="3.5703125" style="113" customWidth="1"/>
    <col min="10504" max="10504" width="14.42578125" style="113" customWidth="1"/>
    <col min="10505" max="10505" width="3.5703125" style="113" customWidth="1"/>
    <col min="10506" max="10506" width="18.5703125" style="113" customWidth="1"/>
    <col min="10507" max="10526" width="6.5703125" style="113" customWidth="1"/>
    <col min="10527" max="10529" width="6.42578125" style="113" customWidth="1"/>
    <col min="10530" max="10758" width="9.140625" style="113"/>
    <col min="10759" max="10759" width="3.5703125" style="113" customWidth="1"/>
    <col min="10760" max="10760" width="14.42578125" style="113" customWidth="1"/>
    <col min="10761" max="10761" width="3.5703125" style="113" customWidth="1"/>
    <col min="10762" max="10762" width="18.5703125" style="113" customWidth="1"/>
    <col min="10763" max="10782" width="6.5703125" style="113" customWidth="1"/>
    <col min="10783" max="10785" width="6.42578125" style="113" customWidth="1"/>
    <col min="10786" max="11014" width="9.140625" style="113"/>
    <col min="11015" max="11015" width="3.5703125" style="113" customWidth="1"/>
    <col min="11016" max="11016" width="14.42578125" style="113" customWidth="1"/>
    <col min="11017" max="11017" width="3.5703125" style="113" customWidth="1"/>
    <col min="11018" max="11018" width="18.5703125" style="113" customWidth="1"/>
    <col min="11019" max="11038" width="6.5703125" style="113" customWidth="1"/>
    <col min="11039" max="11041" width="6.42578125" style="113" customWidth="1"/>
    <col min="11042" max="11270" width="9.140625" style="113"/>
    <col min="11271" max="11271" width="3.5703125" style="113" customWidth="1"/>
    <col min="11272" max="11272" width="14.42578125" style="113" customWidth="1"/>
    <col min="11273" max="11273" width="3.5703125" style="113" customWidth="1"/>
    <col min="11274" max="11274" width="18.5703125" style="113" customWidth="1"/>
    <col min="11275" max="11294" width="6.5703125" style="113" customWidth="1"/>
    <col min="11295" max="11297" width="6.42578125" style="113" customWidth="1"/>
    <col min="11298" max="11526" width="9.140625" style="113"/>
    <col min="11527" max="11527" width="3.5703125" style="113" customWidth="1"/>
    <col min="11528" max="11528" width="14.42578125" style="113" customWidth="1"/>
    <col min="11529" max="11529" width="3.5703125" style="113" customWidth="1"/>
    <col min="11530" max="11530" width="18.5703125" style="113" customWidth="1"/>
    <col min="11531" max="11550" width="6.5703125" style="113" customWidth="1"/>
    <col min="11551" max="11553" width="6.42578125" style="113" customWidth="1"/>
    <col min="11554" max="11782" width="9.140625" style="113"/>
    <col min="11783" max="11783" width="3.5703125" style="113" customWidth="1"/>
    <col min="11784" max="11784" width="14.42578125" style="113" customWidth="1"/>
    <col min="11785" max="11785" width="3.5703125" style="113" customWidth="1"/>
    <col min="11786" max="11786" width="18.5703125" style="113" customWidth="1"/>
    <col min="11787" max="11806" width="6.5703125" style="113" customWidth="1"/>
    <col min="11807" max="11809" width="6.42578125" style="113" customWidth="1"/>
    <col min="11810" max="12038" width="9.140625" style="113"/>
    <col min="12039" max="12039" width="3.5703125" style="113" customWidth="1"/>
    <col min="12040" max="12040" width="14.42578125" style="113" customWidth="1"/>
    <col min="12041" max="12041" width="3.5703125" style="113" customWidth="1"/>
    <col min="12042" max="12042" width="18.5703125" style="113" customWidth="1"/>
    <col min="12043" max="12062" width="6.5703125" style="113" customWidth="1"/>
    <col min="12063" max="12065" width="6.42578125" style="113" customWidth="1"/>
    <col min="12066" max="12294" width="9.140625" style="113"/>
    <col min="12295" max="12295" width="3.5703125" style="113" customWidth="1"/>
    <col min="12296" max="12296" width="14.42578125" style="113" customWidth="1"/>
    <col min="12297" max="12297" width="3.5703125" style="113" customWidth="1"/>
    <col min="12298" max="12298" width="18.5703125" style="113" customWidth="1"/>
    <col min="12299" max="12318" width="6.5703125" style="113" customWidth="1"/>
    <col min="12319" max="12321" width="6.42578125" style="113" customWidth="1"/>
    <col min="12322" max="12550" width="9.140625" style="113"/>
    <col min="12551" max="12551" width="3.5703125" style="113" customWidth="1"/>
    <col min="12552" max="12552" width="14.42578125" style="113" customWidth="1"/>
    <col min="12553" max="12553" width="3.5703125" style="113" customWidth="1"/>
    <col min="12554" max="12554" width="18.5703125" style="113" customWidth="1"/>
    <col min="12555" max="12574" width="6.5703125" style="113" customWidth="1"/>
    <col min="12575" max="12577" width="6.42578125" style="113" customWidth="1"/>
    <col min="12578" max="12806" width="9.140625" style="113"/>
    <col min="12807" max="12807" width="3.5703125" style="113" customWidth="1"/>
    <col min="12808" max="12808" width="14.42578125" style="113" customWidth="1"/>
    <col min="12809" max="12809" width="3.5703125" style="113" customWidth="1"/>
    <col min="12810" max="12810" width="18.5703125" style="113" customWidth="1"/>
    <col min="12811" max="12830" width="6.5703125" style="113" customWidth="1"/>
    <col min="12831" max="12833" width="6.42578125" style="113" customWidth="1"/>
    <col min="12834" max="13062" width="9.140625" style="113"/>
    <col min="13063" max="13063" width="3.5703125" style="113" customWidth="1"/>
    <col min="13064" max="13064" width="14.42578125" style="113" customWidth="1"/>
    <col min="13065" max="13065" width="3.5703125" style="113" customWidth="1"/>
    <col min="13066" max="13066" width="18.5703125" style="113" customWidth="1"/>
    <col min="13067" max="13086" width="6.5703125" style="113" customWidth="1"/>
    <col min="13087" max="13089" width="6.42578125" style="113" customWidth="1"/>
    <col min="13090" max="13318" width="9.140625" style="113"/>
    <col min="13319" max="13319" width="3.5703125" style="113" customWidth="1"/>
    <col min="13320" max="13320" width="14.42578125" style="113" customWidth="1"/>
    <col min="13321" max="13321" width="3.5703125" style="113" customWidth="1"/>
    <col min="13322" max="13322" width="18.5703125" style="113" customWidth="1"/>
    <col min="13323" max="13342" width="6.5703125" style="113" customWidth="1"/>
    <col min="13343" max="13345" width="6.42578125" style="113" customWidth="1"/>
    <col min="13346" max="13574" width="9.140625" style="113"/>
    <col min="13575" max="13575" width="3.5703125" style="113" customWidth="1"/>
    <col min="13576" max="13576" width="14.42578125" style="113" customWidth="1"/>
    <col min="13577" max="13577" width="3.5703125" style="113" customWidth="1"/>
    <col min="13578" max="13578" width="18.5703125" style="113" customWidth="1"/>
    <col min="13579" max="13598" width="6.5703125" style="113" customWidth="1"/>
    <col min="13599" max="13601" width="6.42578125" style="113" customWidth="1"/>
    <col min="13602" max="13830" width="9.140625" style="113"/>
    <col min="13831" max="13831" width="3.5703125" style="113" customWidth="1"/>
    <col min="13832" max="13832" width="14.42578125" style="113" customWidth="1"/>
    <col min="13833" max="13833" width="3.5703125" style="113" customWidth="1"/>
    <col min="13834" max="13834" width="18.5703125" style="113" customWidth="1"/>
    <col min="13835" max="13854" width="6.5703125" style="113" customWidth="1"/>
    <col min="13855" max="13857" width="6.42578125" style="113" customWidth="1"/>
    <col min="13858" max="14086" width="9.140625" style="113"/>
    <col min="14087" max="14087" width="3.5703125" style="113" customWidth="1"/>
    <col min="14088" max="14088" width="14.42578125" style="113" customWidth="1"/>
    <col min="14089" max="14089" width="3.5703125" style="113" customWidth="1"/>
    <col min="14090" max="14090" width="18.5703125" style="113" customWidth="1"/>
    <col min="14091" max="14110" width="6.5703125" style="113" customWidth="1"/>
    <col min="14111" max="14113" width="6.42578125" style="113" customWidth="1"/>
    <col min="14114" max="14342" width="9.140625" style="113"/>
    <col min="14343" max="14343" width="3.5703125" style="113" customWidth="1"/>
    <col min="14344" max="14344" width="14.42578125" style="113" customWidth="1"/>
    <col min="14345" max="14345" width="3.5703125" style="113" customWidth="1"/>
    <col min="14346" max="14346" width="18.5703125" style="113" customWidth="1"/>
    <col min="14347" max="14366" width="6.5703125" style="113" customWidth="1"/>
    <col min="14367" max="14369" width="6.42578125" style="113" customWidth="1"/>
    <col min="14370" max="14598" width="9.140625" style="113"/>
    <col min="14599" max="14599" width="3.5703125" style="113" customWidth="1"/>
    <col min="14600" max="14600" width="14.42578125" style="113" customWidth="1"/>
    <col min="14601" max="14601" width="3.5703125" style="113" customWidth="1"/>
    <col min="14602" max="14602" width="18.5703125" style="113" customWidth="1"/>
    <col min="14603" max="14622" width="6.5703125" style="113" customWidth="1"/>
    <col min="14623" max="14625" width="6.42578125" style="113" customWidth="1"/>
    <col min="14626" max="14854" width="9.140625" style="113"/>
    <col min="14855" max="14855" width="3.5703125" style="113" customWidth="1"/>
    <col min="14856" max="14856" width="14.42578125" style="113" customWidth="1"/>
    <col min="14857" max="14857" width="3.5703125" style="113" customWidth="1"/>
    <col min="14858" max="14858" width="18.5703125" style="113" customWidth="1"/>
    <col min="14859" max="14878" width="6.5703125" style="113" customWidth="1"/>
    <col min="14879" max="14881" width="6.42578125" style="113" customWidth="1"/>
    <col min="14882" max="15110" width="9.140625" style="113"/>
    <col min="15111" max="15111" width="3.5703125" style="113" customWidth="1"/>
    <col min="15112" max="15112" width="14.42578125" style="113" customWidth="1"/>
    <col min="15113" max="15113" width="3.5703125" style="113" customWidth="1"/>
    <col min="15114" max="15114" width="18.5703125" style="113" customWidth="1"/>
    <col min="15115" max="15134" width="6.5703125" style="113" customWidth="1"/>
    <col min="15135" max="15137" width="6.42578125" style="113" customWidth="1"/>
    <col min="15138" max="15366" width="9.140625" style="113"/>
    <col min="15367" max="15367" width="3.5703125" style="113" customWidth="1"/>
    <col min="15368" max="15368" width="14.42578125" style="113" customWidth="1"/>
    <col min="15369" max="15369" width="3.5703125" style="113" customWidth="1"/>
    <col min="15370" max="15370" width="18.5703125" style="113" customWidth="1"/>
    <col min="15371" max="15390" width="6.5703125" style="113" customWidth="1"/>
    <col min="15391" max="15393" width="6.42578125" style="113" customWidth="1"/>
    <col min="15394" max="15622" width="9.140625" style="113"/>
    <col min="15623" max="15623" width="3.5703125" style="113" customWidth="1"/>
    <col min="15624" max="15624" width="14.42578125" style="113" customWidth="1"/>
    <col min="15625" max="15625" width="3.5703125" style="113" customWidth="1"/>
    <col min="15626" max="15626" width="18.5703125" style="113" customWidth="1"/>
    <col min="15627" max="15646" width="6.5703125" style="113" customWidth="1"/>
    <col min="15647" max="15649" width="6.42578125" style="113" customWidth="1"/>
    <col min="15650" max="15878" width="9.140625" style="113"/>
    <col min="15879" max="15879" width="3.5703125" style="113" customWidth="1"/>
    <col min="15880" max="15880" width="14.42578125" style="113" customWidth="1"/>
    <col min="15881" max="15881" width="3.5703125" style="113" customWidth="1"/>
    <col min="15882" max="15882" width="18.5703125" style="113" customWidth="1"/>
    <col min="15883" max="15902" width="6.5703125" style="113" customWidth="1"/>
    <col min="15903" max="15905" width="6.42578125" style="113" customWidth="1"/>
    <col min="15906" max="16134" width="9.140625" style="113"/>
    <col min="16135" max="16135" width="3.5703125" style="113" customWidth="1"/>
    <col min="16136" max="16136" width="14.42578125" style="113" customWidth="1"/>
    <col min="16137" max="16137" width="3.5703125" style="113" customWidth="1"/>
    <col min="16138" max="16138" width="18.5703125" style="113" customWidth="1"/>
    <col min="16139" max="16158" width="6.5703125" style="113" customWidth="1"/>
    <col min="16159" max="16161" width="6.42578125" style="113" customWidth="1"/>
    <col min="16162" max="16384" width="9.140625" style="113"/>
  </cols>
  <sheetData>
    <row r="1" spans="1:37" x14ac:dyDescent="0.25">
      <c r="A1" s="506"/>
      <c r="B1" s="507"/>
      <c r="C1" s="507"/>
      <c r="D1" s="508"/>
      <c r="E1" s="508"/>
      <c r="F1" s="508"/>
      <c r="G1" s="508"/>
      <c r="H1" s="508"/>
      <c r="I1" s="508"/>
      <c r="J1" s="508"/>
      <c r="K1" s="508"/>
      <c r="L1" s="508"/>
      <c r="M1" s="508"/>
      <c r="N1" s="508"/>
      <c r="O1" s="508"/>
      <c r="P1" s="508"/>
      <c r="Q1" s="508"/>
      <c r="R1" s="1081"/>
      <c r="S1" s="1081"/>
      <c r="T1" s="1081"/>
      <c r="U1" s="1081"/>
      <c r="V1" s="1081"/>
      <c r="W1" s="1081"/>
      <c r="X1" s="1081"/>
    </row>
    <row r="2" spans="1:37" ht="12.75" customHeight="1" x14ac:dyDescent="0.25">
      <c r="A2" s="509">
        <v>1</v>
      </c>
      <c r="B2" s="509" t="s">
        <v>0</v>
      </c>
      <c r="C2" s="509">
        <v>58</v>
      </c>
      <c r="D2" s="4603" t="s">
        <v>1540</v>
      </c>
      <c r="E2" s="4604"/>
      <c r="F2" s="4604"/>
      <c r="G2" s="4604"/>
      <c r="H2" s="4604"/>
      <c r="I2" s="4604"/>
      <c r="J2" s="4604"/>
      <c r="K2" s="4604"/>
      <c r="L2" s="4604"/>
      <c r="M2" s="4604"/>
      <c r="N2" s="4604"/>
      <c r="O2" s="4604"/>
      <c r="P2" s="4604"/>
      <c r="Q2" s="4604"/>
      <c r="R2" s="4604"/>
      <c r="S2" s="4604"/>
      <c r="T2" s="4604"/>
      <c r="U2" s="4604"/>
      <c r="V2" s="4604"/>
      <c r="W2" s="4605"/>
      <c r="X2" s="10"/>
      <c r="Y2" s="10"/>
      <c r="Z2" s="10"/>
      <c r="AA2" s="10"/>
      <c r="AB2" s="10"/>
      <c r="AC2" s="10"/>
      <c r="AD2" s="10"/>
      <c r="AE2" s="10"/>
      <c r="AF2" s="10"/>
      <c r="AG2" s="10"/>
      <c r="AH2" s="10"/>
      <c r="AI2" s="10"/>
      <c r="AJ2" s="10"/>
    </row>
    <row r="3" spans="1:37" ht="12.75" customHeight="1" x14ac:dyDescent="0.25">
      <c r="A3" s="509">
        <v>2</v>
      </c>
      <c r="B3" s="509" t="s">
        <v>2</v>
      </c>
      <c r="C3" s="509"/>
      <c r="D3" s="4603" t="s">
        <v>1478</v>
      </c>
      <c r="E3" s="4604"/>
      <c r="F3" s="4604"/>
      <c r="G3" s="4604"/>
      <c r="H3" s="4604"/>
      <c r="I3" s="4604"/>
      <c r="J3" s="4604"/>
      <c r="K3" s="4604"/>
      <c r="L3" s="4604"/>
      <c r="M3" s="4604"/>
      <c r="N3" s="4604"/>
      <c r="O3" s="4604"/>
      <c r="P3" s="4604"/>
      <c r="Q3" s="4604"/>
      <c r="R3" s="4604"/>
      <c r="S3" s="4604"/>
      <c r="T3" s="4604"/>
      <c r="U3" s="4604"/>
      <c r="V3" s="4604"/>
      <c r="W3" s="4605"/>
      <c r="X3" s="10"/>
      <c r="Y3" s="10"/>
      <c r="Z3" s="10"/>
      <c r="AA3" s="10"/>
      <c r="AB3" s="10"/>
      <c r="AC3" s="10"/>
      <c r="AD3" s="10"/>
      <c r="AE3" s="10"/>
      <c r="AF3" s="10"/>
      <c r="AG3" s="10"/>
      <c r="AH3" s="10"/>
      <c r="AI3" s="10"/>
      <c r="AJ3" s="10"/>
    </row>
    <row r="4" spans="1:37" ht="17.25" customHeight="1" x14ac:dyDescent="0.25">
      <c r="A4" s="509">
        <v>3</v>
      </c>
      <c r="B4" s="509" t="s">
        <v>4</v>
      </c>
      <c r="C4" s="509"/>
      <c r="D4" s="4603" t="s">
        <v>1541</v>
      </c>
      <c r="E4" s="4604"/>
      <c r="F4" s="4604"/>
      <c r="G4" s="4604"/>
      <c r="H4" s="4604"/>
      <c r="I4" s="4604"/>
      <c r="J4" s="4604"/>
      <c r="K4" s="4604"/>
      <c r="L4" s="4604"/>
      <c r="M4" s="4604"/>
      <c r="N4" s="4604"/>
      <c r="O4" s="4604"/>
      <c r="P4" s="4604"/>
      <c r="Q4" s="4604"/>
      <c r="R4" s="4604"/>
      <c r="S4" s="4604"/>
      <c r="T4" s="4604"/>
      <c r="U4" s="4604"/>
      <c r="V4" s="4604"/>
      <c r="W4" s="4605"/>
      <c r="X4" s="10"/>
      <c r="Y4" s="10"/>
      <c r="Z4" s="10"/>
      <c r="AA4" s="10"/>
      <c r="AB4" s="10"/>
      <c r="AC4" s="10"/>
      <c r="AD4" s="10"/>
      <c r="AE4" s="10"/>
      <c r="AF4" s="10"/>
      <c r="AG4" s="10"/>
      <c r="AH4" s="10"/>
      <c r="AI4" s="10"/>
      <c r="AJ4" s="10"/>
    </row>
    <row r="5" spans="1:37" ht="15.75" customHeight="1" x14ac:dyDescent="0.25">
      <c r="A5" s="509">
        <v>4</v>
      </c>
      <c r="B5" s="509" t="s">
        <v>1043</v>
      </c>
      <c r="C5" s="509"/>
      <c r="D5" s="4932" t="s">
        <v>1548</v>
      </c>
      <c r="E5" s="4933"/>
      <c r="F5" s="4933"/>
      <c r="G5" s="4933"/>
      <c r="H5" s="4933"/>
      <c r="I5" s="4933"/>
      <c r="J5" s="4933"/>
      <c r="K5" s="4933"/>
      <c r="L5" s="4933"/>
      <c r="M5" s="4933"/>
      <c r="N5" s="4933"/>
      <c r="O5" s="4933"/>
      <c r="P5" s="4933"/>
      <c r="Q5" s="4933"/>
      <c r="R5" s="4933"/>
      <c r="S5" s="4933"/>
      <c r="T5" s="4933"/>
      <c r="U5" s="4933"/>
      <c r="V5" s="4933"/>
      <c r="W5" s="4934"/>
      <c r="X5" s="10"/>
      <c r="Y5" s="10"/>
      <c r="Z5" s="10"/>
      <c r="AA5" s="10"/>
      <c r="AB5" s="10"/>
      <c r="AC5" s="10"/>
      <c r="AD5" s="10"/>
      <c r="AE5" s="10"/>
      <c r="AF5" s="10"/>
      <c r="AG5" s="10"/>
      <c r="AH5" s="10"/>
      <c r="AI5" s="10"/>
      <c r="AJ5" s="10"/>
    </row>
    <row r="6" spans="1:37" x14ac:dyDescent="0.25">
      <c r="A6" s="1119" t="s">
        <v>85</v>
      </c>
      <c r="C6" s="509"/>
      <c r="D6" s="510"/>
      <c r="E6" s="510"/>
      <c r="F6" s="510"/>
      <c r="G6" s="510"/>
      <c r="H6" s="510"/>
      <c r="I6" s="510"/>
      <c r="J6" s="510"/>
      <c r="K6" s="510"/>
      <c r="L6" s="510"/>
      <c r="M6" s="510"/>
      <c r="N6" s="510"/>
      <c r="O6" s="510"/>
      <c r="P6" s="510"/>
      <c r="Q6" s="508"/>
      <c r="R6" s="1081"/>
      <c r="S6" s="1081"/>
      <c r="T6" s="1081"/>
      <c r="U6" s="1081"/>
      <c r="V6" s="10"/>
      <c r="W6" s="10"/>
      <c r="X6" s="10"/>
      <c r="Y6" s="10"/>
      <c r="Z6" s="10"/>
      <c r="AA6" s="10"/>
      <c r="AB6" s="10"/>
      <c r="AC6" s="10"/>
      <c r="AD6" s="10"/>
      <c r="AE6" s="10"/>
      <c r="AF6" s="10"/>
      <c r="AG6" s="10"/>
      <c r="AH6" s="10"/>
      <c r="AI6" s="10"/>
      <c r="AJ6" s="10"/>
    </row>
    <row r="7" spans="1:37" x14ac:dyDescent="0.25">
      <c r="A7" s="509">
        <v>5</v>
      </c>
      <c r="B7" s="509" t="s">
        <v>6</v>
      </c>
      <c r="C7" s="836"/>
      <c r="D7" s="548" t="s">
        <v>7</v>
      </c>
      <c r="E7" s="548" t="str">
        <f>D2</f>
        <v>Public opinion on race relations</v>
      </c>
      <c r="F7" s="548"/>
      <c r="G7" s="72"/>
      <c r="H7" s="72"/>
      <c r="I7" s="72"/>
      <c r="J7" s="72"/>
      <c r="K7" s="72"/>
      <c r="L7" s="72"/>
      <c r="M7" s="95"/>
      <c r="N7" s="95"/>
      <c r="O7" s="88"/>
      <c r="P7" s="88"/>
      <c r="Q7" s="88"/>
      <c r="R7" s="10"/>
      <c r="S7" s="10"/>
      <c r="T7" s="142"/>
      <c r="U7" s="142"/>
      <c r="V7" s="10"/>
      <c r="W7" s="1081"/>
      <c r="X7" s="1081"/>
      <c r="Y7" s="1081"/>
      <c r="Z7" s="1081"/>
      <c r="AA7" s="1081"/>
      <c r="AB7" s="1081"/>
      <c r="AC7" s="1081"/>
      <c r="AD7" s="1081"/>
      <c r="AE7" s="1081"/>
      <c r="AF7" s="1081"/>
      <c r="AG7" s="1081"/>
      <c r="AH7" s="1081"/>
      <c r="AI7" s="1081"/>
      <c r="AJ7" s="1081"/>
      <c r="AK7" s="1081"/>
    </row>
    <row r="8" spans="1:37" x14ac:dyDescent="0.25">
      <c r="A8" s="860"/>
      <c r="B8" s="836"/>
      <c r="C8" s="836"/>
      <c r="D8" s="1748"/>
      <c r="E8" s="1749">
        <v>2000</v>
      </c>
      <c r="F8" s="1749">
        <v>2001</v>
      </c>
      <c r="G8" s="1749">
        <v>2002</v>
      </c>
      <c r="H8" s="1749">
        <v>2003</v>
      </c>
      <c r="I8" s="1749">
        <v>2004</v>
      </c>
      <c r="J8" s="1749">
        <v>2005</v>
      </c>
      <c r="K8" s="1749">
        <v>2006</v>
      </c>
      <c r="L8" s="1749">
        <v>2007</v>
      </c>
      <c r="M8" s="1749">
        <v>2008</v>
      </c>
      <c r="N8" s="1749">
        <v>2009</v>
      </c>
      <c r="O8" s="1749">
        <v>2010</v>
      </c>
      <c r="P8" s="1749">
        <v>2011</v>
      </c>
      <c r="Q8" s="1749">
        <v>2012</v>
      </c>
      <c r="R8" s="1749">
        <v>2013</v>
      </c>
      <c r="S8" s="1749">
        <v>2014</v>
      </c>
      <c r="T8" s="1749">
        <v>2015</v>
      </c>
      <c r="U8" s="1750">
        <v>2016</v>
      </c>
      <c r="V8" s="1751">
        <v>2017</v>
      </c>
      <c r="W8" s="1751">
        <v>2018</v>
      </c>
      <c r="X8" s="1751">
        <v>2019</v>
      </c>
      <c r="Y8" s="1751">
        <v>2020</v>
      </c>
      <c r="Z8" s="1751">
        <v>2021</v>
      </c>
      <c r="AA8" s="1751">
        <v>2022</v>
      </c>
      <c r="AB8" s="1081"/>
      <c r="AC8" s="1081"/>
      <c r="AD8" s="1081"/>
      <c r="AE8" s="1081"/>
      <c r="AF8" s="1081"/>
      <c r="AG8" s="1081"/>
      <c r="AH8" s="1081"/>
      <c r="AI8" s="1081"/>
      <c r="AJ8" s="1081"/>
      <c r="AK8" s="1081"/>
    </row>
    <row r="9" spans="1:37" x14ac:dyDescent="0.25">
      <c r="A9" s="860"/>
      <c r="B9" s="836"/>
      <c r="C9" s="836"/>
      <c r="D9" s="4196" t="s">
        <v>1542</v>
      </c>
      <c r="E9" s="1749">
        <v>72</v>
      </c>
      <c r="F9" s="1749">
        <v>40</v>
      </c>
      <c r="G9" s="1749">
        <v>44</v>
      </c>
      <c r="H9" s="1749">
        <v>49</v>
      </c>
      <c r="I9" s="1749">
        <v>60</v>
      </c>
      <c r="J9" s="1749">
        <v>59</v>
      </c>
      <c r="K9" s="1749">
        <v>59</v>
      </c>
      <c r="L9" s="1749">
        <v>59</v>
      </c>
      <c r="M9" s="1749">
        <v>49</v>
      </c>
      <c r="N9" s="1749">
        <v>53</v>
      </c>
      <c r="O9" s="1749">
        <v>50</v>
      </c>
      <c r="P9" s="1749">
        <v>44</v>
      </c>
      <c r="Q9" s="1749">
        <v>39</v>
      </c>
      <c r="R9" s="1749">
        <v>36</v>
      </c>
      <c r="S9" s="1749">
        <v>45</v>
      </c>
      <c r="T9" s="1749">
        <v>39</v>
      </c>
      <c r="U9" s="1750">
        <v>29</v>
      </c>
      <c r="V9" s="1751">
        <v>38</v>
      </c>
      <c r="W9" s="1751">
        <v>42</v>
      </c>
      <c r="X9" s="1751">
        <v>40</v>
      </c>
      <c r="Y9" s="1751" t="s">
        <v>85</v>
      </c>
      <c r="Z9" s="1751">
        <v>37</v>
      </c>
      <c r="AA9" s="1751">
        <v>30</v>
      </c>
      <c r="AB9" s="1081"/>
      <c r="AC9" s="1081"/>
      <c r="AD9" s="1081"/>
      <c r="AE9" s="1081"/>
      <c r="AF9" s="1081"/>
      <c r="AG9" s="1081"/>
      <c r="AH9" s="1081"/>
      <c r="AI9" s="1081"/>
      <c r="AJ9" s="1081"/>
      <c r="AK9" s="1081"/>
    </row>
    <row r="10" spans="1:37" x14ac:dyDescent="0.25">
      <c r="A10" s="860"/>
      <c r="B10" s="836"/>
      <c r="C10" s="836"/>
      <c r="W10" s="1081"/>
      <c r="X10" s="1081"/>
      <c r="Y10" s="1081"/>
      <c r="Z10" s="1081"/>
      <c r="AA10" s="1081"/>
      <c r="AB10" s="1081"/>
      <c r="AC10" s="1081"/>
      <c r="AD10" s="1081"/>
      <c r="AE10" s="1081"/>
      <c r="AF10" s="1081"/>
      <c r="AG10" s="1081"/>
      <c r="AH10" s="1081"/>
      <c r="AI10" s="1081"/>
      <c r="AJ10" s="1081"/>
      <c r="AK10" s="1081"/>
    </row>
    <row r="11" spans="1:37" x14ac:dyDescent="0.25">
      <c r="A11" s="509"/>
      <c r="B11" s="509"/>
      <c r="C11" s="509"/>
    </row>
    <row r="12" spans="1:37" x14ac:dyDescent="0.25">
      <c r="A12" s="509">
        <v>6</v>
      </c>
      <c r="B12" s="509" t="s">
        <v>51</v>
      </c>
      <c r="C12" s="509"/>
      <c r="D12" s="508"/>
      <c r="E12" s="508"/>
      <c r="F12" s="508"/>
      <c r="G12" s="508"/>
      <c r="H12" s="508"/>
      <c r="I12" s="508"/>
      <c r="J12" s="508"/>
      <c r="K12" s="508"/>
      <c r="L12" s="508"/>
      <c r="M12" s="508"/>
      <c r="N12" s="508"/>
      <c r="O12" s="508"/>
      <c r="P12" s="508"/>
      <c r="Q12" s="508"/>
      <c r="R12" s="1081"/>
      <c r="S12" s="1081"/>
      <c r="T12" s="1081"/>
      <c r="U12" s="1081"/>
      <c r="V12" s="1081"/>
      <c r="W12" s="1081"/>
      <c r="X12" s="1081"/>
    </row>
    <row r="13" spans="1:37" x14ac:dyDescent="0.25">
      <c r="A13" s="509"/>
      <c r="B13" s="509"/>
      <c r="C13" s="509"/>
      <c r="D13" s="508"/>
      <c r="E13" s="508"/>
      <c r="F13" s="508"/>
      <c r="G13" s="508"/>
      <c r="H13" s="508"/>
      <c r="I13" s="508"/>
      <c r="J13" s="508"/>
      <c r="K13" s="508"/>
      <c r="L13" s="508"/>
      <c r="M13" s="508"/>
      <c r="N13" s="508"/>
      <c r="O13" s="508"/>
      <c r="P13" s="508"/>
      <c r="Q13" s="508"/>
      <c r="R13" s="1081"/>
      <c r="S13" s="1081"/>
      <c r="T13" s="1081"/>
      <c r="U13" s="1081"/>
      <c r="V13" s="1081"/>
      <c r="W13" s="1081"/>
      <c r="X13" s="1081"/>
      <c r="AI13" s="1752"/>
    </row>
    <row r="14" spans="1:37" x14ac:dyDescent="0.25">
      <c r="A14" s="506"/>
      <c r="B14" s="507"/>
      <c r="C14" s="507"/>
      <c r="D14" s="508"/>
      <c r="E14" s="508"/>
      <c r="F14" s="508"/>
      <c r="G14" s="508"/>
      <c r="H14" s="508"/>
      <c r="I14" s="508"/>
      <c r="J14" s="508"/>
      <c r="K14" s="508"/>
      <c r="L14" s="508"/>
      <c r="M14" s="508"/>
      <c r="N14" s="508"/>
      <c r="O14" s="508"/>
      <c r="P14" s="508"/>
      <c r="Q14" s="508"/>
      <c r="R14" s="1081"/>
      <c r="S14" s="1081"/>
      <c r="T14" s="1081"/>
      <c r="U14" s="1081"/>
      <c r="V14" s="1081"/>
      <c r="W14" s="1081"/>
      <c r="X14" s="1081"/>
      <c r="AJ14" s="1752"/>
    </row>
    <row r="15" spans="1:37" x14ac:dyDescent="0.25">
      <c r="A15" s="506"/>
      <c r="B15" s="507"/>
      <c r="C15" s="507"/>
      <c r="D15" s="508"/>
      <c r="E15" s="508"/>
      <c r="F15" s="508"/>
      <c r="G15" s="508"/>
      <c r="H15" s="508"/>
      <c r="I15" s="508"/>
      <c r="J15" s="508"/>
      <c r="K15" s="508"/>
      <c r="L15" s="508"/>
      <c r="M15" s="508"/>
      <c r="N15" s="508"/>
      <c r="O15" s="508"/>
      <c r="P15" s="508"/>
      <c r="Q15" s="508"/>
      <c r="R15" s="1081"/>
      <c r="S15" s="1081"/>
      <c r="T15" s="1081"/>
      <c r="U15" s="1081"/>
      <c r="V15" s="1081"/>
      <c r="W15" s="1081"/>
      <c r="X15" s="1081"/>
    </row>
    <row r="16" spans="1:37" x14ac:dyDescent="0.25">
      <c r="A16" s="506"/>
      <c r="B16" s="507"/>
      <c r="C16" s="507"/>
      <c r="D16" s="508"/>
      <c r="E16" s="508"/>
      <c r="F16" s="508"/>
      <c r="G16" s="508"/>
      <c r="H16" s="508"/>
      <c r="I16" s="508"/>
      <c r="J16" s="508"/>
      <c r="K16" s="508"/>
      <c r="L16" s="508"/>
      <c r="M16" s="508"/>
      <c r="N16" s="508"/>
      <c r="O16" s="508"/>
      <c r="P16" s="508"/>
      <c r="Q16" s="508"/>
      <c r="R16" s="1081"/>
      <c r="S16" s="1081"/>
      <c r="T16" s="1081"/>
      <c r="U16" s="1081"/>
      <c r="V16" s="1081"/>
      <c r="W16" s="1081"/>
      <c r="X16" s="1081"/>
    </row>
    <row r="17" spans="1:36" x14ac:dyDescent="0.25">
      <c r="A17" s="506"/>
      <c r="B17" s="507"/>
      <c r="C17" s="507"/>
      <c r="D17" s="508"/>
      <c r="E17" s="508"/>
      <c r="F17" s="508"/>
      <c r="G17" s="508"/>
      <c r="H17" s="508"/>
      <c r="I17" s="508"/>
      <c r="J17" s="508"/>
      <c r="K17" s="508"/>
      <c r="L17" s="508"/>
      <c r="M17" s="508"/>
      <c r="N17" s="508"/>
      <c r="O17" s="508"/>
      <c r="P17" s="508"/>
      <c r="Q17" s="508"/>
      <c r="R17" s="1081"/>
      <c r="S17" s="1081"/>
      <c r="T17" s="1081"/>
      <c r="U17" s="1081"/>
      <c r="V17" s="1081"/>
      <c r="W17" s="1081"/>
      <c r="X17" s="1081"/>
    </row>
    <row r="18" spans="1:36" x14ac:dyDescent="0.25">
      <c r="A18" s="506"/>
      <c r="B18" s="507"/>
      <c r="C18" s="507"/>
      <c r="D18" s="508"/>
      <c r="E18" s="508"/>
      <c r="F18" s="508"/>
      <c r="G18" s="508"/>
      <c r="H18" s="508"/>
      <c r="I18" s="508"/>
      <c r="J18" s="508"/>
      <c r="K18" s="508"/>
      <c r="L18" s="508"/>
      <c r="M18" s="508"/>
      <c r="N18" s="508"/>
      <c r="O18" s="508"/>
      <c r="P18" s="508"/>
      <c r="Q18" s="508"/>
      <c r="R18" s="1081"/>
      <c r="S18" s="1081"/>
      <c r="T18" s="1081"/>
      <c r="U18" s="1081"/>
      <c r="V18" s="1081"/>
      <c r="W18" s="1081"/>
      <c r="X18" s="1081"/>
    </row>
    <row r="19" spans="1:36" x14ac:dyDescent="0.25">
      <c r="A19" s="506"/>
      <c r="B19" s="507"/>
      <c r="C19" s="507"/>
      <c r="D19" s="508"/>
      <c r="E19" s="508"/>
      <c r="F19" s="508"/>
      <c r="G19" s="508"/>
      <c r="H19" s="508"/>
      <c r="I19" s="508"/>
      <c r="J19" s="508"/>
      <c r="K19" s="508"/>
      <c r="L19" s="508"/>
      <c r="M19" s="508"/>
      <c r="N19" s="508"/>
      <c r="O19" s="508"/>
      <c r="P19" s="508"/>
      <c r="Q19" s="508"/>
      <c r="R19" s="1081"/>
      <c r="S19" s="1081"/>
      <c r="T19" s="1081"/>
      <c r="U19" s="1081"/>
      <c r="V19" s="1081"/>
      <c r="W19" s="1081"/>
      <c r="X19" s="1081"/>
    </row>
    <row r="20" spans="1:36" x14ac:dyDescent="0.25">
      <c r="A20" s="506"/>
      <c r="B20" s="507"/>
      <c r="C20" s="507"/>
      <c r="D20" s="508"/>
      <c r="E20" s="508"/>
      <c r="F20" s="508"/>
      <c r="G20" s="508"/>
      <c r="H20" s="508"/>
      <c r="I20" s="508"/>
      <c r="J20" s="508"/>
      <c r="K20" s="508"/>
      <c r="L20" s="508"/>
      <c r="M20" s="508"/>
      <c r="N20" s="508"/>
      <c r="O20" s="508"/>
      <c r="P20" s="508"/>
      <c r="Q20" s="508"/>
      <c r="R20" s="1081"/>
      <c r="S20" s="1081"/>
      <c r="T20" s="1081"/>
      <c r="U20" s="1081"/>
      <c r="V20" s="1081"/>
      <c r="W20" s="1081"/>
      <c r="X20" s="1081"/>
    </row>
    <row r="21" spans="1:36" x14ac:dyDescent="0.25">
      <c r="A21" s="506"/>
      <c r="B21" s="507"/>
      <c r="C21" s="507"/>
      <c r="D21" s="508"/>
      <c r="E21" s="508"/>
      <c r="F21" s="508"/>
      <c r="G21" s="508"/>
      <c r="H21" s="508"/>
      <c r="I21" s="508"/>
      <c r="J21" s="508"/>
      <c r="K21" s="508"/>
      <c r="L21" s="508"/>
      <c r="M21" s="508"/>
      <c r="N21" s="508"/>
      <c r="O21" s="508"/>
      <c r="P21" s="508"/>
      <c r="Q21" s="508"/>
      <c r="R21" s="1081"/>
      <c r="S21" s="1081"/>
      <c r="T21" s="1081"/>
      <c r="U21" s="1081"/>
      <c r="V21" s="1081"/>
      <c r="W21" s="1081"/>
      <c r="X21" s="1081"/>
    </row>
    <row r="22" spans="1:36" x14ac:dyDescent="0.25">
      <c r="A22" s="506"/>
      <c r="B22" s="507"/>
      <c r="C22" s="507"/>
      <c r="D22" s="508"/>
      <c r="E22" s="508"/>
      <c r="F22" s="508"/>
      <c r="G22" s="508"/>
      <c r="H22" s="508"/>
      <c r="I22" s="508"/>
      <c r="J22" s="508"/>
      <c r="K22" s="508"/>
      <c r="L22" s="508"/>
      <c r="M22" s="508"/>
      <c r="N22" s="508"/>
      <c r="O22" s="508"/>
      <c r="P22" s="508"/>
      <c r="Q22" s="508"/>
      <c r="R22" s="1081"/>
      <c r="S22" s="1081"/>
      <c r="T22" s="1081"/>
      <c r="U22" s="1081"/>
      <c r="V22" s="1081"/>
      <c r="W22" s="1081"/>
      <c r="X22" s="1081"/>
    </row>
    <row r="23" spans="1:36" x14ac:dyDescent="0.25">
      <c r="A23" s="506"/>
      <c r="B23" s="507"/>
      <c r="C23" s="507"/>
      <c r="D23" s="508"/>
      <c r="E23" s="508"/>
      <c r="F23" s="508"/>
      <c r="G23" s="508"/>
      <c r="H23" s="508"/>
      <c r="I23" s="508"/>
      <c r="J23" s="508"/>
      <c r="K23" s="508"/>
      <c r="L23" s="508"/>
      <c r="M23" s="508"/>
      <c r="N23" s="508"/>
      <c r="O23" s="508"/>
      <c r="P23" s="508"/>
      <c r="Q23" s="508"/>
      <c r="R23" s="1081"/>
      <c r="S23" s="1081"/>
      <c r="T23" s="1081"/>
      <c r="U23" s="1081"/>
      <c r="V23" s="1081"/>
      <c r="W23" s="1081"/>
      <c r="X23" s="1081"/>
    </row>
    <row r="24" spans="1:36" x14ac:dyDescent="0.25">
      <c r="A24" s="506"/>
      <c r="B24" s="507"/>
      <c r="C24" s="507"/>
      <c r="D24" s="508"/>
      <c r="E24" s="508"/>
      <c r="F24" s="508"/>
      <c r="G24" s="508"/>
      <c r="H24" s="508"/>
      <c r="I24" s="508"/>
      <c r="J24" s="508"/>
      <c r="K24" s="508"/>
      <c r="L24" s="508"/>
      <c r="M24" s="508"/>
      <c r="N24" s="508"/>
      <c r="O24" s="508"/>
      <c r="P24" s="508"/>
      <c r="Q24" s="508"/>
      <c r="R24" s="1081"/>
      <c r="S24" s="1081"/>
      <c r="T24" s="1081"/>
      <c r="U24" s="1081"/>
      <c r="V24" s="1081"/>
      <c r="W24" s="1081"/>
      <c r="X24" s="1081"/>
    </row>
    <row r="25" spans="1:36" x14ac:dyDescent="0.25">
      <c r="A25" s="506"/>
      <c r="B25" s="507"/>
      <c r="C25" s="507"/>
      <c r="D25" s="508"/>
      <c r="E25" s="508"/>
      <c r="F25" s="508"/>
      <c r="G25" s="508"/>
      <c r="H25" s="508"/>
      <c r="I25" s="508"/>
      <c r="J25" s="508"/>
      <c r="K25" s="508"/>
      <c r="L25" s="508"/>
      <c r="M25" s="508"/>
      <c r="N25" s="508"/>
      <c r="O25" s="508"/>
      <c r="P25" s="508"/>
      <c r="Q25" s="508"/>
      <c r="R25" s="1081"/>
      <c r="S25" s="1081"/>
      <c r="T25" s="1081"/>
      <c r="U25" s="1081"/>
      <c r="V25" s="1081"/>
      <c r="W25" s="1081"/>
      <c r="X25" s="1081"/>
    </row>
    <row r="26" spans="1:36" x14ac:dyDescent="0.25">
      <c r="A26" s="506"/>
      <c r="B26" s="507"/>
      <c r="C26" s="507"/>
      <c r="D26" s="508"/>
      <c r="E26" s="508"/>
      <c r="F26" s="508"/>
      <c r="G26" s="508"/>
      <c r="H26" s="508"/>
      <c r="I26" s="508"/>
      <c r="J26" s="508"/>
      <c r="K26" s="508"/>
      <c r="L26" s="508"/>
      <c r="M26" s="508"/>
      <c r="N26" s="508"/>
      <c r="O26" s="508"/>
      <c r="P26" s="508"/>
      <c r="Q26" s="508"/>
      <c r="R26" s="1081"/>
      <c r="S26" s="1081"/>
      <c r="T26" s="1081"/>
      <c r="U26" s="1081"/>
      <c r="V26" s="1081"/>
      <c r="W26" s="1081"/>
      <c r="X26" s="1081"/>
    </row>
    <row r="27" spans="1:36" x14ac:dyDescent="0.25">
      <c r="A27" s="506"/>
      <c r="B27" s="507"/>
      <c r="C27" s="507"/>
      <c r="D27" s="508"/>
      <c r="E27" s="508"/>
      <c r="F27" s="508"/>
      <c r="G27" s="508"/>
      <c r="H27" s="508"/>
      <c r="I27" s="508"/>
      <c r="J27" s="508"/>
      <c r="K27" s="508"/>
      <c r="L27" s="508"/>
      <c r="M27" s="508"/>
      <c r="N27" s="508"/>
      <c r="O27" s="508"/>
      <c r="P27" s="508"/>
      <c r="Q27" s="508"/>
      <c r="R27" s="1081"/>
      <c r="S27" s="1081"/>
      <c r="T27" s="1081"/>
      <c r="U27" s="1081"/>
      <c r="V27" s="1081"/>
      <c r="W27" s="1081"/>
      <c r="X27" s="1081"/>
    </row>
    <row r="28" spans="1:36" x14ac:dyDescent="0.25">
      <c r="A28" s="506"/>
      <c r="B28" s="507"/>
      <c r="C28" s="507"/>
      <c r="D28" s="508"/>
      <c r="E28" s="508"/>
      <c r="F28" s="508"/>
      <c r="G28" s="508"/>
      <c r="H28" s="508"/>
      <c r="I28" s="508"/>
      <c r="J28" s="508"/>
      <c r="K28" s="508"/>
      <c r="L28" s="508"/>
      <c r="M28" s="508"/>
      <c r="N28" s="508"/>
      <c r="O28" s="508"/>
      <c r="P28" s="508"/>
      <c r="Q28" s="508"/>
      <c r="R28" s="1081"/>
      <c r="S28" s="1081"/>
      <c r="T28" s="1081"/>
      <c r="U28" s="1081"/>
      <c r="V28" s="1081"/>
      <c r="W28" s="1081"/>
      <c r="X28" s="1081"/>
    </row>
    <row r="29" spans="1:36" x14ac:dyDescent="0.25">
      <c r="A29" s="506"/>
      <c r="B29" s="507"/>
      <c r="C29" s="507"/>
      <c r="D29" s="508"/>
      <c r="E29" s="508"/>
      <c r="F29" s="508"/>
      <c r="G29" s="508"/>
      <c r="H29" s="508"/>
      <c r="I29" s="508"/>
      <c r="J29" s="508"/>
      <c r="K29" s="508"/>
      <c r="L29" s="508"/>
      <c r="M29" s="508"/>
      <c r="N29" s="508"/>
      <c r="O29" s="508"/>
      <c r="P29" s="508"/>
      <c r="Q29" s="508"/>
      <c r="R29" s="1081"/>
      <c r="S29" s="1081"/>
      <c r="T29" s="1081"/>
      <c r="U29" s="1081"/>
      <c r="V29" s="1081"/>
      <c r="W29" s="1081"/>
      <c r="X29" s="1081"/>
    </row>
    <row r="30" spans="1:36" x14ac:dyDescent="0.25">
      <c r="A30" s="506"/>
      <c r="B30" s="507"/>
      <c r="C30" s="507"/>
      <c r="D30" s="508"/>
      <c r="E30" s="508"/>
      <c r="F30" s="508"/>
      <c r="G30" s="508"/>
      <c r="H30" s="508"/>
      <c r="I30" s="508"/>
      <c r="J30" s="508"/>
      <c r="K30" s="508"/>
      <c r="L30" s="508"/>
      <c r="M30" s="508"/>
      <c r="N30" s="508"/>
      <c r="O30" s="508"/>
      <c r="P30" s="508"/>
      <c r="Q30" s="508"/>
      <c r="R30" s="1081"/>
      <c r="S30" s="1081"/>
      <c r="T30" s="1081"/>
      <c r="U30" s="1081"/>
      <c r="V30" s="1081"/>
      <c r="W30" s="1081"/>
      <c r="X30" s="1081"/>
      <c r="Y30" s="1081"/>
      <c r="Z30" s="1081"/>
      <c r="AA30" s="1081"/>
      <c r="AB30" s="1081"/>
      <c r="AC30" s="1081"/>
      <c r="AD30" s="1081"/>
      <c r="AE30" s="1081"/>
      <c r="AF30" s="1081"/>
      <c r="AG30" s="1081"/>
      <c r="AH30" s="1081"/>
      <c r="AI30" s="1081"/>
      <c r="AJ30" s="1081"/>
    </row>
    <row r="31" spans="1:36" x14ac:dyDescent="0.25">
      <c r="A31" s="506"/>
      <c r="B31" s="507"/>
      <c r="C31" s="507"/>
      <c r="D31" s="508"/>
      <c r="E31" s="508"/>
      <c r="F31" s="508"/>
      <c r="G31" s="508"/>
      <c r="H31" s="508"/>
      <c r="I31" s="508"/>
      <c r="J31" s="508"/>
      <c r="K31" s="508"/>
      <c r="L31" s="508"/>
      <c r="M31" s="508"/>
      <c r="N31" s="508"/>
      <c r="O31" s="508"/>
      <c r="P31" s="508"/>
      <c r="Q31" s="508"/>
      <c r="R31" s="1081"/>
      <c r="S31" s="1081"/>
      <c r="T31" s="1081"/>
      <c r="U31" s="1081"/>
      <c r="V31" s="1081"/>
      <c r="W31" s="1081"/>
      <c r="X31" s="1081"/>
      <c r="Y31" s="1081"/>
      <c r="Z31" s="1081"/>
      <c r="AA31" s="1081"/>
      <c r="AB31" s="1081"/>
      <c r="AC31" s="1081"/>
      <c r="AD31" s="1081"/>
      <c r="AE31" s="1081"/>
      <c r="AF31" s="1081"/>
      <c r="AG31" s="1081"/>
      <c r="AH31" s="1081"/>
      <c r="AI31" s="1081"/>
      <c r="AJ31" s="1081"/>
    </row>
    <row r="32" spans="1:36" x14ac:dyDescent="0.25">
      <c r="A32" s="506"/>
      <c r="B32" s="507"/>
      <c r="C32" s="507"/>
      <c r="D32" s="4969" t="s">
        <v>275</v>
      </c>
      <c r="E32" s="4970"/>
      <c r="F32" s="4973">
        <v>2014</v>
      </c>
      <c r="G32" s="4974"/>
      <c r="H32" s="4975">
        <v>2015</v>
      </c>
      <c r="I32" s="4976"/>
      <c r="J32" s="4975">
        <v>2016</v>
      </c>
      <c r="K32" s="4976"/>
      <c r="L32" s="4975" t="s">
        <v>30</v>
      </c>
      <c r="M32" s="4976"/>
      <c r="N32" s="4975" t="s">
        <v>31</v>
      </c>
      <c r="O32" s="4976"/>
      <c r="P32" s="4977" t="s">
        <v>32</v>
      </c>
      <c r="Q32" s="4978"/>
      <c r="R32" s="1081"/>
      <c r="S32" s="1081"/>
      <c r="T32" s="1081"/>
      <c r="U32" s="1081"/>
      <c r="V32" s="1081"/>
      <c r="W32" s="1081"/>
      <c r="X32" s="1081"/>
      <c r="Y32" s="1081"/>
      <c r="Z32" s="1081"/>
      <c r="AA32" s="1081"/>
      <c r="AB32" s="1081"/>
      <c r="AC32" s="1081"/>
      <c r="AD32" s="1081"/>
      <c r="AE32" s="1081"/>
      <c r="AF32" s="1081"/>
      <c r="AG32" s="1081"/>
      <c r="AH32" s="1081"/>
      <c r="AI32" s="1081"/>
      <c r="AJ32" s="1081"/>
    </row>
    <row r="33" spans="1:36" x14ac:dyDescent="0.25">
      <c r="A33" s="506"/>
      <c r="B33" s="507"/>
      <c r="C33" s="507"/>
      <c r="D33" s="4971"/>
      <c r="E33" s="4972"/>
      <c r="F33" s="1712" t="s">
        <v>256</v>
      </c>
      <c r="G33" s="1711" t="s">
        <v>257</v>
      </c>
      <c r="H33" s="1712" t="s">
        <v>256</v>
      </c>
      <c r="I33" s="1711" t="s">
        <v>257</v>
      </c>
      <c r="J33" s="1712" t="s">
        <v>259</v>
      </c>
      <c r="K33" s="1711" t="s">
        <v>257</v>
      </c>
      <c r="L33" s="1712" t="s">
        <v>1490</v>
      </c>
      <c r="M33" s="1712" t="s">
        <v>1491</v>
      </c>
      <c r="N33" s="1712" t="s">
        <v>1492</v>
      </c>
      <c r="O33" s="1712" t="s">
        <v>1493</v>
      </c>
      <c r="P33" s="3793" t="s">
        <v>1494</v>
      </c>
      <c r="Q33" s="3793" t="s">
        <v>1495</v>
      </c>
      <c r="R33" s="548"/>
      <c r="S33" s="1081"/>
      <c r="T33" s="1081"/>
      <c r="U33" s="1081"/>
      <c r="V33" s="1081"/>
      <c r="W33" s="1081"/>
      <c r="X33" s="1081"/>
      <c r="Y33" s="1081"/>
      <c r="Z33" s="1081"/>
      <c r="AA33" s="1081"/>
      <c r="AB33" s="1081"/>
      <c r="AC33" s="1081"/>
      <c r="AD33" s="1081"/>
      <c r="AE33" s="1081"/>
      <c r="AF33" s="1081"/>
      <c r="AG33" s="1081"/>
      <c r="AH33" s="1081"/>
      <c r="AI33" s="1081"/>
      <c r="AJ33" s="1081"/>
    </row>
    <row r="34" spans="1:36" x14ac:dyDescent="0.25">
      <c r="A34" s="506"/>
      <c r="B34" s="507"/>
      <c r="C34" s="507"/>
      <c r="D34" s="4979" t="s">
        <v>276</v>
      </c>
      <c r="E34" s="4979"/>
      <c r="F34" s="1713">
        <v>41.9</v>
      </c>
      <c r="G34" s="1714">
        <v>38.299999999999997</v>
      </c>
      <c r="H34" s="1713">
        <v>38.700000000000003</v>
      </c>
      <c r="I34" s="1714">
        <v>31.9</v>
      </c>
      <c r="J34" s="1717">
        <v>23.6</v>
      </c>
      <c r="K34" s="1753">
        <v>30</v>
      </c>
      <c r="L34" s="1718">
        <v>22</v>
      </c>
      <c r="M34" s="1719">
        <v>45</v>
      </c>
      <c r="N34" s="1718">
        <v>33</v>
      </c>
      <c r="O34" s="1719">
        <v>38</v>
      </c>
      <c r="P34" s="3794">
        <v>34</v>
      </c>
      <c r="Q34" s="3795">
        <v>48</v>
      </c>
      <c r="R34" s="1081"/>
      <c r="S34" s="1081"/>
      <c r="T34" s="1081"/>
      <c r="U34" s="1081"/>
      <c r="V34" s="1081"/>
      <c r="W34" s="1081"/>
      <c r="X34" s="1081"/>
      <c r="Y34" s="1081"/>
      <c r="Z34" s="1081"/>
      <c r="AA34" s="1081"/>
      <c r="AB34" s="1081"/>
      <c r="AC34" s="1081"/>
      <c r="AD34" s="1081"/>
      <c r="AE34" s="1081"/>
      <c r="AF34" s="1081"/>
      <c r="AG34" s="1081"/>
      <c r="AH34" s="1081"/>
      <c r="AI34" s="1081"/>
      <c r="AJ34" s="1081"/>
    </row>
    <row r="35" spans="1:36" x14ac:dyDescent="0.25">
      <c r="A35" s="506"/>
      <c r="B35" s="507"/>
      <c r="C35" s="507"/>
      <c r="D35" s="4979" t="s">
        <v>277</v>
      </c>
      <c r="E35" s="4979"/>
      <c r="F35" s="1720">
        <v>52</v>
      </c>
      <c r="G35" s="1721">
        <v>50.4</v>
      </c>
      <c r="H35" s="1720">
        <v>36.299999999999997</v>
      </c>
      <c r="I35" s="1721">
        <v>25.3</v>
      </c>
      <c r="J35" s="1717">
        <v>19.7</v>
      </c>
      <c r="K35" s="1753">
        <v>16.47</v>
      </c>
      <c r="L35" s="1718">
        <v>41</v>
      </c>
      <c r="M35" s="1719">
        <v>32</v>
      </c>
      <c r="N35" s="1718">
        <v>45</v>
      </c>
      <c r="O35" s="1719">
        <v>44</v>
      </c>
      <c r="P35" s="3794">
        <v>34</v>
      </c>
      <c r="Q35" s="3795">
        <v>34</v>
      </c>
      <c r="R35" s="1081"/>
      <c r="S35" s="1081"/>
      <c r="T35" s="1081"/>
      <c r="U35" s="1081"/>
      <c r="V35" s="1081"/>
      <c r="W35" s="1081"/>
      <c r="X35" s="1081"/>
      <c r="Y35" s="1081"/>
      <c r="Z35" s="1081"/>
      <c r="AA35" s="1081"/>
      <c r="AB35" s="1081"/>
      <c r="AC35" s="1081"/>
      <c r="AD35" s="1081"/>
      <c r="AE35" s="1081"/>
      <c r="AF35" s="1081"/>
      <c r="AG35" s="1081"/>
      <c r="AH35" s="1081"/>
      <c r="AI35" s="1081"/>
      <c r="AJ35" s="1081"/>
    </row>
    <row r="36" spans="1:36" x14ac:dyDescent="0.25">
      <c r="A36" s="506"/>
      <c r="B36" s="507"/>
      <c r="C36" s="507"/>
      <c r="D36" s="4979" t="s">
        <v>278</v>
      </c>
      <c r="E36" s="4979"/>
      <c r="F36" s="1720">
        <v>43.8</v>
      </c>
      <c r="G36" s="1721">
        <v>44.6</v>
      </c>
      <c r="H36" s="1720">
        <v>50.8</v>
      </c>
      <c r="I36" s="1721">
        <v>41.8</v>
      </c>
      <c r="J36" s="1717">
        <v>35.9</v>
      </c>
      <c r="K36" s="1753">
        <v>34.619999999999997</v>
      </c>
      <c r="L36" s="1718">
        <v>33</v>
      </c>
      <c r="M36" s="1719">
        <v>42</v>
      </c>
      <c r="N36" s="1718">
        <v>36</v>
      </c>
      <c r="O36" s="1719">
        <v>39</v>
      </c>
      <c r="P36" s="3794">
        <v>33</v>
      </c>
      <c r="Q36" s="3795">
        <v>44</v>
      </c>
      <c r="R36" s="1081"/>
      <c r="S36" s="1081"/>
      <c r="T36" s="1081"/>
      <c r="U36" s="1081"/>
      <c r="V36" s="1081"/>
      <c r="W36" s="1081"/>
      <c r="X36" s="1081"/>
      <c r="Y36" s="1081"/>
      <c r="Z36" s="1081"/>
      <c r="AA36" s="1081"/>
      <c r="AB36" s="1081"/>
      <c r="AC36" s="1081"/>
      <c r="AD36" s="1081"/>
      <c r="AE36" s="1081"/>
      <c r="AF36" s="1081"/>
      <c r="AG36" s="1081"/>
      <c r="AH36" s="1081"/>
      <c r="AI36" s="1081"/>
      <c r="AJ36" s="1081"/>
    </row>
    <row r="37" spans="1:36" x14ac:dyDescent="0.25">
      <c r="A37" s="506"/>
      <c r="B37" s="507"/>
      <c r="C37" s="507"/>
      <c r="D37" s="4979" t="s">
        <v>279</v>
      </c>
      <c r="E37" s="4979"/>
      <c r="F37" s="1720">
        <v>47.7</v>
      </c>
      <c r="G37" s="1721">
        <v>54.3</v>
      </c>
      <c r="H37" s="1720">
        <v>36.6</v>
      </c>
      <c r="I37" s="1721">
        <v>40.200000000000003</v>
      </c>
      <c r="J37" s="1717">
        <v>33.799999999999997</v>
      </c>
      <c r="K37" s="1753">
        <v>32.51</v>
      </c>
      <c r="L37" s="1718">
        <v>23</v>
      </c>
      <c r="M37" s="1719">
        <v>50</v>
      </c>
      <c r="N37" s="1718">
        <v>35</v>
      </c>
      <c r="O37" s="1719">
        <v>54</v>
      </c>
      <c r="P37" s="3794">
        <v>39</v>
      </c>
      <c r="Q37" s="3795">
        <v>43</v>
      </c>
      <c r="R37" s="1081"/>
      <c r="S37" s="1081"/>
      <c r="T37" s="1081"/>
      <c r="U37" s="1081"/>
      <c r="V37" s="1081"/>
      <c r="W37" s="1081"/>
      <c r="X37" s="1081"/>
      <c r="Y37" s="1081"/>
      <c r="Z37" s="1081"/>
      <c r="AA37" s="1081"/>
      <c r="AB37" s="1081"/>
      <c r="AC37" s="1081"/>
      <c r="AD37" s="1081"/>
      <c r="AE37" s="1081"/>
      <c r="AF37" s="1081"/>
      <c r="AG37" s="1081"/>
      <c r="AH37" s="1081"/>
      <c r="AI37" s="1081"/>
      <c r="AJ37" s="1081"/>
    </row>
    <row r="38" spans="1:36" x14ac:dyDescent="0.25">
      <c r="A38" s="506"/>
      <c r="B38" s="507"/>
      <c r="C38" s="507"/>
      <c r="D38" s="4980" t="s">
        <v>280</v>
      </c>
      <c r="E38" s="4980"/>
      <c r="F38" s="1720">
        <v>44.6</v>
      </c>
      <c r="G38" s="1721">
        <v>34.5</v>
      </c>
      <c r="H38" s="1720">
        <v>46.4</v>
      </c>
      <c r="I38" s="1721">
        <v>39.1</v>
      </c>
      <c r="J38" s="1717">
        <v>18</v>
      </c>
      <c r="K38" s="1753">
        <v>33.979999999999997</v>
      </c>
      <c r="L38" s="1718">
        <v>39</v>
      </c>
      <c r="M38" s="1719">
        <v>61</v>
      </c>
      <c r="N38" s="1718">
        <v>48</v>
      </c>
      <c r="O38" s="1719">
        <v>56</v>
      </c>
      <c r="P38" s="3794">
        <v>50</v>
      </c>
      <c r="Q38" s="3795">
        <v>52</v>
      </c>
      <c r="R38" s="1081"/>
      <c r="S38" s="1081"/>
      <c r="T38" s="1081"/>
      <c r="U38" s="1081"/>
      <c r="V38" s="1081"/>
      <c r="W38" s="1081"/>
      <c r="X38" s="1081"/>
      <c r="Y38" s="1081"/>
      <c r="Z38" s="1081"/>
      <c r="AA38" s="1081"/>
      <c r="AB38" s="1081"/>
      <c r="AC38" s="1081"/>
      <c r="AD38" s="1081"/>
      <c r="AE38" s="1081"/>
      <c r="AF38" s="1081"/>
      <c r="AG38" s="1081"/>
      <c r="AH38" s="1081"/>
      <c r="AI38" s="1081"/>
      <c r="AJ38" s="1081"/>
    </row>
    <row r="39" spans="1:36" x14ac:dyDescent="0.25">
      <c r="A39" s="506"/>
      <c r="B39" s="507"/>
      <c r="C39" s="507"/>
      <c r="D39" s="4979" t="s">
        <v>281</v>
      </c>
      <c r="E39" s="4979"/>
      <c r="F39" s="1720">
        <v>47.6</v>
      </c>
      <c r="G39" s="1721">
        <v>48.3</v>
      </c>
      <c r="H39" s="1720">
        <v>39.1</v>
      </c>
      <c r="I39" s="1721">
        <v>38</v>
      </c>
      <c r="J39" s="1717">
        <v>30.5</v>
      </c>
      <c r="K39" s="1753">
        <v>26.57</v>
      </c>
      <c r="L39" s="1718">
        <v>39</v>
      </c>
      <c r="M39" s="1719">
        <v>48</v>
      </c>
      <c r="N39" s="1718">
        <v>47</v>
      </c>
      <c r="O39" s="1719">
        <v>48</v>
      </c>
      <c r="P39" s="3794">
        <v>40</v>
      </c>
      <c r="Q39" s="3795">
        <v>45</v>
      </c>
      <c r="R39" s="1081"/>
      <c r="S39" s="1081"/>
      <c r="T39" s="1081"/>
      <c r="U39" s="1081"/>
      <c r="V39" s="1081"/>
      <c r="W39" s="1081"/>
      <c r="X39" s="1081"/>
      <c r="Y39" s="1081"/>
      <c r="Z39" s="1081"/>
      <c r="AA39" s="1081"/>
      <c r="AB39" s="1081"/>
      <c r="AC39" s="1081"/>
      <c r="AD39" s="1081"/>
      <c r="AE39" s="1081"/>
      <c r="AF39" s="1081"/>
      <c r="AG39" s="1081"/>
      <c r="AH39" s="1081"/>
      <c r="AI39" s="1081"/>
      <c r="AJ39" s="1081"/>
    </row>
    <row r="40" spans="1:36" x14ac:dyDescent="0.25">
      <c r="A40" s="506"/>
      <c r="B40" s="507"/>
      <c r="C40" s="507"/>
      <c r="D40" s="4979" t="s">
        <v>282</v>
      </c>
      <c r="E40" s="4979"/>
      <c r="F40" s="1720">
        <v>43.5</v>
      </c>
      <c r="G40" s="1721">
        <v>54.9</v>
      </c>
      <c r="H40" s="1720">
        <v>36.299999999999997</v>
      </c>
      <c r="I40" s="1721">
        <v>51.5</v>
      </c>
      <c r="J40" s="1717">
        <v>23.3</v>
      </c>
      <c r="K40" s="1753">
        <v>18.11</v>
      </c>
      <c r="L40" s="1718">
        <v>35</v>
      </c>
      <c r="M40" s="1719">
        <v>47</v>
      </c>
      <c r="N40" s="1718">
        <v>46</v>
      </c>
      <c r="O40" s="1719">
        <v>53</v>
      </c>
      <c r="P40" s="3794">
        <v>46</v>
      </c>
      <c r="Q40" s="3795">
        <v>38</v>
      </c>
      <c r="R40" s="1081"/>
      <c r="S40" s="1081"/>
      <c r="T40" s="1081"/>
      <c r="U40" s="1081"/>
      <c r="V40" s="1081"/>
      <c r="W40" s="1081"/>
      <c r="X40" s="1081"/>
      <c r="Y40" s="1081"/>
      <c r="Z40" s="1081"/>
      <c r="AA40" s="1081"/>
      <c r="AB40" s="1081"/>
      <c r="AC40" s="1081"/>
      <c r="AD40" s="1081"/>
      <c r="AE40" s="1081"/>
      <c r="AF40" s="1081"/>
      <c r="AG40" s="1081"/>
      <c r="AH40" s="1081"/>
      <c r="AI40" s="1081"/>
      <c r="AJ40" s="1081"/>
    </row>
    <row r="41" spans="1:36" x14ac:dyDescent="0.25">
      <c r="A41" s="506"/>
      <c r="B41" s="507"/>
      <c r="C41" s="507"/>
      <c r="D41" s="4979" t="s">
        <v>283</v>
      </c>
      <c r="E41" s="4979"/>
      <c r="F41" s="1720">
        <v>42</v>
      </c>
      <c r="G41" s="1721">
        <v>45.5</v>
      </c>
      <c r="H41" s="1720">
        <v>32.700000000000003</v>
      </c>
      <c r="I41" s="1721">
        <v>29.6</v>
      </c>
      <c r="J41" s="1717">
        <v>7.2</v>
      </c>
      <c r="K41" s="1753">
        <v>27.04</v>
      </c>
      <c r="L41" s="1718">
        <v>35</v>
      </c>
      <c r="M41" s="1719">
        <v>34</v>
      </c>
      <c r="N41" s="1718">
        <v>43</v>
      </c>
      <c r="O41" s="1719">
        <v>48</v>
      </c>
      <c r="P41" s="3794">
        <v>34</v>
      </c>
      <c r="Q41" s="3795">
        <v>37</v>
      </c>
      <c r="R41" s="1081"/>
      <c r="S41" s="1081"/>
      <c r="T41" s="1081"/>
      <c r="U41" s="1081"/>
      <c r="V41" s="1081"/>
      <c r="W41" s="1081"/>
      <c r="X41" s="1081"/>
      <c r="Y41" s="1081"/>
      <c r="Z41" s="1081"/>
      <c r="AA41" s="1081"/>
      <c r="AB41" s="1081"/>
      <c r="AC41" s="1081"/>
      <c r="AD41" s="1081"/>
      <c r="AE41" s="1081"/>
      <c r="AF41" s="1081"/>
      <c r="AG41" s="1081"/>
      <c r="AH41" s="1081"/>
      <c r="AI41" s="1081"/>
      <c r="AJ41" s="1081"/>
    </row>
    <row r="42" spans="1:36" x14ac:dyDescent="0.25">
      <c r="A42" s="506"/>
      <c r="B42" s="507"/>
      <c r="C42" s="507"/>
      <c r="D42" s="4979" t="s">
        <v>284</v>
      </c>
      <c r="E42" s="4979"/>
      <c r="F42" s="1726">
        <v>29.9</v>
      </c>
      <c r="G42" s="1727">
        <v>44.9</v>
      </c>
      <c r="H42" s="1726">
        <v>32.1</v>
      </c>
      <c r="I42" s="1727">
        <v>27.3</v>
      </c>
      <c r="J42" s="1726">
        <v>23.1</v>
      </c>
      <c r="K42" s="1754">
        <v>21.75</v>
      </c>
      <c r="L42" s="1731">
        <v>27</v>
      </c>
      <c r="M42" s="1732">
        <v>32</v>
      </c>
      <c r="N42" s="1731">
        <v>34</v>
      </c>
      <c r="O42" s="1732">
        <v>36</v>
      </c>
      <c r="P42" s="3796">
        <v>33</v>
      </c>
      <c r="Q42" s="3797">
        <v>32</v>
      </c>
      <c r="R42" s="1081"/>
      <c r="S42" s="1081"/>
      <c r="T42" s="1081"/>
      <c r="U42" s="1081"/>
      <c r="V42" s="1081"/>
      <c r="W42" s="1081"/>
      <c r="X42" s="1081"/>
      <c r="Y42" s="1081"/>
      <c r="Z42" s="1081"/>
      <c r="AA42" s="1081"/>
      <c r="AB42" s="1081"/>
      <c r="AC42" s="1081"/>
      <c r="AD42" s="1081"/>
      <c r="AE42" s="1081"/>
      <c r="AF42" s="1081"/>
      <c r="AG42" s="1081"/>
      <c r="AH42" s="1081"/>
      <c r="AI42" s="1081"/>
      <c r="AJ42" s="1081"/>
    </row>
    <row r="43" spans="1:36" x14ac:dyDescent="0.25">
      <c r="A43" s="506"/>
      <c r="B43" s="507"/>
      <c r="C43" s="507"/>
      <c r="D43" s="508"/>
      <c r="E43" s="508"/>
      <c r="F43" s="508"/>
      <c r="G43" s="508"/>
      <c r="H43" s="508"/>
      <c r="I43" s="508"/>
      <c r="J43" s="508"/>
      <c r="K43" s="508"/>
      <c r="L43" s="508"/>
      <c r="M43" s="508"/>
      <c r="N43" s="508"/>
      <c r="O43" s="508"/>
      <c r="P43" s="508"/>
      <c r="Q43" s="508"/>
      <c r="R43" s="1081"/>
      <c r="S43" s="1081"/>
      <c r="T43" s="1081"/>
      <c r="U43" s="1081"/>
      <c r="V43" s="1081"/>
      <c r="W43" s="1081"/>
      <c r="X43" s="1081"/>
      <c r="Y43" s="1081"/>
      <c r="Z43" s="1081"/>
      <c r="AA43" s="1081"/>
      <c r="AB43" s="1081"/>
      <c r="AC43" s="1081"/>
      <c r="AD43" s="1081"/>
      <c r="AE43" s="1081"/>
      <c r="AF43" s="1081"/>
      <c r="AG43" s="1081"/>
      <c r="AH43" s="1081"/>
      <c r="AI43" s="1081"/>
      <c r="AJ43" s="1081"/>
    </row>
    <row r="44" spans="1:36" x14ac:dyDescent="0.25">
      <c r="A44" s="506"/>
      <c r="B44" s="507"/>
      <c r="C44" s="507"/>
      <c r="D44" s="508"/>
      <c r="E44" s="508"/>
      <c r="F44" s="508"/>
      <c r="G44" s="508"/>
      <c r="H44" s="508"/>
      <c r="I44" s="508"/>
      <c r="J44" s="508"/>
      <c r="K44" s="508"/>
      <c r="L44" s="508"/>
      <c r="M44" s="508"/>
      <c r="N44" s="508"/>
      <c r="O44" s="508"/>
      <c r="P44" s="508"/>
      <c r="Q44" s="508"/>
      <c r="R44" s="1081"/>
      <c r="S44" s="1081"/>
      <c r="T44" s="1081"/>
      <c r="U44" s="1081"/>
      <c r="V44" s="1081"/>
      <c r="W44" s="1081"/>
      <c r="X44" s="1081"/>
      <c r="Y44" s="1081"/>
      <c r="Z44" s="1081"/>
      <c r="AA44" s="1081"/>
      <c r="AB44" s="1081"/>
      <c r="AC44" s="1081"/>
      <c r="AD44" s="1081"/>
      <c r="AE44" s="1081"/>
      <c r="AF44" s="1081"/>
      <c r="AG44" s="1081"/>
      <c r="AH44" s="1081"/>
      <c r="AI44" s="1081"/>
      <c r="AJ44" s="1081"/>
    </row>
    <row r="45" spans="1:36" x14ac:dyDescent="0.25">
      <c r="A45" s="546">
        <v>7</v>
      </c>
      <c r="B45" s="546" t="s">
        <v>52</v>
      </c>
      <c r="C45" s="546"/>
      <c r="D45" s="4603" t="s">
        <v>533</v>
      </c>
      <c r="E45" s="4604"/>
      <c r="F45" s="4604"/>
      <c r="G45" s="4604"/>
      <c r="H45" s="4604"/>
      <c r="I45" s="4604"/>
      <c r="J45" s="4604"/>
      <c r="K45" s="4604"/>
      <c r="L45" s="4604"/>
      <c r="M45" s="4604"/>
      <c r="N45" s="4604"/>
      <c r="O45" s="4604"/>
      <c r="P45" s="4604"/>
      <c r="Q45" s="4604"/>
      <c r="R45" s="4604"/>
      <c r="S45" s="4604"/>
      <c r="T45" s="4604"/>
      <c r="U45" s="4604"/>
      <c r="V45" s="4604"/>
      <c r="W45" s="4605"/>
      <c r="X45" s="1081"/>
      <c r="Y45" s="1081"/>
      <c r="Z45" s="1081"/>
      <c r="AA45" s="1081"/>
      <c r="AB45" s="1081"/>
      <c r="AC45" s="1081"/>
      <c r="AD45" s="1081"/>
      <c r="AE45" s="1081"/>
      <c r="AF45" s="1081"/>
      <c r="AG45" s="1081"/>
      <c r="AH45" s="1081"/>
      <c r="AI45" s="1081"/>
      <c r="AJ45" s="1081"/>
    </row>
    <row r="46" spans="1:36" ht="12.75" customHeight="1" x14ac:dyDescent="0.25">
      <c r="A46" s="509">
        <v>8</v>
      </c>
      <c r="B46" s="509" t="s">
        <v>54</v>
      </c>
      <c r="C46" s="509"/>
      <c r="D46" s="4603" t="s">
        <v>1543</v>
      </c>
      <c r="E46" s="4604"/>
      <c r="F46" s="4604"/>
      <c r="G46" s="4604"/>
      <c r="H46" s="4604"/>
      <c r="I46" s="4604"/>
      <c r="J46" s="4604"/>
      <c r="K46" s="4604"/>
      <c r="L46" s="4604"/>
      <c r="M46" s="4604"/>
      <c r="N46" s="4604"/>
      <c r="O46" s="4604"/>
      <c r="P46" s="4604"/>
      <c r="Q46" s="4604"/>
      <c r="R46" s="4604"/>
      <c r="S46" s="4604"/>
      <c r="T46" s="4604"/>
      <c r="U46" s="4604"/>
      <c r="V46" s="4604"/>
      <c r="W46" s="4605"/>
      <c r="X46" s="1081"/>
      <c r="Y46" s="1081"/>
      <c r="Z46" s="1081"/>
      <c r="AA46" s="1081"/>
      <c r="AB46" s="1081"/>
      <c r="AC46" s="1081"/>
      <c r="AD46" s="1081"/>
      <c r="AE46" s="1081"/>
      <c r="AF46" s="1081"/>
      <c r="AG46" s="1081"/>
      <c r="AH46" s="1081"/>
      <c r="AI46" s="1081"/>
      <c r="AJ46" s="1081"/>
    </row>
    <row r="47" spans="1:36" ht="16.5" customHeight="1" x14ac:dyDescent="0.25">
      <c r="A47" s="546">
        <v>9</v>
      </c>
      <c r="B47" s="509" t="s">
        <v>56</v>
      </c>
      <c r="C47" s="507"/>
      <c r="D47" s="4603" t="s">
        <v>1544</v>
      </c>
      <c r="E47" s="4604"/>
      <c r="F47" s="4604"/>
      <c r="G47" s="4604"/>
      <c r="H47" s="4604"/>
      <c r="I47" s="4604"/>
      <c r="J47" s="4604"/>
      <c r="K47" s="4604"/>
      <c r="L47" s="4604"/>
      <c r="M47" s="4604"/>
      <c r="N47" s="4604"/>
      <c r="O47" s="4604"/>
      <c r="P47" s="4604"/>
      <c r="Q47" s="4604"/>
      <c r="R47" s="4604"/>
      <c r="S47" s="4604"/>
      <c r="T47" s="4604"/>
      <c r="U47" s="4604"/>
      <c r="V47" s="4604"/>
      <c r="W47" s="4605"/>
      <c r="X47" s="1081"/>
      <c r="Y47" s="1081"/>
      <c r="Z47" s="1081"/>
      <c r="AA47" s="1081"/>
      <c r="AB47" s="1081"/>
      <c r="AC47" s="1081"/>
      <c r="AD47" s="1081"/>
      <c r="AE47" s="1081"/>
      <c r="AF47" s="1081"/>
      <c r="AG47" s="1081"/>
      <c r="AH47" s="1081"/>
      <c r="AI47" s="1081"/>
      <c r="AJ47" s="1081"/>
    </row>
    <row r="48" spans="1:36" ht="83.25" customHeight="1" x14ac:dyDescent="0.25">
      <c r="A48" s="509">
        <v>10</v>
      </c>
      <c r="B48" s="509" t="s">
        <v>58</v>
      </c>
      <c r="D48" s="4603" t="s">
        <v>1545</v>
      </c>
      <c r="E48" s="4604"/>
      <c r="F48" s="4604"/>
      <c r="G48" s="4604"/>
      <c r="H48" s="4604"/>
      <c r="I48" s="4604"/>
      <c r="J48" s="4604"/>
      <c r="K48" s="4604"/>
      <c r="L48" s="4604"/>
      <c r="M48" s="4604"/>
      <c r="N48" s="4604"/>
      <c r="O48" s="4604"/>
      <c r="P48" s="4604"/>
      <c r="Q48" s="4604"/>
      <c r="R48" s="4604"/>
      <c r="S48" s="4604"/>
      <c r="T48" s="4604"/>
      <c r="U48" s="4604"/>
      <c r="V48" s="4604"/>
      <c r="W48" s="4605"/>
      <c r="X48" s="1081"/>
      <c r="Y48" s="1081"/>
      <c r="Z48" s="1081"/>
      <c r="AA48" s="1081"/>
      <c r="AB48" s="1081"/>
      <c r="AC48" s="1081"/>
      <c r="AD48" s="1081"/>
      <c r="AE48" s="1081"/>
      <c r="AF48" s="1081"/>
      <c r="AG48" s="1081"/>
      <c r="AH48" s="1081"/>
      <c r="AI48" s="1081"/>
      <c r="AJ48" s="1081"/>
    </row>
    <row r="49" spans="7:36" x14ac:dyDescent="0.25">
      <c r="V49" s="1081"/>
      <c r="W49" s="1081"/>
      <c r="X49" s="1081"/>
      <c r="Y49" s="1081"/>
      <c r="Z49" s="1081"/>
      <c r="AA49" s="1081"/>
      <c r="AB49" s="1081"/>
      <c r="AC49" s="1081"/>
      <c r="AD49" s="1081"/>
      <c r="AE49" s="1081"/>
      <c r="AF49" s="1081"/>
      <c r="AG49" s="1081"/>
      <c r="AH49" s="1081"/>
      <c r="AI49" s="1081"/>
      <c r="AJ49" s="1081"/>
    </row>
    <row r="50" spans="7:36" x14ac:dyDescent="0.25">
      <c r="V50" s="1081"/>
      <c r="W50" s="1081"/>
      <c r="X50" s="1081"/>
      <c r="Y50" s="1081"/>
      <c r="Z50" s="1081"/>
      <c r="AA50" s="1081"/>
      <c r="AB50" s="1081"/>
      <c r="AC50" s="1081"/>
      <c r="AD50" s="1081"/>
      <c r="AE50" s="1081"/>
      <c r="AF50" s="1081"/>
      <c r="AG50" s="1081"/>
      <c r="AH50" s="1081"/>
      <c r="AI50" s="1081"/>
      <c r="AJ50" s="1081"/>
    </row>
    <row r="58" spans="7:36" x14ac:dyDescent="0.25">
      <c r="G58" s="1755"/>
    </row>
    <row r="73" spans="4:44" x14ac:dyDescent="0.25">
      <c r="D73" s="1756"/>
      <c r="E73" s="4981">
        <v>2000</v>
      </c>
      <c r="F73" s="4982"/>
      <c r="G73" s="4983">
        <v>2001</v>
      </c>
      <c r="H73" s="4982"/>
      <c r="I73" s="4983">
        <v>2002</v>
      </c>
      <c r="J73" s="4982"/>
      <c r="K73" s="4983">
        <v>2003</v>
      </c>
      <c r="L73" s="4982"/>
      <c r="M73" s="4983">
        <v>2004</v>
      </c>
      <c r="N73" s="4982"/>
      <c r="O73" s="4983">
        <v>2005</v>
      </c>
      <c r="P73" s="4982"/>
      <c r="Q73" s="4983">
        <v>2006</v>
      </c>
      <c r="R73" s="4982"/>
      <c r="S73" s="4983">
        <v>2007</v>
      </c>
      <c r="T73" s="4982"/>
      <c r="U73" s="4983">
        <v>2008</v>
      </c>
      <c r="V73" s="4982"/>
      <c r="W73" s="4983" t="s">
        <v>333</v>
      </c>
      <c r="X73" s="4982"/>
      <c r="Y73" s="4983">
        <v>2010</v>
      </c>
      <c r="Z73" s="4982"/>
      <c r="AA73" s="4983">
        <v>2011</v>
      </c>
      <c r="AB73" s="4982"/>
      <c r="AC73" s="4983">
        <v>2012</v>
      </c>
      <c r="AD73" s="4982"/>
      <c r="AE73" s="4983">
        <v>2013</v>
      </c>
      <c r="AF73" s="4982"/>
      <c r="AG73" s="4983">
        <v>2014</v>
      </c>
      <c r="AH73" s="4982"/>
      <c r="AI73" s="4981">
        <v>2015</v>
      </c>
      <c r="AJ73" s="4984"/>
      <c r="AK73" s="1757">
        <v>2016</v>
      </c>
      <c r="AL73" s="1758"/>
      <c r="AM73" s="1757" t="s">
        <v>30</v>
      </c>
      <c r="AN73" s="1758"/>
      <c r="AO73" s="1757" t="s">
        <v>31</v>
      </c>
      <c r="AP73" s="1758"/>
      <c r="AQ73" s="4985" t="s">
        <v>32</v>
      </c>
      <c r="AR73" s="4986"/>
    </row>
    <row r="74" spans="4:44" x14ac:dyDescent="0.25">
      <c r="D74" s="1759"/>
      <c r="E74" s="1760" t="s">
        <v>259</v>
      </c>
      <c r="F74" s="1761" t="s">
        <v>257</v>
      </c>
      <c r="G74" s="1762" t="s">
        <v>259</v>
      </c>
      <c r="H74" s="1761" t="s">
        <v>257</v>
      </c>
      <c r="I74" s="1762" t="s">
        <v>259</v>
      </c>
      <c r="J74" s="1761" t="s">
        <v>257</v>
      </c>
      <c r="K74" s="1762" t="s">
        <v>259</v>
      </c>
      <c r="L74" s="3597" t="s">
        <v>257</v>
      </c>
      <c r="M74" s="1762" t="s">
        <v>259</v>
      </c>
      <c r="N74" s="1761" t="s">
        <v>257</v>
      </c>
      <c r="O74" s="1762" t="s">
        <v>259</v>
      </c>
      <c r="P74" s="1761" t="s">
        <v>257</v>
      </c>
      <c r="Q74" s="1762" t="s">
        <v>259</v>
      </c>
      <c r="R74" s="1761" t="s">
        <v>257</v>
      </c>
      <c r="S74" s="1762" t="s">
        <v>259</v>
      </c>
      <c r="T74" s="1761" t="s">
        <v>257</v>
      </c>
      <c r="U74" s="312" t="s">
        <v>256</v>
      </c>
      <c r="V74" s="1761" t="s">
        <v>257</v>
      </c>
      <c r="W74" s="312" t="s">
        <v>256</v>
      </c>
      <c r="X74" s="1761" t="s">
        <v>258</v>
      </c>
      <c r="Y74" s="312" t="s">
        <v>259</v>
      </c>
      <c r="Z74" s="1761" t="s">
        <v>257</v>
      </c>
      <c r="AA74" s="312" t="s">
        <v>256</v>
      </c>
      <c r="AB74" s="1761" t="s">
        <v>258</v>
      </c>
      <c r="AC74" s="312" t="s">
        <v>256</v>
      </c>
      <c r="AD74" s="1761" t="s">
        <v>258</v>
      </c>
      <c r="AE74" s="312" t="s">
        <v>256</v>
      </c>
      <c r="AF74" s="1761" t="s">
        <v>258</v>
      </c>
      <c r="AG74" s="312" t="s">
        <v>256</v>
      </c>
      <c r="AH74" s="1761" t="s">
        <v>258</v>
      </c>
      <c r="AI74" s="1644" t="s">
        <v>256</v>
      </c>
      <c r="AJ74" s="1171" t="s">
        <v>258</v>
      </c>
      <c r="AK74" s="1763" t="s">
        <v>256</v>
      </c>
      <c r="AL74" s="1171" t="s">
        <v>258</v>
      </c>
      <c r="AM74" s="1763" t="s">
        <v>1490</v>
      </c>
      <c r="AN74" s="1171" t="s">
        <v>1491</v>
      </c>
      <c r="AO74" s="1763" t="s">
        <v>1492</v>
      </c>
      <c r="AP74" s="1171" t="s">
        <v>1493</v>
      </c>
      <c r="AQ74" s="1764" t="s">
        <v>1494</v>
      </c>
      <c r="AR74" s="1765" t="s">
        <v>1495</v>
      </c>
    </row>
    <row r="75" spans="4:44" x14ac:dyDescent="0.25">
      <c r="D75" s="1766" t="s">
        <v>1546</v>
      </c>
      <c r="E75" s="1767">
        <v>74</v>
      </c>
      <c r="F75" s="1617">
        <v>69</v>
      </c>
      <c r="G75" s="1443">
        <v>40</v>
      </c>
      <c r="H75" s="1169">
        <v>40</v>
      </c>
      <c r="I75" s="95">
        <v>43</v>
      </c>
      <c r="J75" s="1169">
        <v>44</v>
      </c>
      <c r="K75" s="1183">
        <v>47.9</v>
      </c>
      <c r="L75" s="1703">
        <v>50.8</v>
      </c>
      <c r="M75" s="1183">
        <v>60.4</v>
      </c>
      <c r="N75" s="1703">
        <v>59.4</v>
      </c>
      <c r="O75" s="1768">
        <v>59.7</v>
      </c>
      <c r="P75" s="1703">
        <v>58.6</v>
      </c>
      <c r="Q75" s="1183">
        <v>60.3</v>
      </c>
      <c r="R75" s="1703">
        <v>58.1</v>
      </c>
      <c r="S75" s="1183">
        <v>57</v>
      </c>
      <c r="T75" s="1703">
        <v>54.9</v>
      </c>
      <c r="U75" s="1183">
        <v>48.5</v>
      </c>
      <c r="V75" s="1703">
        <v>50</v>
      </c>
      <c r="W75" s="1183">
        <v>48.5</v>
      </c>
      <c r="X75" s="1703">
        <v>57</v>
      </c>
      <c r="Y75" s="1183">
        <v>46</v>
      </c>
      <c r="Z75" s="1703">
        <v>54</v>
      </c>
      <c r="AA75" s="1183">
        <v>48</v>
      </c>
      <c r="AB75" s="1703">
        <v>40.200000000000003</v>
      </c>
      <c r="AC75" s="1183">
        <v>42</v>
      </c>
      <c r="AD75" s="1703">
        <v>35.799999999999997</v>
      </c>
      <c r="AE75" s="1183">
        <v>37</v>
      </c>
      <c r="AF75" s="1703">
        <v>34</v>
      </c>
      <c r="AG75" s="1183">
        <v>43</v>
      </c>
      <c r="AH75" s="1703">
        <v>46</v>
      </c>
      <c r="AI75" s="1184">
        <v>40</v>
      </c>
      <c r="AJ75" s="1708">
        <v>37</v>
      </c>
      <c r="AK75" s="1769">
        <v>28</v>
      </c>
      <c r="AL75" s="1770">
        <v>29</v>
      </c>
      <c r="AM75" s="1769">
        <v>31</v>
      </c>
      <c r="AN75" s="1770">
        <v>45</v>
      </c>
      <c r="AO75" s="1769">
        <v>38</v>
      </c>
      <c r="AP75" s="1770">
        <v>45</v>
      </c>
      <c r="AQ75" s="1771">
        <v>37</v>
      </c>
      <c r="AR75" s="1772">
        <v>42</v>
      </c>
    </row>
    <row r="76" spans="4:44" x14ac:dyDescent="0.25">
      <c r="D76" s="508"/>
      <c r="E76" s="1709">
        <f>+AVERAGE(E75:F75)</f>
        <v>71.5</v>
      </c>
      <c r="F76" s="1709"/>
      <c r="G76" s="1709">
        <f>+AVERAGE(G75:H75)</f>
        <v>40</v>
      </c>
      <c r="H76" s="1709"/>
      <c r="I76" s="1709">
        <f>+AVERAGE(I75:J75)</f>
        <v>43.5</v>
      </c>
      <c r="J76" s="1709"/>
      <c r="K76" s="1709">
        <f>+AVERAGE(K75:L75)</f>
        <v>49.349999999999994</v>
      </c>
      <c r="L76" s="1709"/>
      <c r="M76" s="1709">
        <f>+AVERAGE(M75:N75)</f>
        <v>59.9</v>
      </c>
      <c r="N76" s="1709"/>
      <c r="O76" s="1709">
        <f>+AVERAGE(O75:P75)</f>
        <v>59.150000000000006</v>
      </c>
      <c r="P76" s="1709"/>
      <c r="Q76" s="1709">
        <f>+AVERAGE(Q75:R75)</f>
        <v>59.2</v>
      </c>
      <c r="R76" s="1710"/>
      <c r="S76" s="1709">
        <f>+AVERAGE(S75:T75)</f>
        <v>55.95</v>
      </c>
      <c r="T76" s="1710"/>
      <c r="U76" s="1709">
        <f>+AVERAGE(U75:V75)</f>
        <v>49.25</v>
      </c>
      <c r="V76" s="1710"/>
      <c r="W76" s="1709">
        <f>+AVERAGE(W75:X75)</f>
        <v>52.75</v>
      </c>
      <c r="X76" s="1710"/>
      <c r="Y76" s="1709">
        <f>+AVERAGE(Y75:Z75)</f>
        <v>50</v>
      </c>
      <c r="Z76" s="1752"/>
      <c r="AA76" s="1709">
        <f>+AVERAGE(AA75:AB75)</f>
        <v>44.1</v>
      </c>
      <c r="AB76" s="1752"/>
      <c r="AC76" s="1709">
        <f>+AVERAGE(AC75:AD75)</f>
        <v>38.9</v>
      </c>
      <c r="AE76" s="1709">
        <f>+AVERAGE(AE75:AF75)</f>
        <v>35.5</v>
      </c>
      <c r="AF76" s="1752"/>
      <c r="AG76" s="1709">
        <f>+AVERAGE(AG75:AH75)</f>
        <v>44.5</v>
      </c>
      <c r="AI76" s="1752">
        <v>39</v>
      </c>
      <c r="AK76" s="113">
        <v>29</v>
      </c>
      <c r="AM76" s="113">
        <v>38</v>
      </c>
      <c r="AO76" s="113">
        <v>42</v>
      </c>
      <c r="AQ76" s="113">
        <v>40</v>
      </c>
    </row>
  </sheetData>
  <mergeCells count="41">
    <mergeCell ref="AG73:AH73"/>
    <mergeCell ref="AI73:AJ73"/>
    <mergeCell ref="AQ73:AR73"/>
    <mergeCell ref="U73:V73"/>
    <mergeCell ref="W73:X73"/>
    <mergeCell ref="Y73:Z73"/>
    <mergeCell ref="AA73:AB73"/>
    <mergeCell ref="AC73:AD73"/>
    <mergeCell ref="AE73:AF73"/>
    <mergeCell ref="D47:W47"/>
    <mergeCell ref="D48:W48"/>
    <mergeCell ref="E73:F73"/>
    <mergeCell ref="G73:H73"/>
    <mergeCell ref="I73:J73"/>
    <mergeCell ref="K73:L73"/>
    <mergeCell ref="M73:N73"/>
    <mergeCell ref="O73:P73"/>
    <mergeCell ref="Q73:R73"/>
    <mergeCell ref="S73:T73"/>
    <mergeCell ref="D46:W46"/>
    <mergeCell ref="P32:Q32"/>
    <mergeCell ref="D34:E34"/>
    <mergeCell ref="D35:E35"/>
    <mergeCell ref="D36:E36"/>
    <mergeCell ref="D37:E37"/>
    <mergeCell ref="D38:E38"/>
    <mergeCell ref="D39:E39"/>
    <mergeCell ref="D40:E40"/>
    <mergeCell ref="D41:E41"/>
    <mergeCell ref="D42:E42"/>
    <mergeCell ref="D45:W45"/>
    <mergeCell ref="D2:W2"/>
    <mergeCell ref="D3:W3"/>
    <mergeCell ref="D4:W4"/>
    <mergeCell ref="D5:W5"/>
    <mergeCell ref="D32:E33"/>
    <mergeCell ref="F32:G32"/>
    <mergeCell ref="H32:I32"/>
    <mergeCell ref="J32:K32"/>
    <mergeCell ref="L32:M32"/>
    <mergeCell ref="N32:O32"/>
  </mergeCells>
  <pageMargins left="0.74803149606299213" right="0.74803149606299213" top="0.98425196850393704" bottom="0.98425196850393704" header="0.51181102362204722" footer="0.51181102362204722"/>
  <pageSetup paperSize="9" scale="5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15F3A-36F0-47AB-A71E-21B5AE53012C}">
  <sheetPr>
    <tabColor theme="5" tint="-0.249977111117893"/>
    <pageSetUpPr fitToPage="1"/>
  </sheetPr>
  <dimension ref="A1:BG59"/>
  <sheetViews>
    <sheetView showGridLines="0" view="pageBreakPreview" topLeftCell="B1" zoomScale="120" zoomScaleNormal="100" zoomScaleSheetLayoutView="120" workbookViewId="0">
      <selection activeCell="AO20" sqref="AO20"/>
    </sheetView>
  </sheetViews>
  <sheetFormatPr defaultColWidth="9.140625" defaultRowHeight="15" x14ac:dyDescent="0.2"/>
  <cols>
    <col min="1" max="1" width="3.5703125" style="506" customWidth="1"/>
    <col min="2" max="2" width="10.42578125" style="507" customWidth="1"/>
    <col min="3" max="3" width="3.5703125" style="507" customWidth="1"/>
    <col min="4" max="4" width="15.5703125" style="1081" customWidth="1"/>
    <col min="5" max="11" width="6.42578125" style="1081" customWidth="1"/>
    <col min="12" max="12" width="9.5703125" style="1081" customWidth="1"/>
    <col min="13" max="13" width="11.140625" style="1081" customWidth="1"/>
    <col min="14" max="14" width="8.5703125" style="1081" customWidth="1"/>
    <col min="15" max="15" width="10" style="1081" customWidth="1"/>
    <col min="16" max="16" width="12.140625" style="1081" customWidth="1"/>
    <col min="17" max="17" width="9.85546875" style="1081" customWidth="1"/>
    <col min="18" max="29" width="6.42578125" style="1081" customWidth="1"/>
    <col min="30" max="30" width="5.5703125" style="1081" customWidth="1"/>
    <col min="31" max="33" width="6.42578125" style="1081" customWidth="1"/>
    <col min="34" max="34" width="5.5703125" style="1081" customWidth="1"/>
    <col min="35" max="38" width="9.140625" style="1081"/>
    <col min="39" max="39" width="12.5703125" style="1081" customWidth="1"/>
    <col min="40" max="40" width="10.42578125" style="1081" customWidth="1"/>
    <col min="41" max="41" width="9.85546875" style="1081" customWidth="1"/>
    <col min="42" max="263" width="9.140625" style="1081"/>
    <col min="264" max="264" width="3.5703125" style="1081" customWidth="1"/>
    <col min="265" max="265" width="14.42578125" style="1081" customWidth="1"/>
    <col min="266" max="266" width="3.5703125" style="1081" customWidth="1"/>
    <col min="267" max="267" width="18.5703125" style="1081" customWidth="1"/>
    <col min="268" max="290" width="6.42578125" style="1081" customWidth="1"/>
    <col min="291" max="519" width="9.140625" style="1081"/>
    <col min="520" max="520" width="3.5703125" style="1081" customWidth="1"/>
    <col min="521" max="521" width="14.42578125" style="1081" customWidth="1"/>
    <col min="522" max="522" width="3.5703125" style="1081" customWidth="1"/>
    <col min="523" max="523" width="18.5703125" style="1081" customWidth="1"/>
    <col min="524" max="546" width="6.42578125" style="1081" customWidth="1"/>
    <col min="547" max="775" width="9.140625" style="1081"/>
    <col min="776" max="776" width="3.5703125" style="1081" customWidth="1"/>
    <col min="777" max="777" width="14.42578125" style="1081" customWidth="1"/>
    <col min="778" max="778" width="3.5703125" style="1081" customWidth="1"/>
    <col min="779" max="779" width="18.5703125" style="1081" customWidth="1"/>
    <col min="780" max="802" width="6.42578125" style="1081" customWidth="1"/>
    <col min="803" max="1031" width="9.140625" style="1081"/>
    <col min="1032" max="1032" width="3.5703125" style="1081" customWidth="1"/>
    <col min="1033" max="1033" width="14.42578125" style="1081" customWidth="1"/>
    <col min="1034" max="1034" width="3.5703125" style="1081" customWidth="1"/>
    <col min="1035" max="1035" width="18.5703125" style="1081" customWidth="1"/>
    <col min="1036" max="1058" width="6.42578125" style="1081" customWidth="1"/>
    <col min="1059" max="1287" width="9.140625" style="1081"/>
    <col min="1288" max="1288" width="3.5703125" style="1081" customWidth="1"/>
    <col min="1289" max="1289" width="14.42578125" style="1081" customWidth="1"/>
    <col min="1290" max="1290" width="3.5703125" style="1081" customWidth="1"/>
    <col min="1291" max="1291" width="18.5703125" style="1081" customWidth="1"/>
    <col min="1292" max="1314" width="6.42578125" style="1081" customWidth="1"/>
    <col min="1315" max="1543" width="9.140625" style="1081"/>
    <col min="1544" max="1544" width="3.5703125" style="1081" customWidth="1"/>
    <col min="1545" max="1545" width="14.42578125" style="1081" customWidth="1"/>
    <col min="1546" max="1546" width="3.5703125" style="1081" customWidth="1"/>
    <col min="1547" max="1547" width="18.5703125" style="1081" customWidth="1"/>
    <col min="1548" max="1570" width="6.42578125" style="1081" customWidth="1"/>
    <col min="1571" max="1799" width="9.140625" style="1081"/>
    <col min="1800" max="1800" width="3.5703125" style="1081" customWidth="1"/>
    <col min="1801" max="1801" width="14.42578125" style="1081" customWidth="1"/>
    <col min="1802" max="1802" width="3.5703125" style="1081" customWidth="1"/>
    <col min="1803" max="1803" width="18.5703125" style="1081" customWidth="1"/>
    <col min="1804" max="1826" width="6.42578125" style="1081" customWidth="1"/>
    <col min="1827" max="2055" width="9.140625" style="1081"/>
    <col min="2056" max="2056" width="3.5703125" style="1081" customWidth="1"/>
    <col min="2057" max="2057" width="14.42578125" style="1081" customWidth="1"/>
    <col min="2058" max="2058" width="3.5703125" style="1081" customWidth="1"/>
    <col min="2059" max="2059" width="18.5703125" style="1081" customWidth="1"/>
    <col min="2060" max="2082" width="6.42578125" style="1081" customWidth="1"/>
    <col min="2083" max="2311" width="9.140625" style="1081"/>
    <col min="2312" max="2312" width="3.5703125" style="1081" customWidth="1"/>
    <col min="2313" max="2313" width="14.42578125" style="1081" customWidth="1"/>
    <col min="2314" max="2314" width="3.5703125" style="1081" customWidth="1"/>
    <col min="2315" max="2315" width="18.5703125" style="1081" customWidth="1"/>
    <col min="2316" max="2338" width="6.42578125" style="1081" customWidth="1"/>
    <col min="2339" max="2567" width="9.140625" style="1081"/>
    <col min="2568" max="2568" width="3.5703125" style="1081" customWidth="1"/>
    <col min="2569" max="2569" width="14.42578125" style="1081" customWidth="1"/>
    <col min="2570" max="2570" width="3.5703125" style="1081" customWidth="1"/>
    <col min="2571" max="2571" width="18.5703125" style="1081" customWidth="1"/>
    <col min="2572" max="2594" width="6.42578125" style="1081" customWidth="1"/>
    <col min="2595" max="2823" width="9.140625" style="1081"/>
    <col min="2824" max="2824" width="3.5703125" style="1081" customWidth="1"/>
    <col min="2825" max="2825" width="14.42578125" style="1081" customWidth="1"/>
    <col min="2826" max="2826" width="3.5703125" style="1081" customWidth="1"/>
    <col min="2827" max="2827" width="18.5703125" style="1081" customWidth="1"/>
    <col min="2828" max="2850" width="6.42578125" style="1081" customWidth="1"/>
    <col min="2851" max="3079" width="9.140625" style="1081"/>
    <col min="3080" max="3080" width="3.5703125" style="1081" customWidth="1"/>
    <col min="3081" max="3081" width="14.42578125" style="1081" customWidth="1"/>
    <col min="3082" max="3082" width="3.5703125" style="1081" customWidth="1"/>
    <col min="3083" max="3083" width="18.5703125" style="1081" customWidth="1"/>
    <col min="3084" max="3106" width="6.42578125" style="1081" customWidth="1"/>
    <col min="3107" max="3335" width="9.140625" style="1081"/>
    <col min="3336" max="3336" width="3.5703125" style="1081" customWidth="1"/>
    <col min="3337" max="3337" width="14.42578125" style="1081" customWidth="1"/>
    <col min="3338" max="3338" width="3.5703125" style="1081" customWidth="1"/>
    <col min="3339" max="3339" width="18.5703125" style="1081" customWidth="1"/>
    <col min="3340" max="3362" width="6.42578125" style="1081" customWidth="1"/>
    <col min="3363" max="3591" width="9.140625" style="1081"/>
    <col min="3592" max="3592" width="3.5703125" style="1081" customWidth="1"/>
    <col min="3593" max="3593" width="14.42578125" style="1081" customWidth="1"/>
    <col min="3594" max="3594" width="3.5703125" style="1081" customWidth="1"/>
    <col min="3595" max="3595" width="18.5703125" style="1081" customWidth="1"/>
    <col min="3596" max="3618" width="6.42578125" style="1081" customWidth="1"/>
    <col min="3619" max="3847" width="9.140625" style="1081"/>
    <col min="3848" max="3848" width="3.5703125" style="1081" customWidth="1"/>
    <col min="3849" max="3849" width="14.42578125" style="1081" customWidth="1"/>
    <col min="3850" max="3850" width="3.5703125" style="1081" customWidth="1"/>
    <col min="3851" max="3851" width="18.5703125" style="1081" customWidth="1"/>
    <col min="3852" max="3874" width="6.42578125" style="1081" customWidth="1"/>
    <col min="3875" max="4103" width="9.140625" style="1081"/>
    <col min="4104" max="4104" width="3.5703125" style="1081" customWidth="1"/>
    <col min="4105" max="4105" width="14.42578125" style="1081" customWidth="1"/>
    <col min="4106" max="4106" width="3.5703125" style="1081" customWidth="1"/>
    <col min="4107" max="4107" width="18.5703125" style="1081" customWidth="1"/>
    <col min="4108" max="4130" width="6.42578125" style="1081" customWidth="1"/>
    <col min="4131" max="4359" width="9.140625" style="1081"/>
    <col min="4360" max="4360" width="3.5703125" style="1081" customWidth="1"/>
    <col min="4361" max="4361" width="14.42578125" style="1081" customWidth="1"/>
    <col min="4362" max="4362" width="3.5703125" style="1081" customWidth="1"/>
    <col min="4363" max="4363" width="18.5703125" style="1081" customWidth="1"/>
    <col min="4364" max="4386" width="6.42578125" style="1081" customWidth="1"/>
    <col min="4387" max="4615" width="9.140625" style="1081"/>
    <col min="4616" max="4616" width="3.5703125" style="1081" customWidth="1"/>
    <col min="4617" max="4617" width="14.42578125" style="1081" customWidth="1"/>
    <col min="4618" max="4618" width="3.5703125" style="1081" customWidth="1"/>
    <col min="4619" max="4619" width="18.5703125" style="1081" customWidth="1"/>
    <col min="4620" max="4642" width="6.42578125" style="1081" customWidth="1"/>
    <col min="4643" max="4871" width="9.140625" style="1081"/>
    <col min="4872" max="4872" width="3.5703125" style="1081" customWidth="1"/>
    <col min="4873" max="4873" width="14.42578125" style="1081" customWidth="1"/>
    <col min="4874" max="4874" width="3.5703125" style="1081" customWidth="1"/>
    <col min="4875" max="4875" width="18.5703125" style="1081" customWidth="1"/>
    <col min="4876" max="4898" width="6.42578125" style="1081" customWidth="1"/>
    <col min="4899" max="5127" width="9.140625" style="1081"/>
    <col min="5128" max="5128" width="3.5703125" style="1081" customWidth="1"/>
    <col min="5129" max="5129" width="14.42578125" style="1081" customWidth="1"/>
    <col min="5130" max="5130" width="3.5703125" style="1081" customWidth="1"/>
    <col min="5131" max="5131" width="18.5703125" style="1081" customWidth="1"/>
    <col min="5132" max="5154" width="6.42578125" style="1081" customWidth="1"/>
    <col min="5155" max="5383" width="9.140625" style="1081"/>
    <col min="5384" max="5384" width="3.5703125" style="1081" customWidth="1"/>
    <col min="5385" max="5385" width="14.42578125" style="1081" customWidth="1"/>
    <col min="5386" max="5386" width="3.5703125" style="1081" customWidth="1"/>
    <col min="5387" max="5387" width="18.5703125" style="1081" customWidth="1"/>
    <col min="5388" max="5410" width="6.42578125" style="1081" customWidth="1"/>
    <col min="5411" max="5639" width="9.140625" style="1081"/>
    <col min="5640" max="5640" width="3.5703125" style="1081" customWidth="1"/>
    <col min="5641" max="5641" width="14.42578125" style="1081" customWidth="1"/>
    <col min="5642" max="5642" width="3.5703125" style="1081" customWidth="1"/>
    <col min="5643" max="5643" width="18.5703125" style="1081" customWidth="1"/>
    <col min="5644" max="5666" width="6.42578125" style="1081" customWidth="1"/>
    <col min="5667" max="5895" width="9.140625" style="1081"/>
    <col min="5896" max="5896" width="3.5703125" style="1081" customWidth="1"/>
    <col min="5897" max="5897" width="14.42578125" style="1081" customWidth="1"/>
    <col min="5898" max="5898" width="3.5703125" style="1081" customWidth="1"/>
    <col min="5899" max="5899" width="18.5703125" style="1081" customWidth="1"/>
    <col min="5900" max="5922" width="6.42578125" style="1081" customWidth="1"/>
    <col min="5923" max="6151" width="9.140625" style="1081"/>
    <col min="6152" max="6152" width="3.5703125" style="1081" customWidth="1"/>
    <col min="6153" max="6153" width="14.42578125" style="1081" customWidth="1"/>
    <col min="6154" max="6154" width="3.5703125" style="1081" customWidth="1"/>
    <col min="6155" max="6155" width="18.5703125" style="1081" customWidth="1"/>
    <col min="6156" max="6178" width="6.42578125" style="1081" customWidth="1"/>
    <col min="6179" max="6407" width="9.140625" style="1081"/>
    <col min="6408" max="6408" width="3.5703125" style="1081" customWidth="1"/>
    <col min="6409" max="6409" width="14.42578125" style="1081" customWidth="1"/>
    <col min="6410" max="6410" width="3.5703125" style="1081" customWidth="1"/>
    <col min="6411" max="6411" width="18.5703125" style="1081" customWidth="1"/>
    <col min="6412" max="6434" width="6.42578125" style="1081" customWidth="1"/>
    <col min="6435" max="6663" width="9.140625" style="1081"/>
    <col min="6664" max="6664" width="3.5703125" style="1081" customWidth="1"/>
    <col min="6665" max="6665" width="14.42578125" style="1081" customWidth="1"/>
    <col min="6666" max="6666" width="3.5703125" style="1081" customWidth="1"/>
    <col min="6667" max="6667" width="18.5703125" style="1081" customWidth="1"/>
    <col min="6668" max="6690" width="6.42578125" style="1081" customWidth="1"/>
    <col min="6691" max="6919" width="9.140625" style="1081"/>
    <col min="6920" max="6920" width="3.5703125" style="1081" customWidth="1"/>
    <col min="6921" max="6921" width="14.42578125" style="1081" customWidth="1"/>
    <col min="6922" max="6922" width="3.5703125" style="1081" customWidth="1"/>
    <col min="6923" max="6923" width="18.5703125" style="1081" customWidth="1"/>
    <col min="6924" max="6946" width="6.42578125" style="1081" customWidth="1"/>
    <col min="6947" max="7175" width="9.140625" style="1081"/>
    <col min="7176" max="7176" width="3.5703125" style="1081" customWidth="1"/>
    <col min="7177" max="7177" width="14.42578125" style="1081" customWidth="1"/>
    <col min="7178" max="7178" width="3.5703125" style="1081" customWidth="1"/>
    <col min="7179" max="7179" width="18.5703125" style="1081" customWidth="1"/>
    <col min="7180" max="7202" width="6.42578125" style="1081" customWidth="1"/>
    <col min="7203" max="7431" width="9.140625" style="1081"/>
    <col min="7432" max="7432" width="3.5703125" style="1081" customWidth="1"/>
    <col min="7433" max="7433" width="14.42578125" style="1081" customWidth="1"/>
    <col min="7434" max="7434" width="3.5703125" style="1081" customWidth="1"/>
    <col min="7435" max="7435" width="18.5703125" style="1081" customWidth="1"/>
    <col min="7436" max="7458" width="6.42578125" style="1081" customWidth="1"/>
    <col min="7459" max="7687" width="9.140625" style="1081"/>
    <col min="7688" max="7688" width="3.5703125" style="1081" customWidth="1"/>
    <col min="7689" max="7689" width="14.42578125" style="1081" customWidth="1"/>
    <col min="7690" max="7690" width="3.5703125" style="1081" customWidth="1"/>
    <col min="7691" max="7691" width="18.5703125" style="1081" customWidth="1"/>
    <col min="7692" max="7714" width="6.42578125" style="1081" customWidth="1"/>
    <col min="7715" max="7943" width="9.140625" style="1081"/>
    <col min="7944" max="7944" width="3.5703125" style="1081" customWidth="1"/>
    <col min="7945" max="7945" width="14.42578125" style="1081" customWidth="1"/>
    <col min="7946" max="7946" width="3.5703125" style="1081" customWidth="1"/>
    <col min="7947" max="7947" width="18.5703125" style="1081" customWidth="1"/>
    <col min="7948" max="7970" width="6.42578125" style="1081" customWidth="1"/>
    <col min="7971" max="8199" width="9.140625" style="1081"/>
    <col min="8200" max="8200" width="3.5703125" style="1081" customWidth="1"/>
    <col min="8201" max="8201" width="14.42578125" style="1081" customWidth="1"/>
    <col min="8202" max="8202" width="3.5703125" style="1081" customWidth="1"/>
    <col min="8203" max="8203" width="18.5703125" style="1081" customWidth="1"/>
    <col min="8204" max="8226" width="6.42578125" style="1081" customWidth="1"/>
    <col min="8227" max="8455" width="9.140625" style="1081"/>
    <col min="8456" max="8456" width="3.5703125" style="1081" customWidth="1"/>
    <col min="8457" max="8457" width="14.42578125" style="1081" customWidth="1"/>
    <col min="8458" max="8458" width="3.5703125" style="1081" customWidth="1"/>
    <col min="8459" max="8459" width="18.5703125" style="1081" customWidth="1"/>
    <col min="8460" max="8482" width="6.42578125" style="1081" customWidth="1"/>
    <col min="8483" max="8711" width="9.140625" style="1081"/>
    <col min="8712" max="8712" width="3.5703125" style="1081" customWidth="1"/>
    <col min="8713" max="8713" width="14.42578125" style="1081" customWidth="1"/>
    <col min="8714" max="8714" width="3.5703125" style="1081" customWidth="1"/>
    <col min="8715" max="8715" width="18.5703125" style="1081" customWidth="1"/>
    <col min="8716" max="8738" width="6.42578125" style="1081" customWidth="1"/>
    <col min="8739" max="8967" width="9.140625" style="1081"/>
    <col min="8968" max="8968" width="3.5703125" style="1081" customWidth="1"/>
    <col min="8969" max="8969" width="14.42578125" style="1081" customWidth="1"/>
    <col min="8970" max="8970" width="3.5703125" style="1081" customWidth="1"/>
    <col min="8971" max="8971" width="18.5703125" style="1081" customWidth="1"/>
    <col min="8972" max="8994" width="6.42578125" style="1081" customWidth="1"/>
    <col min="8995" max="9223" width="9.140625" style="1081"/>
    <col min="9224" max="9224" width="3.5703125" style="1081" customWidth="1"/>
    <col min="9225" max="9225" width="14.42578125" style="1081" customWidth="1"/>
    <col min="9226" max="9226" width="3.5703125" style="1081" customWidth="1"/>
    <col min="9227" max="9227" width="18.5703125" style="1081" customWidth="1"/>
    <col min="9228" max="9250" width="6.42578125" style="1081" customWidth="1"/>
    <col min="9251" max="9479" width="9.140625" style="1081"/>
    <col min="9480" max="9480" width="3.5703125" style="1081" customWidth="1"/>
    <col min="9481" max="9481" width="14.42578125" style="1081" customWidth="1"/>
    <col min="9482" max="9482" width="3.5703125" style="1081" customWidth="1"/>
    <col min="9483" max="9483" width="18.5703125" style="1081" customWidth="1"/>
    <col min="9484" max="9506" width="6.42578125" style="1081" customWidth="1"/>
    <col min="9507" max="9735" width="9.140625" style="1081"/>
    <col min="9736" max="9736" width="3.5703125" style="1081" customWidth="1"/>
    <col min="9737" max="9737" width="14.42578125" style="1081" customWidth="1"/>
    <col min="9738" max="9738" width="3.5703125" style="1081" customWidth="1"/>
    <col min="9739" max="9739" width="18.5703125" style="1081" customWidth="1"/>
    <col min="9740" max="9762" width="6.42578125" style="1081" customWidth="1"/>
    <col min="9763" max="9991" width="9.140625" style="1081"/>
    <col min="9992" max="9992" width="3.5703125" style="1081" customWidth="1"/>
    <col min="9993" max="9993" width="14.42578125" style="1081" customWidth="1"/>
    <col min="9994" max="9994" width="3.5703125" style="1081" customWidth="1"/>
    <col min="9995" max="9995" width="18.5703125" style="1081" customWidth="1"/>
    <col min="9996" max="10018" width="6.42578125" style="1081" customWidth="1"/>
    <col min="10019" max="10247" width="9.140625" style="1081"/>
    <col min="10248" max="10248" width="3.5703125" style="1081" customWidth="1"/>
    <col min="10249" max="10249" width="14.42578125" style="1081" customWidth="1"/>
    <col min="10250" max="10250" width="3.5703125" style="1081" customWidth="1"/>
    <col min="10251" max="10251" width="18.5703125" style="1081" customWidth="1"/>
    <col min="10252" max="10274" width="6.42578125" style="1081" customWidth="1"/>
    <col min="10275" max="10503" width="9.140625" style="1081"/>
    <col min="10504" max="10504" width="3.5703125" style="1081" customWidth="1"/>
    <col min="10505" max="10505" width="14.42578125" style="1081" customWidth="1"/>
    <col min="10506" max="10506" width="3.5703125" style="1081" customWidth="1"/>
    <col min="10507" max="10507" width="18.5703125" style="1081" customWidth="1"/>
    <col min="10508" max="10530" width="6.42578125" style="1081" customWidth="1"/>
    <col min="10531" max="10759" width="9.140625" style="1081"/>
    <col min="10760" max="10760" width="3.5703125" style="1081" customWidth="1"/>
    <col min="10761" max="10761" width="14.42578125" style="1081" customWidth="1"/>
    <col min="10762" max="10762" width="3.5703125" style="1081" customWidth="1"/>
    <col min="10763" max="10763" width="18.5703125" style="1081" customWidth="1"/>
    <col min="10764" max="10786" width="6.42578125" style="1081" customWidth="1"/>
    <col min="10787" max="11015" width="9.140625" style="1081"/>
    <col min="11016" max="11016" width="3.5703125" style="1081" customWidth="1"/>
    <col min="11017" max="11017" width="14.42578125" style="1081" customWidth="1"/>
    <col min="11018" max="11018" width="3.5703125" style="1081" customWidth="1"/>
    <col min="11019" max="11019" width="18.5703125" style="1081" customWidth="1"/>
    <col min="11020" max="11042" width="6.42578125" style="1081" customWidth="1"/>
    <col min="11043" max="11271" width="9.140625" style="1081"/>
    <col min="11272" max="11272" width="3.5703125" style="1081" customWidth="1"/>
    <col min="11273" max="11273" width="14.42578125" style="1081" customWidth="1"/>
    <col min="11274" max="11274" width="3.5703125" style="1081" customWidth="1"/>
    <col min="11275" max="11275" width="18.5703125" style="1081" customWidth="1"/>
    <col min="11276" max="11298" width="6.42578125" style="1081" customWidth="1"/>
    <col min="11299" max="11527" width="9.140625" style="1081"/>
    <col min="11528" max="11528" width="3.5703125" style="1081" customWidth="1"/>
    <col min="11529" max="11529" width="14.42578125" style="1081" customWidth="1"/>
    <col min="11530" max="11530" width="3.5703125" style="1081" customWidth="1"/>
    <col min="11531" max="11531" width="18.5703125" style="1081" customWidth="1"/>
    <col min="11532" max="11554" width="6.42578125" style="1081" customWidth="1"/>
    <col min="11555" max="11783" width="9.140625" style="1081"/>
    <col min="11784" max="11784" width="3.5703125" style="1081" customWidth="1"/>
    <col min="11785" max="11785" width="14.42578125" style="1081" customWidth="1"/>
    <col min="11786" max="11786" width="3.5703125" style="1081" customWidth="1"/>
    <col min="11787" max="11787" width="18.5703125" style="1081" customWidth="1"/>
    <col min="11788" max="11810" width="6.42578125" style="1081" customWidth="1"/>
    <col min="11811" max="12039" width="9.140625" style="1081"/>
    <col min="12040" max="12040" width="3.5703125" style="1081" customWidth="1"/>
    <col min="12041" max="12041" width="14.42578125" style="1081" customWidth="1"/>
    <col min="12042" max="12042" width="3.5703125" style="1081" customWidth="1"/>
    <col min="12043" max="12043" width="18.5703125" style="1081" customWidth="1"/>
    <col min="12044" max="12066" width="6.42578125" style="1081" customWidth="1"/>
    <col min="12067" max="12295" width="9.140625" style="1081"/>
    <col min="12296" max="12296" width="3.5703125" style="1081" customWidth="1"/>
    <col min="12297" max="12297" width="14.42578125" style="1081" customWidth="1"/>
    <col min="12298" max="12298" width="3.5703125" style="1081" customWidth="1"/>
    <col min="12299" max="12299" width="18.5703125" style="1081" customWidth="1"/>
    <col min="12300" max="12322" width="6.42578125" style="1081" customWidth="1"/>
    <col min="12323" max="12551" width="9.140625" style="1081"/>
    <col min="12552" max="12552" width="3.5703125" style="1081" customWidth="1"/>
    <col min="12553" max="12553" width="14.42578125" style="1081" customWidth="1"/>
    <col min="12554" max="12554" width="3.5703125" style="1081" customWidth="1"/>
    <col min="12555" max="12555" width="18.5703125" style="1081" customWidth="1"/>
    <col min="12556" max="12578" width="6.42578125" style="1081" customWidth="1"/>
    <col min="12579" max="12807" width="9.140625" style="1081"/>
    <col min="12808" max="12808" width="3.5703125" style="1081" customWidth="1"/>
    <col min="12809" max="12809" width="14.42578125" style="1081" customWidth="1"/>
    <col min="12810" max="12810" width="3.5703125" style="1081" customWidth="1"/>
    <col min="12811" max="12811" width="18.5703125" style="1081" customWidth="1"/>
    <col min="12812" max="12834" width="6.42578125" style="1081" customWidth="1"/>
    <col min="12835" max="13063" width="9.140625" style="1081"/>
    <col min="13064" max="13064" width="3.5703125" style="1081" customWidth="1"/>
    <col min="13065" max="13065" width="14.42578125" style="1081" customWidth="1"/>
    <col min="13066" max="13066" width="3.5703125" style="1081" customWidth="1"/>
    <col min="13067" max="13067" width="18.5703125" style="1081" customWidth="1"/>
    <col min="13068" max="13090" width="6.42578125" style="1081" customWidth="1"/>
    <col min="13091" max="13319" width="9.140625" style="1081"/>
    <col min="13320" max="13320" width="3.5703125" style="1081" customWidth="1"/>
    <col min="13321" max="13321" width="14.42578125" style="1081" customWidth="1"/>
    <col min="13322" max="13322" width="3.5703125" style="1081" customWidth="1"/>
    <col min="13323" max="13323" width="18.5703125" style="1081" customWidth="1"/>
    <col min="13324" max="13346" width="6.42578125" style="1081" customWidth="1"/>
    <col min="13347" max="13575" width="9.140625" style="1081"/>
    <col min="13576" max="13576" width="3.5703125" style="1081" customWidth="1"/>
    <col min="13577" max="13577" width="14.42578125" style="1081" customWidth="1"/>
    <col min="13578" max="13578" width="3.5703125" style="1081" customWidth="1"/>
    <col min="13579" max="13579" width="18.5703125" style="1081" customWidth="1"/>
    <col min="13580" max="13602" width="6.42578125" style="1081" customWidth="1"/>
    <col min="13603" max="13831" width="9.140625" style="1081"/>
    <col min="13832" max="13832" width="3.5703125" style="1081" customWidth="1"/>
    <col min="13833" max="13833" width="14.42578125" style="1081" customWidth="1"/>
    <col min="13834" max="13834" width="3.5703125" style="1081" customWidth="1"/>
    <col min="13835" max="13835" width="18.5703125" style="1081" customWidth="1"/>
    <col min="13836" max="13858" width="6.42578125" style="1081" customWidth="1"/>
    <col min="13859" max="14087" width="9.140625" style="1081"/>
    <col min="14088" max="14088" width="3.5703125" style="1081" customWidth="1"/>
    <col min="14089" max="14089" width="14.42578125" style="1081" customWidth="1"/>
    <col min="14090" max="14090" width="3.5703125" style="1081" customWidth="1"/>
    <col min="14091" max="14091" width="18.5703125" style="1081" customWidth="1"/>
    <col min="14092" max="14114" width="6.42578125" style="1081" customWidth="1"/>
    <col min="14115" max="14343" width="9.140625" style="1081"/>
    <col min="14344" max="14344" width="3.5703125" style="1081" customWidth="1"/>
    <col min="14345" max="14345" width="14.42578125" style="1081" customWidth="1"/>
    <col min="14346" max="14346" width="3.5703125" style="1081" customWidth="1"/>
    <col min="14347" max="14347" width="18.5703125" style="1081" customWidth="1"/>
    <col min="14348" max="14370" width="6.42578125" style="1081" customWidth="1"/>
    <col min="14371" max="14599" width="9.140625" style="1081"/>
    <col min="14600" max="14600" width="3.5703125" style="1081" customWidth="1"/>
    <col min="14601" max="14601" width="14.42578125" style="1081" customWidth="1"/>
    <col min="14602" max="14602" width="3.5703125" style="1081" customWidth="1"/>
    <col min="14603" max="14603" width="18.5703125" style="1081" customWidth="1"/>
    <col min="14604" max="14626" width="6.42578125" style="1081" customWidth="1"/>
    <col min="14627" max="14855" width="9.140625" style="1081"/>
    <col min="14856" max="14856" width="3.5703125" style="1081" customWidth="1"/>
    <col min="14857" max="14857" width="14.42578125" style="1081" customWidth="1"/>
    <col min="14858" max="14858" width="3.5703125" style="1081" customWidth="1"/>
    <col min="14859" max="14859" width="18.5703125" style="1081" customWidth="1"/>
    <col min="14860" max="14882" width="6.42578125" style="1081" customWidth="1"/>
    <col min="14883" max="15111" width="9.140625" style="1081"/>
    <col min="15112" max="15112" width="3.5703125" style="1081" customWidth="1"/>
    <col min="15113" max="15113" width="14.42578125" style="1081" customWidth="1"/>
    <col min="15114" max="15114" width="3.5703125" style="1081" customWidth="1"/>
    <col min="15115" max="15115" width="18.5703125" style="1081" customWidth="1"/>
    <col min="15116" max="15138" width="6.42578125" style="1081" customWidth="1"/>
    <col min="15139" max="15367" width="9.140625" style="1081"/>
    <col min="15368" max="15368" width="3.5703125" style="1081" customWidth="1"/>
    <col min="15369" max="15369" width="14.42578125" style="1081" customWidth="1"/>
    <col min="15370" max="15370" width="3.5703125" style="1081" customWidth="1"/>
    <col min="15371" max="15371" width="18.5703125" style="1081" customWidth="1"/>
    <col min="15372" max="15394" width="6.42578125" style="1081" customWidth="1"/>
    <col min="15395" max="15623" width="9.140625" style="1081"/>
    <col min="15624" max="15624" width="3.5703125" style="1081" customWidth="1"/>
    <col min="15625" max="15625" width="14.42578125" style="1081" customWidth="1"/>
    <col min="15626" max="15626" width="3.5703125" style="1081" customWidth="1"/>
    <col min="15627" max="15627" width="18.5703125" style="1081" customWidth="1"/>
    <col min="15628" max="15650" width="6.42578125" style="1081" customWidth="1"/>
    <col min="15651" max="15879" width="9.140625" style="1081"/>
    <col min="15880" max="15880" width="3.5703125" style="1081" customWidth="1"/>
    <col min="15881" max="15881" width="14.42578125" style="1081" customWidth="1"/>
    <col min="15882" max="15882" width="3.5703125" style="1081" customWidth="1"/>
    <col min="15883" max="15883" width="18.5703125" style="1081" customWidth="1"/>
    <col min="15884" max="15906" width="6.42578125" style="1081" customWidth="1"/>
    <col min="15907" max="16135" width="9.140625" style="1081"/>
    <col min="16136" max="16136" width="3.5703125" style="1081" customWidth="1"/>
    <col min="16137" max="16137" width="14.42578125" style="1081" customWidth="1"/>
    <col min="16138" max="16138" width="3.5703125" style="1081" customWidth="1"/>
    <col min="16139" max="16139" width="18.5703125" style="1081" customWidth="1"/>
    <col min="16140" max="16162" width="6.42578125" style="1081" customWidth="1"/>
    <col min="16163" max="16384" width="9.140625" style="1081"/>
  </cols>
  <sheetData>
    <row r="1" spans="1:46" x14ac:dyDescent="0.2">
      <c r="D1" s="508"/>
      <c r="E1" s="508"/>
      <c r="F1" s="508"/>
      <c r="G1" s="508"/>
      <c r="H1" s="508"/>
      <c r="I1" s="508"/>
      <c r="J1" s="508"/>
      <c r="K1" s="508"/>
      <c r="L1" s="508"/>
      <c r="M1" s="508"/>
      <c r="N1" s="508"/>
      <c r="O1" s="508"/>
      <c r="P1" s="508"/>
      <c r="Q1" s="508"/>
    </row>
    <row r="2" spans="1:46" ht="14.25" customHeight="1" x14ac:dyDescent="0.2">
      <c r="A2" s="509">
        <v>1</v>
      </c>
      <c r="B2" s="509" t="s">
        <v>0</v>
      </c>
      <c r="C2" s="509">
        <v>59</v>
      </c>
      <c r="D2" s="4603" t="s">
        <v>1547</v>
      </c>
      <c r="E2" s="4604"/>
      <c r="F2" s="4604"/>
      <c r="G2" s="4604"/>
      <c r="H2" s="4604"/>
      <c r="I2" s="4604"/>
      <c r="J2" s="4604"/>
      <c r="K2" s="4604"/>
      <c r="L2" s="4604"/>
      <c r="M2" s="4604"/>
      <c r="N2" s="4604"/>
      <c r="O2" s="4604"/>
      <c r="P2" s="4604"/>
      <c r="Q2" s="4604"/>
      <c r="R2" s="4604"/>
      <c r="S2" s="4604"/>
      <c r="T2" s="4604"/>
      <c r="U2" s="4604"/>
      <c r="V2" s="4604"/>
      <c r="W2" s="4604"/>
      <c r="X2" s="4604"/>
      <c r="Y2" s="4604"/>
      <c r="Z2" s="4604"/>
      <c r="AA2" s="4604"/>
      <c r="AB2" s="4604"/>
      <c r="AC2" s="4604"/>
      <c r="AD2" s="4604"/>
      <c r="AE2" s="4604"/>
      <c r="AF2" s="4604"/>
      <c r="AG2" s="4604"/>
      <c r="AH2" s="4604"/>
      <c r="AI2" s="4604"/>
      <c r="AJ2" s="4604"/>
      <c r="AK2" s="4604"/>
      <c r="AL2" s="4604"/>
      <c r="AM2" s="4604"/>
      <c r="AN2" s="4604"/>
      <c r="AO2" s="4604"/>
      <c r="AP2" s="4605"/>
    </row>
    <row r="3" spans="1:46" ht="14.25" customHeight="1" x14ac:dyDescent="0.2">
      <c r="A3" s="509">
        <v>2</v>
      </c>
      <c r="B3" s="509" t="s">
        <v>2</v>
      </c>
      <c r="C3" s="509"/>
      <c r="D3" s="4603" t="s">
        <v>1478</v>
      </c>
      <c r="E3" s="4604"/>
      <c r="F3" s="4604"/>
      <c r="G3" s="4604"/>
      <c r="H3" s="4604"/>
      <c r="I3" s="4604"/>
      <c r="J3" s="4604"/>
      <c r="K3" s="4604"/>
      <c r="L3" s="4604"/>
      <c r="M3" s="4604"/>
      <c r="N3" s="4604"/>
      <c r="O3" s="4604"/>
      <c r="P3" s="4604"/>
      <c r="Q3" s="4604"/>
      <c r="R3" s="4604"/>
      <c r="S3" s="4604"/>
      <c r="T3" s="4604"/>
      <c r="U3" s="4604"/>
      <c r="V3" s="4604"/>
      <c r="W3" s="4604"/>
      <c r="X3" s="4604"/>
      <c r="Y3" s="4604"/>
      <c r="Z3" s="4604"/>
      <c r="AA3" s="4604"/>
      <c r="AB3" s="4604"/>
      <c r="AC3" s="4604"/>
      <c r="AD3" s="4604"/>
      <c r="AE3" s="4604"/>
      <c r="AF3" s="4604"/>
      <c r="AG3" s="4604"/>
      <c r="AH3" s="4604"/>
      <c r="AI3" s="4604"/>
      <c r="AJ3" s="4604"/>
      <c r="AK3" s="4604"/>
      <c r="AL3" s="4604"/>
      <c r="AM3" s="4604"/>
      <c r="AN3" s="4604"/>
      <c r="AO3" s="4604"/>
      <c r="AP3" s="4605"/>
    </row>
    <row r="4" spans="1:46" ht="15" customHeight="1" x14ac:dyDescent="0.2">
      <c r="A4" s="509">
        <v>3</v>
      </c>
      <c r="B4" s="509" t="s">
        <v>4</v>
      </c>
      <c r="C4" s="509"/>
      <c r="D4" s="4603" t="s">
        <v>1548</v>
      </c>
      <c r="E4" s="4604"/>
      <c r="F4" s="4604"/>
      <c r="G4" s="4604"/>
      <c r="H4" s="4604"/>
      <c r="I4" s="4604"/>
      <c r="J4" s="4604"/>
      <c r="K4" s="4604"/>
      <c r="L4" s="4604"/>
      <c r="M4" s="4604"/>
      <c r="N4" s="4604"/>
      <c r="O4" s="4604"/>
      <c r="P4" s="4604"/>
      <c r="Q4" s="4604"/>
      <c r="R4" s="4604"/>
      <c r="S4" s="4604"/>
      <c r="T4" s="4604"/>
      <c r="U4" s="4604"/>
      <c r="V4" s="4604"/>
      <c r="W4" s="4604"/>
      <c r="X4" s="4604"/>
      <c r="Y4" s="4604"/>
      <c r="Z4" s="4604"/>
      <c r="AA4" s="4604"/>
      <c r="AB4" s="4604"/>
      <c r="AC4" s="4604"/>
      <c r="AD4" s="4604"/>
      <c r="AE4" s="4604"/>
      <c r="AF4" s="4604"/>
      <c r="AG4" s="4604"/>
      <c r="AH4" s="4604"/>
      <c r="AI4" s="4604"/>
      <c r="AJ4" s="4604"/>
      <c r="AK4" s="4604"/>
      <c r="AL4" s="4604"/>
      <c r="AM4" s="4604"/>
      <c r="AN4" s="4604"/>
      <c r="AO4" s="4604"/>
      <c r="AP4" s="4605"/>
    </row>
    <row r="5" spans="1:46" x14ac:dyDescent="0.2">
      <c r="C5" s="509"/>
      <c r="D5" s="510"/>
      <c r="E5" s="510"/>
      <c r="F5" s="510"/>
      <c r="G5" s="510"/>
      <c r="H5" s="510"/>
      <c r="I5" s="510"/>
      <c r="J5" s="510"/>
      <c r="K5" s="510"/>
      <c r="L5" s="510"/>
      <c r="M5" s="510"/>
      <c r="N5" s="510"/>
      <c r="O5" s="510"/>
      <c r="P5" s="510"/>
      <c r="Q5" s="508"/>
      <c r="V5" s="10"/>
      <c r="W5" s="10"/>
      <c r="X5" s="10"/>
    </row>
    <row r="6" spans="1:46" s="10" customFormat="1" ht="11.25" customHeight="1" x14ac:dyDescent="0.2">
      <c r="A6" s="509">
        <v>5</v>
      </c>
      <c r="B6" s="509" t="s">
        <v>6</v>
      </c>
      <c r="C6" s="836"/>
      <c r="D6" s="548" t="s">
        <v>7</v>
      </c>
      <c r="E6" s="548" t="s">
        <v>1549</v>
      </c>
      <c r="F6" s="548"/>
      <c r="G6" s="71"/>
      <c r="H6" s="71"/>
      <c r="I6" s="71"/>
      <c r="J6" s="71"/>
      <c r="K6" s="71"/>
      <c r="L6" s="71"/>
      <c r="M6" s="88"/>
      <c r="N6" s="88"/>
      <c r="O6" s="88"/>
      <c r="P6" s="88"/>
      <c r="Q6" s="88"/>
      <c r="W6" s="1694"/>
      <c r="X6" s="1694"/>
    </row>
    <row r="7" spans="1:46" s="10" customFormat="1" ht="11.25" customHeight="1" x14ac:dyDescent="0.25">
      <c r="A7" s="860"/>
      <c r="B7" s="836"/>
      <c r="C7" s="836"/>
      <c r="D7" s="1695"/>
      <c r="E7" s="4989">
        <v>2000</v>
      </c>
      <c r="F7" s="4988"/>
      <c r="G7" s="4987">
        <v>2001</v>
      </c>
      <c r="H7" s="4988"/>
      <c r="I7" s="4987">
        <v>2002</v>
      </c>
      <c r="J7" s="4988"/>
      <c r="K7" s="4987">
        <v>2003</v>
      </c>
      <c r="L7" s="4988"/>
      <c r="M7" s="4987">
        <v>2004</v>
      </c>
      <c r="N7" s="4988"/>
      <c r="O7" s="4987">
        <v>2005</v>
      </c>
      <c r="P7" s="4988"/>
      <c r="Q7" s="4987">
        <v>2006</v>
      </c>
      <c r="R7" s="4988"/>
      <c r="S7" s="4987">
        <v>2007</v>
      </c>
      <c r="T7" s="4988"/>
      <c r="U7" s="4987">
        <v>2008</v>
      </c>
      <c r="V7" s="4988"/>
      <c r="W7" s="4987" t="s">
        <v>333</v>
      </c>
      <c r="X7" s="4988"/>
      <c r="Y7" s="4987">
        <v>2010</v>
      </c>
      <c r="Z7" s="4988"/>
      <c r="AA7" s="4987">
        <v>2011</v>
      </c>
      <c r="AB7" s="4988"/>
      <c r="AC7" s="4987">
        <v>2012</v>
      </c>
      <c r="AD7" s="4988"/>
      <c r="AE7" s="4987">
        <v>2013</v>
      </c>
      <c r="AF7" s="4988"/>
      <c r="AG7" s="4987">
        <v>2014</v>
      </c>
      <c r="AH7" s="4988"/>
      <c r="AI7" s="4987">
        <v>2015</v>
      </c>
      <c r="AJ7" s="4988"/>
      <c r="AK7" s="4987">
        <v>2016</v>
      </c>
      <c r="AL7" s="4995"/>
      <c r="AM7" s="4987" t="s">
        <v>30</v>
      </c>
      <c r="AN7" s="4988"/>
      <c r="AO7" s="4987" t="s">
        <v>31</v>
      </c>
      <c r="AP7" s="4992"/>
      <c r="AQ7" s="4987" t="s">
        <v>32</v>
      </c>
      <c r="AR7" s="4992"/>
      <c r="AS7" s="4987" t="s">
        <v>33</v>
      </c>
      <c r="AT7" s="4992"/>
    </row>
    <row r="8" spans="1:46" s="10" customFormat="1" ht="15.75" customHeight="1" x14ac:dyDescent="0.2">
      <c r="A8" s="860"/>
      <c r="B8" s="836"/>
      <c r="C8" s="836"/>
      <c r="D8" s="181"/>
      <c r="E8" s="1696" t="s">
        <v>259</v>
      </c>
      <c r="F8" s="1632" t="s">
        <v>257</v>
      </c>
      <c r="G8" s="1697" t="s">
        <v>259</v>
      </c>
      <c r="H8" s="1632" t="s">
        <v>257</v>
      </c>
      <c r="I8" s="1697" t="s">
        <v>259</v>
      </c>
      <c r="J8" s="1632" t="s">
        <v>257</v>
      </c>
      <c r="K8" s="1697" t="s">
        <v>259</v>
      </c>
      <c r="L8" s="1632" t="s">
        <v>257</v>
      </c>
      <c r="M8" s="1697" t="s">
        <v>259</v>
      </c>
      <c r="N8" s="1632" t="s">
        <v>257</v>
      </c>
      <c r="O8" s="1697" t="s">
        <v>259</v>
      </c>
      <c r="P8" s="1632" t="s">
        <v>257</v>
      </c>
      <c r="Q8" s="1697" t="s">
        <v>259</v>
      </c>
      <c r="R8" s="1632" t="s">
        <v>257</v>
      </c>
      <c r="S8" s="1697" t="s">
        <v>259</v>
      </c>
      <c r="T8" s="1632" t="s">
        <v>257</v>
      </c>
      <c r="U8" s="1655" t="s">
        <v>256</v>
      </c>
      <c r="V8" s="1632" t="s">
        <v>257</v>
      </c>
      <c r="W8" s="1655" t="s">
        <v>256</v>
      </c>
      <c r="X8" s="1632" t="s">
        <v>257</v>
      </c>
      <c r="Y8" s="1655" t="s">
        <v>256</v>
      </c>
      <c r="Z8" s="1632" t="s">
        <v>257</v>
      </c>
      <c r="AA8" s="1655" t="s">
        <v>256</v>
      </c>
      <c r="AB8" s="1632" t="s">
        <v>257</v>
      </c>
      <c r="AC8" s="1655" t="s">
        <v>256</v>
      </c>
      <c r="AD8" s="1632" t="s">
        <v>257</v>
      </c>
      <c r="AE8" s="1655" t="s">
        <v>256</v>
      </c>
      <c r="AF8" s="1632" t="s">
        <v>257</v>
      </c>
      <c r="AG8" s="1655" t="s">
        <v>256</v>
      </c>
      <c r="AH8" s="1632" t="s">
        <v>257</v>
      </c>
      <c r="AI8" s="1655" t="s">
        <v>256</v>
      </c>
      <c r="AJ8" s="1632" t="s">
        <v>257</v>
      </c>
      <c r="AK8" s="1655" t="s">
        <v>256</v>
      </c>
      <c r="AL8" s="1698" t="s">
        <v>257</v>
      </c>
      <c r="AM8" s="1655" t="s">
        <v>1550</v>
      </c>
      <c r="AN8" s="1632" t="s">
        <v>1551</v>
      </c>
      <c r="AO8" s="1699" t="s">
        <v>1550</v>
      </c>
      <c r="AP8" s="1700" t="s">
        <v>1551</v>
      </c>
      <c r="AQ8" s="1655" t="s">
        <v>1550</v>
      </c>
      <c r="AR8" s="1701" t="s">
        <v>1551</v>
      </c>
      <c r="AS8" s="1655" t="s">
        <v>1550</v>
      </c>
      <c r="AT8" s="1701" t="s">
        <v>1551</v>
      </c>
    </row>
    <row r="9" spans="1:46" s="10" customFormat="1" ht="36" x14ac:dyDescent="0.2">
      <c r="A9" s="860"/>
      <c r="B9" s="836"/>
      <c r="C9" s="836"/>
      <c r="D9" s="4231" t="s">
        <v>1549</v>
      </c>
      <c r="E9" s="1702">
        <v>74</v>
      </c>
      <c r="F9" s="1617">
        <v>69</v>
      </c>
      <c r="G9" s="1443">
        <v>69</v>
      </c>
      <c r="H9" s="1169">
        <v>71</v>
      </c>
      <c r="I9" s="1443">
        <v>70</v>
      </c>
      <c r="J9" s="1169">
        <v>72</v>
      </c>
      <c r="K9" s="1184">
        <v>75.099999999999994</v>
      </c>
      <c r="L9" s="1703">
        <v>77.5</v>
      </c>
      <c r="M9" s="1184">
        <v>85.6</v>
      </c>
      <c r="N9" s="1703">
        <v>85</v>
      </c>
      <c r="O9" s="1704">
        <v>85.7</v>
      </c>
      <c r="P9" s="1703">
        <v>84.2</v>
      </c>
      <c r="Q9" s="1184">
        <v>83.8</v>
      </c>
      <c r="R9" s="1703">
        <v>79.8</v>
      </c>
      <c r="S9" s="1184">
        <v>77.8</v>
      </c>
      <c r="T9" s="1703">
        <v>76.599999999999994</v>
      </c>
      <c r="U9" s="1184">
        <v>62</v>
      </c>
      <c r="V9" s="1703">
        <v>60.1</v>
      </c>
      <c r="W9" s="1184">
        <v>61.7</v>
      </c>
      <c r="X9" s="1703">
        <v>66</v>
      </c>
      <c r="Y9" s="1184">
        <v>67</v>
      </c>
      <c r="Z9" s="1703">
        <v>66</v>
      </c>
      <c r="AA9" s="1184">
        <v>65</v>
      </c>
      <c r="AB9" s="1703">
        <v>62</v>
      </c>
      <c r="AC9" s="1184">
        <v>63.1</v>
      </c>
      <c r="AD9" s="1703">
        <v>53.3</v>
      </c>
      <c r="AE9" s="1184">
        <v>57</v>
      </c>
      <c r="AF9" s="1703">
        <v>53</v>
      </c>
      <c r="AG9" s="1184">
        <v>66</v>
      </c>
      <c r="AH9" s="1703">
        <v>67</v>
      </c>
      <c r="AI9" s="1184">
        <v>66</v>
      </c>
      <c r="AJ9" s="1703">
        <v>68</v>
      </c>
      <c r="AK9" s="1184">
        <v>58</v>
      </c>
      <c r="AL9" s="1705">
        <v>57</v>
      </c>
      <c r="AM9" s="1184">
        <v>61</v>
      </c>
      <c r="AN9" s="1703">
        <v>68</v>
      </c>
      <c r="AO9" s="1706">
        <v>63</v>
      </c>
      <c r="AP9" s="1707">
        <v>55</v>
      </c>
      <c r="AQ9" s="1184">
        <v>67</v>
      </c>
      <c r="AR9" s="1708">
        <v>64</v>
      </c>
      <c r="AS9" s="1184"/>
      <c r="AT9" s="1708"/>
    </row>
    <row r="10" spans="1:46" ht="14.25" x14ac:dyDescent="0.2">
      <c r="A10" s="509"/>
      <c r="B10" s="509"/>
      <c r="C10" s="509"/>
      <c r="D10" s="508"/>
      <c r="E10" s="1709">
        <f>+AVERAGE(E9:F9)</f>
        <v>71.5</v>
      </c>
      <c r="F10" s="1709"/>
      <c r="G10" s="1709">
        <f>+AVERAGE(G9:H9)</f>
        <v>70</v>
      </c>
      <c r="H10" s="1709"/>
      <c r="I10" s="1709">
        <f>+AVERAGE(I9:J9)</f>
        <v>71</v>
      </c>
      <c r="J10" s="1709"/>
      <c r="K10" s="1709">
        <f>+AVERAGE(K9:L9)</f>
        <v>76.3</v>
      </c>
      <c r="L10" s="1709"/>
      <c r="M10" s="1709">
        <f>+AVERAGE(M9:N9)</f>
        <v>85.3</v>
      </c>
      <c r="N10" s="1709"/>
      <c r="O10" s="1709">
        <f>+AVERAGE(O9:P9)</f>
        <v>84.95</v>
      </c>
      <c r="P10" s="1709"/>
      <c r="Q10" s="1709">
        <f>+AVERAGE(Q9:R9)</f>
        <v>81.8</v>
      </c>
      <c r="R10" s="1710"/>
      <c r="S10" s="1709">
        <f>+AVERAGE(S9:T9)</f>
        <v>77.199999999999989</v>
      </c>
      <c r="T10" s="1710"/>
      <c r="U10" s="1709">
        <f>+AVERAGE(U9:V9)</f>
        <v>61.05</v>
      </c>
      <c r="V10" s="1710"/>
      <c r="W10" s="1709">
        <f>+AVERAGE(W9:X9)</f>
        <v>63.85</v>
      </c>
      <c r="X10" s="1710"/>
      <c r="Y10" s="1709">
        <f>+AVERAGE(Y9:Z9)</f>
        <v>66.5</v>
      </c>
      <c r="Z10" s="1710"/>
      <c r="AA10" s="1709">
        <f>+AVERAGE(AA9:AB9)</f>
        <v>63.5</v>
      </c>
      <c r="AB10" s="1710"/>
      <c r="AC10" s="1709">
        <f>+AVERAGE(AC9:AD9)</f>
        <v>58.2</v>
      </c>
      <c r="AD10" s="1710"/>
      <c r="AE10" s="1709">
        <f>+AVERAGE(AE9:AF9)</f>
        <v>55</v>
      </c>
      <c r="AF10" s="1710"/>
      <c r="AG10" s="1709">
        <f>+AVERAGE(AG9:AH9)</f>
        <v>66.5</v>
      </c>
      <c r="AH10" s="1709"/>
      <c r="AI10" s="1709">
        <f>+AVERAGE(AI9:AJ9)</f>
        <v>67</v>
      </c>
      <c r="AJ10" s="1709"/>
      <c r="AK10" s="1709">
        <f>+AVERAGE(AK9:AL9)</f>
        <v>57.5</v>
      </c>
      <c r="AL10" s="1709"/>
      <c r="AM10" s="1709">
        <v>65</v>
      </c>
      <c r="AN10" s="1709"/>
      <c r="AO10" s="1709">
        <v>59</v>
      </c>
      <c r="AP10" s="1709"/>
      <c r="AQ10" s="1081">
        <v>66</v>
      </c>
      <c r="AT10" s="1081">
        <v>65</v>
      </c>
    </row>
    <row r="11" spans="1:46" ht="14.25" x14ac:dyDescent="0.2">
      <c r="A11" s="509"/>
      <c r="B11" s="509"/>
      <c r="C11" s="509"/>
      <c r="D11" s="508"/>
      <c r="E11" s="508"/>
      <c r="F11" s="508"/>
      <c r="G11" s="508"/>
      <c r="H11" s="508"/>
      <c r="I11" s="508"/>
      <c r="J11" s="508"/>
      <c r="K11" s="508"/>
      <c r="L11" s="508"/>
      <c r="M11" s="508"/>
      <c r="N11" s="508"/>
      <c r="O11" s="508"/>
      <c r="P11" s="508"/>
      <c r="Q11" s="508"/>
    </row>
    <row r="12" spans="1:46" ht="14.25" x14ac:dyDescent="0.2">
      <c r="A12" s="509"/>
      <c r="B12" s="509"/>
      <c r="C12" s="509"/>
      <c r="D12" s="508"/>
      <c r="E12" s="508"/>
      <c r="F12" s="508"/>
      <c r="G12" s="508"/>
      <c r="H12" s="508"/>
      <c r="I12" s="508"/>
      <c r="J12" s="508"/>
      <c r="K12" s="508"/>
      <c r="L12" s="508"/>
      <c r="M12" s="508"/>
      <c r="N12" s="508"/>
      <c r="O12" s="508"/>
      <c r="P12" s="508"/>
      <c r="Q12" s="508"/>
    </row>
    <row r="13" spans="1:46" x14ac:dyDescent="0.2">
      <c r="D13" s="508"/>
      <c r="E13" s="508"/>
      <c r="F13" s="508"/>
      <c r="G13" s="508"/>
      <c r="H13" s="508"/>
      <c r="I13" s="508"/>
      <c r="J13" s="508"/>
      <c r="K13" s="508"/>
      <c r="L13" s="508"/>
      <c r="M13" s="508"/>
      <c r="N13" s="508"/>
      <c r="O13" s="508"/>
      <c r="P13" s="508"/>
      <c r="Q13" s="508"/>
    </row>
    <row r="14" spans="1:46" x14ac:dyDescent="0.2">
      <c r="D14" s="508"/>
      <c r="E14" s="508"/>
      <c r="F14" s="508"/>
      <c r="G14" s="508"/>
      <c r="H14" s="508"/>
      <c r="I14" s="508"/>
      <c r="J14" s="508"/>
      <c r="K14" s="508"/>
      <c r="L14" s="508"/>
      <c r="M14" s="508"/>
      <c r="N14" s="508"/>
      <c r="O14" s="508"/>
      <c r="P14" s="508"/>
      <c r="Q14" s="508"/>
    </row>
    <row r="15" spans="1:46" x14ac:dyDescent="0.2">
      <c r="D15" s="508"/>
      <c r="E15" s="508"/>
      <c r="F15" s="508"/>
      <c r="G15" s="508"/>
      <c r="H15" s="508"/>
      <c r="I15" s="508"/>
      <c r="J15" s="508"/>
      <c r="K15" s="508"/>
      <c r="L15" s="508"/>
      <c r="M15" s="508"/>
      <c r="N15" s="508"/>
      <c r="O15" s="508"/>
      <c r="P15" s="508"/>
      <c r="Q15" s="508"/>
      <c r="AM15" s="1081" t="s">
        <v>85</v>
      </c>
    </row>
    <row r="16" spans="1:46" x14ac:dyDescent="0.2">
      <c r="D16" s="508"/>
      <c r="E16" s="508"/>
      <c r="F16" s="508"/>
      <c r="G16" s="508"/>
      <c r="H16" s="508"/>
      <c r="I16" s="508"/>
      <c r="J16" s="508"/>
      <c r="K16" s="508"/>
      <c r="L16" s="508"/>
      <c r="M16" s="508"/>
      <c r="N16" s="508"/>
      <c r="O16" s="508"/>
      <c r="P16" s="508"/>
      <c r="Q16" s="508"/>
    </row>
    <row r="17" spans="4:17" x14ac:dyDescent="0.2">
      <c r="D17" s="508"/>
      <c r="E17" s="508"/>
      <c r="F17" s="508"/>
      <c r="G17" s="508"/>
      <c r="H17" s="508"/>
      <c r="I17" s="508"/>
      <c r="J17" s="508"/>
      <c r="K17" s="508"/>
      <c r="L17" s="508"/>
      <c r="M17" s="508"/>
      <c r="N17" s="508"/>
      <c r="O17" s="508"/>
      <c r="P17" s="508"/>
      <c r="Q17" s="508"/>
    </row>
    <row r="18" spans="4:17" x14ac:dyDescent="0.2">
      <c r="D18" s="508"/>
      <c r="E18" s="508"/>
      <c r="F18" s="508"/>
      <c r="G18" s="508"/>
      <c r="H18" s="508"/>
      <c r="I18" s="508"/>
      <c r="J18" s="508"/>
      <c r="K18" s="508"/>
      <c r="L18" s="508"/>
      <c r="M18" s="508"/>
      <c r="N18" s="508"/>
      <c r="O18" s="508"/>
      <c r="P18" s="508"/>
      <c r="Q18" s="508"/>
    </row>
    <row r="19" spans="4:17" x14ac:dyDescent="0.2">
      <c r="D19" s="508"/>
      <c r="E19" s="508"/>
      <c r="F19" s="508"/>
      <c r="G19" s="508"/>
      <c r="H19" s="508"/>
      <c r="I19" s="508"/>
      <c r="J19" s="508"/>
      <c r="K19" s="508"/>
      <c r="L19" s="508"/>
      <c r="M19" s="508"/>
      <c r="N19" s="508"/>
      <c r="O19" s="508"/>
      <c r="P19" s="508"/>
      <c r="Q19" s="508"/>
    </row>
    <row r="20" spans="4:17" x14ac:dyDescent="0.2">
      <c r="D20" s="508"/>
      <c r="E20" s="508"/>
      <c r="F20" s="508"/>
      <c r="G20" s="508"/>
      <c r="H20" s="508"/>
      <c r="I20" s="508"/>
      <c r="J20" s="508"/>
      <c r="K20" s="508"/>
      <c r="L20" s="508"/>
      <c r="M20" s="508"/>
      <c r="N20" s="508"/>
      <c r="O20" s="508"/>
      <c r="P20" s="508"/>
      <c r="Q20" s="508"/>
    </row>
    <row r="21" spans="4:17" x14ac:dyDescent="0.2">
      <c r="D21" s="508"/>
      <c r="E21" s="508"/>
      <c r="F21" s="508"/>
      <c r="G21" s="508"/>
      <c r="H21" s="508"/>
      <c r="I21" s="508"/>
      <c r="J21" s="508"/>
      <c r="K21" s="508"/>
      <c r="L21" s="508"/>
      <c r="M21" s="508"/>
      <c r="N21" s="508"/>
      <c r="O21" s="508"/>
      <c r="P21" s="508"/>
      <c r="Q21" s="508"/>
    </row>
    <row r="22" spans="4:17" x14ac:dyDescent="0.2">
      <c r="D22" s="508"/>
      <c r="E22" s="508"/>
      <c r="F22" s="508"/>
      <c r="G22" s="508"/>
      <c r="H22" s="508"/>
      <c r="I22" s="508"/>
      <c r="J22" s="508"/>
      <c r="K22" s="508"/>
      <c r="L22" s="508"/>
      <c r="M22" s="508"/>
      <c r="N22" s="508"/>
      <c r="O22" s="508"/>
      <c r="P22" s="508"/>
      <c r="Q22" s="508"/>
    </row>
    <row r="23" spans="4:17" x14ac:dyDescent="0.2">
      <c r="D23" s="508"/>
      <c r="E23" s="508"/>
      <c r="F23" s="508"/>
      <c r="G23" s="508"/>
      <c r="H23" s="508"/>
      <c r="I23" s="508"/>
      <c r="J23" s="508"/>
      <c r="K23" s="508"/>
      <c r="L23" s="508"/>
      <c r="M23" s="508"/>
      <c r="N23" s="508"/>
      <c r="O23" s="508"/>
      <c r="P23" s="508"/>
      <c r="Q23" s="508"/>
    </row>
    <row r="24" spans="4:17" x14ac:dyDescent="0.2">
      <c r="D24" s="508"/>
      <c r="E24" s="508"/>
      <c r="F24" s="508"/>
      <c r="G24" s="508"/>
      <c r="H24" s="508"/>
      <c r="I24" s="508"/>
      <c r="J24" s="508"/>
      <c r="K24" s="508"/>
      <c r="L24" s="508"/>
      <c r="M24" s="508"/>
      <c r="N24" s="508"/>
      <c r="O24" s="508"/>
      <c r="P24" s="508"/>
      <c r="Q24" s="508"/>
    </row>
    <row r="25" spans="4:17" x14ac:dyDescent="0.2">
      <c r="D25" s="508"/>
      <c r="E25" s="508"/>
      <c r="F25" s="508"/>
      <c r="G25" s="508"/>
      <c r="H25" s="508"/>
      <c r="I25" s="508"/>
      <c r="J25" s="508"/>
      <c r="K25" s="508"/>
      <c r="L25" s="508"/>
      <c r="M25" s="508"/>
      <c r="N25" s="508"/>
      <c r="O25" s="508"/>
      <c r="P25" s="508"/>
      <c r="Q25" s="508"/>
    </row>
    <row r="26" spans="4:17" x14ac:dyDescent="0.2">
      <c r="D26" s="508"/>
      <c r="E26" s="508"/>
      <c r="F26" s="508"/>
      <c r="G26" s="508"/>
      <c r="H26" s="508"/>
      <c r="I26" s="508"/>
      <c r="J26" s="508"/>
      <c r="K26" s="508"/>
      <c r="L26" s="508"/>
      <c r="M26" s="508"/>
      <c r="N26" s="508"/>
      <c r="O26" s="508"/>
      <c r="P26" s="508"/>
      <c r="Q26" s="508"/>
    </row>
    <row r="27" spans="4:17" x14ac:dyDescent="0.2">
      <c r="D27" s="508"/>
      <c r="E27" s="508"/>
      <c r="F27" s="508"/>
      <c r="G27" s="508"/>
      <c r="H27" s="508"/>
      <c r="I27" s="508"/>
      <c r="J27" s="508"/>
      <c r="K27" s="508"/>
      <c r="L27" s="508"/>
      <c r="M27" s="508"/>
      <c r="N27" s="508"/>
      <c r="O27" s="508"/>
      <c r="P27" s="508"/>
      <c r="Q27" s="508"/>
    </row>
    <row r="28" spans="4:17" x14ac:dyDescent="0.2">
      <c r="D28" s="508"/>
      <c r="E28" s="508"/>
      <c r="F28" s="508"/>
      <c r="G28" s="508"/>
      <c r="H28" s="508"/>
      <c r="I28" s="508"/>
      <c r="J28" s="508"/>
      <c r="K28" s="508"/>
      <c r="L28" s="508"/>
      <c r="M28" s="508"/>
      <c r="N28" s="508"/>
      <c r="O28" s="508"/>
      <c r="P28" s="508"/>
      <c r="Q28" s="508"/>
    </row>
    <row r="29" spans="4:17" x14ac:dyDescent="0.2">
      <c r="D29" s="508"/>
      <c r="E29" s="508"/>
      <c r="F29" s="508"/>
      <c r="G29" s="508"/>
      <c r="H29" s="508"/>
      <c r="I29" s="508"/>
      <c r="J29" s="508"/>
      <c r="K29" s="508"/>
      <c r="L29" s="508"/>
      <c r="M29" s="508"/>
      <c r="N29" s="508"/>
      <c r="O29" s="508"/>
      <c r="P29" s="508"/>
      <c r="Q29" s="508"/>
    </row>
    <row r="30" spans="4:17" x14ac:dyDescent="0.2">
      <c r="D30" s="508"/>
      <c r="E30" s="508"/>
      <c r="F30" s="508"/>
      <c r="G30" s="508"/>
      <c r="H30" s="508"/>
      <c r="I30" s="508"/>
      <c r="J30" s="508"/>
      <c r="K30" s="508"/>
      <c r="L30" s="508"/>
      <c r="M30" s="508"/>
      <c r="N30" s="508"/>
      <c r="O30" s="508"/>
      <c r="P30" s="508"/>
      <c r="Q30" s="508"/>
    </row>
    <row r="31" spans="4:17" x14ac:dyDescent="0.2">
      <c r="D31" s="508"/>
      <c r="E31" s="508"/>
      <c r="F31" s="508"/>
      <c r="G31" s="508"/>
      <c r="H31" s="508"/>
      <c r="I31" s="508"/>
      <c r="J31" s="508"/>
      <c r="K31" s="508"/>
      <c r="L31" s="508"/>
      <c r="M31" s="508"/>
      <c r="N31" s="508"/>
      <c r="O31" s="508"/>
      <c r="P31" s="508"/>
      <c r="Q31" s="508"/>
    </row>
    <row r="32" spans="4:17" x14ac:dyDescent="0.2">
      <c r="D32" s="508"/>
      <c r="E32" s="508"/>
      <c r="F32" s="508"/>
      <c r="G32" s="508"/>
      <c r="H32" s="508"/>
      <c r="I32" s="508"/>
      <c r="J32" s="508"/>
      <c r="K32" s="508"/>
      <c r="L32" s="508"/>
      <c r="M32" s="508"/>
      <c r="N32" s="508"/>
      <c r="O32" s="508"/>
      <c r="P32" s="508"/>
      <c r="Q32" s="508"/>
    </row>
    <row r="33" spans="1:42" x14ac:dyDescent="0.2">
      <c r="D33" s="508"/>
      <c r="E33" s="508"/>
      <c r="F33" s="508"/>
      <c r="G33" s="508"/>
      <c r="H33" s="508"/>
      <c r="I33" s="508"/>
      <c r="J33" s="508"/>
      <c r="K33" s="508"/>
      <c r="L33" s="508"/>
      <c r="M33" s="508"/>
      <c r="N33" s="508"/>
      <c r="O33" s="508"/>
      <c r="P33" s="508"/>
      <c r="Q33" s="508"/>
    </row>
    <row r="34" spans="1:42" x14ac:dyDescent="0.2">
      <c r="D34" s="4969" t="s">
        <v>275</v>
      </c>
      <c r="E34" s="4970"/>
      <c r="F34" s="4993">
        <v>2014</v>
      </c>
      <c r="G34" s="4974"/>
      <c r="H34" s="4975">
        <v>2015</v>
      </c>
      <c r="I34" s="4976"/>
      <c r="J34" s="4975">
        <v>2016</v>
      </c>
      <c r="K34" s="4976"/>
      <c r="L34" s="4975" t="s">
        <v>30</v>
      </c>
      <c r="M34" s="4994"/>
      <c r="N34" s="4993" t="s">
        <v>31</v>
      </c>
      <c r="O34" s="4974"/>
      <c r="P34" s="4975" t="s">
        <v>32</v>
      </c>
      <c r="Q34" s="4976"/>
      <c r="R34" s="508"/>
    </row>
    <row r="35" spans="1:42" x14ac:dyDescent="0.2">
      <c r="D35" s="4990"/>
      <c r="E35" s="4991"/>
      <c r="F35" s="1711" t="s">
        <v>256</v>
      </c>
      <c r="G35" s="1711" t="s">
        <v>257</v>
      </c>
      <c r="H35" s="1712" t="s">
        <v>256</v>
      </c>
      <c r="I35" s="1711" t="s">
        <v>257</v>
      </c>
      <c r="J35" s="1712" t="s">
        <v>259</v>
      </c>
      <c r="K35" s="1711" t="s">
        <v>257</v>
      </c>
      <c r="L35" s="1712" t="s">
        <v>1490</v>
      </c>
      <c r="M35" s="4189" t="s">
        <v>1491</v>
      </c>
      <c r="N35" s="4189" t="s">
        <v>1492</v>
      </c>
      <c r="O35" s="1711" t="s">
        <v>1493</v>
      </c>
      <c r="P35" s="4192" t="s">
        <v>1494</v>
      </c>
      <c r="Q35" s="4184" t="s">
        <v>1495</v>
      </c>
    </row>
    <row r="36" spans="1:42" x14ac:dyDescent="0.2">
      <c r="D36" s="4969" t="s">
        <v>276</v>
      </c>
      <c r="E36" s="4970"/>
      <c r="F36" s="4193">
        <v>67.300000000000011</v>
      </c>
      <c r="G36" s="1714">
        <f>(0.604)*100</f>
        <v>60.4</v>
      </c>
      <c r="H36" s="1715">
        <v>58.599999999999994</v>
      </c>
      <c r="I36" s="1716">
        <v>68.400000000000006</v>
      </c>
      <c r="J36" s="3474">
        <v>45.6</v>
      </c>
      <c r="K36" s="1717">
        <v>46.94</v>
      </c>
      <c r="L36" s="1718">
        <v>67</v>
      </c>
      <c r="M36" s="4190">
        <v>64</v>
      </c>
      <c r="N36" s="1718">
        <v>69</v>
      </c>
      <c r="O36" s="1719">
        <v>58</v>
      </c>
      <c r="P36" s="4185">
        <v>71</v>
      </c>
      <c r="Q36" s="4186">
        <v>68</v>
      </c>
    </row>
    <row r="37" spans="1:42" x14ac:dyDescent="0.2">
      <c r="D37" s="4990" t="s">
        <v>277</v>
      </c>
      <c r="E37" s="4991"/>
      <c r="F37" s="4194">
        <v>70.600000000000009</v>
      </c>
      <c r="G37" s="1721">
        <f>(0.784)*100</f>
        <v>78.400000000000006</v>
      </c>
      <c r="H37" s="1722">
        <v>73.7</v>
      </c>
      <c r="I37" s="1723">
        <v>76.3</v>
      </c>
      <c r="J37" s="1724">
        <v>65.900000000000006</v>
      </c>
      <c r="K37" s="1717">
        <v>47.43</v>
      </c>
      <c r="L37" s="1718">
        <v>61</v>
      </c>
      <c r="M37" s="4190">
        <v>52</v>
      </c>
      <c r="N37" s="1718">
        <v>68</v>
      </c>
      <c r="O37" s="1719">
        <v>62</v>
      </c>
      <c r="P37" s="4187">
        <v>67</v>
      </c>
      <c r="Q37" s="3795">
        <v>56</v>
      </c>
    </row>
    <row r="38" spans="1:42" x14ac:dyDescent="0.2">
      <c r="D38" s="4990" t="s">
        <v>278</v>
      </c>
      <c r="E38" s="4991"/>
      <c r="F38" s="4194">
        <v>62.8</v>
      </c>
      <c r="G38" s="1721">
        <f>(0.675*100)</f>
        <v>67.5</v>
      </c>
      <c r="H38" s="1722">
        <v>70.199999999999989</v>
      </c>
      <c r="I38" s="1723">
        <v>63.8</v>
      </c>
      <c r="J38" s="1724">
        <v>62</v>
      </c>
      <c r="K38" s="1725">
        <v>60.370000000000005</v>
      </c>
      <c r="L38" s="1718">
        <v>62</v>
      </c>
      <c r="M38" s="4190">
        <v>69</v>
      </c>
      <c r="N38" s="1718">
        <v>66</v>
      </c>
      <c r="O38" s="1719">
        <v>65</v>
      </c>
      <c r="P38" s="4187">
        <v>62</v>
      </c>
      <c r="Q38" s="3795">
        <v>65</v>
      </c>
    </row>
    <row r="39" spans="1:42" x14ac:dyDescent="0.2">
      <c r="D39" s="4990" t="s">
        <v>279</v>
      </c>
      <c r="E39" s="4991"/>
      <c r="F39" s="4194">
        <v>76.400000000000006</v>
      </c>
      <c r="G39" s="1721">
        <f>(0.771)*100</f>
        <v>77.100000000000009</v>
      </c>
      <c r="H39" s="1722">
        <v>78</v>
      </c>
      <c r="I39" s="1723">
        <v>69.7</v>
      </c>
      <c r="J39" s="1724">
        <v>59</v>
      </c>
      <c r="K39" s="1717">
        <v>61.06</v>
      </c>
      <c r="L39" s="1718">
        <v>51</v>
      </c>
      <c r="M39" s="4190">
        <v>75</v>
      </c>
      <c r="N39" s="1718">
        <v>71</v>
      </c>
      <c r="O39" s="1719">
        <v>75</v>
      </c>
      <c r="P39" s="4187">
        <v>69</v>
      </c>
      <c r="Q39" s="3795">
        <v>61</v>
      </c>
    </row>
    <row r="40" spans="1:42" x14ac:dyDescent="0.2">
      <c r="D40" s="4996" t="s">
        <v>280</v>
      </c>
      <c r="E40" s="4997"/>
      <c r="F40" s="4194">
        <v>75.7</v>
      </c>
      <c r="G40" s="1721">
        <f>(0.626)*100</f>
        <v>62.6</v>
      </c>
      <c r="H40" s="1722">
        <v>66.8</v>
      </c>
      <c r="I40" s="1723">
        <v>77.7</v>
      </c>
      <c r="J40" s="1724">
        <v>63.7</v>
      </c>
      <c r="K40" s="1717">
        <v>82.49</v>
      </c>
      <c r="L40" s="1718">
        <v>75</v>
      </c>
      <c r="M40" s="4190">
        <v>79</v>
      </c>
      <c r="N40" s="1718">
        <v>77</v>
      </c>
      <c r="O40" s="1719">
        <v>70</v>
      </c>
      <c r="P40" s="4187">
        <v>68</v>
      </c>
      <c r="Q40" s="3795">
        <v>68</v>
      </c>
    </row>
    <row r="41" spans="1:42" x14ac:dyDescent="0.2">
      <c r="D41" s="4990" t="s">
        <v>281</v>
      </c>
      <c r="E41" s="4991"/>
      <c r="F41" s="4194">
        <v>59.099999999999994</v>
      </c>
      <c r="G41" s="1721">
        <f>(0.667)*100</f>
        <v>66.7</v>
      </c>
      <c r="H41" s="1722">
        <v>71.7</v>
      </c>
      <c r="I41" s="1723">
        <v>82.6</v>
      </c>
      <c r="J41" s="1724">
        <v>58.7</v>
      </c>
      <c r="K41" s="1725">
        <v>55.11</v>
      </c>
      <c r="L41" s="1718">
        <v>72</v>
      </c>
      <c r="M41" s="4190">
        <v>65</v>
      </c>
      <c r="N41" s="1718">
        <v>73</v>
      </c>
      <c r="O41" s="1719">
        <v>75</v>
      </c>
      <c r="P41" s="4187">
        <v>71</v>
      </c>
      <c r="Q41" s="3795">
        <v>72</v>
      </c>
    </row>
    <row r="42" spans="1:42" x14ac:dyDescent="0.2">
      <c r="D42" s="4990" t="s">
        <v>282</v>
      </c>
      <c r="E42" s="4991"/>
      <c r="F42" s="4194">
        <v>73.900000000000006</v>
      </c>
      <c r="G42" s="1721">
        <f>(0.746)*100</f>
        <v>74.599999999999994</v>
      </c>
      <c r="H42" s="1722">
        <v>52.1</v>
      </c>
      <c r="I42" s="1723">
        <v>78.2</v>
      </c>
      <c r="J42" s="1724">
        <v>69</v>
      </c>
      <c r="K42" s="1717">
        <v>72.87</v>
      </c>
      <c r="L42" s="1718">
        <v>62</v>
      </c>
      <c r="M42" s="4190">
        <v>68</v>
      </c>
      <c r="N42" s="1718">
        <v>72</v>
      </c>
      <c r="O42" s="1719">
        <v>65</v>
      </c>
      <c r="P42" s="4187">
        <v>63</v>
      </c>
      <c r="Q42" s="3795">
        <v>64</v>
      </c>
    </row>
    <row r="43" spans="1:42" x14ac:dyDescent="0.2">
      <c r="D43" s="4990" t="s">
        <v>283</v>
      </c>
      <c r="E43" s="4991"/>
      <c r="F43" s="4194">
        <v>71.000000000000014</v>
      </c>
      <c r="G43" s="1721">
        <f>(0.678)*100</f>
        <v>67.800000000000011</v>
      </c>
      <c r="H43" s="1722">
        <v>64.400000000000006</v>
      </c>
      <c r="I43" s="1723">
        <v>77</v>
      </c>
      <c r="J43" s="1724">
        <v>46.3</v>
      </c>
      <c r="K43" s="1717">
        <v>48.45</v>
      </c>
      <c r="L43" s="1718">
        <v>61</v>
      </c>
      <c r="M43" s="4190">
        <v>63</v>
      </c>
      <c r="N43" s="1718">
        <v>58</v>
      </c>
      <c r="O43" s="1719">
        <v>65</v>
      </c>
      <c r="P43" s="4187">
        <v>70</v>
      </c>
      <c r="Q43" s="3795">
        <v>70</v>
      </c>
    </row>
    <row r="44" spans="1:42" x14ac:dyDescent="0.2">
      <c r="D44" s="4971" t="s">
        <v>284</v>
      </c>
      <c r="E44" s="4972"/>
      <c r="F44" s="4195">
        <v>46.900000000000006</v>
      </c>
      <c r="G44" s="1727">
        <f>(0.554)*100</f>
        <v>55.400000000000006</v>
      </c>
      <c r="H44" s="1728">
        <v>48.199999999999996</v>
      </c>
      <c r="I44" s="1729">
        <v>49.699999999999996</v>
      </c>
      <c r="J44" s="1728">
        <v>49.1</v>
      </c>
      <c r="K44" s="1730">
        <v>33.599999999999994</v>
      </c>
      <c r="L44" s="1731">
        <v>52</v>
      </c>
      <c r="M44" s="4191">
        <v>63</v>
      </c>
      <c r="N44" s="1731">
        <v>71</v>
      </c>
      <c r="O44" s="1732">
        <v>55</v>
      </c>
      <c r="P44" s="4188">
        <v>67</v>
      </c>
      <c r="Q44" s="3797">
        <v>58</v>
      </c>
    </row>
    <row r="45" spans="1:42" x14ac:dyDescent="0.2">
      <c r="D45" s="508"/>
      <c r="E45" s="508"/>
      <c r="F45" s="508"/>
      <c r="G45" s="508"/>
      <c r="H45" s="508"/>
      <c r="I45" s="508"/>
      <c r="J45" s="508"/>
      <c r="K45" s="508"/>
      <c r="L45" s="508"/>
      <c r="M45" s="508"/>
      <c r="N45" s="508"/>
      <c r="O45" s="508"/>
      <c r="P45" s="508"/>
      <c r="Q45" s="508"/>
    </row>
    <row r="46" spans="1:42" x14ac:dyDescent="0.2">
      <c r="D46" s="508"/>
      <c r="E46" s="508"/>
      <c r="F46" s="508"/>
      <c r="G46" s="508"/>
      <c r="H46" s="508"/>
      <c r="I46" s="508"/>
      <c r="J46" s="508"/>
      <c r="K46" s="508"/>
      <c r="L46" s="508"/>
      <c r="M46" s="508"/>
      <c r="N46" s="508"/>
      <c r="O46" s="508"/>
      <c r="P46" s="508"/>
      <c r="Q46" s="508"/>
    </row>
    <row r="47" spans="1:42" x14ac:dyDescent="0.2">
      <c r="D47" s="508"/>
      <c r="E47" s="508"/>
      <c r="F47" s="508"/>
      <c r="G47" s="508"/>
      <c r="H47" s="508"/>
      <c r="I47" s="508"/>
      <c r="J47" s="508"/>
      <c r="K47" s="508"/>
      <c r="L47" s="508"/>
      <c r="M47" s="508"/>
      <c r="N47" s="508"/>
      <c r="O47" s="508"/>
      <c r="P47" s="508"/>
      <c r="Q47" s="508"/>
    </row>
    <row r="48" spans="1:42" ht="15" customHeight="1" x14ac:dyDescent="0.2">
      <c r="A48" s="509">
        <v>6</v>
      </c>
      <c r="B48" s="509" t="s">
        <v>52</v>
      </c>
      <c r="C48" s="509"/>
      <c r="D48" s="4603" t="s">
        <v>533</v>
      </c>
      <c r="E48" s="4604"/>
      <c r="F48" s="4604"/>
      <c r="G48" s="4604"/>
      <c r="H48" s="4604"/>
      <c r="I48" s="4604"/>
      <c r="J48" s="4604"/>
      <c r="K48" s="4604"/>
      <c r="L48" s="4604"/>
      <c r="M48" s="4604"/>
      <c r="N48" s="4604"/>
      <c r="O48" s="4604"/>
      <c r="P48" s="4604"/>
      <c r="Q48" s="4604"/>
      <c r="R48" s="4604"/>
      <c r="S48" s="4604"/>
      <c r="T48" s="4604"/>
      <c r="U48" s="4604"/>
      <c r="V48" s="4604"/>
      <c r="W48" s="4604"/>
      <c r="X48" s="4604"/>
      <c r="Y48" s="4604"/>
      <c r="Z48" s="4604"/>
      <c r="AA48" s="4604"/>
      <c r="AB48" s="4604"/>
      <c r="AC48" s="4604"/>
      <c r="AD48" s="4604"/>
      <c r="AE48" s="4604"/>
      <c r="AF48" s="4604"/>
      <c r="AG48" s="4604"/>
      <c r="AH48" s="4604"/>
      <c r="AI48" s="4604"/>
      <c r="AJ48" s="4604"/>
      <c r="AK48" s="4604"/>
      <c r="AL48" s="4604"/>
      <c r="AM48" s="4604"/>
      <c r="AN48" s="4604"/>
      <c r="AO48" s="4604"/>
      <c r="AP48" s="4605"/>
    </row>
    <row r="49" spans="1:59" ht="14.25" customHeight="1" x14ac:dyDescent="0.2">
      <c r="A49" s="546">
        <v>7</v>
      </c>
      <c r="B49" s="546" t="s">
        <v>54</v>
      </c>
      <c r="C49" s="546"/>
      <c r="D49" s="4603" t="s">
        <v>1552</v>
      </c>
      <c r="E49" s="4604"/>
      <c r="F49" s="4604"/>
      <c r="G49" s="4604"/>
      <c r="H49" s="4604"/>
      <c r="I49" s="4604"/>
      <c r="J49" s="4604"/>
      <c r="K49" s="4604"/>
      <c r="L49" s="4604"/>
      <c r="M49" s="4604"/>
      <c r="N49" s="4604"/>
      <c r="O49" s="4604"/>
      <c r="P49" s="4604"/>
      <c r="Q49" s="4604"/>
      <c r="R49" s="4604"/>
      <c r="S49" s="4604"/>
      <c r="T49" s="4604"/>
      <c r="U49" s="4604"/>
      <c r="V49" s="4604"/>
      <c r="W49" s="4604"/>
      <c r="X49" s="4604"/>
      <c r="Y49" s="4604"/>
      <c r="Z49" s="4604"/>
      <c r="AA49" s="4604"/>
      <c r="AB49" s="4604"/>
      <c r="AC49" s="4604"/>
      <c r="AD49" s="4604"/>
      <c r="AE49" s="4604"/>
      <c r="AF49" s="4604"/>
      <c r="AG49" s="4604"/>
      <c r="AH49" s="4604"/>
      <c r="AI49" s="4604"/>
      <c r="AJ49" s="4604"/>
      <c r="AK49" s="4604"/>
      <c r="AL49" s="4604"/>
      <c r="AM49" s="4604"/>
      <c r="AN49" s="4604"/>
      <c r="AO49" s="4604"/>
      <c r="AP49" s="4605"/>
    </row>
    <row r="50" spans="1:59" ht="21" customHeight="1" x14ac:dyDescent="0.2">
      <c r="A50" s="509">
        <v>8</v>
      </c>
      <c r="B50" s="509" t="s">
        <v>56</v>
      </c>
      <c r="C50" s="509"/>
      <c r="D50" s="4603" t="s">
        <v>1544</v>
      </c>
      <c r="E50" s="4604"/>
      <c r="F50" s="4604"/>
      <c r="G50" s="4604"/>
      <c r="H50" s="4604"/>
      <c r="I50" s="4604"/>
      <c r="J50" s="4604"/>
      <c r="K50" s="4604"/>
      <c r="L50" s="4604"/>
      <c r="M50" s="4604"/>
      <c r="N50" s="4604"/>
      <c r="O50" s="4604"/>
      <c r="P50" s="4604"/>
      <c r="Q50" s="4604"/>
      <c r="R50" s="4604"/>
      <c r="S50" s="4604"/>
      <c r="T50" s="4604"/>
      <c r="U50" s="4604"/>
      <c r="V50" s="4604"/>
      <c r="W50" s="4604"/>
      <c r="X50" s="4604"/>
      <c r="Y50" s="4604"/>
      <c r="Z50" s="4604"/>
      <c r="AA50" s="4604"/>
      <c r="AB50" s="4604"/>
      <c r="AC50" s="4604"/>
      <c r="AD50" s="4604"/>
      <c r="AE50" s="4604"/>
      <c r="AF50" s="4604"/>
      <c r="AG50" s="4604"/>
      <c r="AH50" s="4604"/>
      <c r="AI50" s="4604"/>
      <c r="AJ50" s="4604"/>
      <c r="AK50" s="4604"/>
      <c r="AL50" s="4604"/>
      <c r="AM50" s="4604"/>
      <c r="AN50" s="4604"/>
      <c r="AO50" s="4604"/>
      <c r="AP50" s="4605"/>
    </row>
    <row r="51" spans="1:59" ht="46.5" customHeight="1" x14ac:dyDescent="0.2">
      <c r="A51" s="509">
        <v>9</v>
      </c>
      <c r="B51" s="509" t="s">
        <v>58</v>
      </c>
      <c r="D51" s="4603" t="s">
        <v>1553</v>
      </c>
      <c r="E51" s="4604"/>
      <c r="F51" s="4604"/>
      <c r="G51" s="4604"/>
      <c r="H51" s="4604"/>
      <c r="I51" s="4604"/>
      <c r="J51" s="4604"/>
      <c r="K51" s="4604"/>
      <c r="L51" s="4604"/>
      <c r="M51" s="4604"/>
      <c r="N51" s="4604"/>
      <c r="O51" s="4604"/>
      <c r="P51" s="4604"/>
      <c r="Q51" s="4604"/>
      <c r="R51" s="4604"/>
      <c r="S51" s="4604"/>
      <c r="T51" s="4604"/>
      <c r="U51" s="4604"/>
      <c r="V51" s="4604"/>
      <c r="W51" s="4604"/>
      <c r="X51" s="4604"/>
      <c r="Y51" s="4604"/>
      <c r="Z51" s="4604"/>
      <c r="AA51" s="4604"/>
      <c r="AB51" s="4604"/>
      <c r="AC51" s="4604"/>
      <c r="AD51" s="4604"/>
      <c r="AE51" s="4604"/>
      <c r="AF51" s="4604"/>
      <c r="AG51" s="4604"/>
      <c r="AH51" s="4604"/>
      <c r="AI51" s="4604"/>
      <c r="AJ51" s="4604"/>
      <c r="AK51" s="4604"/>
      <c r="AL51" s="4604"/>
      <c r="AM51" s="4604"/>
      <c r="AN51" s="4604"/>
      <c r="AO51" s="4604"/>
      <c r="AP51" s="4605"/>
    </row>
    <row r="52" spans="1:59" ht="74.099999999999994" customHeight="1" x14ac:dyDescent="0.2"/>
    <row r="53" spans="1:59" hidden="1" x14ac:dyDescent="0.2">
      <c r="E53" s="1081">
        <v>2000</v>
      </c>
      <c r="F53" s="1081">
        <v>2001</v>
      </c>
      <c r="G53" s="1081">
        <v>2002</v>
      </c>
      <c r="H53" s="1081">
        <v>2003</v>
      </c>
      <c r="I53" s="1081">
        <v>2004</v>
      </c>
      <c r="J53" s="1081">
        <v>2005</v>
      </c>
      <c r="K53" s="1081">
        <v>2006</v>
      </c>
      <c r="L53" s="1081">
        <v>2007</v>
      </c>
      <c r="M53" s="1081">
        <v>2008</v>
      </c>
      <c r="N53" s="1081">
        <v>2009</v>
      </c>
      <c r="O53" s="1081">
        <v>2010</v>
      </c>
      <c r="P53" s="1081">
        <v>2011</v>
      </c>
      <c r="Q53" s="1081">
        <v>2012</v>
      </c>
    </row>
    <row r="54" spans="1:59" hidden="1" x14ac:dyDescent="0.2">
      <c r="E54" s="1081">
        <v>72</v>
      </c>
      <c r="F54" s="1081">
        <v>70</v>
      </c>
      <c r="G54" s="1081">
        <v>71</v>
      </c>
      <c r="H54" s="1081">
        <v>76</v>
      </c>
      <c r="I54" s="1081">
        <v>85</v>
      </c>
      <c r="J54" s="1081">
        <v>85</v>
      </c>
      <c r="K54" s="1081">
        <v>82</v>
      </c>
      <c r="L54" s="1081">
        <v>77</v>
      </c>
      <c r="M54" s="1081">
        <v>61</v>
      </c>
      <c r="N54" s="1081">
        <v>64</v>
      </c>
      <c r="O54" s="1081">
        <v>67</v>
      </c>
      <c r="P54" s="1081">
        <v>64</v>
      </c>
      <c r="Q54" s="1081">
        <v>58</v>
      </c>
    </row>
    <row r="56" spans="1:59" ht="15.75" thickBot="1" x14ac:dyDescent="0.25"/>
    <row r="57" spans="1:59" ht="15.75" thickBot="1" x14ac:dyDescent="0.25">
      <c r="D57" s="1733"/>
      <c r="E57" s="1734">
        <v>2003</v>
      </c>
      <c r="F57" s="1735">
        <v>2004</v>
      </c>
      <c r="G57" s="1735">
        <v>2005</v>
      </c>
      <c r="H57" s="1735">
        <v>2006</v>
      </c>
      <c r="I57" s="1735">
        <v>2007</v>
      </c>
      <c r="J57" s="1735">
        <v>2008</v>
      </c>
      <c r="K57" s="1735">
        <v>2009</v>
      </c>
      <c r="L57" s="1734">
        <v>2010</v>
      </c>
      <c r="M57" s="1735">
        <v>2011</v>
      </c>
      <c r="N57" s="1735">
        <v>2012</v>
      </c>
      <c r="O57" s="1735">
        <v>2013</v>
      </c>
      <c r="P57" s="1735">
        <v>2014</v>
      </c>
      <c r="Q57" s="1735">
        <v>2015</v>
      </c>
      <c r="R57" s="1736">
        <v>2016</v>
      </c>
      <c r="S57" s="1737">
        <v>2017</v>
      </c>
      <c r="T57" s="1738">
        <v>2018</v>
      </c>
      <c r="U57" s="1738">
        <v>2019</v>
      </c>
      <c r="V57" s="1738">
        <v>2020</v>
      </c>
      <c r="W57" s="1738">
        <v>2021</v>
      </c>
      <c r="X57" s="1738">
        <v>2022</v>
      </c>
      <c r="AO57" s="1739"/>
      <c r="AP57" s="1739">
        <v>2000</v>
      </c>
      <c r="AQ57" s="1739">
        <v>2001</v>
      </c>
      <c r="AR57" s="1739">
        <v>2002</v>
      </c>
      <c r="AS57" s="1739">
        <v>2003</v>
      </c>
      <c r="AT57" s="1739">
        <v>2004</v>
      </c>
      <c r="AU57" s="1739">
        <v>2005</v>
      </c>
      <c r="AV57" s="1739">
        <v>2006</v>
      </c>
      <c r="AW57" s="1739">
        <v>2007</v>
      </c>
      <c r="AX57" s="1739">
        <v>2008</v>
      </c>
      <c r="AY57" s="1739">
        <v>2009</v>
      </c>
      <c r="AZ57" s="1739">
        <v>2010</v>
      </c>
      <c r="BA57" s="1739">
        <v>2011</v>
      </c>
      <c r="BB57" s="1739">
        <v>2012</v>
      </c>
      <c r="BC57" s="1739">
        <v>2013</v>
      </c>
      <c r="BD57" s="1739">
        <v>2014</v>
      </c>
      <c r="BE57" s="1739">
        <v>2015</v>
      </c>
      <c r="BF57" s="1739">
        <v>2016</v>
      </c>
      <c r="BG57" s="1739" t="s">
        <v>30</v>
      </c>
    </row>
    <row r="58" spans="1:59" ht="45.75" thickBot="1" x14ac:dyDescent="0.25">
      <c r="D58" s="1740" t="s">
        <v>1549</v>
      </c>
      <c r="E58" s="1741">
        <v>76</v>
      </c>
      <c r="F58" s="1742">
        <v>85</v>
      </c>
      <c r="G58" s="1742">
        <v>85</v>
      </c>
      <c r="H58" s="1742">
        <v>82</v>
      </c>
      <c r="I58" s="1741">
        <v>77</v>
      </c>
      <c r="J58" s="1741">
        <v>61</v>
      </c>
      <c r="K58" s="1741">
        <v>64</v>
      </c>
      <c r="L58" s="1741">
        <v>67</v>
      </c>
      <c r="M58" s="1742">
        <v>64</v>
      </c>
      <c r="N58" s="1742">
        <v>58</v>
      </c>
      <c r="O58" s="1742">
        <v>55</v>
      </c>
      <c r="P58" s="1742">
        <v>67</v>
      </c>
      <c r="Q58" s="1742">
        <v>67</v>
      </c>
      <c r="R58" s="1743">
        <v>58</v>
      </c>
      <c r="S58" s="1744">
        <v>65</v>
      </c>
      <c r="T58" s="1745">
        <v>59</v>
      </c>
      <c r="U58" s="1745">
        <v>66</v>
      </c>
      <c r="V58" s="1081" t="s">
        <v>291</v>
      </c>
      <c r="W58" s="1745">
        <v>65</v>
      </c>
      <c r="X58" s="1745">
        <v>62</v>
      </c>
      <c r="AO58" s="1746" t="s">
        <v>1549</v>
      </c>
      <c r="AP58" s="1739">
        <v>72</v>
      </c>
      <c r="AQ58" s="1739">
        <v>70</v>
      </c>
      <c r="AR58" s="1739">
        <v>71</v>
      </c>
      <c r="AS58" s="1739">
        <v>76</v>
      </c>
      <c r="AT58" s="1739">
        <v>85</v>
      </c>
      <c r="AU58" s="1739">
        <v>85</v>
      </c>
      <c r="AV58" s="1739">
        <v>82</v>
      </c>
      <c r="AW58" s="1739">
        <v>77</v>
      </c>
      <c r="AX58" s="1739">
        <v>61</v>
      </c>
      <c r="AY58" s="1739">
        <v>64</v>
      </c>
      <c r="AZ58" s="1739">
        <v>67</v>
      </c>
      <c r="BA58" s="1739">
        <v>64</v>
      </c>
      <c r="BB58" s="1739">
        <v>58</v>
      </c>
      <c r="BC58" s="1739">
        <v>55</v>
      </c>
      <c r="BD58" s="1739">
        <v>67</v>
      </c>
      <c r="BE58" s="1739">
        <v>67</v>
      </c>
      <c r="BF58" s="1739">
        <v>60</v>
      </c>
      <c r="BG58" s="1739">
        <v>65</v>
      </c>
    </row>
    <row r="59" spans="1:59" x14ac:dyDescent="0.2">
      <c r="W59" s="1747"/>
    </row>
  </sheetData>
  <mergeCells count="44">
    <mergeCell ref="D51:AP51"/>
    <mergeCell ref="D42:E42"/>
    <mergeCell ref="D43:E43"/>
    <mergeCell ref="D44:E44"/>
    <mergeCell ref="D48:AP48"/>
    <mergeCell ref="D49:AP49"/>
    <mergeCell ref="D50:AP50"/>
    <mergeCell ref="D36:E36"/>
    <mergeCell ref="D37:E37"/>
    <mergeCell ref="D38:E38"/>
    <mergeCell ref="D39:E39"/>
    <mergeCell ref="D40:E40"/>
    <mergeCell ref="D41:E41"/>
    <mergeCell ref="AQ7:AR7"/>
    <mergeCell ref="AS7:AT7"/>
    <mergeCell ref="D34:E35"/>
    <mergeCell ref="F34:G34"/>
    <mergeCell ref="H34:I34"/>
    <mergeCell ref="J34:K34"/>
    <mergeCell ref="L34:M34"/>
    <mergeCell ref="N34:O34"/>
    <mergeCell ref="P34:Q34"/>
    <mergeCell ref="AE7:AF7"/>
    <mergeCell ref="AG7:AH7"/>
    <mergeCell ref="AI7:AJ7"/>
    <mergeCell ref="AK7:AL7"/>
    <mergeCell ref="AM7:AN7"/>
    <mergeCell ref="AO7:AP7"/>
    <mergeCell ref="AC7:AD7"/>
    <mergeCell ref="D2:AP2"/>
    <mergeCell ref="D3:AP3"/>
    <mergeCell ref="D4:AP4"/>
    <mergeCell ref="E7:F7"/>
    <mergeCell ref="G7:H7"/>
    <mergeCell ref="I7:J7"/>
    <mergeCell ref="K7:L7"/>
    <mergeCell ref="M7:N7"/>
    <mergeCell ref="O7:P7"/>
    <mergeCell ref="Q7:R7"/>
    <mergeCell ref="S7:T7"/>
    <mergeCell ref="U7:V7"/>
    <mergeCell ref="W7:X7"/>
    <mergeCell ref="Y7:Z7"/>
    <mergeCell ref="AA7:AB7"/>
  </mergeCells>
  <pageMargins left="0.74803149606299213" right="0.74803149606299213" top="0.98425196850393704" bottom="0.98425196850393704" header="0.51181102362204722" footer="0.51181102362204722"/>
  <pageSetup paperSize="9" scale="3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AEDF5-9107-4062-9A60-56676C32FC14}">
  <sheetPr>
    <tabColor rgb="FFFFC000"/>
    <pageSetUpPr fitToPage="1"/>
  </sheetPr>
  <dimension ref="A1:Y67"/>
  <sheetViews>
    <sheetView showGridLines="0" view="pageBreakPreview" zoomScaleNormal="100" zoomScaleSheetLayoutView="100" workbookViewId="0">
      <selection activeCell="U34" sqref="U34"/>
    </sheetView>
  </sheetViews>
  <sheetFormatPr defaultColWidth="9.140625" defaultRowHeight="12" x14ac:dyDescent="0.2"/>
  <cols>
    <col min="1" max="1" width="3.85546875" style="203" customWidth="1"/>
    <col min="2" max="2" width="14.42578125" style="527" customWidth="1"/>
    <col min="3" max="3" width="3.85546875" style="527" customWidth="1"/>
    <col min="4" max="4" width="17.85546875" style="512" customWidth="1"/>
    <col min="5" max="13" width="7.5703125" style="512" customWidth="1"/>
    <col min="14" max="14" width="7.5703125" style="1904" customWidth="1"/>
    <col min="15" max="19" width="7.5703125" style="512" customWidth="1"/>
    <col min="20" max="20" width="9.42578125" style="512" customWidth="1"/>
    <col min="21" max="21" width="9.42578125" style="512" bestFit="1" customWidth="1"/>
    <col min="22" max="22" width="7.85546875" style="512" customWidth="1"/>
    <col min="23" max="244" width="9.140625" style="512"/>
    <col min="245" max="245" width="3.85546875" style="512" customWidth="1"/>
    <col min="246" max="246" width="14.42578125" style="512" customWidth="1"/>
    <col min="247" max="247" width="3.85546875" style="512" customWidth="1"/>
    <col min="248" max="248" width="22.5703125" style="512" customWidth="1"/>
    <col min="249" max="255" width="10.5703125" style="512" customWidth="1"/>
    <col min="256" max="256" width="18.5703125" style="512" customWidth="1"/>
    <col min="257" max="257" width="9" style="512" customWidth="1"/>
    <col min="258" max="258" width="9.140625" style="512"/>
    <col min="259" max="259" width="13.140625" style="512" customWidth="1"/>
    <col min="260" max="260" width="9.140625" style="512"/>
    <col min="261" max="261" width="22.85546875" style="512" customWidth="1"/>
    <col min="262" max="500" width="9.140625" style="512"/>
    <col min="501" max="501" width="3.85546875" style="512" customWidth="1"/>
    <col min="502" max="502" width="14.42578125" style="512" customWidth="1"/>
    <col min="503" max="503" width="3.85546875" style="512" customWidth="1"/>
    <col min="504" max="504" width="22.5703125" style="512" customWidth="1"/>
    <col min="505" max="511" width="10.5703125" style="512" customWidth="1"/>
    <col min="512" max="512" width="18.5703125" style="512" customWidth="1"/>
    <col min="513" max="513" width="9" style="512" customWidth="1"/>
    <col min="514" max="514" width="9.140625" style="512"/>
    <col min="515" max="515" width="13.140625" style="512" customWidth="1"/>
    <col min="516" max="516" width="9.140625" style="512"/>
    <col min="517" max="517" width="22.85546875" style="512" customWidth="1"/>
    <col min="518" max="756" width="9.140625" style="512"/>
    <col min="757" max="757" width="3.85546875" style="512" customWidth="1"/>
    <col min="758" max="758" width="14.42578125" style="512" customWidth="1"/>
    <col min="759" max="759" width="3.85546875" style="512" customWidth="1"/>
    <col min="760" max="760" width="22.5703125" style="512" customWidth="1"/>
    <col min="761" max="767" width="10.5703125" style="512" customWidth="1"/>
    <col min="768" max="768" width="18.5703125" style="512" customWidth="1"/>
    <col min="769" max="769" width="9" style="512" customWidth="1"/>
    <col min="770" max="770" width="9.140625" style="512"/>
    <col min="771" max="771" width="13.140625" style="512" customWidth="1"/>
    <col min="772" max="772" width="9.140625" style="512"/>
    <col min="773" max="773" width="22.85546875" style="512" customWidth="1"/>
    <col min="774" max="1012" width="9.140625" style="512"/>
    <col min="1013" max="1013" width="3.85546875" style="512" customWidth="1"/>
    <col min="1014" max="1014" width="14.42578125" style="512" customWidth="1"/>
    <col min="1015" max="1015" width="3.85546875" style="512" customWidth="1"/>
    <col min="1016" max="1016" width="22.5703125" style="512" customWidth="1"/>
    <col min="1017" max="1023" width="10.5703125" style="512" customWidth="1"/>
    <col min="1024" max="1024" width="18.5703125" style="512" customWidth="1"/>
    <col min="1025" max="1025" width="9" style="512" customWidth="1"/>
    <col min="1026" max="1026" width="9.140625" style="512"/>
    <col min="1027" max="1027" width="13.140625" style="512" customWidth="1"/>
    <col min="1028" max="1028" width="9.140625" style="512"/>
    <col min="1029" max="1029" width="22.85546875" style="512" customWidth="1"/>
    <col min="1030" max="1268" width="9.140625" style="512"/>
    <col min="1269" max="1269" width="3.85546875" style="512" customWidth="1"/>
    <col min="1270" max="1270" width="14.42578125" style="512" customWidth="1"/>
    <col min="1271" max="1271" width="3.85546875" style="512" customWidth="1"/>
    <col min="1272" max="1272" width="22.5703125" style="512" customWidth="1"/>
    <col min="1273" max="1279" width="10.5703125" style="512" customWidth="1"/>
    <col min="1280" max="1280" width="18.5703125" style="512" customWidth="1"/>
    <col min="1281" max="1281" width="9" style="512" customWidth="1"/>
    <col min="1282" max="1282" width="9.140625" style="512"/>
    <col min="1283" max="1283" width="13.140625" style="512" customWidth="1"/>
    <col min="1284" max="1284" width="9.140625" style="512"/>
    <col min="1285" max="1285" width="22.85546875" style="512" customWidth="1"/>
    <col min="1286" max="1524" width="9.140625" style="512"/>
    <col min="1525" max="1525" width="3.85546875" style="512" customWidth="1"/>
    <col min="1526" max="1526" width="14.42578125" style="512" customWidth="1"/>
    <col min="1527" max="1527" width="3.85546875" style="512" customWidth="1"/>
    <col min="1528" max="1528" width="22.5703125" style="512" customWidth="1"/>
    <col min="1529" max="1535" width="10.5703125" style="512" customWidth="1"/>
    <col min="1536" max="1536" width="18.5703125" style="512" customWidth="1"/>
    <col min="1537" max="1537" width="9" style="512" customWidth="1"/>
    <col min="1538" max="1538" width="9.140625" style="512"/>
    <col min="1539" max="1539" width="13.140625" style="512" customWidth="1"/>
    <col min="1540" max="1540" width="9.140625" style="512"/>
    <col min="1541" max="1541" width="22.85546875" style="512" customWidth="1"/>
    <col min="1542" max="1780" width="9.140625" style="512"/>
    <col min="1781" max="1781" width="3.85546875" style="512" customWidth="1"/>
    <col min="1782" max="1782" width="14.42578125" style="512" customWidth="1"/>
    <col min="1783" max="1783" width="3.85546875" style="512" customWidth="1"/>
    <col min="1784" max="1784" width="22.5703125" style="512" customWidth="1"/>
    <col min="1785" max="1791" width="10.5703125" style="512" customWidth="1"/>
    <col min="1792" max="1792" width="18.5703125" style="512" customWidth="1"/>
    <col min="1793" max="1793" width="9" style="512" customWidth="1"/>
    <col min="1794" max="1794" width="9.140625" style="512"/>
    <col min="1795" max="1795" width="13.140625" style="512" customWidth="1"/>
    <col min="1796" max="1796" width="9.140625" style="512"/>
    <col min="1797" max="1797" width="22.85546875" style="512" customWidth="1"/>
    <col min="1798" max="2036" width="9.140625" style="512"/>
    <col min="2037" max="2037" width="3.85546875" style="512" customWidth="1"/>
    <col min="2038" max="2038" width="14.42578125" style="512" customWidth="1"/>
    <col min="2039" max="2039" width="3.85546875" style="512" customWidth="1"/>
    <col min="2040" max="2040" width="22.5703125" style="512" customWidth="1"/>
    <col min="2041" max="2047" width="10.5703125" style="512" customWidth="1"/>
    <col min="2048" max="2048" width="18.5703125" style="512" customWidth="1"/>
    <col min="2049" max="2049" width="9" style="512" customWidth="1"/>
    <col min="2050" max="2050" width="9.140625" style="512"/>
    <col min="2051" max="2051" width="13.140625" style="512" customWidth="1"/>
    <col min="2052" max="2052" width="9.140625" style="512"/>
    <col min="2053" max="2053" width="22.85546875" style="512" customWidth="1"/>
    <col min="2054" max="2292" width="9.140625" style="512"/>
    <col min="2293" max="2293" width="3.85546875" style="512" customWidth="1"/>
    <col min="2294" max="2294" width="14.42578125" style="512" customWidth="1"/>
    <col min="2295" max="2295" width="3.85546875" style="512" customWidth="1"/>
    <col min="2296" max="2296" width="22.5703125" style="512" customWidth="1"/>
    <col min="2297" max="2303" width="10.5703125" style="512" customWidth="1"/>
    <col min="2304" max="2304" width="18.5703125" style="512" customWidth="1"/>
    <col min="2305" max="2305" width="9" style="512" customWidth="1"/>
    <col min="2306" max="2306" width="9.140625" style="512"/>
    <col min="2307" max="2307" width="13.140625" style="512" customWidth="1"/>
    <col min="2308" max="2308" width="9.140625" style="512"/>
    <col min="2309" max="2309" width="22.85546875" style="512" customWidth="1"/>
    <col min="2310" max="2548" width="9.140625" style="512"/>
    <col min="2549" max="2549" width="3.85546875" style="512" customWidth="1"/>
    <col min="2550" max="2550" width="14.42578125" style="512" customWidth="1"/>
    <col min="2551" max="2551" width="3.85546875" style="512" customWidth="1"/>
    <col min="2552" max="2552" width="22.5703125" style="512" customWidth="1"/>
    <col min="2553" max="2559" width="10.5703125" style="512" customWidth="1"/>
    <col min="2560" max="2560" width="18.5703125" style="512" customWidth="1"/>
    <col min="2561" max="2561" width="9" style="512" customWidth="1"/>
    <col min="2562" max="2562" width="9.140625" style="512"/>
    <col min="2563" max="2563" width="13.140625" style="512" customWidth="1"/>
    <col min="2564" max="2564" width="9.140625" style="512"/>
    <col min="2565" max="2565" width="22.85546875" style="512" customWidth="1"/>
    <col min="2566" max="2804" width="9.140625" style="512"/>
    <col min="2805" max="2805" width="3.85546875" style="512" customWidth="1"/>
    <col min="2806" max="2806" width="14.42578125" style="512" customWidth="1"/>
    <col min="2807" max="2807" width="3.85546875" style="512" customWidth="1"/>
    <col min="2808" max="2808" width="22.5703125" style="512" customWidth="1"/>
    <col min="2809" max="2815" width="10.5703125" style="512" customWidth="1"/>
    <col min="2816" max="2816" width="18.5703125" style="512" customWidth="1"/>
    <col min="2817" max="2817" width="9" style="512" customWidth="1"/>
    <col min="2818" max="2818" width="9.140625" style="512"/>
    <col min="2819" max="2819" width="13.140625" style="512" customWidth="1"/>
    <col min="2820" max="2820" width="9.140625" style="512"/>
    <col min="2821" max="2821" width="22.85546875" style="512" customWidth="1"/>
    <col min="2822" max="3060" width="9.140625" style="512"/>
    <col min="3061" max="3061" width="3.85546875" style="512" customWidth="1"/>
    <col min="3062" max="3062" width="14.42578125" style="512" customWidth="1"/>
    <col min="3063" max="3063" width="3.85546875" style="512" customWidth="1"/>
    <col min="3064" max="3064" width="22.5703125" style="512" customWidth="1"/>
    <col min="3065" max="3071" width="10.5703125" style="512" customWidth="1"/>
    <col min="3072" max="3072" width="18.5703125" style="512" customWidth="1"/>
    <col min="3073" max="3073" width="9" style="512" customWidth="1"/>
    <col min="3074" max="3074" width="9.140625" style="512"/>
    <col min="3075" max="3075" width="13.140625" style="512" customWidth="1"/>
    <col min="3076" max="3076" width="9.140625" style="512"/>
    <col min="3077" max="3077" width="22.85546875" style="512" customWidth="1"/>
    <col min="3078" max="3316" width="9.140625" style="512"/>
    <col min="3317" max="3317" width="3.85546875" style="512" customWidth="1"/>
    <col min="3318" max="3318" width="14.42578125" style="512" customWidth="1"/>
    <col min="3319" max="3319" width="3.85546875" style="512" customWidth="1"/>
    <col min="3320" max="3320" width="22.5703125" style="512" customWidth="1"/>
    <col min="3321" max="3327" width="10.5703125" style="512" customWidth="1"/>
    <col min="3328" max="3328" width="18.5703125" style="512" customWidth="1"/>
    <col min="3329" max="3329" width="9" style="512" customWidth="1"/>
    <col min="3330" max="3330" width="9.140625" style="512"/>
    <col min="3331" max="3331" width="13.140625" style="512" customWidth="1"/>
    <col min="3332" max="3332" width="9.140625" style="512"/>
    <col min="3333" max="3333" width="22.85546875" style="512" customWidth="1"/>
    <col min="3334" max="3572" width="9.140625" style="512"/>
    <col min="3573" max="3573" width="3.85546875" style="512" customWidth="1"/>
    <col min="3574" max="3574" width="14.42578125" style="512" customWidth="1"/>
    <col min="3575" max="3575" width="3.85546875" style="512" customWidth="1"/>
    <col min="3576" max="3576" width="22.5703125" style="512" customWidth="1"/>
    <col min="3577" max="3583" width="10.5703125" style="512" customWidth="1"/>
    <col min="3584" max="3584" width="18.5703125" style="512" customWidth="1"/>
    <col min="3585" max="3585" width="9" style="512" customWidth="1"/>
    <col min="3586" max="3586" width="9.140625" style="512"/>
    <col min="3587" max="3587" width="13.140625" style="512" customWidth="1"/>
    <col min="3588" max="3588" width="9.140625" style="512"/>
    <col min="3589" max="3589" width="22.85546875" style="512" customWidth="1"/>
    <col min="3590" max="3828" width="9.140625" style="512"/>
    <col min="3829" max="3829" width="3.85546875" style="512" customWidth="1"/>
    <col min="3830" max="3830" width="14.42578125" style="512" customWidth="1"/>
    <col min="3831" max="3831" width="3.85546875" style="512" customWidth="1"/>
    <col min="3832" max="3832" width="22.5703125" style="512" customWidth="1"/>
    <col min="3833" max="3839" width="10.5703125" style="512" customWidth="1"/>
    <col min="3840" max="3840" width="18.5703125" style="512" customWidth="1"/>
    <col min="3841" max="3841" width="9" style="512" customWidth="1"/>
    <col min="3842" max="3842" width="9.140625" style="512"/>
    <col min="3843" max="3843" width="13.140625" style="512" customWidth="1"/>
    <col min="3844" max="3844" width="9.140625" style="512"/>
    <col min="3845" max="3845" width="22.85546875" style="512" customWidth="1"/>
    <col min="3846" max="4084" width="9.140625" style="512"/>
    <col min="4085" max="4085" width="3.85546875" style="512" customWidth="1"/>
    <col min="4086" max="4086" width="14.42578125" style="512" customWidth="1"/>
    <col min="4087" max="4087" width="3.85546875" style="512" customWidth="1"/>
    <col min="4088" max="4088" width="22.5703125" style="512" customWidth="1"/>
    <col min="4089" max="4095" width="10.5703125" style="512" customWidth="1"/>
    <col min="4096" max="4096" width="18.5703125" style="512" customWidth="1"/>
    <col min="4097" max="4097" width="9" style="512" customWidth="1"/>
    <col min="4098" max="4098" width="9.140625" style="512"/>
    <col min="4099" max="4099" width="13.140625" style="512" customWidth="1"/>
    <col min="4100" max="4100" width="9.140625" style="512"/>
    <col min="4101" max="4101" width="22.85546875" style="512" customWidth="1"/>
    <col min="4102" max="4340" width="9.140625" style="512"/>
    <col min="4341" max="4341" width="3.85546875" style="512" customWidth="1"/>
    <col min="4342" max="4342" width="14.42578125" style="512" customWidth="1"/>
    <col min="4343" max="4343" width="3.85546875" style="512" customWidth="1"/>
    <col min="4344" max="4344" width="22.5703125" style="512" customWidth="1"/>
    <col min="4345" max="4351" width="10.5703125" style="512" customWidth="1"/>
    <col min="4352" max="4352" width="18.5703125" style="512" customWidth="1"/>
    <col min="4353" max="4353" width="9" style="512" customWidth="1"/>
    <col min="4354" max="4354" width="9.140625" style="512"/>
    <col min="4355" max="4355" width="13.140625" style="512" customWidth="1"/>
    <col min="4356" max="4356" width="9.140625" style="512"/>
    <col min="4357" max="4357" width="22.85546875" style="512" customWidth="1"/>
    <col min="4358" max="4596" width="9.140625" style="512"/>
    <col min="4597" max="4597" width="3.85546875" style="512" customWidth="1"/>
    <col min="4598" max="4598" width="14.42578125" style="512" customWidth="1"/>
    <col min="4599" max="4599" width="3.85546875" style="512" customWidth="1"/>
    <col min="4600" max="4600" width="22.5703125" style="512" customWidth="1"/>
    <col min="4601" max="4607" width="10.5703125" style="512" customWidth="1"/>
    <col min="4608" max="4608" width="18.5703125" style="512" customWidth="1"/>
    <col min="4609" max="4609" width="9" style="512" customWidth="1"/>
    <col min="4610" max="4610" width="9.140625" style="512"/>
    <col min="4611" max="4611" width="13.140625" style="512" customWidth="1"/>
    <col min="4612" max="4612" width="9.140625" style="512"/>
    <col min="4613" max="4613" width="22.85546875" style="512" customWidth="1"/>
    <col min="4614" max="4852" width="9.140625" style="512"/>
    <col min="4853" max="4853" width="3.85546875" style="512" customWidth="1"/>
    <col min="4854" max="4854" width="14.42578125" style="512" customWidth="1"/>
    <col min="4855" max="4855" width="3.85546875" style="512" customWidth="1"/>
    <col min="4856" max="4856" width="22.5703125" style="512" customWidth="1"/>
    <col min="4857" max="4863" width="10.5703125" style="512" customWidth="1"/>
    <col min="4864" max="4864" width="18.5703125" style="512" customWidth="1"/>
    <col min="4865" max="4865" width="9" style="512" customWidth="1"/>
    <col min="4866" max="4866" width="9.140625" style="512"/>
    <col min="4867" max="4867" width="13.140625" style="512" customWidth="1"/>
    <col min="4868" max="4868" width="9.140625" style="512"/>
    <col min="4869" max="4869" width="22.85546875" style="512" customWidth="1"/>
    <col min="4870" max="5108" width="9.140625" style="512"/>
    <col min="5109" max="5109" width="3.85546875" style="512" customWidth="1"/>
    <col min="5110" max="5110" width="14.42578125" style="512" customWidth="1"/>
    <col min="5111" max="5111" width="3.85546875" style="512" customWidth="1"/>
    <col min="5112" max="5112" width="22.5703125" style="512" customWidth="1"/>
    <col min="5113" max="5119" width="10.5703125" style="512" customWidth="1"/>
    <col min="5120" max="5120" width="18.5703125" style="512" customWidth="1"/>
    <col min="5121" max="5121" width="9" style="512" customWidth="1"/>
    <col min="5122" max="5122" width="9.140625" style="512"/>
    <col min="5123" max="5123" width="13.140625" style="512" customWidth="1"/>
    <col min="5124" max="5124" width="9.140625" style="512"/>
    <col min="5125" max="5125" width="22.85546875" style="512" customWidth="1"/>
    <col min="5126" max="5364" width="9.140625" style="512"/>
    <col min="5365" max="5365" width="3.85546875" style="512" customWidth="1"/>
    <col min="5366" max="5366" width="14.42578125" style="512" customWidth="1"/>
    <col min="5367" max="5367" width="3.85546875" style="512" customWidth="1"/>
    <col min="5368" max="5368" width="22.5703125" style="512" customWidth="1"/>
    <col min="5369" max="5375" width="10.5703125" style="512" customWidth="1"/>
    <col min="5376" max="5376" width="18.5703125" style="512" customWidth="1"/>
    <col min="5377" max="5377" width="9" style="512" customWidth="1"/>
    <col min="5378" max="5378" width="9.140625" style="512"/>
    <col min="5379" max="5379" width="13.140625" style="512" customWidth="1"/>
    <col min="5380" max="5380" width="9.140625" style="512"/>
    <col min="5381" max="5381" width="22.85546875" style="512" customWidth="1"/>
    <col min="5382" max="5620" width="9.140625" style="512"/>
    <col min="5621" max="5621" width="3.85546875" style="512" customWidth="1"/>
    <col min="5622" max="5622" width="14.42578125" style="512" customWidth="1"/>
    <col min="5623" max="5623" width="3.85546875" style="512" customWidth="1"/>
    <col min="5624" max="5624" width="22.5703125" style="512" customWidth="1"/>
    <col min="5625" max="5631" width="10.5703125" style="512" customWidth="1"/>
    <col min="5632" max="5632" width="18.5703125" style="512" customWidth="1"/>
    <col min="5633" max="5633" width="9" style="512" customWidth="1"/>
    <col min="5634" max="5634" width="9.140625" style="512"/>
    <col min="5635" max="5635" width="13.140625" style="512" customWidth="1"/>
    <col min="5636" max="5636" width="9.140625" style="512"/>
    <col min="5637" max="5637" width="22.85546875" style="512" customWidth="1"/>
    <col min="5638" max="5876" width="9.140625" style="512"/>
    <col min="5877" max="5877" width="3.85546875" style="512" customWidth="1"/>
    <col min="5878" max="5878" width="14.42578125" style="512" customWidth="1"/>
    <col min="5879" max="5879" width="3.85546875" style="512" customWidth="1"/>
    <col min="5880" max="5880" width="22.5703125" style="512" customWidth="1"/>
    <col min="5881" max="5887" width="10.5703125" style="512" customWidth="1"/>
    <col min="5888" max="5888" width="18.5703125" style="512" customWidth="1"/>
    <col min="5889" max="5889" width="9" style="512" customWidth="1"/>
    <col min="5890" max="5890" width="9.140625" style="512"/>
    <col min="5891" max="5891" width="13.140625" style="512" customWidth="1"/>
    <col min="5892" max="5892" width="9.140625" style="512"/>
    <col min="5893" max="5893" width="22.85546875" style="512" customWidth="1"/>
    <col min="5894" max="6132" width="9.140625" style="512"/>
    <col min="6133" max="6133" width="3.85546875" style="512" customWidth="1"/>
    <col min="6134" max="6134" width="14.42578125" style="512" customWidth="1"/>
    <col min="6135" max="6135" width="3.85546875" style="512" customWidth="1"/>
    <col min="6136" max="6136" width="22.5703125" style="512" customWidth="1"/>
    <col min="6137" max="6143" width="10.5703125" style="512" customWidth="1"/>
    <col min="6144" max="6144" width="18.5703125" style="512" customWidth="1"/>
    <col min="6145" max="6145" width="9" style="512" customWidth="1"/>
    <col min="6146" max="6146" width="9.140625" style="512"/>
    <col min="6147" max="6147" width="13.140625" style="512" customWidth="1"/>
    <col min="6148" max="6148" width="9.140625" style="512"/>
    <col min="6149" max="6149" width="22.85546875" style="512" customWidth="1"/>
    <col min="6150" max="6388" width="9.140625" style="512"/>
    <col min="6389" max="6389" width="3.85546875" style="512" customWidth="1"/>
    <col min="6390" max="6390" width="14.42578125" style="512" customWidth="1"/>
    <col min="6391" max="6391" width="3.85546875" style="512" customWidth="1"/>
    <col min="6392" max="6392" width="22.5703125" style="512" customWidth="1"/>
    <col min="6393" max="6399" width="10.5703125" style="512" customWidth="1"/>
    <col min="6400" max="6400" width="18.5703125" style="512" customWidth="1"/>
    <col min="6401" max="6401" width="9" style="512" customWidth="1"/>
    <col min="6402" max="6402" width="9.140625" style="512"/>
    <col min="6403" max="6403" width="13.140625" style="512" customWidth="1"/>
    <col min="6404" max="6404" width="9.140625" style="512"/>
    <col min="6405" max="6405" width="22.85546875" style="512" customWidth="1"/>
    <col min="6406" max="6644" width="9.140625" style="512"/>
    <col min="6645" max="6645" width="3.85546875" style="512" customWidth="1"/>
    <col min="6646" max="6646" width="14.42578125" style="512" customWidth="1"/>
    <col min="6647" max="6647" width="3.85546875" style="512" customWidth="1"/>
    <col min="6648" max="6648" width="22.5703125" style="512" customWidth="1"/>
    <col min="6649" max="6655" width="10.5703125" style="512" customWidth="1"/>
    <col min="6656" max="6656" width="18.5703125" style="512" customWidth="1"/>
    <col min="6657" max="6657" width="9" style="512" customWidth="1"/>
    <col min="6658" max="6658" width="9.140625" style="512"/>
    <col min="6659" max="6659" width="13.140625" style="512" customWidth="1"/>
    <col min="6660" max="6660" width="9.140625" style="512"/>
    <col min="6661" max="6661" width="22.85546875" style="512" customWidth="1"/>
    <col min="6662" max="6900" width="9.140625" style="512"/>
    <col min="6901" max="6901" width="3.85546875" style="512" customWidth="1"/>
    <col min="6902" max="6902" width="14.42578125" style="512" customWidth="1"/>
    <col min="6903" max="6903" width="3.85546875" style="512" customWidth="1"/>
    <col min="6904" max="6904" width="22.5703125" style="512" customWidth="1"/>
    <col min="6905" max="6911" width="10.5703125" style="512" customWidth="1"/>
    <col min="6912" max="6912" width="18.5703125" style="512" customWidth="1"/>
    <col min="6913" max="6913" width="9" style="512" customWidth="1"/>
    <col min="6914" max="6914" width="9.140625" style="512"/>
    <col min="6915" max="6915" width="13.140625" style="512" customWidth="1"/>
    <col min="6916" max="6916" width="9.140625" style="512"/>
    <col min="6917" max="6917" width="22.85546875" style="512" customWidth="1"/>
    <col min="6918" max="7156" width="9.140625" style="512"/>
    <col min="7157" max="7157" width="3.85546875" style="512" customWidth="1"/>
    <col min="7158" max="7158" width="14.42578125" style="512" customWidth="1"/>
    <col min="7159" max="7159" width="3.85546875" style="512" customWidth="1"/>
    <col min="7160" max="7160" width="22.5703125" style="512" customWidth="1"/>
    <col min="7161" max="7167" width="10.5703125" style="512" customWidth="1"/>
    <col min="7168" max="7168" width="18.5703125" style="512" customWidth="1"/>
    <col min="7169" max="7169" width="9" style="512" customWidth="1"/>
    <col min="7170" max="7170" width="9.140625" style="512"/>
    <col min="7171" max="7171" width="13.140625" style="512" customWidth="1"/>
    <col min="7172" max="7172" width="9.140625" style="512"/>
    <col min="7173" max="7173" width="22.85546875" style="512" customWidth="1"/>
    <col min="7174" max="7412" width="9.140625" style="512"/>
    <col min="7413" max="7413" width="3.85546875" style="512" customWidth="1"/>
    <col min="7414" max="7414" width="14.42578125" style="512" customWidth="1"/>
    <col min="7415" max="7415" width="3.85546875" style="512" customWidth="1"/>
    <col min="7416" max="7416" width="22.5703125" style="512" customWidth="1"/>
    <col min="7417" max="7423" width="10.5703125" style="512" customWidth="1"/>
    <col min="7424" max="7424" width="18.5703125" style="512" customWidth="1"/>
    <col min="7425" max="7425" width="9" style="512" customWidth="1"/>
    <col min="7426" max="7426" width="9.140625" style="512"/>
    <col min="7427" max="7427" width="13.140625" style="512" customWidth="1"/>
    <col min="7428" max="7428" width="9.140625" style="512"/>
    <col min="7429" max="7429" width="22.85546875" style="512" customWidth="1"/>
    <col min="7430" max="7668" width="9.140625" style="512"/>
    <col min="7669" max="7669" width="3.85546875" style="512" customWidth="1"/>
    <col min="7670" max="7670" width="14.42578125" style="512" customWidth="1"/>
    <col min="7671" max="7671" width="3.85546875" style="512" customWidth="1"/>
    <col min="7672" max="7672" width="22.5703125" style="512" customWidth="1"/>
    <col min="7673" max="7679" width="10.5703125" style="512" customWidth="1"/>
    <col min="7680" max="7680" width="18.5703125" style="512" customWidth="1"/>
    <col min="7681" max="7681" width="9" style="512" customWidth="1"/>
    <col min="7682" max="7682" width="9.140625" style="512"/>
    <col min="7683" max="7683" width="13.140625" style="512" customWidth="1"/>
    <col min="7684" max="7684" width="9.140625" style="512"/>
    <col min="7685" max="7685" width="22.85546875" style="512" customWidth="1"/>
    <col min="7686" max="7924" width="9.140625" style="512"/>
    <col min="7925" max="7925" width="3.85546875" style="512" customWidth="1"/>
    <col min="7926" max="7926" width="14.42578125" style="512" customWidth="1"/>
    <col min="7927" max="7927" width="3.85546875" style="512" customWidth="1"/>
    <col min="7928" max="7928" width="22.5703125" style="512" customWidth="1"/>
    <col min="7929" max="7935" width="10.5703125" style="512" customWidth="1"/>
    <col min="7936" max="7936" width="18.5703125" style="512" customWidth="1"/>
    <col min="7937" max="7937" width="9" style="512" customWidth="1"/>
    <col min="7938" max="7938" width="9.140625" style="512"/>
    <col min="7939" max="7939" width="13.140625" style="512" customWidth="1"/>
    <col min="7940" max="7940" width="9.140625" style="512"/>
    <col min="7941" max="7941" width="22.85546875" style="512" customWidth="1"/>
    <col min="7942" max="8180" width="9.140625" style="512"/>
    <col min="8181" max="8181" width="3.85546875" style="512" customWidth="1"/>
    <col min="8182" max="8182" width="14.42578125" style="512" customWidth="1"/>
    <col min="8183" max="8183" width="3.85546875" style="512" customWidth="1"/>
    <col min="8184" max="8184" width="22.5703125" style="512" customWidth="1"/>
    <col min="8185" max="8191" width="10.5703125" style="512" customWidth="1"/>
    <col min="8192" max="8192" width="18.5703125" style="512" customWidth="1"/>
    <col min="8193" max="8193" width="9" style="512" customWidth="1"/>
    <col min="8194" max="8194" width="9.140625" style="512"/>
    <col min="8195" max="8195" width="13.140625" style="512" customWidth="1"/>
    <col min="8196" max="8196" width="9.140625" style="512"/>
    <col min="8197" max="8197" width="22.85546875" style="512" customWidth="1"/>
    <col min="8198" max="8436" width="9.140625" style="512"/>
    <col min="8437" max="8437" width="3.85546875" style="512" customWidth="1"/>
    <col min="8438" max="8438" width="14.42578125" style="512" customWidth="1"/>
    <col min="8439" max="8439" width="3.85546875" style="512" customWidth="1"/>
    <col min="8440" max="8440" width="22.5703125" style="512" customWidth="1"/>
    <col min="8441" max="8447" width="10.5703125" style="512" customWidth="1"/>
    <col min="8448" max="8448" width="18.5703125" style="512" customWidth="1"/>
    <col min="8449" max="8449" width="9" style="512" customWidth="1"/>
    <col min="8450" max="8450" width="9.140625" style="512"/>
    <col min="8451" max="8451" width="13.140625" style="512" customWidth="1"/>
    <col min="8452" max="8452" width="9.140625" style="512"/>
    <col min="8453" max="8453" width="22.85546875" style="512" customWidth="1"/>
    <col min="8454" max="8692" width="9.140625" style="512"/>
    <col min="8693" max="8693" width="3.85546875" style="512" customWidth="1"/>
    <col min="8694" max="8694" width="14.42578125" style="512" customWidth="1"/>
    <col min="8695" max="8695" width="3.85546875" style="512" customWidth="1"/>
    <col min="8696" max="8696" width="22.5703125" style="512" customWidth="1"/>
    <col min="8697" max="8703" width="10.5703125" style="512" customWidth="1"/>
    <col min="8704" max="8704" width="18.5703125" style="512" customWidth="1"/>
    <col min="8705" max="8705" width="9" style="512" customWidth="1"/>
    <col min="8706" max="8706" width="9.140625" style="512"/>
    <col min="8707" max="8707" width="13.140625" style="512" customWidth="1"/>
    <col min="8708" max="8708" width="9.140625" style="512"/>
    <col min="8709" max="8709" width="22.85546875" style="512" customWidth="1"/>
    <col min="8710" max="8948" width="9.140625" style="512"/>
    <col min="8949" max="8949" width="3.85546875" style="512" customWidth="1"/>
    <col min="8950" max="8950" width="14.42578125" style="512" customWidth="1"/>
    <col min="8951" max="8951" width="3.85546875" style="512" customWidth="1"/>
    <col min="8952" max="8952" width="22.5703125" style="512" customWidth="1"/>
    <col min="8953" max="8959" width="10.5703125" style="512" customWidth="1"/>
    <col min="8960" max="8960" width="18.5703125" style="512" customWidth="1"/>
    <col min="8961" max="8961" width="9" style="512" customWidth="1"/>
    <col min="8962" max="8962" width="9.140625" style="512"/>
    <col min="8963" max="8963" width="13.140625" style="512" customWidth="1"/>
    <col min="8964" max="8964" width="9.140625" style="512"/>
    <col min="8965" max="8965" width="22.85546875" style="512" customWidth="1"/>
    <col min="8966" max="9204" width="9.140625" style="512"/>
    <col min="9205" max="9205" width="3.85546875" style="512" customWidth="1"/>
    <col min="9206" max="9206" width="14.42578125" style="512" customWidth="1"/>
    <col min="9207" max="9207" width="3.85546875" style="512" customWidth="1"/>
    <col min="9208" max="9208" width="22.5703125" style="512" customWidth="1"/>
    <col min="9209" max="9215" width="10.5703125" style="512" customWidth="1"/>
    <col min="9216" max="9216" width="18.5703125" style="512" customWidth="1"/>
    <col min="9217" max="9217" width="9" style="512" customWidth="1"/>
    <col min="9218" max="9218" width="9.140625" style="512"/>
    <col min="9219" max="9219" width="13.140625" style="512" customWidth="1"/>
    <col min="9220" max="9220" width="9.140625" style="512"/>
    <col min="9221" max="9221" width="22.85546875" style="512" customWidth="1"/>
    <col min="9222" max="9460" width="9.140625" style="512"/>
    <col min="9461" max="9461" width="3.85546875" style="512" customWidth="1"/>
    <col min="9462" max="9462" width="14.42578125" style="512" customWidth="1"/>
    <col min="9463" max="9463" width="3.85546875" style="512" customWidth="1"/>
    <col min="9464" max="9464" width="22.5703125" style="512" customWidth="1"/>
    <col min="9465" max="9471" width="10.5703125" style="512" customWidth="1"/>
    <col min="9472" max="9472" width="18.5703125" style="512" customWidth="1"/>
    <col min="9473" max="9473" width="9" style="512" customWidth="1"/>
    <col min="9474" max="9474" width="9.140625" style="512"/>
    <col min="9475" max="9475" width="13.140625" style="512" customWidth="1"/>
    <col min="9476" max="9476" width="9.140625" style="512"/>
    <col min="9477" max="9477" width="22.85546875" style="512" customWidth="1"/>
    <col min="9478" max="9716" width="9.140625" style="512"/>
    <col min="9717" max="9717" width="3.85546875" style="512" customWidth="1"/>
    <col min="9718" max="9718" width="14.42578125" style="512" customWidth="1"/>
    <col min="9719" max="9719" width="3.85546875" style="512" customWidth="1"/>
    <col min="9720" max="9720" width="22.5703125" style="512" customWidth="1"/>
    <col min="9721" max="9727" width="10.5703125" style="512" customWidth="1"/>
    <col min="9728" max="9728" width="18.5703125" style="512" customWidth="1"/>
    <col min="9729" max="9729" width="9" style="512" customWidth="1"/>
    <col min="9730" max="9730" width="9.140625" style="512"/>
    <col min="9731" max="9731" width="13.140625" style="512" customWidth="1"/>
    <col min="9732" max="9732" width="9.140625" style="512"/>
    <col min="9733" max="9733" width="22.85546875" style="512" customWidth="1"/>
    <col min="9734" max="9972" width="9.140625" style="512"/>
    <col min="9973" max="9973" width="3.85546875" style="512" customWidth="1"/>
    <col min="9974" max="9974" width="14.42578125" style="512" customWidth="1"/>
    <col min="9975" max="9975" width="3.85546875" style="512" customWidth="1"/>
    <col min="9976" max="9976" width="22.5703125" style="512" customWidth="1"/>
    <col min="9977" max="9983" width="10.5703125" style="512" customWidth="1"/>
    <col min="9984" max="9984" width="18.5703125" style="512" customWidth="1"/>
    <col min="9985" max="9985" width="9" style="512" customWidth="1"/>
    <col min="9986" max="9986" width="9.140625" style="512"/>
    <col min="9987" max="9987" width="13.140625" style="512" customWidth="1"/>
    <col min="9988" max="9988" width="9.140625" style="512"/>
    <col min="9989" max="9989" width="22.85546875" style="512" customWidth="1"/>
    <col min="9990" max="10228" width="9.140625" style="512"/>
    <col min="10229" max="10229" width="3.85546875" style="512" customWidth="1"/>
    <col min="10230" max="10230" width="14.42578125" style="512" customWidth="1"/>
    <col min="10231" max="10231" width="3.85546875" style="512" customWidth="1"/>
    <col min="10232" max="10232" width="22.5703125" style="512" customWidth="1"/>
    <col min="10233" max="10239" width="10.5703125" style="512" customWidth="1"/>
    <col min="10240" max="10240" width="18.5703125" style="512" customWidth="1"/>
    <col min="10241" max="10241" width="9" style="512" customWidth="1"/>
    <col min="10242" max="10242" width="9.140625" style="512"/>
    <col min="10243" max="10243" width="13.140625" style="512" customWidth="1"/>
    <col min="10244" max="10244" width="9.140625" style="512"/>
    <col min="10245" max="10245" width="22.85546875" style="512" customWidth="1"/>
    <col min="10246" max="10484" width="9.140625" style="512"/>
    <col min="10485" max="10485" width="3.85546875" style="512" customWidth="1"/>
    <col min="10486" max="10486" width="14.42578125" style="512" customWidth="1"/>
    <col min="10487" max="10487" width="3.85546875" style="512" customWidth="1"/>
    <col min="10488" max="10488" width="22.5703125" style="512" customWidth="1"/>
    <col min="10489" max="10495" width="10.5703125" style="512" customWidth="1"/>
    <col min="10496" max="10496" width="18.5703125" style="512" customWidth="1"/>
    <col min="10497" max="10497" width="9" style="512" customWidth="1"/>
    <col min="10498" max="10498" width="9.140625" style="512"/>
    <col min="10499" max="10499" width="13.140625" style="512" customWidth="1"/>
    <col min="10500" max="10500" width="9.140625" style="512"/>
    <col min="10501" max="10501" width="22.85546875" style="512" customWidth="1"/>
    <col min="10502" max="10740" width="9.140625" style="512"/>
    <col min="10741" max="10741" width="3.85546875" style="512" customWidth="1"/>
    <col min="10742" max="10742" width="14.42578125" style="512" customWidth="1"/>
    <col min="10743" max="10743" width="3.85546875" style="512" customWidth="1"/>
    <col min="10744" max="10744" width="22.5703125" style="512" customWidth="1"/>
    <col min="10745" max="10751" width="10.5703125" style="512" customWidth="1"/>
    <col min="10752" max="10752" width="18.5703125" style="512" customWidth="1"/>
    <col min="10753" max="10753" width="9" style="512" customWidth="1"/>
    <col min="10754" max="10754" width="9.140625" style="512"/>
    <col min="10755" max="10755" width="13.140625" style="512" customWidth="1"/>
    <col min="10756" max="10756" width="9.140625" style="512"/>
    <col min="10757" max="10757" width="22.85546875" style="512" customWidth="1"/>
    <col min="10758" max="10996" width="9.140625" style="512"/>
    <col min="10997" max="10997" width="3.85546875" style="512" customWidth="1"/>
    <col min="10998" max="10998" width="14.42578125" style="512" customWidth="1"/>
    <col min="10999" max="10999" width="3.85546875" style="512" customWidth="1"/>
    <col min="11000" max="11000" width="22.5703125" style="512" customWidth="1"/>
    <col min="11001" max="11007" width="10.5703125" style="512" customWidth="1"/>
    <col min="11008" max="11008" width="18.5703125" style="512" customWidth="1"/>
    <col min="11009" max="11009" width="9" style="512" customWidth="1"/>
    <col min="11010" max="11010" width="9.140625" style="512"/>
    <col min="11011" max="11011" width="13.140625" style="512" customWidth="1"/>
    <col min="11012" max="11012" width="9.140625" style="512"/>
    <col min="11013" max="11013" width="22.85546875" style="512" customWidth="1"/>
    <col min="11014" max="11252" width="9.140625" style="512"/>
    <col min="11253" max="11253" width="3.85546875" style="512" customWidth="1"/>
    <col min="11254" max="11254" width="14.42578125" style="512" customWidth="1"/>
    <col min="11255" max="11255" width="3.85546875" style="512" customWidth="1"/>
    <col min="11256" max="11256" width="22.5703125" style="512" customWidth="1"/>
    <col min="11257" max="11263" width="10.5703125" style="512" customWidth="1"/>
    <col min="11264" max="11264" width="18.5703125" style="512" customWidth="1"/>
    <col min="11265" max="11265" width="9" style="512" customWidth="1"/>
    <col min="11266" max="11266" width="9.140625" style="512"/>
    <col min="11267" max="11267" width="13.140625" style="512" customWidth="1"/>
    <col min="11268" max="11268" width="9.140625" style="512"/>
    <col min="11269" max="11269" width="22.85546875" style="512" customWidth="1"/>
    <col min="11270" max="11508" width="9.140625" style="512"/>
    <col min="11509" max="11509" width="3.85546875" style="512" customWidth="1"/>
    <col min="11510" max="11510" width="14.42578125" style="512" customWidth="1"/>
    <col min="11511" max="11511" width="3.85546875" style="512" customWidth="1"/>
    <col min="11512" max="11512" width="22.5703125" style="512" customWidth="1"/>
    <col min="11513" max="11519" width="10.5703125" style="512" customWidth="1"/>
    <col min="11520" max="11520" width="18.5703125" style="512" customWidth="1"/>
    <col min="11521" max="11521" width="9" style="512" customWidth="1"/>
    <col min="11522" max="11522" width="9.140625" style="512"/>
    <col min="11523" max="11523" width="13.140625" style="512" customWidth="1"/>
    <col min="11524" max="11524" width="9.140625" style="512"/>
    <col min="11525" max="11525" width="22.85546875" style="512" customWidth="1"/>
    <col min="11526" max="11764" width="9.140625" style="512"/>
    <col min="11765" max="11765" width="3.85546875" style="512" customWidth="1"/>
    <col min="11766" max="11766" width="14.42578125" style="512" customWidth="1"/>
    <col min="11767" max="11767" width="3.85546875" style="512" customWidth="1"/>
    <col min="11768" max="11768" width="22.5703125" style="512" customWidth="1"/>
    <col min="11769" max="11775" width="10.5703125" style="512" customWidth="1"/>
    <col min="11776" max="11776" width="18.5703125" style="512" customWidth="1"/>
    <col min="11777" max="11777" width="9" style="512" customWidth="1"/>
    <col min="11778" max="11778" width="9.140625" style="512"/>
    <col min="11779" max="11779" width="13.140625" style="512" customWidth="1"/>
    <col min="11780" max="11780" width="9.140625" style="512"/>
    <col min="11781" max="11781" width="22.85546875" style="512" customWidth="1"/>
    <col min="11782" max="12020" width="9.140625" style="512"/>
    <col min="12021" max="12021" width="3.85546875" style="512" customWidth="1"/>
    <col min="12022" max="12022" width="14.42578125" style="512" customWidth="1"/>
    <col min="12023" max="12023" width="3.85546875" style="512" customWidth="1"/>
    <col min="12024" max="12024" width="22.5703125" style="512" customWidth="1"/>
    <col min="12025" max="12031" width="10.5703125" style="512" customWidth="1"/>
    <col min="12032" max="12032" width="18.5703125" style="512" customWidth="1"/>
    <col min="12033" max="12033" width="9" style="512" customWidth="1"/>
    <col min="12034" max="12034" width="9.140625" style="512"/>
    <col min="12035" max="12035" width="13.140625" style="512" customWidth="1"/>
    <col min="12036" max="12036" width="9.140625" style="512"/>
    <col min="12037" max="12037" width="22.85546875" style="512" customWidth="1"/>
    <col min="12038" max="12276" width="9.140625" style="512"/>
    <col min="12277" max="12277" width="3.85546875" style="512" customWidth="1"/>
    <col min="12278" max="12278" width="14.42578125" style="512" customWidth="1"/>
    <col min="12279" max="12279" width="3.85546875" style="512" customWidth="1"/>
    <col min="12280" max="12280" width="22.5703125" style="512" customWidth="1"/>
    <col min="12281" max="12287" width="10.5703125" style="512" customWidth="1"/>
    <col min="12288" max="12288" width="18.5703125" style="512" customWidth="1"/>
    <col min="12289" max="12289" width="9" style="512" customWidth="1"/>
    <col min="12290" max="12290" width="9.140625" style="512"/>
    <col min="12291" max="12291" width="13.140625" style="512" customWidth="1"/>
    <col min="12292" max="12292" width="9.140625" style="512"/>
    <col min="12293" max="12293" width="22.85546875" style="512" customWidth="1"/>
    <col min="12294" max="12532" width="9.140625" style="512"/>
    <col min="12533" max="12533" width="3.85546875" style="512" customWidth="1"/>
    <col min="12534" max="12534" width="14.42578125" style="512" customWidth="1"/>
    <col min="12535" max="12535" width="3.85546875" style="512" customWidth="1"/>
    <col min="12536" max="12536" width="22.5703125" style="512" customWidth="1"/>
    <col min="12537" max="12543" width="10.5703125" style="512" customWidth="1"/>
    <col min="12544" max="12544" width="18.5703125" style="512" customWidth="1"/>
    <col min="12545" max="12545" width="9" style="512" customWidth="1"/>
    <col min="12546" max="12546" width="9.140625" style="512"/>
    <col min="12547" max="12547" width="13.140625" style="512" customWidth="1"/>
    <col min="12548" max="12548" width="9.140625" style="512"/>
    <col min="12549" max="12549" width="22.85546875" style="512" customWidth="1"/>
    <col min="12550" max="12788" width="9.140625" style="512"/>
    <col min="12789" max="12789" width="3.85546875" style="512" customWidth="1"/>
    <col min="12790" max="12790" width="14.42578125" style="512" customWidth="1"/>
    <col min="12791" max="12791" width="3.85546875" style="512" customWidth="1"/>
    <col min="12792" max="12792" width="22.5703125" style="512" customWidth="1"/>
    <col min="12793" max="12799" width="10.5703125" style="512" customWidth="1"/>
    <col min="12800" max="12800" width="18.5703125" style="512" customWidth="1"/>
    <col min="12801" max="12801" width="9" style="512" customWidth="1"/>
    <col min="12802" max="12802" width="9.140625" style="512"/>
    <col min="12803" max="12803" width="13.140625" style="512" customWidth="1"/>
    <col min="12804" max="12804" width="9.140625" style="512"/>
    <col min="12805" max="12805" width="22.85546875" style="512" customWidth="1"/>
    <col min="12806" max="13044" width="9.140625" style="512"/>
    <col min="13045" max="13045" width="3.85546875" style="512" customWidth="1"/>
    <col min="13046" max="13046" width="14.42578125" style="512" customWidth="1"/>
    <col min="13047" max="13047" width="3.85546875" style="512" customWidth="1"/>
    <col min="13048" max="13048" width="22.5703125" style="512" customWidth="1"/>
    <col min="13049" max="13055" width="10.5703125" style="512" customWidth="1"/>
    <col min="13056" max="13056" width="18.5703125" style="512" customWidth="1"/>
    <col min="13057" max="13057" width="9" style="512" customWidth="1"/>
    <col min="13058" max="13058" width="9.140625" style="512"/>
    <col min="13059" max="13059" width="13.140625" style="512" customWidth="1"/>
    <col min="13060" max="13060" width="9.140625" style="512"/>
    <col min="13061" max="13061" width="22.85546875" style="512" customWidth="1"/>
    <col min="13062" max="13300" width="9.140625" style="512"/>
    <col min="13301" max="13301" width="3.85546875" style="512" customWidth="1"/>
    <col min="13302" max="13302" width="14.42578125" style="512" customWidth="1"/>
    <col min="13303" max="13303" width="3.85546875" style="512" customWidth="1"/>
    <col min="13304" max="13304" width="22.5703125" style="512" customWidth="1"/>
    <col min="13305" max="13311" width="10.5703125" style="512" customWidth="1"/>
    <col min="13312" max="13312" width="18.5703125" style="512" customWidth="1"/>
    <col min="13313" max="13313" width="9" style="512" customWidth="1"/>
    <col min="13314" max="13314" width="9.140625" style="512"/>
    <col min="13315" max="13315" width="13.140625" style="512" customWidth="1"/>
    <col min="13316" max="13316" width="9.140625" style="512"/>
    <col min="13317" max="13317" width="22.85546875" style="512" customWidth="1"/>
    <col min="13318" max="13556" width="9.140625" style="512"/>
    <col min="13557" max="13557" width="3.85546875" style="512" customWidth="1"/>
    <col min="13558" max="13558" width="14.42578125" style="512" customWidth="1"/>
    <col min="13559" max="13559" width="3.85546875" style="512" customWidth="1"/>
    <col min="13560" max="13560" width="22.5703125" style="512" customWidth="1"/>
    <col min="13561" max="13567" width="10.5703125" style="512" customWidth="1"/>
    <col min="13568" max="13568" width="18.5703125" style="512" customWidth="1"/>
    <col min="13569" max="13569" width="9" style="512" customWidth="1"/>
    <col min="13570" max="13570" width="9.140625" style="512"/>
    <col min="13571" max="13571" width="13.140625" style="512" customWidth="1"/>
    <col min="13572" max="13572" width="9.140625" style="512"/>
    <col min="13573" max="13573" width="22.85546875" style="512" customWidth="1"/>
    <col min="13574" max="13812" width="9.140625" style="512"/>
    <col min="13813" max="13813" width="3.85546875" style="512" customWidth="1"/>
    <col min="13814" max="13814" width="14.42578125" style="512" customWidth="1"/>
    <col min="13815" max="13815" width="3.85546875" style="512" customWidth="1"/>
    <col min="13816" max="13816" width="22.5703125" style="512" customWidth="1"/>
    <col min="13817" max="13823" width="10.5703125" style="512" customWidth="1"/>
    <col min="13824" max="13824" width="18.5703125" style="512" customWidth="1"/>
    <col min="13825" max="13825" width="9" style="512" customWidth="1"/>
    <col min="13826" max="13826" width="9.140625" style="512"/>
    <col min="13827" max="13827" width="13.140625" style="512" customWidth="1"/>
    <col min="13828" max="13828" width="9.140625" style="512"/>
    <col min="13829" max="13829" width="22.85546875" style="512" customWidth="1"/>
    <col min="13830" max="14068" width="9.140625" style="512"/>
    <col min="14069" max="14069" width="3.85546875" style="512" customWidth="1"/>
    <col min="14070" max="14070" width="14.42578125" style="512" customWidth="1"/>
    <col min="14071" max="14071" width="3.85546875" style="512" customWidth="1"/>
    <col min="14072" max="14072" width="22.5703125" style="512" customWidth="1"/>
    <col min="14073" max="14079" width="10.5703125" style="512" customWidth="1"/>
    <col min="14080" max="14080" width="18.5703125" style="512" customWidth="1"/>
    <col min="14081" max="14081" width="9" style="512" customWidth="1"/>
    <col min="14082" max="14082" width="9.140625" style="512"/>
    <col min="14083" max="14083" width="13.140625" style="512" customWidth="1"/>
    <col min="14084" max="14084" width="9.140625" style="512"/>
    <col min="14085" max="14085" width="22.85546875" style="512" customWidth="1"/>
    <col min="14086" max="14324" width="9.140625" style="512"/>
    <col min="14325" max="14325" width="3.85546875" style="512" customWidth="1"/>
    <col min="14326" max="14326" width="14.42578125" style="512" customWidth="1"/>
    <col min="14327" max="14327" width="3.85546875" style="512" customWidth="1"/>
    <col min="14328" max="14328" width="22.5703125" style="512" customWidth="1"/>
    <col min="14329" max="14335" width="10.5703125" style="512" customWidth="1"/>
    <col min="14336" max="14336" width="18.5703125" style="512" customWidth="1"/>
    <col min="14337" max="14337" width="9" style="512" customWidth="1"/>
    <col min="14338" max="14338" width="9.140625" style="512"/>
    <col min="14339" max="14339" width="13.140625" style="512" customWidth="1"/>
    <col min="14340" max="14340" width="9.140625" style="512"/>
    <col min="14341" max="14341" width="22.85546875" style="512" customWidth="1"/>
    <col min="14342" max="14580" width="9.140625" style="512"/>
    <col min="14581" max="14581" width="3.85546875" style="512" customWidth="1"/>
    <col min="14582" max="14582" width="14.42578125" style="512" customWidth="1"/>
    <col min="14583" max="14583" width="3.85546875" style="512" customWidth="1"/>
    <col min="14584" max="14584" width="22.5703125" style="512" customWidth="1"/>
    <col min="14585" max="14591" width="10.5703125" style="512" customWidth="1"/>
    <col min="14592" max="14592" width="18.5703125" style="512" customWidth="1"/>
    <col min="14593" max="14593" width="9" style="512" customWidth="1"/>
    <col min="14594" max="14594" width="9.140625" style="512"/>
    <col min="14595" max="14595" width="13.140625" style="512" customWidth="1"/>
    <col min="14596" max="14596" width="9.140625" style="512"/>
    <col min="14597" max="14597" width="22.85546875" style="512" customWidth="1"/>
    <col min="14598" max="14836" width="9.140625" style="512"/>
    <col min="14837" max="14837" width="3.85546875" style="512" customWidth="1"/>
    <col min="14838" max="14838" width="14.42578125" style="512" customWidth="1"/>
    <col min="14839" max="14839" width="3.85546875" style="512" customWidth="1"/>
    <col min="14840" max="14840" width="22.5703125" style="512" customWidth="1"/>
    <col min="14841" max="14847" width="10.5703125" style="512" customWidth="1"/>
    <col min="14848" max="14848" width="18.5703125" style="512" customWidth="1"/>
    <col min="14849" max="14849" width="9" style="512" customWidth="1"/>
    <col min="14850" max="14850" width="9.140625" style="512"/>
    <col min="14851" max="14851" width="13.140625" style="512" customWidth="1"/>
    <col min="14852" max="14852" width="9.140625" style="512"/>
    <col min="14853" max="14853" width="22.85546875" style="512" customWidth="1"/>
    <col min="14854" max="15092" width="9.140625" style="512"/>
    <col min="15093" max="15093" width="3.85546875" style="512" customWidth="1"/>
    <col min="15094" max="15094" width="14.42578125" style="512" customWidth="1"/>
    <col min="15095" max="15095" width="3.85546875" style="512" customWidth="1"/>
    <col min="15096" max="15096" width="22.5703125" style="512" customWidth="1"/>
    <col min="15097" max="15103" width="10.5703125" style="512" customWidth="1"/>
    <col min="15104" max="15104" width="18.5703125" style="512" customWidth="1"/>
    <col min="15105" max="15105" width="9" style="512" customWidth="1"/>
    <col min="15106" max="15106" width="9.140625" style="512"/>
    <col min="15107" max="15107" width="13.140625" style="512" customWidth="1"/>
    <col min="15108" max="15108" width="9.140625" style="512"/>
    <col min="15109" max="15109" width="22.85546875" style="512" customWidth="1"/>
    <col min="15110" max="15348" width="9.140625" style="512"/>
    <col min="15349" max="15349" width="3.85546875" style="512" customWidth="1"/>
    <col min="15350" max="15350" width="14.42578125" style="512" customWidth="1"/>
    <col min="15351" max="15351" width="3.85546875" style="512" customWidth="1"/>
    <col min="15352" max="15352" width="22.5703125" style="512" customWidth="1"/>
    <col min="15353" max="15359" width="10.5703125" style="512" customWidth="1"/>
    <col min="15360" max="15360" width="18.5703125" style="512" customWidth="1"/>
    <col min="15361" max="15361" width="9" style="512" customWidth="1"/>
    <col min="15362" max="15362" width="9.140625" style="512"/>
    <col min="15363" max="15363" width="13.140625" style="512" customWidth="1"/>
    <col min="15364" max="15364" width="9.140625" style="512"/>
    <col min="15365" max="15365" width="22.85546875" style="512" customWidth="1"/>
    <col min="15366" max="15604" width="9.140625" style="512"/>
    <col min="15605" max="15605" width="3.85546875" style="512" customWidth="1"/>
    <col min="15606" max="15606" width="14.42578125" style="512" customWidth="1"/>
    <col min="15607" max="15607" width="3.85546875" style="512" customWidth="1"/>
    <col min="15608" max="15608" width="22.5703125" style="512" customWidth="1"/>
    <col min="15609" max="15615" width="10.5703125" style="512" customWidth="1"/>
    <col min="15616" max="15616" width="18.5703125" style="512" customWidth="1"/>
    <col min="15617" max="15617" width="9" style="512" customWidth="1"/>
    <col min="15618" max="15618" width="9.140625" style="512"/>
    <col min="15619" max="15619" width="13.140625" style="512" customWidth="1"/>
    <col min="15620" max="15620" width="9.140625" style="512"/>
    <col min="15621" max="15621" width="22.85546875" style="512" customWidth="1"/>
    <col min="15622" max="15860" width="9.140625" style="512"/>
    <col min="15861" max="15861" width="3.85546875" style="512" customWidth="1"/>
    <col min="15862" max="15862" width="14.42578125" style="512" customWidth="1"/>
    <col min="15863" max="15863" width="3.85546875" style="512" customWidth="1"/>
    <col min="15864" max="15864" width="22.5703125" style="512" customWidth="1"/>
    <col min="15865" max="15871" width="10.5703125" style="512" customWidth="1"/>
    <col min="15872" max="15872" width="18.5703125" style="512" customWidth="1"/>
    <col min="15873" max="15873" width="9" style="512" customWidth="1"/>
    <col min="15874" max="15874" width="9.140625" style="512"/>
    <col min="15875" max="15875" width="13.140625" style="512" customWidth="1"/>
    <col min="15876" max="15876" width="9.140625" style="512"/>
    <col min="15877" max="15877" width="22.85546875" style="512" customWidth="1"/>
    <col min="15878" max="16116" width="9.140625" style="512"/>
    <col min="16117" max="16117" width="3.85546875" style="512" customWidth="1"/>
    <col min="16118" max="16118" width="14.42578125" style="512" customWidth="1"/>
    <col min="16119" max="16119" width="3.85546875" style="512" customWidth="1"/>
    <col min="16120" max="16120" width="22.5703125" style="512" customWidth="1"/>
    <col min="16121" max="16127" width="10.5703125" style="512" customWidth="1"/>
    <col min="16128" max="16128" width="18.5703125" style="512" customWidth="1"/>
    <col min="16129" max="16129" width="9" style="512" customWidth="1"/>
    <col min="16130" max="16130" width="9.140625" style="512"/>
    <col min="16131" max="16131" width="13.140625" style="512" customWidth="1"/>
    <col min="16132" max="16132" width="9.140625" style="512"/>
    <col min="16133" max="16133" width="22.85546875" style="512" customWidth="1"/>
    <col min="16134" max="16384" width="9.140625" style="512"/>
  </cols>
  <sheetData>
    <row r="1" spans="1:24" s="508" customFormat="1" ht="15" x14ac:dyDescent="0.2">
      <c r="A1" s="506"/>
      <c r="B1" s="507"/>
      <c r="C1" s="507"/>
      <c r="N1" s="2519"/>
      <c r="S1" s="512"/>
      <c r="T1" s="512"/>
    </row>
    <row r="2" spans="1:24" s="508" customFormat="1" ht="15" customHeight="1" x14ac:dyDescent="0.2">
      <c r="A2" s="509">
        <v>1</v>
      </c>
      <c r="B2" s="509" t="s">
        <v>0</v>
      </c>
      <c r="C2" s="509">
        <v>7</v>
      </c>
      <c r="D2" s="4624" t="s">
        <v>285</v>
      </c>
      <c r="E2" s="4625"/>
      <c r="F2" s="4625"/>
      <c r="G2" s="4625"/>
      <c r="H2" s="4625"/>
      <c r="I2" s="4625"/>
      <c r="J2" s="4625"/>
      <c r="K2" s="4625"/>
      <c r="L2" s="4625"/>
      <c r="M2" s="4625"/>
      <c r="N2" s="4625"/>
      <c r="O2" s="4625"/>
      <c r="P2" s="4625"/>
      <c r="Q2" s="4625"/>
      <c r="R2" s="4625"/>
      <c r="S2" s="4625"/>
      <c r="T2" s="4625"/>
      <c r="U2" s="4625"/>
      <c r="V2" s="4626"/>
      <c r="W2" s="880"/>
    </row>
    <row r="3" spans="1:24" s="508" customFormat="1" ht="14.25" x14ac:dyDescent="0.2">
      <c r="A3" s="509">
        <v>2</v>
      </c>
      <c r="B3" s="509" t="s">
        <v>2</v>
      </c>
      <c r="C3" s="509"/>
      <c r="D3" s="4624" t="s">
        <v>3</v>
      </c>
      <c r="E3" s="4625"/>
      <c r="F3" s="4625"/>
      <c r="G3" s="4625"/>
      <c r="H3" s="4625"/>
      <c r="I3" s="4625"/>
      <c r="J3" s="4625"/>
      <c r="K3" s="4625"/>
      <c r="L3" s="4625"/>
      <c r="M3" s="4625"/>
      <c r="N3" s="4625"/>
      <c r="O3" s="4625"/>
      <c r="P3" s="4625"/>
      <c r="Q3" s="4625"/>
      <c r="R3" s="4625"/>
      <c r="S3" s="4625"/>
      <c r="T3" s="4625"/>
      <c r="U3" s="4625"/>
      <c r="V3" s="4626"/>
      <c r="W3" s="880"/>
    </row>
    <row r="4" spans="1:24" s="508" customFormat="1" ht="14.25" customHeight="1" x14ac:dyDescent="0.2">
      <c r="A4" s="509">
        <v>3</v>
      </c>
      <c r="B4" s="509" t="s">
        <v>4</v>
      </c>
      <c r="C4" s="509"/>
      <c r="D4" s="4624" t="s">
        <v>286</v>
      </c>
      <c r="E4" s="4625"/>
      <c r="F4" s="4625"/>
      <c r="G4" s="4625"/>
      <c r="H4" s="4625"/>
      <c r="I4" s="4625"/>
      <c r="J4" s="4625"/>
      <c r="K4" s="4625"/>
      <c r="L4" s="4625"/>
      <c r="M4" s="4625"/>
      <c r="N4" s="4625"/>
      <c r="O4" s="4625"/>
      <c r="P4" s="4625"/>
      <c r="Q4" s="4625"/>
      <c r="R4" s="4625"/>
      <c r="S4" s="4625"/>
      <c r="T4" s="4625"/>
      <c r="U4" s="4625"/>
      <c r="V4" s="4626"/>
      <c r="W4" s="880"/>
    </row>
    <row r="5" spans="1:24" s="508" customFormat="1" ht="17.100000000000001" customHeight="1" x14ac:dyDescent="0.2">
      <c r="A5" s="509"/>
      <c r="B5" s="509"/>
      <c r="C5" s="509"/>
      <c r="D5" s="4651"/>
      <c r="E5" s="4652"/>
      <c r="F5" s="4652"/>
      <c r="G5" s="4652"/>
      <c r="H5" s="4652"/>
      <c r="I5" s="4652"/>
      <c r="J5" s="4652"/>
      <c r="K5" s="4652"/>
      <c r="L5" s="4652"/>
      <c r="M5" s="4652"/>
      <c r="N5" s="4652"/>
      <c r="O5" s="4652"/>
      <c r="P5" s="4652"/>
      <c r="Q5" s="4652"/>
      <c r="R5" s="4652"/>
      <c r="S5" s="4652"/>
      <c r="T5" s="4652"/>
      <c r="U5" s="4652"/>
      <c r="V5" s="4653"/>
      <c r="W5" s="880"/>
    </row>
    <row r="6" spans="1:24" ht="12.75" x14ac:dyDescent="0.2">
      <c r="A6" s="509">
        <v>4</v>
      </c>
      <c r="B6" s="509" t="s">
        <v>6</v>
      </c>
      <c r="C6" s="509"/>
      <c r="D6" s="981" t="s">
        <v>80</v>
      </c>
      <c r="E6" s="71" t="s">
        <v>287</v>
      </c>
    </row>
    <row r="7" spans="1:24" ht="27.6" customHeight="1" x14ac:dyDescent="0.2">
      <c r="C7" s="509"/>
      <c r="D7" s="2520"/>
      <c r="E7" s="2521">
        <v>2006</v>
      </c>
      <c r="F7" s="2521">
        <v>2007</v>
      </c>
      <c r="G7" s="2521">
        <v>2008</v>
      </c>
      <c r="H7" s="2521">
        <v>2009</v>
      </c>
      <c r="I7" s="2521">
        <v>2010</v>
      </c>
      <c r="J7" s="2521">
        <v>2011</v>
      </c>
      <c r="K7" s="2521">
        <v>2012</v>
      </c>
      <c r="L7" s="2521">
        <v>2013</v>
      </c>
      <c r="M7" s="2521">
        <v>2014</v>
      </c>
      <c r="N7" s="2521">
        <v>2015</v>
      </c>
      <c r="O7" s="2521">
        <v>2016</v>
      </c>
      <c r="P7" s="2522">
        <v>2017</v>
      </c>
      <c r="Q7" s="2522">
        <v>2018</v>
      </c>
      <c r="R7" s="2522">
        <v>2019</v>
      </c>
      <c r="S7" s="2522">
        <v>2020</v>
      </c>
      <c r="T7" s="2522">
        <v>2021</v>
      </c>
      <c r="U7" s="2524" t="s">
        <v>288</v>
      </c>
      <c r="X7" s="2525"/>
    </row>
    <row r="8" spans="1:24" ht="12.75" x14ac:dyDescent="0.2">
      <c r="C8" s="509"/>
      <c r="D8" s="1155" t="s">
        <v>180</v>
      </c>
      <c r="E8" s="1373">
        <v>21</v>
      </c>
      <c r="F8" s="1373">
        <v>25</v>
      </c>
      <c r="G8" s="2526">
        <v>24</v>
      </c>
      <c r="H8" s="2526">
        <v>20</v>
      </c>
      <c r="I8" s="2526">
        <v>23</v>
      </c>
      <c r="J8" s="2526">
        <v>21</v>
      </c>
      <c r="K8" s="2526">
        <v>18</v>
      </c>
      <c r="L8" s="2526">
        <v>12</v>
      </c>
      <c r="M8" s="2526">
        <v>6</v>
      </c>
      <c r="N8" s="2527">
        <v>18</v>
      </c>
      <c r="O8" s="2527">
        <v>18</v>
      </c>
      <c r="P8" s="2528">
        <v>23</v>
      </c>
      <c r="Q8" s="2528">
        <v>24</v>
      </c>
      <c r="R8" s="2528">
        <v>15</v>
      </c>
      <c r="S8" s="2528">
        <v>12</v>
      </c>
      <c r="T8" s="2529"/>
      <c r="U8" s="2530" t="s">
        <v>289</v>
      </c>
      <c r="X8" s="894"/>
    </row>
    <row r="9" spans="1:24" ht="12.75" x14ac:dyDescent="0.2">
      <c r="C9" s="509"/>
      <c r="D9" s="1155" t="s">
        <v>290</v>
      </c>
      <c r="E9" s="1373">
        <v>16</v>
      </c>
      <c r="F9" s="1373">
        <v>17</v>
      </c>
      <c r="G9" s="2526">
        <v>17</v>
      </c>
      <c r="H9" s="2526">
        <v>22</v>
      </c>
      <c r="I9" s="2526">
        <v>24</v>
      </c>
      <c r="J9" s="2526">
        <v>17</v>
      </c>
      <c r="K9" s="2526">
        <v>24</v>
      </c>
      <c r="L9" s="2526">
        <v>21</v>
      </c>
      <c r="M9" s="2526">
        <v>22</v>
      </c>
      <c r="N9" s="2527">
        <v>17</v>
      </c>
      <c r="O9" s="2527">
        <v>16</v>
      </c>
      <c r="P9" s="2528">
        <v>12</v>
      </c>
      <c r="Q9" s="2528">
        <v>12</v>
      </c>
      <c r="R9" s="2528">
        <v>16</v>
      </c>
      <c r="S9" s="2528">
        <v>18</v>
      </c>
      <c r="T9" s="2529"/>
      <c r="U9" s="2530" t="s">
        <v>291</v>
      </c>
      <c r="X9" s="2531"/>
    </row>
    <row r="10" spans="1:24" ht="12.75" x14ac:dyDescent="0.2">
      <c r="C10" s="509"/>
      <c r="D10" s="1155" t="s">
        <v>292</v>
      </c>
      <c r="E10" s="1373">
        <v>23</v>
      </c>
      <c r="F10" s="1373">
        <v>32</v>
      </c>
      <c r="G10" s="2526">
        <v>27</v>
      </c>
      <c r="H10" s="2526">
        <v>24</v>
      </c>
      <c r="I10" s="2526">
        <v>17</v>
      </c>
      <c r="J10" s="2526">
        <v>20</v>
      </c>
      <c r="K10" s="2526">
        <v>23</v>
      </c>
      <c r="L10" s="2526">
        <v>19</v>
      </c>
      <c r="M10" s="2526">
        <v>20</v>
      </c>
      <c r="N10" s="2527">
        <v>28</v>
      </c>
      <c r="O10" s="2527">
        <v>32</v>
      </c>
      <c r="P10" s="2528">
        <v>49</v>
      </c>
      <c r="Q10" s="2528">
        <v>25</v>
      </c>
      <c r="R10" s="2528">
        <v>20</v>
      </c>
      <c r="S10" s="2528">
        <v>13</v>
      </c>
      <c r="T10" s="2529"/>
      <c r="U10" s="2530" t="s">
        <v>289</v>
      </c>
      <c r="X10" s="2531"/>
    </row>
    <row r="11" spans="1:24" ht="12.75" x14ac:dyDescent="0.2">
      <c r="C11" s="509"/>
      <c r="D11" s="1155" t="s">
        <v>293</v>
      </c>
      <c r="E11" s="1373">
        <v>15</v>
      </c>
      <c r="F11" s="1373">
        <v>16</v>
      </c>
      <c r="G11" s="2526">
        <v>26</v>
      </c>
      <c r="H11" s="2526">
        <v>28</v>
      </c>
      <c r="I11" s="2526">
        <v>26</v>
      </c>
      <c r="J11" s="2526">
        <v>23</v>
      </c>
      <c r="K11" s="2526">
        <v>27</v>
      </c>
      <c r="L11" s="2526">
        <v>27</v>
      </c>
      <c r="M11" s="2526">
        <v>17</v>
      </c>
      <c r="N11" s="2527">
        <v>24</v>
      </c>
      <c r="O11" s="2527">
        <v>20</v>
      </c>
      <c r="P11" s="2528">
        <v>21</v>
      </c>
      <c r="Q11" s="2528">
        <v>16</v>
      </c>
      <c r="R11" s="2528">
        <v>14</v>
      </c>
      <c r="S11" s="2528">
        <v>11</v>
      </c>
      <c r="T11" s="2529"/>
      <c r="U11" s="2530" t="s">
        <v>289</v>
      </c>
      <c r="X11" s="2531"/>
    </row>
    <row r="12" spans="1:24" ht="12.75" x14ac:dyDescent="0.2">
      <c r="C12" s="509"/>
      <c r="D12" s="1155" t="s">
        <v>294</v>
      </c>
      <c r="E12" s="1373">
        <v>26</v>
      </c>
      <c r="F12" s="1373">
        <v>24</v>
      </c>
      <c r="G12" s="2526">
        <v>22</v>
      </c>
      <c r="H12" s="2526">
        <v>29</v>
      </c>
      <c r="I12" s="2526">
        <v>27</v>
      </c>
      <c r="J12" s="2526">
        <v>24</v>
      </c>
      <c r="K12" s="2526">
        <v>21</v>
      </c>
      <c r="L12" s="2526">
        <v>25</v>
      </c>
      <c r="M12" s="2526">
        <v>24</v>
      </c>
      <c r="N12" s="2527">
        <v>23</v>
      </c>
      <c r="O12" s="2527">
        <v>22</v>
      </c>
      <c r="P12" s="2528">
        <v>14</v>
      </c>
      <c r="Q12" s="2528">
        <v>19</v>
      </c>
      <c r="R12" s="2528">
        <v>19</v>
      </c>
      <c r="S12" s="2528">
        <v>19</v>
      </c>
      <c r="T12" s="2529"/>
      <c r="U12" s="2530" t="s">
        <v>295</v>
      </c>
      <c r="X12" s="894"/>
    </row>
    <row r="13" spans="1:24" ht="12.75" x14ac:dyDescent="0.2">
      <c r="C13" s="509"/>
      <c r="D13" s="2532" t="s">
        <v>103</v>
      </c>
      <c r="E13" s="2533">
        <v>28</v>
      </c>
      <c r="F13" s="2533">
        <v>29</v>
      </c>
      <c r="G13" s="2534">
        <v>35</v>
      </c>
      <c r="H13" s="2534">
        <v>32</v>
      </c>
      <c r="I13" s="2534">
        <v>34</v>
      </c>
      <c r="J13" s="2534">
        <v>34</v>
      </c>
      <c r="K13" s="2534">
        <v>35</v>
      </c>
      <c r="L13" s="2534">
        <v>39</v>
      </c>
      <c r="M13" s="2534">
        <v>41</v>
      </c>
      <c r="N13" s="2535">
        <v>43</v>
      </c>
      <c r="O13" s="2535">
        <v>73</v>
      </c>
      <c r="P13" s="2535">
        <v>74</v>
      </c>
      <c r="Q13" s="2535">
        <v>82</v>
      </c>
      <c r="R13" s="2535">
        <v>82</v>
      </c>
      <c r="S13" s="2535">
        <v>84</v>
      </c>
      <c r="T13" s="2536"/>
      <c r="U13" s="2530" t="s">
        <v>289</v>
      </c>
      <c r="X13" s="894"/>
    </row>
    <row r="14" spans="1:24" ht="12.75" x14ac:dyDescent="0.2">
      <c r="C14" s="509"/>
      <c r="D14" s="1155" t="s">
        <v>296</v>
      </c>
      <c r="E14" s="1373">
        <v>37</v>
      </c>
      <c r="F14" s="1373">
        <v>36</v>
      </c>
      <c r="G14" s="2526">
        <v>32</v>
      </c>
      <c r="H14" s="2526">
        <v>36</v>
      </c>
      <c r="I14" s="2526">
        <v>42</v>
      </c>
      <c r="J14" s="2526">
        <v>41</v>
      </c>
      <c r="K14" s="2526">
        <v>48</v>
      </c>
      <c r="L14" s="2526">
        <v>46</v>
      </c>
      <c r="M14" s="2526">
        <v>49</v>
      </c>
      <c r="N14" s="2527">
        <v>37</v>
      </c>
      <c r="O14" s="2527">
        <v>29</v>
      </c>
      <c r="P14" s="2528">
        <v>33</v>
      </c>
      <c r="Q14" s="2528">
        <v>39</v>
      </c>
      <c r="R14" s="2528">
        <v>42</v>
      </c>
      <c r="S14" s="2528">
        <v>45</v>
      </c>
      <c r="T14" s="2529"/>
      <c r="U14" s="2530" t="s">
        <v>291</v>
      </c>
      <c r="X14" s="894"/>
    </row>
    <row r="15" spans="1:24" ht="12.75" x14ac:dyDescent="0.2">
      <c r="C15" s="509"/>
      <c r="D15" s="1155" t="s">
        <v>111</v>
      </c>
      <c r="E15" s="1373">
        <v>40</v>
      </c>
      <c r="F15" s="1373">
        <v>48</v>
      </c>
      <c r="G15" s="2526">
        <v>51</v>
      </c>
      <c r="H15" s="2526">
        <v>38</v>
      </c>
      <c r="I15" s="2526">
        <v>45</v>
      </c>
      <c r="J15" s="2526">
        <v>52</v>
      </c>
      <c r="K15" s="2526">
        <v>54</v>
      </c>
      <c r="L15" s="2526">
        <v>59</v>
      </c>
      <c r="M15" s="2526">
        <v>56</v>
      </c>
      <c r="N15" s="2527">
        <v>74</v>
      </c>
      <c r="O15" s="2527">
        <v>72</v>
      </c>
      <c r="P15" s="2528">
        <v>71</v>
      </c>
      <c r="Q15" s="2528">
        <v>81</v>
      </c>
      <c r="R15" s="2528">
        <v>86</v>
      </c>
      <c r="S15" s="2528">
        <v>87</v>
      </c>
      <c r="T15" s="2529"/>
      <c r="U15" s="2530" t="s">
        <v>291</v>
      </c>
      <c r="X15" s="894"/>
    </row>
    <row r="16" spans="1:24" ht="12.75" x14ac:dyDescent="0.2">
      <c r="C16" s="509"/>
      <c r="D16" s="1155" t="s">
        <v>123</v>
      </c>
      <c r="E16" s="1373">
        <v>25</v>
      </c>
      <c r="F16" s="1373">
        <v>28</v>
      </c>
      <c r="G16" s="2526">
        <v>33</v>
      </c>
      <c r="H16" s="2526">
        <v>40</v>
      </c>
      <c r="I16" s="2526">
        <v>49</v>
      </c>
      <c r="J16" s="2526">
        <v>43</v>
      </c>
      <c r="K16" s="2526">
        <v>39</v>
      </c>
      <c r="L16" s="2526">
        <v>37</v>
      </c>
      <c r="M16" s="2526">
        <v>34</v>
      </c>
      <c r="N16" s="2527">
        <v>41</v>
      </c>
      <c r="O16" s="2527">
        <v>48</v>
      </c>
      <c r="P16" s="2528">
        <v>57</v>
      </c>
      <c r="Q16" s="2528">
        <v>55</v>
      </c>
      <c r="R16" s="2528">
        <v>56</v>
      </c>
      <c r="S16" s="2528">
        <v>59</v>
      </c>
      <c r="T16" s="2529"/>
      <c r="U16" s="2530" t="s">
        <v>291</v>
      </c>
      <c r="X16" s="2531"/>
    </row>
    <row r="17" spans="3:24" ht="12.75" x14ac:dyDescent="0.2">
      <c r="C17" s="509"/>
      <c r="D17" s="1155" t="s">
        <v>177</v>
      </c>
      <c r="E17" s="1373">
        <v>52</v>
      </c>
      <c r="F17" s="1373">
        <v>66</v>
      </c>
      <c r="G17" s="2526">
        <v>45</v>
      </c>
      <c r="H17" s="2526">
        <v>41</v>
      </c>
      <c r="I17" s="2526">
        <v>47</v>
      </c>
      <c r="J17" s="2526">
        <v>46</v>
      </c>
      <c r="K17" s="2526">
        <v>51</v>
      </c>
      <c r="L17" s="2526">
        <v>54</v>
      </c>
      <c r="M17" s="2526">
        <v>54</v>
      </c>
      <c r="N17" s="2527">
        <v>54</v>
      </c>
      <c r="O17" s="2527">
        <v>42</v>
      </c>
      <c r="P17" s="2528">
        <v>41</v>
      </c>
      <c r="Q17" s="2528">
        <v>48</v>
      </c>
      <c r="R17" s="2528">
        <v>53</v>
      </c>
      <c r="S17" s="2528">
        <v>52</v>
      </c>
      <c r="T17" s="2529"/>
      <c r="U17" s="2530" t="s">
        <v>289</v>
      </c>
      <c r="X17" s="2531"/>
    </row>
    <row r="18" spans="3:24" ht="12.75" x14ac:dyDescent="0.2">
      <c r="C18" s="509"/>
      <c r="D18" s="1155" t="s">
        <v>110</v>
      </c>
      <c r="E18" s="1373">
        <v>78</v>
      </c>
      <c r="F18" s="1373">
        <v>49</v>
      </c>
      <c r="G18" s="2526">
        <v>48</v>
      </c>
      <c r="H18" s="2526">
        <v>47</v>
      </c>
      <c r="I18" s="2526">
        <v>55</v>
      </c>
      <c r="J18" s="2526">
        <v>56</v>
      </c>
      <c r="K18" s="2526">
        <v>72</v>
      </c>
      <c r="L18" s="2526">
        <v>72</v>
      </c>
      <c r="M18" s="2526">
        <v>73</v>
      </c>
      <c r="N18" s="2527">
        <v>48</v>
      </c>
      <c r="O18" s="2527">
        <v>37</v>
      </c>
      <c r="P18" s="2528">
        <v>36</v>
      </c>
      <c r="Q18" s="2528">
        <v>45</v>
      </c>
      <c r="R18" s="2528">
        <v>52</v>
      </c>
      <c r="S18" s="2528">
        <v>55</v>
      </c>
      <c r="T18" s="2529"/>
      <c r="U18" s="2530" t="s">
        <v>291</v>
      </c>
      <c r="X18" s="894"/>
    </row>
    <row r="19" spans="3:24" ht="12.75" x14ac:dyDescent="0.2">
      <c r="C19" s="509"/>
      <c r="D19" s="1155" t="s">
        <v>105</v>
      </c>
      <c r="E19" s="1373">
        <v>73</v>
      </c>
      <c r="F19" s="1373">
        <v>43</v>
      </c>
      <c r="G19" s="2526">
        <v>44</v>
      </c>
      <c r="H19" s="2526">
        <v>56</v>
      </c>
      <c r="I19" s="2526">
        <v>51</v>
      </c>
      <c r="J19" s="2526">
        <v>35</v>
      </c>
      <c r="K19" s="2526">
        <v>53</v>
      </c>
      <c r="L19" s="2526">
        <v>48</v>
      </c>
      <c r="M19" s="2526">
        <v>53</v>
      </c>
      <c r="N19" s="2527">
        <v>39</v>
      </c>
      <c r="O19" s="2527">
        <v>38</v>
      </c>
      <c r="P19" s="2528">
        <v>47</v>
      </c>
      <c r="Q19" s="2528">
        <v>49</v>
      </c>
      <c r="R19" s="2528">
        <v>54</v>
      </c>
      <c r="S19" s="2528">
        <v>60</v>
      </c>
      <c r="T19" s="2529"/>
      <c r="U19" s="2530" t="s">
        <v>291</v>
      </c>
      <c r="X19" s="894"/>
    </row>
    <row r="20" spans="3:24" ht="12.75" x14ac:dyDescent="0.2">
      <c r="C20" s="509"/>
      <c r="D20" s="2537" t="s">
        <v>297</v>
      </c>
      <c r="E20" s="2538">
        <v>51</v>
      </c>
      <c r="F20" s="2538">
        <v>55</v>
      </c>
      <c r="G20" s="2539">
        <v>49</v>
      </c>
      <c r="H20" s="2539">
        <v>57</v>
      </c>
      <c r="I20" s="2539">
        <v>65</v>
      </c>
      <c r="J20" s="2539">
        <v>57</v>
      </c>
      <c r="K20" s="2539">
        <v>49</v>
      </c>
      <c r="L20" s="2539">
        <v>47</v>
      </c>
      <c r="M20" s="2539">
        <v>47</v>
      </c>
      <c r="N20" s="2527">
        <v>66</v>
      </c>
      <c r="O20" s="2527">
        <v>70</v>
      </c>
      <c r="P20" s="2528">
        <v>66</v>
      </c>
      <c r="Q20" s="2528">
        <v>71</v>
      </c>
      <c r="R20" s="2528">
        <v>78</v>
      </c>
      <c r="S20" s="2528">
        <v>68</v>
      </c>
      <c r="T20" s="2529"/>
      <c r="U20" s="2530" t="s">
        <v>289</v>
      </c>
      <c r="X20" s="894"/>
    </row>
    <row r="21" spans="3:24" ht="12.75" x14ac:dyDescent="0.2">
      <c r="C21" s="509"/>
      <c r="D21" s="3373" t="s">
        <v>298</v>
      </c>
      <c r="E21" s="3698">
        <v>155</v>
      </c>
      <c r="F21" s="3698">
        <v>175</v>
      </c>
      <c r="G21" s="3698">
        <v>178</v>
      </c>
      <c r="H21" s="3698">
        <v>181</v>
      </c>
      <c r="I21" s="3698">
        <v>183</v>
      </c>
      <c r="J21" s="3698">
        <v>183</v>
      </c>
      <c r="K21" s="3698">
        <v>183</v>
      </c>
      <c r="L21" s="3698">
        <v>185</v>
      </c>
      <c r="M21" s="3698">
        <v>189</v>
      </c>
      <c r="N21" s="3698">
        <v>189</v>
      </c>
      <c r="O21" s="3698">
        <v>189</v>
      </c>
      <c r="P21" s="3699">
        <v>190</v>
      </c>
      <c r="Q21" s="3699">
        <v>190</v>
      </c>
      <c r="R21" s="3699">
        <v>190</v>
      </c>
      <c r="S21" s="3699">
        <v>190</v>
      </c>
      <c r="T21" s="3700"/>
      <c r="U21" s="3701" t="s">
        <v>295</v>
      </c>
      <c r="X21" s="462"/>
    </row>
    <row r="22" spans="3:24" ht="12.75" x14ac:dyDescent="0.2">
      <c r="C22" s="509"/>
      <c r="D22" s="550"/>
      <c r="E22" s="88"/>
      <c r="F22" s="88"/>
      <c r="G22" s="88"/>
      <c r="H22" s="88"/>
      <c r="I22" s="88"/>
      <c r="J22" s="88"/>
      <c r="K22" s="88"/>
      <c r="L22" s="88"/>
      <c r="M22" s="88"/>
      <c r="N22" s="572"/>
      <c r="O22" s="88"/>
      <c r="P22" s="88"/>
      <c r="Q22" s="462"/>
      <c r="R22" s="462"/>
      <c r="S22" s="462"/>
      <c r="T22" s="462"/>
      <c r="V22" s="462"/>
      <c r="W22" s="474"/>
      <c r="X22" s="462"/>
    </row>
    <row r="23" spans="3:24" ht="12.75" x14ac:dyDescent="0.2">
      <c r="C23" s="509"/>
      <c r="D23" s="550"/>
      <c r="E23" s="88"/>
      <c r="F23" s="88"/>
      <c r="G23" s="88"/>
      <c r="H23" s="88"/>
      <c r="I23" s="88"/>
      <c r="J23" s="88"/>
      <c r="K23" s="88"/>
      <c r="L23" s="88"/>
      <c r="M23" s="88"/>
      <c r="N23" s="572"/>
      <c r="O23" s="88"/>
      <c r="P23" s="88"/>
      <c r="Q23" s="462"/>
      <c r="R23" s="462"/>
      <c r="S23" s="462"/>
      <c r="T23" s="462"/>
      <c r="V23" s="462"/>
      <c r="W23" s="474"/>
      <c r="X23" s="462"/>
    </row>
    <row r="24" spans="3:24" ht="12.75" x14ac:dyDescent="0.2">
      <c r="C24" s="509"/>
      <c r="D24" s="550"/>
      <c r="E24" s="88"/>
      <c r="F24" s="88"/>
      <c r="G24" s="88"/>
      <c r="H24" s="88"/>
      <c r="I24" s="88"/>
      <c r="J24" s="88"/>
      <c r="K24" s="88"/>
      <c r="L24" s="88"/>
      <c r="M24" s="88"/>
      <c r="N24" s="572"/>
      <c r="O24" s="88"/>
      <c r="P24" s="88"/>
      <c r="Q24" s="462"/>
      <c r="R24" s="462"/>
      <c r="S24" s="462"/>
      <c r="T24" s="462"/>
      <c r="V24" s="462"/>
      <c r="W24" s="474"/>
      <c r="X24" s="462"/>
    </row>
    <row r="25" spans="3:24" ht="12.75" x14ac:dyDescent="0.2">
      <c r="C25" s="509"/>
      <c r="D25" s="550"/>
      <c r="E25" s="88"/>
      <c r="F25" s="88"/>
      <c r="G25" s="88"/>
      <c r="H25" s="88"/>
      <c r="I25" s="88"/>
      <c r="J25" s="88"/>
      <c r="K25" s="88"/>
      <c r="L25" s="88"/>
      <c r="M25" s="88"/>
      <c r="N25" s="572"/>
      <c r="O25" s="88"/>
      <c r="P25" s="88"/>
      <c r="Q25" s="462"/>
      <c r="R25" s="462"/>
      <c r="S25" s="462"/>
      <c r="T25" s="462"/>
      <c r="V25" s="462"/>
      <c r="W25" s="474"/>
      <c r="X25" s="462"/>
    </row>
    <row r="26" spans="3:24" ht="12.75" x14ac:dyDescent="0.2">
      <c r="C26" s="509"/>
      <c r="D26" s="550"/>
      <c r="E26" s="88"/>
      <c r="F26" s="88"/>
      <c r="G26" s="88"/>
      <c r="H26" s="88"/>
      <c r="I26" s="88"/>
      <c r="J26" s="88"/>
      <c r="K26" s="88"/>
      <c r="L26" s="88"/>
      <c r="M26" s="88"/>
      <c r="N26" s="572"/>
      <c r="O26" s="88"/>
      <c r="P26" s="88"/>
      <c r="Q26" s="462"/>
      <c r="R26" s="462"/>
      <c r="S26" s="462"/>
      <c r="T26" s="462"/>
      <c r="V26" s="462"/>
      <c r="W26" s="474"/>
      <c r="X26" s="462"/>
    </row>
    <row r="27" spans="3:24" ht="12.75" x14ac:dyDescent="0.2">
      <c r="C27" s="509"/>
      <c r="D27" s="550"/>
      <c r="E27" s="88"/>
      <c r="F27" s="88"/>
      <c r="G27" s="88"/>
      <c r="H27" s="88"/>
      <c r="I27" s="88"/>
      <c r="J27" s="88"/>
      <c r="K27" s="88"/>
      <c r="L27" s="88"/>
      <c r="M27" s="88"/>
      <c r="N27" s="572"/>
      <c r="O27" s="88"/>
      <c r="P27" s="88"/>
      <c r="Q27" s="462"/>
      <c r="R27" s="462"/>
      <c r="S27" s="462"/>
      <c r="T27" s="462"/>
      <c r="V27" s="462"/>
      <c r="W27" s="474"/>
      <c r="X27" s="462"/>
    </row>
    <row r="28" spans="3:24" ht="12.75" x14ac:dyDescent="0.2">
      <c r="C28" s="509"/>
      <c r="D28" s="550"/>
      <c r="E28" s="88"/>
      <c r="F28" s="88"/>
      <c r="G28" s="88"/>
      <c r="H28" s="88"/>
      <c r="I28" s="88"/>
      <c r="J28" s="88"/>
      <c r="K28" s="88"/>
      <c r="L28" s="88"/>
      <c r="M28" s="88"/>
      <c r="N28" s="572"/>
      <c r="O28" s="88"/>
      <c r="P28" s="88"/>
      <c r="Q28" s="462"/>
      <c r="R28" s="462"/>
      <c r="S28" s="462"/>
      <c r="T28" s="462"/>
      <c r="V28" s="462"/>
      <c r="W28" s="474"/>
      <c r="X28" s="462"/>
    </row>
    <row r="29" spans="3:24" ht="12.75" x14ac:dyDescent="0.2">
      <c r="C29" s="509"/>
      <c r="D29" s="550"/>
      <c r="E29" s="88"/>
      <c r="F29" s="88"/>
      <c r="G29" s="88"/>
      <c r="H29" s="88"/>
      <c r="I29" s="88"/>
      <c r="J29" s="88"/>
      <c r="K29" s="88"/>
      <c r="L29" s="88"/>
      <c r="M29" s="88"/>
      <c r="N29" s="572"/>
      <c r="O29" s="88"/>
      <c r="P29" s="88"/>
      <c r="Q29" s="462"/>
      <c r="R29" s="462"/>
      <c r="S29" s="462"/>
      <c r="T29" s="462"/>
      <c r="V29" s="462"/>
      <c r="W29" s="474"/>
      <c r="X29" s="462"/>
    </row>
    <row r="30" spans="3:24" ht="12.75" x14ac:dyDescent="0.2">
      <c r="C30" s="509"/>
      <c r="D30" s="550"/>
      <c r="E30" s="88"/>
      <c r="F30" s="88"/>
      <c r="G30" s="88"/>
      <c r="H30" s="88"/>
      <c r="I30" s="88"/>
      <c r="J30" s="88"/>
      <c r="K30" s="88"/>
      <c r="L30" s="88"/>
      <c r="M30" s="88"/>
      <c r="N30" s="572"/>
      <c r="O30" s="88"/>
      <c r="P30" s="88"/>
      <c r="Q30" s="462"/>
      <c r="R30" s="462"/>
      <c r="S30" s="462"/>
      <c r="T30" s="462"/>
      <c r="V30" s="462"/>
      <c r="W30" s="474"/>
      <c r="X30" s="462"/>
    </row>
    <row r="31" spans="3:24" ht="12.75" x14ac:dyDescent="0.2">
      <c r="C31" s="509"/>
      <c r="D31" s="550"/>
      <c r="E31" s="88"/>
      <c r="F31" s="88"/>
      <c r="G31" s="88"/>
      <c r="H31" s="88"/>
      <c r="I31" s="88"/>
      <c r="J31" s="88"/>
      <c r="K31" s="88"/>
      <c r="L31" s="88"/>
      <c r="M31" s="88"/>
      <c r="N31" s="572"/>
      <c r="O31" s="88"/>
      <c r="P31" s="88"/>
      <c r="Q31" s="462"/>
      <c r="R31" s="462"/>
      <c r="S31" s="462"/>
      <c r="T31" s="462"/>
      <c r="V31" s="462"/>
      <c r="W31" s="474"/>
      <c r="X31" s="462"/>
    </row>
    <row r="32" spans="3:24" ht="12.75" x14ac:dyDescent="0.2">
      <c r="C32" s="509"/>
      <c r="D32" s="550"/>
      <c r="E32" s="88"/>
      <c r="F32" s="88"/>
      <c r="G32" s="88"/>
      <c r="H32" s="88"/>
      <c r="I32" s="88"/>
      <c r="J32" s="88"/>
      <c r="K32" s="88"/>
      <c r="L32" s="88"/>
      <c r="M32" s="88"/>
      <c r="N32" s="572"/>
      <c r="O32" s="88"/>
      <c r="P32" s="88"/>
      <c r="Q32" s="462"/>
      <c r="R32" s="462"/>
      <c r="S32" s="462"/>
      <c r="T32" s="462"/>
      <c r="V32" s="462"/>
      <c r="W32" s="474"/>
      <c r="X32" s="462"/>
    </row>
    <row r="33" spans="1:25" ht="12.75" x14ac:dyDescent="0.2">
      <c r="C33" s="509"/>
      <c r="D33" s="550"/>
      <c r="E33" s="88"/>
      <c r="F33" s="88"/>
      <c r="G33" s="88"/>
      <c r="H33" s="88"/>
      <c r="I33" s="88"/>
      <c r="J33" s="88"/>
      <c r="K33" s="88"/>
      <c r="L33" s="88"/>
      <c r="M33" s="88"/>
      <c r="N33" s="572"/>
      <c r="O33" s="88"/>
      <c r="P33" s="88"/>
      <c r="Q33" s="462"/>
      <c r="R33" s="462"/>
      <c r="S33" s="462"/>
      <c r="T33" s="462"/>
      <c r="V33" s="462"/>
      <c r="W33" s="474"/>
      <c r="X33" s="462"/>
    </row>
    <row r="34" spans="1:25" ht="12.75" x14ac:dyDescent="0.2">
      <c r="C34" s="509"/>
      <c r="D34" s="550"/>
      <c r="E34" s="88"/>
      <c r="F34" s="88"/>
      <c r="G34" s="88"/>
      <c r="H34" s="88"/>
      <c r="I34" s="88"/>
      <c r="J34" s="88"/>
      <c r="K34" s="88"/>
      <c r="L34" s="88"/>
      <c r="M34" s="88"/>
      <c r="N34" s="572"/>
      <c r="O34" s="88"/>
      <c r="P34" s="88"/>
      <c r="Q34" s="462"/>
      <c r="R34" s="462"/>
      <c r="S34" s="462"/>
      <c r="T34" s="462"/>
      <c r="V34" s="462"/>
      <c r="W34" s="474"/>
      <c r="X34" s="462"/>
    </row>
    <row r="35" spans="1:25" ht="12.75" x14ac:dyDescent="0.2">
      <c r="C35" s="509"/>
      <c r="D35" s="550"/>
      <c r="E35" s="88"/>
      <c r="F35" s="88"/>
      <c r="G35" s="88"/>
      <c r="H35" s="88"/>
      <c r="I35" s="88"/>
      <c r="J35" s="88"/>
      <c r="K35" s="88"/>
      <c r="L35" s="88"/>
      <c r="M35" s="88"/>
      <c r="N35" s="572"/>
      <c r="O35" s="88"/>
      <c r="P35" s="88"/>
      <c r="Q35" s="462"/>
      <c r="R35" s="462"/>
      <c r="S35" s="462"/>
      <c r="T35" s="462"/>
      <c r="V35" s="462"/>
      <c r="W35" s="474"/>
      <c r="X35" s="462"/>
    </row>
    <row r="36" spans="1:25" ht="12.75" x14ac:dyDescent="0.2">
      <c r="C36" s="509"/>
      <c r="D36" s="550"/>
      <c r="E36" s="88"/>
      <c r="F36" s="88"/>
      <c r="G36" s="88"/>
      <c r="H36" s="88"/>
      <c r="I36" s="88"/>
      <c r="J36" s="88"/>
      <c r="K36" s="88"/>
      <c r="L36" s="88"/>
      <c r="M36" s="88"/>
      <c r="N36" s="572"/>
      <c r="O36" s="88"/>
      <c r="P36" s="88"/>
      <c r="Q36" s="462"/>
      <c r="R36" s="462"/>
      <c r="S36" s="462"/>
      <c r="T36" s="462"/>
      <c r="V36" s="462"/>
      <c r="W36" s="474"/>
      <c r="X36" s="462"/>
    </row>
    <row r="37" spans="1:25" ht="12.75" x14ac:dyDescent="0.2">
      <c r="C37" s="509"/>
      <c r="D37" s="550"/>
      <c r="E37" s="88"/>
      <c r="F37" s="88"/>
      <c r="G37" s="88"/>
      <c r="H37" s="88"/>
      <c r="I37" s="88"/>
      <c r="J37" s="88"/>
      <c r="K37" s="88"/>
      <c r="L37" s="88"/>
      <c r="M37" s="88"/>
      <c r="N37" s="572"/>
      <c r="O37" s="88"/>
      <c r="P37" s="88"/>
      <c r="Q37" s="462"/>
      <c r="R37" s="462"/>
      <c r="S37" s="462"/>
      <c r="T37" s="462"/>
      <c r="V37" s="462"/>
      <c r="W37" s="474"/>
      <c r="X37" s="462"/>
    </row>
    <row r="38" spans="1:25" ht="12.75" x14ac:dyDescent="0.2">
      <c r="C38" s="509"/>
      <c r="D38" s="550"/>
      <c r="E38" s="88"/>
      <c r="F38" s="88"/>
      <c r="G38" s="88"/>
      <c r="H38" s="88"/>
      <c r="I38" s="88"/>
      <c r="J38" s="88"/>
      <c r="K38" s="88"/>
      <c r="L38" s="88"/>
      <c r="M38" s="88"/>
      <c r="N38" s="572"/>
      <c r="O38" s="88"/>
      <c r="P38" s="88"/>
      <c r="Q38" s="462"/>
      <c r="R38" s="462"/>
      <c r="S38" s="462"/>
      <c r="T38" s="462"/>
      <c r="V38" s="462"/>
      <c r="W38" s="474"/>
      <c r="X38" s="462"/>
    </row>
    <row r="39" spans="1:25" ht="12.75" x14ac:dyDescent="0.2">
      <c r="C39" s="509"/>
      <c r="D39" s="550"/>
      <c r="E39" s="88"/>
      <c r="F39" s="88"/>
      <c r="G39" s="88"/>
      <c r="H39" s="88"/>
      <c r="I39" s="88"/>
      <c r="J39" s="88"/>
      <c r="K39" s="88"/>
      <c r="L39" s="88"/>
      <c r="M39" s="88"/>
      <c r="N39" s="572"/>
      <c r="O39" s="88"/>
      <c r="P39" s="88"/>
      <c r="Q39" s="462"/>
      <c r="R39" s="462"/>
      <c r="S39" s="462"/>
      <c r="T39" s="462"/>
      <c r="V39" s="462"/>
      <c r="W39" s="474"/>
      <c r="X39" s="462"/>
    </row>
    <row r="40" spans="1:25" x14ac:dyDescent="0.2">
      <c r="D40" s="71" t="s">
        <v>267</v>
      </c>
      <c r="E40" s="71" t="s">
        <v>299</v>
      </c>
    </row>
    <row r="41" spans="1:25" ht="23.1" customHeight="1" x14ac:dyDescent="0.2">
      <c r="A41" s="509"/>
      <c r="B41" s="509"/>
      <c r="D41" s="2540" t="s">
        <v>300</v>
      </c>
      <c r="E41" s="2541"/>
      <c r="F41" s="2521">
        <v>2006</v>
      </c>
      <c r="G41" s="2521">
        <v>2007</v>
      </c>
      <c r="H41" s="2521">
        <v>2008</v>
      </c>
      <c r="I41" s="2521">
        <v>2009</v>
      </c>
      <c r="J41" s="2521">
        <v>2010</v>
      </c>
      <c r="K41" s="2521">
        <v>2011</v>
      </c>
      <c r="L41" s="2521">
        <v>2012</v>
      </c>
      <c r="M41" s="2521">
        <v>2013</v>
      </c>
      <c r="N41" s="2521">
        <v>2014</v>
      </c>
      <c r="O41" s="2521">
        <v>2015</v>
      </c>
      <c r="P41" s="2542">
        <v>2016</v>
      </c>
      <c r="Q41" s="2522">
        <v>2017</v>
      </c>
      <c r="R41" s="2522">
        <v>2018</v>
      </c>
      <c r="S41" s="2522">
        <v>2019</v>
      </c>
      <c r="T41" s="2522">
        <v>2020</v>
      </c>
      <c r="U41" s="2523">
        <v>2021</v>
      </c>
      <c r="V41" s="2524" t="s">
        <v>301</v>
      </c>
      <c r="Y41" s="2525"/>
    </row>
    <row r="42" spans="1:25" ht="12.75" x14ac:dyDescent="0.2">
      <c r="B42" s="2543"/>
      <c r="C42" s="533"/>
      <c r="D42" s="2544" t="s">
        <v>302</v>
      </c>
      <c r="E42" s="2545"/>
      <c r="F42" s="2546"/>
      <c r="G42" s="2546">
        <v>33</v>
      </c>
      <c r="H42" s="2546">
        <v>26</v>
      </c>
      <c r="I42" s="2546">
        <v>2</v>
      </c>
      <c r="J42" s="2546">
        <v>2</v>
      </c>
      <c r="K42" s="2546">
        <v>2</v>
      </c>
      <c r="L42" s="2546">
        <v>1</v>
      </c>
      <c r="M42" s="2546">
        <v>1</v>
      </c>
      <c r="N42" s="2546">
        <v>28</v>
      </c>
      <c r="O42" s="2546">
        <v>52</v>
      </c>
      <c r="P42" s="2546">
        <v>59</v>
      </c>
      <c r="Q42" s="2547">
        <v>62</v>
      </c>
      <c r="R42" s="2547">
        <v>68</v>
      </c>
      <c r="S42" s="2547">
        <v>73</v>
      </c>
      <c r="T42" s="2547">
        <v>80</v>
      </c>
      <c r="U42" s="2548"/>
      <c r="V42" s="2530" t="s">
        <v>291</v>
      </c>
      <c r="Y42" s="894"/>
    </row>
    <row r="43" spans="1:25" ht="12.75" x14ac:dyDescent="0.2">
      <c r="B43" s="2543"/>
      <c r="C43" s="533"/>
      <c r="D43" s="2544" t="s">
        <v>303</v>
      </c>
      <c r="E43" s="2545"/>
      <c r="F43" s="2546"/>
      <c r="G43" s="2546">
        <v>9</v>
      </c>
      <c r="H43" s="2546">
        <v>9</v>
      </c>
      <c r="I43" s="2546">
        <v>9</v>
      </c>
      <c r="J43" s="2546">
        <v>10</v>
      </c>
      <c r="K43" s="2546">
        <v>10</v>
      </c>
      <c r="L43" s="2546">
        <v>10</v>
      </c>
      <c r="M43" s="2546">
        <v>10</v>
      </c>
      <c r="N43" s="2546">
        <v>10</v>
      </c>
      <c r="O43" s="2546">
        <v>17</v>
      </c>
      <c r="P43" s="2546">
        <v>14</v>
      </c>
      <c r="Q43" s="2547">
        <v>22</v>
      </c>
      <c r="R43" s="2547">
        <v>24</v>
      </c>
      <c r="S43" s="2547">
        <v>23</v>
      </c>
      <c r="T43" s="2547">
        <v>13</v>
      </c>
      <c r="U43" s="2548"/>
      <c r="V43" s="2530" t="s">
        <v>289</v>
      </c>
      <c r="Y43" s="894"/>
    </row>
    <row r="44" spans="1:25" ht="12.75" x14ac:dyDescent="0.2">
      <c r="B44" s="2543"/>
      <c r="C44" s="533"/>
      <c r="D44" s="2544" t="s">
        <v>304</v>
      </c>
      <c r="E44" s="2545"/>
      <c r="F44" s="2546"/>
      <c r="G44" s="2546">
        <v>74</v>
      </c>
      <c r="H44" s="2546">
        <v>61</v>
      </c>
      <c r="I44" s="2546">
        <v>23</v>
      </c>
      <c r="J44" s="2546">
        <v>23</v>
      </c>
      <c r="K44" s="2546">
        <v>24</v>
      </c>
      <c r="L44" s="2546">
        <v>44</v>
      </c>
      <c r="M44" s="2546">
        <v>32</v>
      </c>
      <c r="N44" s="2546">
        <v>24</v>
      </c>
      <c r="O44" s="2546">
        <v>19</v>
      </c>
      <c r="P44" s="2546">
        <v>20</v>
      </c>
      <c r="Q44" s="2547">
        <v>51</v>
      </c>
      <c r="R44" s="2547">
        <v>46</v>
      </c>
      <c r="S44" s="2547">
        <v>46</v>
      </c>
      <c r="T44" s="2547">
        <v>54</v>
      </c>
      <c r="U44" s="2548"/>
      <c r="V44" s="2530" t="s">
        <v>291</v>
      </c>
      <c r="Y44" s="894"/>
    </row>
    <row r="45" spans="1:25" x14ac:dyDescent="0.2">
      <c r="D45" s="2544" t="s">
        <v>285</v>
      </c>
      <c r="E45" s="2549"/>
      <c r="F45" s="2550">
        <v>28</v>
      </c>
      <c r="G45" s="2550">
        <v>29</v>
      </c>
      <c r="H45" s="2550">
        <v>35</v>
      </c>
      <c r="I45" s="2546">
        <v>32</v>
      </c>
      <c r="J45" s="2550">
        <v>34</v>
      </c>
      <c r="K45" s="2550">
        <v>34</v>
      </c>
      <c r="L45" s="2550">
        <v>35</v>
      </c>
      <c r="M45" s="2550">
        <v>39</v>
      </c>
      <c r="N45" s="2550">
        <v>41</v>
      </c>
      <c r="O45" s="2546">
        <v>43</v>
      </c>
      <c r="P45" s="2550">
        <v>73</v>
      </c>
      <c r="Q45" s="2547">
        <v>74</v>
      </c>
      <c r="R45" s="2547">
        <v>82</v>
      </c>
      <c r="S45" s="2547">
        <v>82</v>
      </c>
      <c r="T45" s="2547">
        <v>84</v>
      </c>
      <c r="U45" s="2548"/>
      <c r="V45" s="2530" t="s">
        <v>291</v>
      </c>
      <c r="Y45" s="894"/>
    </row>
    <row r="46" spans="1:25" ht="12.75" x14ac:dyDescent="0.2">
      <c r="B46" s="2543"/>
      <c r="C46" s="533"/>
      <c r="D46" s="2551" t="s">
        <v>305</v>
      </c>
      <c r="E46" s="2552"/>
      <c r="F46" s="2547"/>
      <c r="G46" s="2547">
        <v>57</v>
      </c>
      <c r="H46" s="2553">
        <v>53</v>
      </c>
      <c r="I46" s="2546">
        <v>47</v>
      </c>
      <c r="J46" s="2553">
        <v>67</v>
      </c>
      <c r="K46" s="2553">
        <v>75</v>
      </c>
      <c r="L46" s="2553">
        <v>44</v>
      </c>
      <c r="M46" s="2553">
        <v>53</v>
      </c>
      <c r="N46" s="2553">
        <v>64</v>
      </c>
      <c r="O46" s="2546">
        <v>61</v>
      </c>
      <c r="P46" s="2553">
        <v>120</v>
      </c>
      <c r="Q46" s="2547">
        <v>131</v>
      </c>
      <c r="R46" s="2547">
        <v>136</v>
      </c>
      <c r="S46" s="2547">
        <v>134</v>
      </c>
      <c r="T46" s="2547">
        <v>139</v>
      </c>
      <c r="U46" s="2548"/>
      <c r="V46" s="2530" t="s">
        <v>291</v>
      </c>
      <c r="Y46" s="894"/>
    </row>
    <row r="47" spans="1:25" x14ac:dyDescent="0.2">
      <c r="D47" s="2544" t="s">
        <v>306</v>
      </c>
      <c r="E47" s="2545"/>
      <c r="F47" s="2546"/>
      <c r="G47" s="2546"/>
      <c r="H47" s="2546"/>
      <c r="I47" s="2546"/>
      <c r="J47" s="2546"/>
      <c r="K47" s="2546"/>
      <c r="L47" s="2546">
        <v>124</v>
      </c>
      <c r="M47" s="2546">
        <v>150</v>
      </c>
      <c r="N47" s="2546">
        <v>150</v>
      </c>
      <c r="O47" s="2546">
        <v>158</v>
      </c>
      <c r="P47" s="2546">
        <v>168</v>
      </c>
      <c r="Q47" s="2547">
        <v>111</v>
      </c>
      <c r="R47" s="2547">
        <v>112</v>
      </c>
      <c r="S47" s="2547">
        <v>109</v>
      </c>
      <c r="T47" s="2547">
        <v>114</v>
      </c>
      <c r="U47" s="2548"/>
      <c r="V47" s="2530" t="s">
        <v>291</v>
      </c>
      <c r="Y47" s="894"/>
    </row>
    <row r="48" spans="1:25" x14ac:dyDescent="0.2">
      <c r="D48" s="2544" t="s">
        <v>307</v>
      </c>
      <c r="E48" s="2545"/>
      <c r="F48" s="2546"/>
      <c r="G48" s="2546">
        <v>43</v>
      </c>
      <c r="H48" s="2546">
        <v>85</v>
      </c>
      <c r="I48" s="2546">
        <v>82</v>
      </c>
      <c r="J48" s="2546">
        <v>85</v>
      </c>
      <c r="K48" s="2546">
        <v>85</v>
      </c>
      <c r="L48" s="2546">
        <v>81</v>
      </c>
      <c r="M48" s="2546">
        <v>82</v>
      </c>
      <c r="N48" s="2546">
        <v>80</v>
      </c>
      <c r="O48" s="2546">
        <v>46</v>
      </c>
      <c r="P48" s="2546">
        <v>119</v>
      </c>
      <c r="Q48" s="2547">
        <v>113</v>
      </c>
      <c r="R48" s="2547">
        <v>115</v>
      </c>
      <c r="S48" s="2547">
        <v>115</v>
      </c>
      <c r="T48" s="2547">
        <v>102</v>
      </c>
      <c r="U48" s="2548"/>
      <c r="V48" s="2530" t="s">
        <v>289</v>
      </c>
      <c r="Y48" s="894"/>
    </row>
    <row r="49" spans="1:25" ht="12.75" x14ac:dyDescent="0.2">
      <c r="B49" s="2543"/>
      <c r="C49" s="535"/>
      <c r="D49" s="2544" t="s">
        <v>308</v>
      </c>
      <c r="E49" s="2545"/>
      <c r="F49" s="2546"/>
      <c r="G49" s="2546">
        <v>69</v>
      </c>
      <c r="H49" s="2546">
        <v>76</v>
      </c>
      <c r="I49" s="2546">
        <v>87</v>
      </c>
      <c r="J49" s="2546">
        <v>90</v>
      </c>
      <c r="K49" s="2546">
        <v>91</v>
      </c>
      <c r="L49" s="2546">
        <v>76</v>
      </c>
      <c r="M49" s="2546">
        <v>79</v>
      </c>
      <c r="N49" s="2546">
        <v>99</v>
      </c>
      <c r="O49" s="2546">
        <v>97</v>
      </c>
      <c r="P49" s="2546">
        <v>101</v>
      </c>
      <c r="Q49" s="2547">
        <v>105</v>
      </c>
      <c r="R49" s="2547">
        <v>107</v>
      </c>
      <c r="S49" s="2547">
        <v>106</v>
      </c>
      <c r="T49" s="2547">
        <v>108</v>
      </c>
      <c r="U49" s="2548"/>
      <c r="V49" s="2530" t="s">
        <v>291</v>
      </c>
      <c r="Y49" s="894"/>
    </row>
    <row r="50" spans="1:25" x14ac:dyDescent="0.2">
      <c r="D50" s="2554" t="s">
        <v>309</v>
      </c>
      <c r="E50" s="2555"/>
      <c r="F50" s="2556"/>
      <c r="G50" s="2556">
        <v>67</v>
      </c>
      <c r="H50" s="2556">
        <v>134</v>
      </c>
      <c r="I50" s="2556">
        <v>147</v>
      </c>
      <c r="J50" s="2556">
        <v>147</v>
      </c>
      <c r="K50" s="2556">
        <v>149</v>
      </c>
      <c r="L50" s="2556">
        <v>144</v>
      </c>
      <c r="M50" s="2556">
        <v>115</v>
      </c>
      <c r="N50" s="2556">
        <v>106</v>
      </c>
      <c r="O50" s="2556">
        <v>100</v>
      </c>
      <c r="P50" s="2556">
        <v>130</v>
      </c>
      <c r="Q50" s="2557">
        <v>139</v>
      </c>
      <c r="R50" s="2557">
        <v>147</v>
      </c>
      <c r="S50" s="2557">
        <v>143</v>
      </c>
      <c r="T50" s="2557">
        <v>145</v>
      </c>
      <c r="U50" s="2558"/>
      <c r="V50" s="2559" t="s">
        <v>291</v>
      </c>
      <c r="Y50" s="894"/>
    </row>
    <row r="52" spans="1:25" s="508" customFormat="1" ht="14.25" customHeight="1" x14ac:dyDescent="0.2">
      <c r="A52" s="509">
        <v>5</v>
      </c>
      <c r="B52" s="509" t="s">
        <v>52</v>
      </c>
      <c r="C52" s="509"/>
      <c r="D52" s="4624" t="s">
        <v>310</v>
      </c>
      <c r="E52" s="4625"/>
      <c r="F52" s="4625"/>
      <c r="G52" s="4625"/>
      <c r="H52" s="4625"/>
      <c r="I52" s="4625"/>
      <c r="J52" s="4625"/>
      <c r="K52" s="4625"/>
      <c r="L52" s="4625"/>
      <c r="M52" s="4625"/>
      <c r="N52" s="4625"/>
      <c r="O52" s="4625"/>
      <c r="P52" s="4625"/>
      <c r="Q52" s="4625"/>
      <c r="R52" s="4625"/>
      <c r="S52" s="4625"/>
      <c r="T52" s="4625"/>
      <c r="U52" s="4625"/>
      <c r="V52" s="4626"/>
      <c r="W52" s="880"/>
    </row>
    <row r="53" spans="1:25" s="508" customFormat="1" ht="18" customHeight="1" x14ac:dyDescent="0.2">
      <c r="A53" s="546">
        <v>6</v>
      </c>
      <c r="B53" s="546" t="s">
        <v>54</v>
      </c>
      <c r="C53" s="546"/>
      <c r="D53" s="4624" t="s">
        <v>311</v>
      </c>
      <c r="E53" s="4625"/>
      <c r="F53" s="4625"/>
      <c r="G53" s="4625"/>
      <c r="H53" s="4625"/>
      <c r="I53" s="4625"/>
      <c r="J53" s="4625"/>
      <c r="K53" s="4625"/>
      <c r="L53" s="4625"/>
      <c r="M53" s="4625"/>
      <c r="N53" s="4625"/>
      <c r="O53" s="4625"/>
      <c r="P53" s="4625"/>
      <c r="Q53" s="4625"/>
      <c r="R53" s="4625"/>
      <c r="S53" s="4625"/>
      <c r="T53" s="4625"/>
      <c r="U53" s="4625"/>
      <c r="V53" s="4626"/>
      <c r="W53" s="880"/>
    </row>
    <row r="54" spans="1:25" s="508" customFormat="1" ht="89.45" customHeight="1" x14ac:dyDescent="0.2">
      <c r="A54" s="509">
        <v>7</v>
      </c>
      <c r="B54" s="509" t="s">
        <v>58</v>
      </c>
      <c r="C54" s="509"/>
      <c r="D54" s="4624" t="s">
        <v>312</v>
      </c>
      <c r="E54" s="4625"/>
      <c r="F54" s="4625"/>
      <c r="G54" s="4625"/>
      <c r="H54" s="4625"/>
      <c r="I54" s="4625"/>
      <c r="J54" s="4625"/>
      <c r="K54" s="4625"/>
      <c r="L54" s="4625"/>
      <c r="M54" s="4625"/>
      <c r="N54" s="4625"/>
      <c r="O54" s="4625"/>
      <c r="P54" s="4625"/>
      <c r="Q54" s="4625"/>
      <c r="R54" s="4625"/>
      <c r="S54" s="4625"/>
      <c r="T54" s="4625"/>
      <c r="U54" s="4625"/>
      <c r="V54" s="4626"/>
      <c r="W54" s="880"/>
    </row>
    <row r="55" spans="1:25" s="508" customFormat="1" ht="14.25" customHeight="1" x14ac:dyDescent="0.2">
      <c r="A55" s="509">
        <v>8</v>
      </c>
      <c r="B55" s="509" t="s">
        <v>56</v>
      </c>
      <c r="C55" s="509"/>
      <c r="D55" s="4624" t="s">
        <v>313</v>
      </c>
      <c r="E55" s="4625"/>
      <c r="F55" s="4625"/>
      <c r="G55" s="4625"/>
      <c r="H55" s="4625"/>
      <c r="I55" s="4625"/>
      <c r="J55" s="4625"/>
      <c r="K55" s="4625"/>
      <c r="L55" s="4625"/>
      <c r="M55" s="4625"/>
      <c r="N55" s="4625"/>
      <c r="O55" s="4625"/>
      <c r="P55" s="4625"/>
      <c r="Q55" s="4625"/>
      <c r="R55" s="4625"/>
      <c r="S55" s="4625"/>
      <c r="T55" s="4625"/>
      <c r="U55" s="4625"/>
      <c r="V55" s="4626"/>
      <c r="W55" s="880"/>
    </row>
    <row r="56" spans="1:25" x14ac:dyDescent="0.2">
      <c r="B56" s="547"/>
      <c r="C56" s="547"/>
    </row>
    <row r="65" spans="4:20" x14ac:dyDescent="0.2">
      <c r="D65" s="2520"/>
      <c r="E65" s="2521">
        <v>2006</v>
      </c>
      <c r="F65" s="2521">
        <v>2007</v>
      </c>
      <c r="G65" s="2521">
        <v>2008</v>
      </c>
      <c r="H65" s="2521">
        <v>2009</v>
      </c>
      <c r="I65" s="2521">
        <v>2010</v>
      </c>
      <c r="J65" s="2521">
        <v>2011</v>
      </c>
      <c r="K65" s="2521">
        <v>2012</v>
      </c>
      <c r="L65" s="2521">
        <v>2013</v>
      </c>
      <c r="M65" s="2560">
        <v>2014</v>
      </c>
      <c r="N65" s="2521">
        <v>2015</v>
      </c>
      <c r="O65" s="2522">
        <v>2016</v>
      </c>
      <c r="P65" s="2522">
        <v>2017</v>
      </c>
      <c r="Q65" s="2522">
        <v>2018</v>
      </c>
      <c r="R65" s="2522">
        <v>2019</v>
      </c>
      <c r="S65" s="2522">
        <v>2020</v>
      </c>
      <c r="T65" s="2522">
        <v>2021</v>
      </c>
    </row>
    <row r="66" spans="4:20" x14ac:dyDescent="0.2">
      <c r="D66" s="2532" t="s">
        <v>103</v>
      </c>
      <c r="E66" s="2533">
        <v>28</v>
      </c>
      <c r="F66" s="2533">
        <v>27</v>
      </c>
      <c r="G66" s="2534">
        <v>35</v>
      </c>
      <c r="H66" s="2534">
        <v>32</v>
      </c>
      <c r="I66" s="2534">
        <v>34</v>
      </c>
      <c r="J66" s="2534">
        <v>34</v>
      </c>
      <c r="K66" s="2534">
        <v>35</v>
      </c>
      <c r="L66" s="2534">
        <v>39</v>
      </c>
      <c r="M66" s="2534">
        <v>41</v>
      </c>
      <c r="N66" s="2535">
        <v>43</v>
      </c>
      <c r="O66" s="2535">
        <v>73</v>
      </c>
      <c r="P66" s="2535">
        <v>74</v>
      </c>
      <c r="Q66" s="2535">
        <v>82</v>
      </c>
      <c r="R66" s="2535">
        <v>82</v>
      </c>
      <c r="S66" s="2535">
        <v>84</v>
      </c>
      <c r="T66" s="2535"/>
    </row>
    <row r="67" spans="4:20" x14ac:dyDescent="0.2">
      <c r="D67" s="3373" t="s">
        <v>298</v>
      </c>
      <c r="E67" s="3698">
        <v>155</v>
      </c>
      <c r="F67" s="3698">
        <v>175</v>
      </c>
      <c r="G67" s="3698">
        <v>178</v>
      </c>
      <c r="H67" s="3698">
        <v>181</v>
      </c>
      <c r="I67" s="3698">
        <v>183</v>
      </c>
      <c r="J67" s="3698">
        <v>183</v>
      </c>
      <c r="K67" s="3698">
        <v>183</v>
      </c>
      <c r="L67" s="3698">
        <v>185</v>
      </c>
      <c r="M67" s="3698">
        <v>189</v>
      </c>
      <c r="N67" s="3698">
        <v>189</v>
      </c>
      <c r="O67" s="3698">
        <v>189</v>
      </c>
      <c r="P67" s="3699">
        <v>190</v>
      </c>
      <c r="Q67" s="3699">
        <v>190</v>
      </c>
      <c r="R67" s="3699">
        <v>190</v>
      </c>
      <c r="S67" s="3699">
        <v>190</v>
      </c>
      <c r="T67" s="3699">
        <v>190</v>
      </c>
    </row>
  </sheetData>
  <mergeCells count="8">
    <mergeCell ref="D54:V54"/>
    <mergeCell ref="D55:V55"/>
    <mergeCell ref="D2:V2"/>
    <mergeCell ref="D3:V3"/>
    <mergeCell ref="D4:V4"/>
    <mergeCell ref="D5:V5"/>
    <mergeCell ref="D52:V52"/>
    <mergeCell ref="D53:V53"/>
  </mergeCells>
  <pageMargins left="0.74803149606299213" right="0.74803149606299213" top="0.98425196850393704" bottom="0.98425196850393704" header="0.51181102362204722" footer="0.51181102362204722"/>
  <pageSetup paperSize="9" scale="51" orientation="landscape" r:id="rId1"/>
  <headerFooter alignWithMargins="0">
    <oddHeader>&amp;C&amp;"-,Bold"DEVELOPMENT INDICATORS 2014</oddHeader>
    <oddFooter>&amp;LDepartment of Planning, Monitoring and Evaluation (DPME). &amp;CPage &amp;P of &amp;N&amp;R&amp;D</oddFooter>
  </headerFooter>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2CE55-5E3D-4C8B-A86E-38CCFEAD1085}">
  <sheetPr>
    <tabColor theme="5" tint="-0.249977111117893"/>
    <pageSetUpPr fitToPage="1"/>
  </sheetPr>
  <dimension ref="A2:AG33"/>
  <sheetViews>
    <sheetView showGridLines="0" view="pageBreakPreview" topLeftCell="B3" zoomScale="120" zoomScaleNormal="100" zoomScaleSheetLayoutView="120" workbookViewId="0">
      <selection activeCell="P14" sqref="P14"/>
    </sheetView>
  </sheetViews>
  <sheetFormatPr defaultColWidth="9.140625" defaultRowHeight="12" x14ac:dyDescent="0.2"/>
  <cols>
    <col min="1" max="1" width="3.5703125" style="203" customWidth="1"/>
    <col min="2" max="2" width="14.42578125" style="527" customWidth="1"/>
    <col min="3" max="3" width="3.5703125" style="527" customWidth="1"/>
    <col min="4" max="4" width="22.5703125" style="2561" customWidth="1"/>
    <col min="5" max="5" width="11.42578125" style="512" customWidth="1"/>
    <col min="6" max="6" width="5.42578125" style="2562" customWidth="1"/>
    <col min="7" max="7" width="10.140625" style="512" customWidth="1"/>
    <col min="8" max="8" width="5.42578125" style="2562" customWidth="1"/>
    <col min="9" max="9" width="11.42578125" style="512" customWidth="1"/>
    <col min="10" max="10" width="5.42578125" style="2562" customWidth="1"/>
    <col min="11" max="11" width="10.5703125" style="2562" customWidth="1"/>
    <col min="12" max="12" width="5.42578125" style="2562" customWidth="1"/>
    <col min="13" max="13" width="11.42578125" style="2562" customWidth="1"/>
    <col min="14" max="14" width="5.42578125" style="2562" customWidth="1"/>
    <col min="15" max="15" width="10.42578125" style="2562" customWidth="1"/>
    <col min="16" max="16" width="8.5703125" style="2562" customWidth="1"/>
    <col min="17" max="20" width="5.42578125" style="2562" customWidth="1"/>
    <col min="21" max="21" width="22" style="2561" customWidth="1"/>
    <col min="22" max="22" width="5.85546875" style="512" customWidth="1"/>
    <col min="23" max="23" width="3.42578125" style="512" customWidth="1"/>
    <col min="24" max="24" width="11.5703125" style="512" bestFit="1" customWidth="1"/>
    <col min="25" max="25" width="5.5703125" style="512" customWidth="1"/>
    <col min="26" max="26" width="11" style="512" bestFit="1" customWidth="1"/>
    <col min="27" max="27" width="6.140625" style="512" customWidth="1"/>
    <col min="28" max="33" width="9.140625" style="512"/>
    <col min="34" max="34" width="6.42578125" style="512" customWidth="1"/>
    <col min="35" max="262" width="9.140625" style="512"/>
    <col min="263" max="263" width="3.5703125" style="512" customWidth="1"/>
    <col min="264" max="264" width="14.42578125" style="512" customWidth="1"/>
    <col min="265" max="265" width="3.5703125" style="512" customWidth="1"/>
    <col min="266" max="266" width="22.5703125" style="512" customWidth="1"/>
    <col min="267" max="267" width="11.42578125" style="512" customWidth="1"/>
    <col min="268" max="268" width="5.42578125" style="512" customWidth="1"/>
    <col min="269" max="269" width="11.42578125" style="512" customWidth="1"/>
    <col min="270" max="270" width="5.42578125" style="512" customWidth="1"/>
    <col min="271" max="271" width="11.42578125" style="512" customWidth="1"/>
    <col min="272" max="272" width="5.42578125" style="512" customWidth="1"/>
    <col min="273" max="273" width="11.42578125" style="512" customWidth="1"/>
    <col min="274" max="276" width="5.42578125" style="512" customWidth="1"/>
    <col min="277" max="277" width="22.5703125" style="512" customWidth="1"/>
    <col min="278" max="278" width="5.85546875" style="512" customWidth="1"/>
    <col min="279" max="279" width="3.42578125" style="512" customWidth="1"/>
    <col min="280" max="280" width="11.5703125" style="512" bestFit="1" customWidth="1"/>
    <col min="281" max="281" width="5.5703125" style="512" customWidth="1"/>
    <col min="282" max="282" width="11" style="512" bestFit="1" customWidth="1"/>
    <col min="283" max="283" width="6.140625" style="512" customWidth="1"/>
    <col min="284" max="518" width="9.140625" style="512"/>
    <col min="519" max="519" width="3.5703125" style="512" customWidth="1"/>
    <col min="520" max="520" width="14.42578125" style="512" customWidth="1"/>
    <col min="521" max="521" width="3.5703125" style="512" customWidth="1"/>
    <col min="522" max="522" width="22.5703125" style="512" customWidth="1"/>
    <col min="523" max="523" width="11.42578125" style="512" customWidth="1"/>
    <col min="524" max="524" width="5.42578125" style="512" customWidth="1"/>
    <col min="525" max="525" width="11.42578125" style="512" customWidth="1"/>
    <col min="526" max="526" width="5.42578125" style="512" customWidth="1"/>
    <col min="527" max="527" width="11.42578125" style="512" customWidth="1"/>
    <col min="528" max="528" width="5.42578125" style="512" customWidth="1"/>
    <col min="529" max="529" width="11.42578125" style="512" customWidth="1"/>
    <col min="530" max="532" width="5.42578125" style="512" customWidth="1"/>
    <col min="533" max="533" width="22.5703125" style="512" customWidth="1"/>
    <col min="534" max="534" width="5.85546875" style="512" customWidth="1"/>
    <col min="535" max="535" width="3.42578125" style="512" customWidth="1"/>
    <col min="536" max="536" width="11.5703125" style="512" bestFit="1" customWidth="1"/>
    <col min="537" max="537" width="5.5703125" style="512" customWidth="1"/>
    <col min="538" max="538" width="11" style="512" bestFit="1" customWidth="1"/>
    <col min="539" max="539" width="6.140625" style="512" customWidth="1"/>
    <col min="540" max="774" width="9.140625" style="512"/>
    <col min="775" max="775" width="3.5703125" style="512" customWidth="1"/>
    <col min="776" max="776" width="14.42578125" style="512" customWidth="1"/>
    <col min="777" max="777" width="3.5703125" style="512" customWidth="1"/>
    <col min="778" max="778" width="22.5703125" style="512" customWidth="1"/>
    <col min="779" max="779" width="11.42578125" style="512" customWidth="1"/>
    <col min="780" max="780" width="5.42578125" style="512" customWidth="1"/>
    <col min="781" max="781" width="11.42578125" style="512" customWidth="1"/>
    <col min="782" max="782" width="5.42578125" style="512" customWidth="1"/>
    <col min="783" max="783" width="11.42578125" style="512" customWidth="1"/>
    <col min="784" max="784" width="5.42578125" style="512" customWidth="1"/>
    <col min="785" max="785" width="11.42578125" style="512" customWidth="1"/>
    <col min="786" max="788" width="5.42578125" style="512" customWidth="1"/>
    <col min="789" max="789" width="22.5703125" style="512" customWidth="1"/>
    <col min="790" max="790" width="5.85546875" style="512" customWidth="1"/>
    <col min="791" max="791" width="3.42578125" style="512" customWidth="1"/>
    <col min="792" max="792" width="11.5703125" style="512" bestFit="1" customWidth="1"/>
    <col min="793" max="793" width="5.5703125" style="512" customWidth="1"/>
    <col min="794" max="794" width="11" style="512" bestFit="1" customWidth="1"/>
    <col min="795" max="795" width="6.140625" style="512" customWidth="1"/>
    <col min="796" max="1030" width="9.140625" style="512"/>
    <col min="1031" max="1031" width="3.5703125" style="512" customWidth="1"/>
    <col min="1032" max="1032" width="14.42578125" style="512" customWidth="1"/>
    <col min="1033" max="1033" width="3.5703125" style="512" customWidth="1"/>
    <col min="1034" max="1034" width="22.5703125" style="512" customWidth="1"/>
    <col min="1035" max="1035" width="11.42578125" style="512" customWidth="1"/>
    <col min="1036" max="1036" width="5.42578125" style="512" customWidth="1"/>
    <col min="1037" max="1037" width="11.42578125" style="512" customWidth="1"/>
    <col min="1038" max="1038" width="5.42578125" style="512" customWidth="1"/>
    <col min="1039" max="1039" width="11.42578125" style="512" customWidth="1"/>
    <col min="1040" max="1040" width="5.42578125" style="512" customWidth="1"/>
    <col min="1041" max="1041" width="11.42578125" style="512" customWidth="1"/>
    <col min="1042" max="1044" width="5.42578125" style="512" customWidth="1"/>
    <col min="1045" max="1045" width="22.5703125" style="512" customWidth="1"/>
    <col min="1046" max="1046" width="5.85546875" style="512" customWidth="1"/>
    <col min="1047" max="1047" width="3.42578125" style="512" customWidth="1"/>
    <col min="1048" max="1048" width="11.5703125" style="512" bestFit="1" customWidth="1"/>
    <col min="1049" max="1049" width="5.5703125" style="512" customWidth="1"/>
    <col min="1050" max="1050" width="11" style="512" bestFit="1" customWidth="1"/>
    <col min="1051" max="1051" width="6.140625" style="512" customWidth="1"/>
    <col min="1052" max="1286" width="9.140625" style="512"/>
    <col min="1287" max="1287" width="3.5703125" style="512" customWidth="1"/>
    <col min="1288" max="1288" width="14.42578125" style="512" customWidth="1"/>
    <col min="1289" max="1289" width="3.5703125" style="512" customWidth="1"/>
    <col min="1290" max="1290" width="22.5703125" style="512" customWidth="1"/>
    <col min="1291" max="1291" width="11.42578125" style="512" customWidth="1"/>
    <col min="1292" max="1292" width="5.42578125" style="512" customWidth="1"/>
    <col min="1293" max="1293" width="11.42578125" style="512" customWidth="1"/>
    <col min="1294" max="1294" width="5.42578125" style="512" customWidth="1"/>
    <col min="1295" max="1295" width="11.42578125" style="512" customWidth="1"/>
    <col min="1296" max="1296" width="5.42578125" style="512" customWidth="1"/>
    <col min="1297" max="1297" width="11.42578125" style="512" customWidth="1"/>
    <col min="1298" max="1300" width="5.42578125" style="512" customWidth="1"/>
    <col min="1301" max="1301" width="22.5703125" style="512" customWidth="1"/>
    <col min="1302" max="1302" width="5.85546875" style="512" customWidth="1"/>
    <col min="1303" max="1303" width="3.42578125" style="512" customWidth="1"/>
    <col min="1304" max="1304" width="11.5703125" style="512" bestFit="1" customWidth="1"/>
    <col min="1305" max="1305" width="5.5703125" style="512" customWidth="1"/>
    <col min="1306" max="1306" width="11" style="512" bestFit="1" customWidth="1"/>
    <col min="1307" max="1307" width="6.140625" style="512" customWidth="1"/>
    <col min="1308" max="1542" width="9.140625" style="512"/>
    <col min="1543" max="1543" width="3.5703125" style="512" customWidth="1"/>
    <col min="1544" max="1544" width="14.42578125" style="512" customWidth="1"/>
    <col min="1545" max="1545" width="3.5703125" style="512" customWidth="1"/>
    <col min="1546" max="1546" width="22.5703125" style="512" customWidth="1"/>
    <col min="1547" max="1547" width="11.42578125" style="512" customWidth="1"/>
    <col min="1548" max="1548" width="5.42578125" style="512" customWidth="1"/>
    <col min="1549" max="1549" width="11.42578125" style="512" customWidth="1"/>
    <col min="1550" max="1550" width="5.42578125" style="512" customWidth="1"/>
    <col min="1551" max="1551" width="11.42578125" style="512" customWidth="1"/>
    <col min="1552" max="1552" width="5.42578125" style="512" customWidth="1"/>
    <col min="1553" max="1553" width="11.42578125" style="512" customWidth="1"/>
    <col min="1554" max="1556" width="5.42578125" style="512" customWidth="1"/>
    <col min="1557" max="1557" width="22.5703125" style="512" customWidth="1"/>
    <col min="1558" max="1558" width="5.85546875" style="512" customWidth="1"/>
    <col min="1559" max="1559" width="3.42578125" style="512" customWidth="1"/>
    <col min="1560" max="1560" width="11.5703125" style="512" bestFit="1" customWidth="1"/>
    <col min="1561" max="1561" width="5.5703125" style="512" customWidth="1"/>
    <col min="1562" max="1562" width="11" style="512" bestFit="1" customWidth="1"/>
    <col min="1563" max="1563" width="6.140625" style="512" customWidth="1"/>
    <col min="1564" max="1798" width="9.140625" style="512"/>
    <col min="1799" max="1799" width="3.5703125" style="512" customWidth="1"/>
    <col min="1800" max="1800" width="14.42578125" style="512" customWidth="1"/>
    <col min="1801" max="1801" width="3.5703125" style="512" customWidth="1"/>
    <col min="1802" max="1802" width="22.5703125" style="512" customWidth="1"/>
    <col min="1803" max="1803" width="11.42578125" style="512" customWidth="1"/>
    <col min="1804" max="1804" width="5.42578125" style="512" customWidth="1"/>
    <col min="1805" max="1805" width="11.42578125" style="512" customWidth="1"/>
    <col min="1806" max="1806" width="5.42578125" style="512" customWidth="1"/>
    <col min="1807" max="1807" width="11.42578125" style="512" customWidth="1"/>
    <col min="1808" max="1808" width="5.42578125" style="512" customWidth="1"/>
    <col min="1809" max="1809" width="11.42578125" style="512" customWidth="1"/>
    <col min="1810" max="1812" width="5.42578125" style="512" customWidth="1"/>
    <col min="1813" max="1813" width="22.5703125" style="512" customWidth="1"/>
    <col min="1814" max="1814" width="5.85546875" style="512" customWidth="1"/>
    <col min="1815" max="1815" width="3.42578125" style="512" customWidth="1"/>
    <col min="1816" max="1816" width="11.5703125" style="512" bestFit="1" customWidth="1"/>
    <col min="1817" max="1817" width="5.5703125" style="512" customWidth="1"/>
    <col min="1818" max="1818" width="11" style="512" bestFit="1" customWidth="1"/>
    <col min="1819" max="1819" width="6.140625" style="512" customWidth="1"/>
    <col min="1820" max="2054" width="9.140625" style="512"/>
    <col min="2055" max="2055" width="3.5703125" style="512" customWidth="1"/>
    <col min="2056" max="2056" width="14.42578125" style="512" customWidth="1"/>
    <col min="2057" max="2057" width="3.5703125" style="512" customWidth="1"/>
    <col min="2058" max="2058" width="22.5703125" style="512" customWidth="1"/>
    <col min="2059" max="2059" width="11.42578125" style="512" customWidth="1"/>
    <col min="2060" max="2060" width="5.42578125" style="512" customWidth="1"/>
    <col min="2061" max="2061" width="11.42578125" style="512" customWidth="1"/>
    <col min="2062" max="2062" width="5.42578125" style="512" customWidth="1"/>
    <col min="2063" max="2063" width="11.42578125" style="512" customWidth="1"/>
    <col min="2064" max="2064" width="5.42578125" style="512" customWidth="1"/>
    <col min="2065" max="2065" width="11.42578125" style="512" customWidth="1"/>
    <col min="2066" max="2068" width="5.42578125" style="512" customWidth="1"/>
    <col min="2069" max="2069" width="22.5703125" style="512" customWidth="1"/>
    <col min="2070" max="2070" width="5.85546875" style="512" customWidth="1"/>
    <col min="2071" max="2071" width="3.42578125" style="512" customWidth="1"/>
    <col min="2072" max="2072" width="11.5703125" style="512" bestFit="1" customWidth="1"/>
    <col min="2073" max="2073" width="5.5703125" style="512" customWidth="1"/>
    <col min="2074" max="2074" width="11" style="512" bestFit="1" customWidth="1"/>
    <col min="2075" max="2075" width="6.140625" style="512" customWidth="1"/>
    <col min="2076" max="2310" width="9.140625" style="512"/>
    <col min="2311" max="2311" width="3.5703125" style="512" customWidth="1"/>
    <col min="2312" max="2312" width="14.42578125" style="512" customWidth="1"/>
    <col min="2313" max="2313" width="3.5703125" style="512" customWidth="1"/>
    <col min="2314" max="2314" width="22.5703125" style="512" customWidth="1"/>
    <col min="2315" max="2315" width="11.42578125" style="512" customWidth="1"/>
    <col min="2316" max="2316" width="5.42578125" style="512" customWidth="1"/>
    <col min="2317" max="2317" width="11.42578125" style="512" customWidth="1"/>
    <col min="2318" max="2318" width="5.42578125" style="512" customWidth="1"/>
    <col min="2319" max="2319" width="11.42578125" style="512" customWidth="1"/>
    <col min="2320" max="2320" width="5.42578125" style="512" customWidth="1"/>
    <col min="2321" max="2321" width="11.42578125" style="512" customWidth="1"/>
    <col min="2322" max="2324" width="5.42578125" style="512" customWidth="1"/>
    <col min="2325" max="2325" width="22.5703125" style="512" customWidth="1"/>
    <col min="2326" max="2326" width="5.85546875" style="512" customWidth="1"/>
    <col min="2327" max="2327" width="3.42578125" style="512" customWidth="1"/>
    <col min="2328" max="2328" width="11.5703125" style="512" bestFit="1" customWidth="1"/>
    <col min="2329" max="2329" width="5.5703125" style="512" customWidth="1"/>
    <col min="2330" max="2330" width="11" style="512" bestFit="1" customWidth="1"/>
    <col min="2331" max="2331" width="6.140625" style="512" customWidth="1"/>
    <col min="2332" max="2566" width="9.140625" style="512"/>
    <col min="2567" max="2567" width="3.5703125" style="512" customWidth="1"/>
    <col min="2568" max="2568" width="14.42578125" style="512" customWidth="1"/>
    <col min="2569" max="2569" width="3.5703125" style="512" customWidth="1"/>
    <col min="2570" max="2570" width="22.5703125" style="512" customWidth="1"/>
    <col min="2571" max="2571" width="11.42578125" style="512" customWidth="1"/>
    <col min="2572" max="2572" width="5.42578125" style="512" customWidth="1"/>
    <col min="2573" max="2573" width="11.42578125" style="512" customWidth="1"/>
    <col min="2574" max="2574" width="5.42578125" style="512" customWidth="1"/>
    <col min="2575" max="2575" width="11.42578125" style="512" customWidth="1"/>
    <col min="2576" max="2576" width="5.42578125" style="512" customWidth="1"/>
    <col min="2577" max="2577" width="11.42578125" style="512" customWidth="1"/>
    <col min="2578" max="2580" width="5.42578125" style="512" customWidth="1"/>
    <col min="2581" max="2581" width="22.5703125" style="512" customWidth="1"/>
    <col min="2582" max="2582" width="5.85546875" style="512" customWidth="1"/>
    <col min="2583" max="2583" width="3.42578125" style="512" customWidth="1"/>
    <col min="2584" max="2584" width="11.5703125" style="512" bestFit="1" customWidth="1"/>
    <col min="2585" max="2585" width="5.5703125" style="512" customWidth="1"/>
    <col min="2586" max="2586" width="11" style="512" bestFit="1" customWidth="1"/>
    <col min="2587" max="2587" width="6.140625" style="512" customWidth="1"/>
    <col min="2588" max="2822" width="9.140625" style="512"/>
    <col min="2823" max="2823" width="3.5703125" style="512" customWidth="1"/>
    <col min="2824" max="2824" width="14.42578125" style="512" customWidth="1"/>
    <col min="2825" max="2825" width="3.5703125" style="512" customWidth="1"/>
    <col min="2826" max="2826" width="22.5703125" style="512" customWidth="1"/>
    <col min="2827" max="2827" width="11.42578125" style="512" customWidth="1"/>
    <col min="2828" max="2828" width="5.42578125" style="512" customWidth="1"/>
    <col min="2829" max="2829" width="11.42578125" style="512" customWidth="1"/>
    <col min="2830" max="2830" width="5.42578125" style="512" customWidth="1"/>
    <col min="2831" max="2831" width="11.42578125" style="512" customWidth="1"/>
    <col min="2832" max="2832" width="5.42578125" style="512" customWidth="1"/>
    <col min="2833" max="2833" width="11.42578125" style="512" customWidth="1"/>
    <col min="2834" max="2836" width="5.42578125" style="512" customWidth="1"/>
    <col min="2837" max="2837" width="22.5703125" style="512" customWidth="1"/>
    <col min="2838" max="2838" width="5.85546875" style="512" customWidth="1"/>
    <col min="2839" max="2839" width="3.42578125" style="512" customWidth="1"/>
    <col min="2840" max="2840" width="11.5703125" style="512" bestFit="1" customWidth="1"/>
    <col min="2841" max="2841" width="5.5703125" style="512" customWidth="1"/>
    <col min="2842" max="2842" width="11" style="512" bestFit="1" customWidth="1"/>
    <col min="2843" max="2843" width="6.140625" style="512" customWidth="1"/>
    <col min="2844" max="3078" width="9.140625" style="512"/>
    <col min="3079" max="3079" width="3.5703125" style="512" customWidth="1"/>
    <col min="3080" max="3080" width="14.42578125" style="512" customWidth="1"/>
    <col min="3081" max="3081" width="3.5703125" style="512" customWidth="1"/>
    <col min="3082" max="3082" width="22.5703125" style="512" customWidth="1"/>
    <col min="3083" max="3083" width="11.42578125" style="512" customWidth="1"/>
    <col min="3084" max="3084" width="5.42578125" style="512" customWidth="1"/>
    <col min="3085" max="3085" width="11.42578125" style="512" customWidth="1"/>
    <col min="3086" max="3086" width="5.42578125" style="512" customWidth="1"/>
    <col min="3087" max="3087" width="11.42578125" style="512" customWidth="1"/>
    <col min="3088" max="3088" width="5.42578125" style="512" customWidth="1"/>
    <col min="3089" max="3089" width="11.42578125" style="512" customWidth="1"/>
    <col min="3090" max="3092" width="5.42578125" style="512" customWidth="1"/>
    <col min="3093" max="3093" width="22.5703125" style="512" customWidth="1"/>
    <col min="3094" max="3094" width="5.85546875" style="512" customWidth="1"/>
    <col min="3095" max="3095" width="3.42578125" style="512" customWidth="1"/>
    <col min="3096" max="3096" width="11.5703125" style="512" bestFit="1" customWidth="1"/>
    <col min="3097" max="3097" width="5.5703125" style="512" customWidth="1"/>
    <col min="3098" max="3098" width="11" style="512" bestFit="1" customWidth="1"/>
    <col min="3099" max="3099" width="6.140625" style="512" customWidth="1"/>
    <col min="3100" max="3334" width="9.140625" style="512"/>
    <col min="3335" max="3335" width="3.5703125" style="512" customWidth="1"/>
    <col min="3336" max="3336" width="14.42578125" style="512" customWidth="1"/>
    <col min="3337" max="3337" width="3.5703125" style="512" customWidth="1"/>
    <col min="3338" max="3338" width="22.5703125" style="512" customWidth="1"/>
    <col min="3339" max="3339" width="11.42578125" style="512" customWidth="1"/>
    <col min="3340" max="3340" width="5.42578125" style="512" customWidth="1"/>
    <col min="3341" max="3341" width="11.42578125" style="512" customWidth="1"/>
    <col min="3342" max="3342" width="5.42578125" style="512" customWidth="1"/>
    <col min="3343" max="3343" width="11.42578125" style="512" customWidth="1"/>
    <col min="3344" max="3344" width="5.42578125" style="512" customWidth="1"/>
    <col min="3345" max="3345" width="11.42578125" style="512" customWidth="1"/>
    <col min="3346" max="3348" width="5.42578125" style="512" customWidth="1"/>
    <col min="3349" max="3349" width="22.5703125" style="512" customWidth="1"/>
    <col min="3350" max="3350" width="5.85546875" style="512" customWidth="1"/>
    <col min="3351" max="3351" width="3.42578125" style="512" customWidth="1"/>
    <col min="3352" max="3352" width="11.5703125" style="512" bestFit="1" customWidth="1"/>
    <col min="3353" max="3353" width="5.5703125" style="512" customWidth="1"/>
    <col min="3354" max="3354" width="11" style="512" bestFit="1" customWidth="1"/>
    <col min="3355" max="3355" width="6.140625" style="512" customWidth="1"/>
    <col min="3356" max="3590" width="9.140625" style="512"/>
    <col min="3591" max="3591" width="3.5703125" style="512" customWidth="1"/>
    <col min="3592" max="3592" width="14.42578125" style="512" customWidth="1"/>
    <col min="3593" max="3593" width="3.5703125" style="512" customWidth="1"/>
    <col min="3594" max="3594" width="22.5703125" style="512" customWidth="1"/>
    <col min="3595" max="3595" width="11.42578125" style="512" customWidth="1"/>
    <col min="3596" max="3596" width="5.42578125" style="512" customWidth="1"/>
    <col min="3597" max="3597" width="11.42578125" style="512" customWidth="1"/>
    <col min="3598" max="3598" width="5.42578125" style="512" customWidth="1"/>
    <col min="3599" max="3599" width="11.42578125" style="512" customWidth="1"/>
    <col min="3600" max="3600" width="5.42578125" style="512" customWidth="1"/>
    <col min="3601" max="3601" width="11.42578125" style="512" customWidth="1"/>
    <col min="3602" max="3604" width="5.42578125" style="512" customWidth="1"/>
    <col min="3605" max="3605" width="22.5703125" style="512" customWidth="1"/>
    <col min="3606" max="3606" width="5.85546875" style="512" customWidth="1"/>
    <col min="3607" max="3607" width="3.42578125" style="512" customWidth="1"/>
    <col min="3608" max="3608" width="11.5703125" style="512" bestFit="1" customWidth="1"/>
    <col min="3609" max="3609" width="5.5703125" style="512" customWidth="1"/>
    <col min="3610" max="3610" width="11" style="512" bestFit="1" customWidth="1"/>
    <col min="3611" max="3611" width="6.140625" style="512" customWidth="1"/>
    <col min="3612" max="3846" width="9.140625" style="512"/>
    <col min="3847" max="3847" width="3.5703125" style="512" customWidth="1"/>
    <col min="3848" max="3848" width="14.42578125" style="512" customWidth="1"/>
    <col min="3849" max="3849" width="3.5703125" style="512" customWidth="1"/>
    <col min="3850" max="3850" width="22.5703125" style="512" customWidth="1"/>
    <col min="3851" max="3851" width="11.42578125" style="512" customWidth="1"/>
    <col min="3852" max="3852" width="5.42578125" style="512" customWidth="1"/>
    <col min="3853" max="3853" width="11.42578125" style="512" customWidth="1"/>
    <col min="3854" max="3854" width="5.42578125" style="512" customWidth="1"/>
    <col min="3855" max="3855" width="11.42578125" style="512" customWidth="1"/>
    <col min="3856" max="3856" width="5.42578125" style="512" customWidth="1"/>
    <col min="3857" max="3857" width="11.42578125" style="512" customWidth="1"/>
    <col min="3858" max="3860" width="5.42578125" style="512" customWidth="1"/>
    <col min="3861" max="3861" width="22.5703125" style="512" customWidth="1"/>
    <col min="3862" max="3862" width="5.85546875" style="512" customWidth="1"/>
    <col min="3863" max="3863" width="3.42578125" style="512" customWidth="1"/>
    <col min="3864" max="3864" width="11.5703125" style="512" bestFit="1" customWidth="1"/>
    <col min="3865" max="3865" width="5.5703125" style="512" customWidth="1"/>
    <col min="3866" max="3866" width="11" style="512" bestFit="1" customWidth="1"/>
    <col min="3867" max="3867" width="6.140625" style="512" customWidth="1"/>
    <col min="3868" max="4102" width="9.140625" style="512"/>
    <col min="4103" max="4103" width="3.5703125" style="512" customWidth="1"/>
    <col min="4104" max="4104" width="14.42578125" style="512" customWidth="1"/>
    <col min="4105" max="4105" width="3.5703125" style="512" customWidth="1"/>
    <col min="4106" max="4106" width="22.5703125" style="512" customWidth="1"/>
    <col min="4107" max="4107" width="11.42578125" style="512" customWidth="1"/>
    <col min="4108" max="4108" width="5.42578125" style="512" customWidth="1"/>
    <col min="4109" max="4109" width="11.42578125" style="512" customWidth="1"/>
    <col min="4110" max="4110" width="5.42578125" style="512" customWidth="1"/>
    <col min="4111" max="4111" width="11.42578125" style="512" customWidth="1"/>
    <col min="4112" max="4112" width="5.42578125" style="512" customWidth="1"/>
    <col min="4113" max="4113" width="11.42578125" style="512" customWidth="1"/>
    <col min="4114" max="4116" width="5.42578125" style="512" customWidth="1"/>
    <col min="4117" max="4117" width="22.5703125" style="512" customWidth="1"/>
    <col min="4118" max="4118" width="5.85546875" style="512" customWidth="1"/>
    <col min="4119" max="4119" width="3.42578125" style="512" customWidth="1"/>
    <col min="4120" max="4120" width="11.5703125" style="512" bestFit="1" customWidth="1"/>
    <col min="4121" max="4121" width="5.5703125" style="512" customWidth="1"/>
    <col min="4122" max="4122" width="11" style="512" bestFit="1" customWidth="1"/>
    <col min="4123" max="4123" width="6.140625" style="512" customWidth="1"/>
    <col min="4124" max="4358" width="9.140625" style="512"/>
    <col min="4359" max="4359" width="3.5703125" style="512" customWidth="1"/>
    <col min="4360" max="4360" width="14.42578125" style="512" customWidth="1"/>
    <col min="4361" max="4361" width="3.5703125" style="512" customWidth="1"/>
    <col min="4362" max="4362" width="22.5703125" style="512" customWidth="1"/>
    <col min="4363" max="4363" width="11.42578125" style="512" customWidth="1"/>
    <col min="4364" max="4364" width="5.42578125" style="512" customWidth="1"/>
    <col min="4365" max="4365" width="11.42578125" style="512" customWidth="1"/>
    <col min="4366" max="4366" width="5.42578125" style="512" customWidth="1"/>
    <col min="4367" max="4367" width="11.42578125" style="512" customWidth="1"/>
    <col min="4368" max="4368" width="5.42578125" style="512" customWidth="1"/>
    <col min="4369" max="4369" width="11.42578125" style="512" customWidth="1"/>
    <col min="4370" max="4372" width="5.42578125" style="512" customWidth="1"/>
    <col min="4373" max="4373" width="22.5703125" style="512" customWidth="1"/>
    <col min="4374" max="4374" width="5.85546875" style="512" customWidth="1"/>
    <col min="4375" max="4375" width="3.42578125" style="512" customWidth="1"/>
    <col min="4376" max="4376" width="11.5703125" style="512" bestFit="1" customWidth="1"/>
    <col min="4377" max="4377" width="5.5703125" style="512" customWidth="1"/>
    <col min="4378" max="4378" width="11" style="512" bestFit="1" customWidth="1"/>
    <col min="4379" max="4379" width="6.140625" style="512" customWidth="1"/>
    <col min="4380" max="4614" width="9.140625" style="512"/>
    <col min="4615" max="4615" width="3.5703125" style="512" customWidth="1"/>
    <col min="4616" max="4616" width="14.42578125" style="512" customWidth="1"/>
    <col min="4617" max="4617" width="3.5703125" style="512" customWidth="1"/>
    <col min="4618" max="4618" width="22.5703125" style="512" customWidth="1"/>
    <col min="4619" max="4619" width="11.42578125" style="512" customWidth="1"/>
    <col min="4620" max="4620" width="5.42578125" style="512" customWidth="1"/>
    <col min="4621" max="4621" width="11.42578125" style="512" customWidth="1"/>
    <col min="4622" max="4622" width="5.42578125" style="512" customWidth="1"/>
    <col min="4623" max="4623" width="11.42578125" style="512" customWidth="1"/>
    <col min="4624" max="4624" width="5.42578125" style="512" customWidth="1"/>
    <col min="4625" max="4625" width="11.42578125" style="512" customWidth="1"/>
    <col min="4626" max="4628" width="5.42578125" style="512" customWidth="1"/>
    <col min="4629" max="4629" width="22.5703125" style="512" customWidth="1"/>
    <col min="4630" max="4630" width="5.85546875" style="512" customWidth="1"/>
    <col min="4631" max="4631" width="3.42578125" style="512" customWidth="1"/>
    <col min="4632" max="4632" width="11.5703125" style="512" bestFit="1" customWidth="1"/>
    <col min="4633" max="4633" width="5.5703125" style="512" customWidth="1"/>
    <col min="4634" max="4634" width="11" style="512" bestFit="1" customWidth="1"/>
    <col min="4635" max="4635" width="6.140625" style="512" customWidth="1"/>
    <col min="4636" max="4870" width="9.140625" style="512"/>
    <col min="4871" max="4871" width="3.5703125" style="512" customWidth="1"/>
    <col min="4872" max="4872" width="14.42578125" style="512" customWidth="1"/>
    <col min="4873" max="4873" width="3.5703125" style="512" customWidth="1"/>
    <col min="4874" max="4874" width="22.5703125" style="512" customWidth="1"/>
    <col min="4875" max="4875" width="11.42578125" style="512" customWidth="1"/>
    <col min="4876" max="4876" width="5.42578125" style="512" customWidth="1"/>
    <col min="4877" max="4877" width="11.42578125" style="512" customWidth="1"/>
    <col min="4878" max="4878" width="5.42578125" style="512" customWidth="1"/>
    <col min="4879" max="4879" width="11.42578125" style="512" customWidth="1"/>
    <col min="4880" max="4880" width="5.42578125" style="512" customWidth="1"/>
    <col min="4881" max="4881" width="11.42578125" style="512" customWidth="1"/>
    <col min="4882" max="4884" width="5.42578125" style="512" customWidth="1"/>
    <col min="4885" max="4885" width="22.5703125" style="512" customWidth="1"/>
    <col min="4886" max="4886" width="5.85546875" style="512" customWidth="1"/>
    <col min="4887" max="4887" width="3.42578125" style="512" customWidth="1"/>
    <col min="4888" max="4888" width="11.5703125" style="512" bestFit="1" customWidth="1"/>
    <col min="4889" max="4889" width="5.5703125" style="512" customWidth="1"/>
    <col min="4890" max="4890" width="11" style="512" bestFit="1" customWidth="1"/>
    <col min="4891" max="4891" width="6.140625" style="512" customWidth="1"/>
    <col min="4892" max="5126" width="9.140625" style="512"/>
    <col min="5127" max="5127" width="3.5703125" style="512" customWidth="1"/>
    <col min="5128" max="5128" width="14.42578125" style="512" customWidth="1"/>
    <col min="5129" max="5129" width="3.5703125" style="512" customWidth="1"/>
    <col min="5130" max="5130" width="22.5703125" style="512" customWidth="1"/>
    <col min="5131" max="5131" width="11.42578125" style="512" customWidth="1"/>
    <col min="5132" max="5132" width="5.42578125" style="512" customWidth="1"/>
    <col min="5133" max="5133" width="11.42578125" style="512" customWidth="1"/>
    <col min="5134" max="5134" width="5.42578125" style="512" customWidth="1"/>
    <col min="5135" max="5135" width="11.42578125" style="512" customWidth="1"/>
    <col min="5136" max="5136" width="5.42578125" style="512" customWidth="1"/>
    <col min="5137" max="5137" width="11.42578125" style="512" customWidth="1"/>
    <col min="5138" max="5140" width="5.42578125" style="512" customWidth="1"/>
    <col min="5141" max="5141" width="22.5703125" style="512" customWidth="1"/>
    <col min="5142" max="5142" width="5.85546875" style="512" customWidth="1"/>
    <col min="5143" max="5143" width="3.42578125" style="512" customWidth="1"/>
    <col min="5144" max="5144" width="11.5703125" style="512" bestFit="1" customWidth="1"/>
    <col min="5145" max="5145" width="5.5703125" style="512" customWidth="1"/>
    <col min="5146" max="5146" width="11" style="512" bestFit="1" customWidth="1"/>
    <col min="5147" max="5147" width="6.140625" style="512" customWidth="1"/>
    <col min="5148" max="5382" width="9.140625" style="512"/>
    <col min="5383" max="5383" width="3.5703125" style="512" customWidth="1"/>
    <col min="5384" max="5384" width="14.42578125" style="512" customWidth="1"/>
    <col min="5385" max="5385" width="3.5703125" style="512" customWidth="1"/>
    <col min="5386" max="5386" width="22.5703125" style="512" customWidth="1"/>
    <col min="5387" max="5387" width="11.42578125" style="512" customWidth="1"/>
    <col min="5388" max="5388" width="5.42578125" style="512" customWidth="1"/>
    <col min="5389" max="5389" width="11.42578125" style="512" customWidth="1"/>
    <col min="5390" max="5390" width="5.42578125" style="512" customWidth="1"/>
    <col min="5391" max="5391" width="11.42578125" style="512" customWidth="1"/>
    <col min="5392" max="5392" width="5.42578125" style="512" customWidth="1"/>
    <col min="5393" max="5393" width="11.42578125" style="512" customWidth="1"/>
    <col min="5394" max="5396" width="5.42578125" style="512" customWidth="1"/>
    <col min="5397" max="5397" width="22.5703125" style="512" customWidth="1"/>
    <col min="5398" max="5398" width="5.85546875" style="512" customWidth="1"/>
    <col min="5399" max="5399" width="3.42578125" style="512" customWidth="1"/>
    <col min="5400" max="5400" width="11.5703125" style="512" bestFit="1" customWidth="1"/>
    <col min="5401" max="5401" width="5.5703125" style="512" customWidth="1"/>
    <col min="5402" max="5402" width="11" style="512" bestFit="1" customWidth="1"/>
    <col min="5403" max="5403" width="6.140625" style="512" customWidth="1"/>
    <col min="5404" max="5638" width="9.140625" style="512"/>
    <col min="5639" max="5639" width="3.5703125" style="512" customWidth="1"/>
    <col min="5640" max="5640" width="14.42578125" style="512" customWidth="1"/>
    <col min="5641" max="5641" width="3.5703125" style="512" customWidth="1"/>
    <col min="5642" max="5642" width="22.5703125" style="512" customWidth="1"/>
    <col min="5643" max="5643" width="11.42578125" style="512" customWidth="1"/>
    <col min="5644" max="5644" width="5.42578125" style="512" customWidth="1"/>
    <col min="5645" max="5645" width="11.42578125" style="512" customWidth="1"/>
    <col min="5646" max="5646" width="5.42578125" style="512" customWidth="1"/>
    <col min="5647" max="5647" width="11.42578125" style="512" customWidth="1"/>
    <col min="5648" max="5648" width="5.42578125" style="512" customWidth="1"/>
    <col min="5649" max="5649" width="11.42578125" style="512" customWidth="1"/>
    <col min="5650" max="5652" width="5.42578125" style="512" customWidth="1"/>
    <col min="5653" max="5653" width="22.5703125" style="512" customWidth="1"/>
    <col min="5654" max="5654" width="5.85546875" style="512" customWidth="1"/>
    <col min="5655" max="5655" width="3.42578125" style="512" customWidth="1"/>
    <col min="5656" max="5656" width="11.5703125" style="512" bestFit="1" customWidth="1"/>
    <col min="5657" max="5657" width="5.5703125" style="512" customWidth="1"/>
    <col min="5658" max="5658" width="11" style="512" bestFit="1" customWidth="1"/>
    <col min="5659" max="5659" width="6.140625" style="512" customWidth="1"/>
    <col min="5660" max="5894" width="9.140625" style="512"/>
    <col min="5895" max="5895" width="3.5703125" style="512" customWidth="1"/>
    <col min="5896" max="5896" width="14.42578125" style="512" customWidth="1"/>
    <col min="5897" max="5897" width="3.5703125" style="512" customWidth="1"/>
    <col min="5898" max="5898" width="22.5703125" style="512" customWidth="1"/>
    <col min="5899" max="5899" width="11.42578125" style="512" customWidth="1"/>
    <col min="5900" max="5900" width="5.42578125" style="512" customWidth="1"/>
    <col min="5901" max="5901" width="11.42578125" style="512" customWidth="1"/>
    <col min="5902" max="5902" width="5.42578125" style="512" customWidth="1"/>
    <col min="5903" max="5903" width="11.42578125" style="512" customWidth="1"/>
    <col min="5904" max="5904" width="5.42578125" style="512" customWidth="1"/>
    <col min="5905" max="5905" width="11.42578125" style="512" customWidth="1"/>
    <col min="5906" max="5908" width="5.42578125" style="512" customWidth="1"/>
    <col min="5909" max="5909" width="22.5703125" style="512" customWidth="1"/>
    <col min="5910" max="5910" width="5.85546875" style="512" customWidth="1"/>
    <col min="5911" max="5911" width="3.42578125" style="512" customWidth="1"/>
    <col min="5912" max="5912" width="11.5703125" style="512" bestFit="1" customWidth="1"/>
    <col min="5913" max="5913" width="5.5703125" style="512" customWidth="1"/>
    <col min="5914" max="5914" width="11" style="512" bestFit="1" customWidth="1"/>
    <col min="5915" max="5915" width="6.140625" style="512" customWidth="1"/>
    <col min="5916" max="6150" width="9.140625" style="512"/>
    <col min="6151" max="6151" width="3.5703125" style="512" customWidth="1"/>
    <col min="6152" max="6152" width="14.42578125" style="512" customWidth="1"/>
    <col min="6153" max="6153" width="3.5703125" style="512" customWidth="1"/>
    <col min="6154" max="6154" width="22.5703125" style="512" customWidth="1"/>
    <col min="6155" max="6155" width="11.42578125" style="512" customWidth="1"/>
    <col min="6156" max="6156" width="5.42578125" style="512" customWidth="1"/>
    <col min="6157" max="6157" width="11.42578125" style="512" customWidth="1"/>
    <col min="6158" max="6158" width="5.42578125" style="512" customWidth="1"/>
    <col min="6159" max="6159" width="11.42578125" style="512" customWidth="1"/>
    <col min="6160" max="6160" width="5.42578125" style="512" customWidth="1"/>
    <col min="6161" max="6161" width="11.42578125" style="512" customWidth="1"/>
    <col min="6162" max="6164" width="5.42578125" style="512" customWidth="1"/>
    <col min="6165" max="6165" width="22.5703125" style="512" customWidth="1"/>
    <col min="6166" max="6166" width="5.85546875" style="512" customWidth="1"/>
    <col min="6167" max="6167" width="3.42578125" style="512" customWidth="1"/>
    <col min="6168" max="6168" width="11.5703125" style="512" bestFit="1" customWidth="1"/>
    <col min="6169" max="6169" width="5.5703125" style="512" customWidth="1"/>
    <col min="6170" max="6170" width="11" style="512" bestFit="1" customWidth="1"/>
    <col min="6171" max="6171" width="6.140625" style="512" customWidth="1"/>
    <col min="6172" max="6406" width="9.140625" style="512"/>
    <col min="6407" max="6407" width="3.5703125" style="512" customWidth="1"/>
    <col min="6408" max="6408" width="14.42578125" style="512" customWidth="1"/>
    <col min="6409" max="6409" width="3.5703125" style="512" customWidth="1"/>
    <col min="6410" max="6410" width="22.5703125" style="512" customWidth="1"/>
    <col min="6411" max="6411" width="11.42578125" style="512" customWidth="1"/>
    <col min="6412" max="6412" width="5.42578125" style="512" customWidth="1"/>
    <col min="6413" max="6413" width="11.42578125" style="512" customWidth="1"/>
    <col min="6414" max="6414" width="5.42578125" style="512" customWidth="1"/>
    <col min="6415" max="6415" width="11.42578125" style="512" customWidth="1"/>
    <col min="6416" max="6416" width="5.42578125" style="512" customWidth="1"/>
    <col min="6417" max="6417" width="11.42578125" style="512" customWidth="1"/>
    <col min="6418" max="6420" width="5.42578125" style="512" customWidth="1"/>
    <col min="6421" max="6421" width="22.5703125" style="512" customWidth="1"/>
    <col min="6422" max="6422" width="5.85546875" style="512" customWidth="1"/>
    <col min="6423" max="6423" width="3.42578125" style="512" customWidth="1"/>
    <col min="6424" max="6424" width="11.5703125" style="512" bestFit="1" customWidth="1"/>
    <col min="6425" max="6425" width="5.5703125" style="512" customWidth="1"/>
    <col min="6426" max="6426" width="11" style="512" bestFit="1" customWidth="1"/>
    <col min="6427" max="6427" width="6.140625" style="512" customWidth="1"/>
    <col min="6428" max="6662" width="9.140625" style="512"/>
    <col min="6663" max="6663" width="3.5703125" style="512" customWidth="1"/>
    <col min="6664" max="6664" width="14.42578125" style="512" customWidth="1"/>
    <col min="6665" max="6665" width="3.5703125" style="512" customWidth="1"/>
    <col min="6666" max="6666" width="22.5703125" style="512" customWidth="1"/>
    <col min="6667" max="6667" width="11.42578125" style="512" customWidth="1"/>
    <col min="6668" max="6668" width="5.42578125" style="512" customWidth="1"/>
    <col min="6669" max="6669" width="11.42578125" style="512" customWidth="1"/>
    <col min="6670" max="6670" width="5.42578125" style="512" customWidth="1"/>
    <col min="6671" max="6671" width="11.42578125" style="512" customWidth="1"/>
    <col min="6672" max="6672" width="5.42578125" style="512" customWidth="1"/>
    <col min="6673" max="6673" width="11.42578125" style="512" customWidth="1"/>
    <col min="6674" max="6676" width="5.42578125" style="512" customWidth="1"/>
    <col min="6677" max="6677" width="22.5703125" style="512" customWidth="1"/>
    <col min="6678" max="6678" width="5.85546875" style="512" customWidth="1"/>
    <col min="6679" max="6679" width="3.42578125" style="512" customWidth="1"/>
    <col min="6680" max="6680" width="11.5703125" style="512" bestFit="1" customWidth="1"/>
    <col min="6681" max="6681" width="5.5703125" style="512" customWidth="1"/>
    <col min="6682" max="6682" width="11" style="512" bestFit="1" customWidth="1"/>
    <col min="6683" max="6683" width="6.140625" style="512" customWidth="1"/>
    <col min="6684" max="6918" width="9.140625" style="512"/>
    <col min="6919" max="6919" width="3.5703125" style="512" customWidth="1"/>
    <col min="6920" max="6920" width="14.42578125" style="512" customWidth="1"/>
    <col min="6921" max="6921" width="3.5703125" style="512" customWidth="1"/>
    <col min="6922" max="6922" width="22.5703125" style="512" customWidth="1"/>
    <col min="6923" max="6923" width="11.42578125" style="512" customWidth="1"/>
    <col min="6924" max="6924" width="5.42578125" style="512" customWidth="1"/>
    <col min="6925" max="6925" width="11.42578125" style="512" customWidth="1"/>
    <col min="6926" max="6926" width="5.42578125" style="512" customWidth="1"/>
    <col min="6927" max="6927" width="11.42578125" style="512" customWidth="1"/>
    <col min="6928" max="6928" width="5.42578125" style="512" customWidth="1"/>
    <col min="6929" max="6929" width="11.42578125" style="512" customWidth="1"/>
    <col min="6930" max="6932" width="5.42578125" style="512" customWidth="1"/>
    <col min="6933" max="6933" width="22.5703125" style="512" customWidth="1"/>
    <col min="6934" max="6934" width="5.85546875" style="512" customWidth="1"/>
    <col min="6935" max="6935" width="3.42578125" style="512" customWidth="1"/>
    <col min="6936" max="6936" width="11.5703125" style="512" bestFit="1" customWidth="1"/>
    <col min="6937" max="6937" width="5.5703125" style="512" customWidth="1"/>
    <col min="6938" max="6938" width="11" style="512" bestFit="1" customWidth="1"/>
    <col min="6939" max="6939" width="6.140625" style="512" customWidth="1"/>
    <col min="6940" max="7174" width="9.140625" style="512"/>
    <col min="7175" max="7175" width="3.5703125" style="512" customWidth="1"/>
    <col min="7176" max="7176" width="14.42578125" style="512" customWidth="1"/>
    <col min="7177" max="7177" width="3.5703125" style="512" customWidth="1"/>
    <col min="7178" max="7178" width="22.5703125" style="512" customWidth="1"/>
    <col min="7179" max="7179" width="11.42578125" style="512" customWidth="1"/>
    <col min="7180" max="7180" width="5.42578125" style="512" customWidth="1"/>
    <col min="7181" max="7181" width="11.42578125" style="512" customWidth="1"/>
    <col min="7182" max="7182" width="5.42578125" style="512" customWidth="1"/>
    <col min="7183" max="7183" width="11.42578125" style="512" customWidth="1"/>
    <col min="7184" max="7184" width="5.42578125" style="512" customWidth="1"/>
    <col min="7185" max="7185" width="11.42578125" style="512" customWidth="1"/>
    <col min="7186" max="7188" width="5.42578125" style="512" customWidth="1"/>
    <col min="7189" max="7189" width="22.5703125" style="512" customWidth="1"/>
    <col min="7190" max="7190" width="5.85546875" style="512" customWidth="1"/>
    <col min="7191" max="7191" width="3.42578125" style="512" customWidth="1"/>
    <col min="7192" max="7192" width="11.5703125" style="512" bestFit="1" customWidth="1"/>
    <col min="7193" max="7193" width="5.5703125" style="512" customWidth="1"/>
    <col min="7194" max="7194" width="11" style="512" bestFit="1" customWidth="1"/>
    <col min="7195" max="7195" width="6.140625" style="512" customWidth="1"/>
    <col min="7196" max="7430" width="9.140625" style="512"/>
    <col min="7431" max="7431" width="3.5703125" style="512" customWidth="1"/>
    <col min="7432" max="7432" width="14.42578125" style="512" customWidth="1"/>
    <col min="7433" max="7433" width="3.5703125" style="512" customWidth="1"/>
    <col min="7434" max="7434" width="22.5703125" style="512" customWidth="1"/>
    <col min="7435" max="7435" width="11.42578125" style="512" customWidth="1"/>
    <col min="7436" max="7436" width="5.42578125" style="512" customWidth="1"/>
    <col min="7437" max="7437" width="11.42578125" style="512" customWidth="1"/>
    <col min="7438" max="7438" width="5.42578125" style="512" customWidth="1"/>
    <col min="7439" max="7439" width="11.42578125" style="512" customWidth="1"/>
    <col min="7440" max="7440" width="5.42578125" style="512" customWidth="1"/>
    <col min="7441" max="7441" width="11.42578125" style="512" customWidth="1"/>
    <col min="7442" max="7444" width="5.42578125" style="512" customWidth="1"/>
    <col min="7445" max="7445" width="22.5703125" style="512" customWidth="1"/>
    <col min="7446" max="7446" width="5.85546875" style="512" customWidth="1"/>
    <col min="7447" max="7447" width="3.42578125" style="512" customWidth="1"/>
    <col min="7448" max="7448" width="11.5703125" style="512" bestFit="1" customWidth="1"/>
    <col min="7449" max="7449" width="5.5703125" style="512" customWidth="1"/>
    <col min="7450" max="7450" width="11" style="512" bestFit="1" customWidth="1"/>
    <col min="7451" max="7451" width="6.140625" style="512" customWidth="1"/>
    <col min="7452" max="7686" width="9.140625" style="512"/>
    <col min="7687" max="7687" width="3.5703125" style="512" customWidth="1"/>
    <col min="7688" max="7688" width="14.42578125" style="512" customWidth="1"/>
    <col min="7689" max="7689" width="3.5703125" style="512" customWidth="1"/>
    <col min="7690" max="7690" width="22.5703125" style="512" customWidth="1"/>
    <col min="7691" max="7691" width="11.42578125" style="512" customWidth="1"/>
    <col min="7692" max="7692" width="5.42578125" style="512" customWidth="1"/>
    <col min="7693" max="7693" width="11.42578125" style="512" customWidth="1"/>
    <col min="7694" max="7694" width="5.42578125" style="512" customWidth="1"/>
    <col min="7695" max="7695" width="11.42578125" style="512" customWidth="1"/>
    <col min="7696" max="7696" width="5.42578125" style="512" customWidth="1"/>
    <col min="7697" max="7697" width="11.42578125" style="512" customWidth="1"/>
    <col min="7698" max="7700" width="5.42578125" style="512" customWidth="1"/>
    <col min="7701" max="7701" width="22.5703125" style="512" customWidth="1"/>
    <col min="7702" max="7702" width="5.85546875" style="512" customWidth="1"/>
    <col min="7703" max="7703" width="3.42578125" style="512" customWidth="1"/>
    <col min="7704" max="7704" width="11.5703125" style="512" bestFit="1" customWidth="1"/>
    <col min="7705" max="7705" width="5.5703125" style="512" customWidth="1"/>
    <col min="7706" max="7706" width="11" style="512" bestFit="1" customWidth="1"/>
    <col min="7707" max="7707" width="6.140625" style="512" customWidth="1"/>
    <col min="7708" max="7942" width="9.140625" style="512"/>
    <col min="7943" max="7943" width="3.5703125" style="512" customWidth="1"/>
    <col min="7944" max="7944" width="14.42578125" style="512" customWidth="1"/>
    <col min="7945" max="7945" width="3.5703125" style="512" customWidth="1"/>
    <col min="7946" max="7946" width="22.5703125" style="512" customWidth="1"/>
    <col min="7947" max="7947" width="11.42578125" style="512" customWidth="1"/>
    <col min="7948" max="7948" width="5.42578125" style="512" customWidth="1"/>
    <col min="7949" max="7949" width="11.42578125" style="512" customWidth="1"/>
    <col min="7950" max="7950" width="5.42578125" style="512" customWidth="1"/>
    <col min="7951" max="7951" width="11.42578125" style="512" customWidth="1"/>
    <col min="7952" max="7952" width="5.42578125" style="512" customWidth="1"/>
    <col min="7953" max="7953" width="11.42578125" style="512" customWidth="1"/>
    <col min="7954" max="7956" width="5.42578125" style="512" customWidth="1"/>
    <col min="7957" max="7957" width="22.5703125" style="512" customWidth="1"/>
    <col min="7958" max="7958" width="5.85546875" style="512" customWidth="1"/>
    <col min="7959" max="7959" width="3.42578125" style="512" customWidth="1"/>
    <col min="7960" max="7960" width="11.5703125" style="512" bestFit="1" customWidth="1"/>
    <col min="7961" max="7961" width="5.5703125" style="512" customWidth="1"/>
    <col min="7962" max="7962" width="11" style="512" bestFit="1" customWidth="1"/>
    <col min="7963" max="7963" width="6.140625" style="512" customWidth="1"/>
    <col min="7964" max="8198" width="9.140625" style="512"/>
    <col min="8199" max="8199" width="3.5703125" style="512" customWidth="1"/>
    <col min="8200" max="8200" width="14.42578125" style="512" customWidth="1"/>
    <col min="8201" max="8201" width="3.5703125" style="512" customWidth="1"/>
    <col min="8202" max="8202" width="22.5703125" style="512" customWidth="1"/>
    <col min="8203" max="8203" width="11.42578125" style="512" customWidth="1"/>
    <col min="8204" max="8204" width="5.42578125" style="512" customWidth="1"/>
    <col min="8205" max="8205" width="11.42578125" style="512" customWidth="1"/>
    <col min="8206" max="8206" width="5.42578125" style="512" customWidth="1"/>
    <col min="8207" max="8207" width="11.42578125" style="512" customWidth="1"/>
    <col min="8208" max="8208" width="5.42578125" style="512" customWidth="1"/>
    <col min="8209" max="8209" width="11.42578125" style="512" customWidth="1"/>
    <col min="8210" max="8212" width="5.42578125" style="512" customWidth="1"/>
    <col min="8213" max="8213" width="22.5703125" style="512" customWidth="1"/>
    <col min="8214" max="8214" width="5.85546875" style="512" customWidth="1"/>
    <col min="8215" max="8215" width="3.42578125" style="512" customWidth="1"/>
    <col min="8216" max="8216" width="11.5703125" style="512" bestFit="1" customWidth="1"/>
    <col min="8217" max="8217" width="5.5703125" style="512" customWidth="1"/>
    <col min="8218" max="8218" width="11" style="512" bestFit="1" customWidth="1"/>
    <col min="8219" max="8219" width="6.140625" style="512" customWidth="1"/>
    <col min="8220" max="8454" width="9.140625" style="512"/>
    <col min="8455" max="8455" width="3.5703125" style="512" customWidth="1"/>
    <col min="8456" max="8456" width="14.42578125" style="512" customWidth="1"/>
    <col min="8457" max="8457" width="3.5703125" style="512" customWidth="1"/>
    <col min="8458" max="8458" width="22.5703125" style="512" customWidth="1"/>
    <col min="8459" max="8459" width="11.42578125" style="512" customWidth="1"/>
    <col min="8460" max="8460" width="5.42578125" style="512" customWidth="1"/>
    <col min="8461" max="8461" width="11.42578125" style="512" customWidth="1"/>
    <col min="8462" max="8462" width="5.42578125" style="512" customWidth="1"/>
    <col min="8463" max="8463" width="11.42578125" style="512" customWidth="1"/>
    <col min="8464" max="8464" width="5.42578125" style="512" customWidth="1"/>
    <col min="8465" max="8465" width="11.42578125" style="512" customWidth="1"/>
    <col min="8466" max="8468" width="5.42578125" style="512" customWidth="1"/>
    <col min="8469" max="8469" width="22.5703125" style="512" customWidth="1"/>
    <col min="8470" max="8470" width="5.85546875" style="512" customWidth="1"/>
    <col min="8471" max="8471" width="3.42578125" style="512" customWidth="1"/>
    <col min="8472" max="8472" width="11.5703125" style="512" bestFit="1" customWidth="1"/>
    <col min="8473" max="8473" width="5.5703125" style="512" customWidth="1"/>
    <col min="8474" max="8474" width="11" style="512" bestFit="1" customWidth="1"/>
    <col min="8475" max="8475" width="6.140625" style="512" customWidth="1"/>
    <col min="8476" max="8710" width="9.140625" style="512"/>
    <col min="8711" max="8711" width="3.5703125" style="512" customWidth="1"/>
    <col min="8712" max="8712" width="14.42578125" style="512" customWidth="1"/>
    <col min="8713" max="8713" width="3.5703125" style="512" customWidth="1"/>
    <col min="8714" max="8714" width="22.5703125" style="512" customWidth="1"/>
    <col min="8715" max="8715" width="11.42578125" style="512" customWidth="1"/>
    <col min="8716" max="8716" width="5.42578125" style="512" customWidth="1"/>
    <col min="8717" max="8717" width="11.42578125" style="512" customWidth="1"/>
    <col min="8718" max="8718" width="5.42578125" style="512" customWidth="1"/>
    <col min="8719" max="8719" width="11.42578125" style="512" customWidth="1"/>
    <col min="8720" max="8720" width="5.42578125" style="512" customWidth="1"/>
    <col min="8721" max="8721" width="11.42578125" style="512" customWidth="1"/>
    <col min="8722" max="8724" width="5.42578125" style="512" customWidth="1"/>
    <col min="8725" max="8725" width="22.5703125" style="512" customWidth="1"/>
    <col min="8726" max="8726" width="5.85546875" style="512" customWidth="1"/>
    <col min="8727" max="8727" width="3.42578125" style="512" customWidth="1"/>
    <col min="8728" max="8728" width="11.5703125" style="512" bestFit="1" customWidth="1"/>
    <col min="8729" max="8729" width="5.5703125" style="512" customWidth="1"/>
    <col min="8730" max="8730" width="11" style="512" bestFit="1" customWidth="1"/>
    <col min="8731" max="8731" width="6.140625" style="512" customWidth="1"/>
    <col min="8732" max="8966" width="9.140625" style="512"/>
    <col min="8967" max="8967" width="3.5703125" style="512" customWidth="1"/>
    <col min="8968" max="8968" width="14.42578125" style="512" customWidth="1"/>
    <col min="8969" max="8969" width="3.5703125" style="512" customWidth="1"/>
    <col min="8970" max="8970" width="22.5703125" style="512" customWidth="1"/>
    <col min="8971" max="8971" width="11.42578125" style="512" customWidth="1"/>
    <col min="8972" max="8972" width="5.42578125" style="512" customWidth="1"/>
    <col min="8973" max="8973" width="11.42578125" style="512" customWidth="1"/>
    <col min="8974" max="8974" width="5.42578125" style="512" customWidth="1"/>
    <col min="8975" max="8975" width="11.42578125" style="512" customWidth="1"/>
    <col min="8976" max="8976" width="5.42578125" style="512" customWidth="1"/>
    <col min="8977" max="8977" width="11.42578125" style="512" customWidth="1"/>
    <col min="8978" max="8980" width="5.42578125" style="512" customWidth="1"/>
    <col min="8981" max="8981" width="22.5703125" style="512" customWidth="1"/>
    <col min="8982" max="8982" width="5.85546875" style="512" customWidth="1"/>
    <col min="8983" max="8983" width="3.42578125" style="512" customWidth="1"/>
    <col min="8984" max="8984" width="11.5703125" style="512" bestFit="1" customWidth="1"/>
    <col min="8985" max="8985" width="5.5703125" style="512" customWidth="1"/>
    <col min="8986" max="8986" width="11" style="512" bestFit="1" customWidth="1"/>
    <col min="8987" max="8987" width="6.140625" style="512" customWidth="1"/>
    <col min="8988" max="9222" width="9.140625" style="512"/>
    <col min="9223" max="9223" width="3.5703125" style="512" customWidth="1"/>
    <col min="9224" max="9224" width="14.42578125" style="512" customWidth="1"/>
    <col min="9225" max="9225" width="3.5703125" style="512" customWidth="1"/>
    <col min="9226" max="9226" width="22.5703125" style="512" customWidth="1"/>
    <col min="9227" max="9227" width="11.42578125" style="512" customWidth="1"/>
    <col min="9228" max="9228" width="5.42578125" style="512" customWidth="1"/>
    <col min="9229" max="9229" width="11.42578125" style="512" customWidth="1"/>
    <col min="9230" max="9230" width="5.42578125" style="512" customWidth="1"/>
    <col min="9231" max="9231" width="11.42578125" style="512" customWidth="1"/>
    <col min="9232" max="9232" width="5.42578125" style="512" customWidth="1"/>
    <col min="9233" max="9233" width="11.42578125" style="512" customWidth="1"/>
    <col min="9234" max="9236" width="5.42578125" style="512" customWidth="1"/>
    <col min="9237" max="9237" width="22.5703125" style="512" customWidth="1"/>
    <col min="9238" max="9238" width="5.85546875" style="512" customWidth="1"/>
    <col min="9239" max="9239" width="3.42578125" style="512" customWidth="1"/>
    <col min="9240" max="9240" width="11.5703125" style="512" bestFit="1" customWidth="1"/>
    <col min="9241" max="9241" width="5.5703125" style="512" customWidth="1"/>
    <col min="9242" max="9242" width="11" style="512" bestFit="1" customWidth="1"/>
    <col min="9243" max="9243" width="6.140625" style="512" customWidth="1"/>
    <col min="9244" max="9478" width="9.140625" style="512"/>
    <col min="9479" max="9479" width="3.5703125" style="512" customWidth="1"/>
    <col min="9480" max="9480" width="14.42578125" style="512" customWidth="1"/>
    <col min="9481" max="9481" width="3.5703125" style="512" customWidth="1"/>
    <col min="9482" max="9482" width="22.5703125" style="512" customWidth="1"/>
    <col min="9483" max="9483" width="11.42578125" style="512" customWidth="1"/>
    <col min="9484" max="9484" width="5.42578125" style="512" customWidth="1"/>
    <col min="9485" max="9485" width="11.42578125" style="512" customWidth="1"/>
    <col min="9486" max="9486" width="5.42578125" style="512" customWidth="1"/>
    <col min="9487" max="9487" width="11.42578125" style="512" customWidth="1"/>
    <col min="9488" max="9488" width="5.42578125" style="512" customWidth="1"/>
    <col min="9489" max="9489" width="11.42578125" style="512" customWidth="1"/>
    <col min="9490" max="9492" width="5.42578125" style="512" customWidth="1"/>
    <col min="9493" max="9493" width="22.5703125" style="512" customWidth="1"/>
    <col min="9494" max="9494" width="5.85546875" style="512" customWidth="1"/>
    <col min="9495" max="9495" width="3.42578125" style="512" customWidth="1"/>
    <col min="9496" max="9496" width="11.5703125" style="512" bestFit="1" customWidth="1"/>
    <col min="9497" max="9497" width="5.5703125" style="512" customWidth="1"/>
    <col min="9498" max="9498" width="11" style="512" bestFit="1" customWidth="1"/>
    <col min="9499" max="9499" width="6.140625" style="512" customWidth="1"/>
    <col min="9500" max="9734" width="9.140625" style="512"/>
    <col min="9735" max="9735" width="3.5703125" style="512" customWidth="1"/>
    <col min="9736" max="9736" width="14.42578125" style="512" customWidth="1"/>
    <col min="9737" max="9737" width="3.5703125" style="512" customWidth="1"/>
    <col min="9738" max="9738" width="22.5703125" style="512" customWidth="1"/>
    <col min="9739" max="9739" width="11.42578125" style="512" customWidth="1"/>
    <col min="9740" max="9740" width="5.42578125" style="512" customWidth="1"/>
    <col min="9741" max="9741" width="11.42578125" style="512" customWidth="1"/>
    <col min="9742" max="9742" width="5.42578125" style="512" customWidth="1"/>
    <col min="9743" max="9743" width="11.42578125" style="512" customWidth="1"/>
    <col min="9744" max="9744" width="5.42578125" style="512" customWidth="1"/>
    <col min="9745" max="9745" width="11.42578125" style="512" customWidth="1"/>
    <col min="9746" max="9748" width="5.42578125" style="512" customWidth="1"/>
    <col min="9749" max="9749" width="22.5703125" style="512" customWidth="1"/>
    <col min="9750" max="9750" width="5.85546875" style="512" customWidth="1"/>
    <col min="9751" max="9751" width="3.42578125" style="512" customWidth="1"/>
    <col min="9752" max="9752" width="11.5703125" style="512" bestFit="1" customWidth="1"/>
    <col min="9753" max="9753" width="5.5703125" style="512" customWidth="1"/>
    <col min="9754" max="9754" width="11" style="512" bestFit="1" customWidth="1"/>
    <col min="9755" max="9755" width="6.140625" style="512" customWidth="1"/>
    <col min="9756" max="9990" width="9.140625" style="512"/>
    <col min="9991" max="9991" width="3.5703125" style="512" customWidth="1"/>
    <col min="9992" max="9992" width="14.42578125" style="512" customWidth="1"/>
    <col min="9993" max="9993" width="3.5703125" style="512" customWidth="1"/>
    <col min="9994" max="9994" width="22.5703125" style="512" customWidth="1"/>
    <col min="9995" max="9995" width="11.42578125" style="512" customWidth="1"/>
    <col min="9996" max="9996" width="5.42578125" style="512" customWidth="1"/>
    <col min="9997" max="9997" width="11.42578125" style="512" customWidth="1"/>
    <col min="9998" max="9998" width="5.42578125" style="512" customWidth="1"/>
    <col min="9999" max="9999" width="11.42578125" style="512" customWidth="1"/>
    <col min="10000" max="10000" width="5.42578125" style="512" customWidth="1"/>
    <col min="10001" max="10001" width="11.42578125" style="512" customWidth="1"/>
    <col min="10002" max="10004" width="5.42578125" style="512" customWidth="1"/>
    <col min="10005" max="10005" width="22.5703125" style="512" customWidth="1"/>
    <col min="10006" max="10006" width="5.85546875" style="512" customWidth="1"/>
    <col min="10007" max="10007" width="3.42578125" style="512" customWidth="1"/>
    <col min="10008" max="10008" width="11.5703125" style="512" bestFit="1" customWidth="1"/>
    <col min="10009" max="10009" width="5.5703125" style="512" customWidth="1"/>
    <col min="10010" max="10010" width="11" style="512" bestFit="1" customWidth="1"/>
    <col min="10011" max="10011" width="6.140625" style="512" customWidth="1"/>
    <col min="10012" max="10246" width="9.140625" style="512"/>
    <col min="10247" max="10247" width="3.5703125" style="512" customWidth="1"/>
    <col min="10248" max="10248" width="14.42578125" style="512" customWidth="1"/>
    <col min="10249" max="10249" width="3.5703125" style="512" customWidth="1"/>
    <col min="10250" max="10250" width="22.5703125" style="512" customWidth="1"/>
    <col min="10251" max="10251" width="11.42578125" style="512" customWidth="1"/>
    <col min="10252" max="10252" width="5.42578125" style="512" customWidth="1"/>
    <col min="10253" max="10253" width="11.42578125" style="512" customWidth="1"/>
    <col min="10254" max="10254" width="5.42578125" style="512" customWidth="1"/>
    <col min="10255" max="10255" width="11.42578125" style="512" customWidth="1"/>
    <col min="10256" max="10256" width="5.42578125" style="512" customWidth="1"/>
    <col min="10257" max="10257" width="11.42578125" style="512" customWidth="1"/>
    <col min="10258" max="10260" width="5.42578125" style="512" customWidth="1"/>
    <col min="10261" max="10261" width="22.5703125" style="512" customWidth="1"/>
    <col min="10262" max="10262" width="5.85546875" style="512" customWidth="1"/>
    <col min="10263" max="10263" width="3.42578125" style="512" customWidth="1"/>
    <col min="10264" max="10264" width="11.5703125" style="512" bestFit="1" customWidth="1"/>
    <col min="10265" max="10265" width="5.5703125" style="512" customWidth="1"/>
    <col min="10266" max="10266" width="11" style="512" bestFit="1" customWidth="1"/>
    <col min="10267" max="10267" width="6.140625" style="512" customWidth="1"/>
    <col min="10268" max="10502" width="9.140625" style="512"/>
    <col min="10503" max="10503" width="3.5703125" style="512" customWidth="1"/>
    <col min="10504" max="10504" width="14.42578125" style="512" customWidth="1"/>
    <col min="10505" max="10505" width="3.5703125" style="512" customWidth="1"/>
    <col min="10506" max="10506" width="22.5703125" style="512" customWidth="1"/>
    <col min="10507" max="10507" width="11.42578125" style="512" customWidth="1"/>
    <col min="10508" max="10508" width="5.42578125" style="512" customWidth="1"/>
    <col min="10509" max="10509" width="11.42578125" style="512" customWidth="1"/>
    <col min="10510" max="10510" width="5.42578125" style="512" customWidth="1"/>
    <col min="10511" max="10511" width="11.42578125" style="512" customWidth="1"/>
    <col min="10512" max="10512" width="5.42578125" style="512" customWidth="1"/>
    <col min="10513" max="10513" width="11.42578125" style="512" customWidth="1"/>
    <col min="10514" max="10516" width="5.42578125" style="512" customWidth="1"/>
    <col min="10517" max="10517" width="22.5703125" style="512" customWidth="1"/>
    <col min="10518" max="10518" width="5.85546875" style="512" customWidth="1"/>
    <col min="10519" max="10519" width="3.42578125" style="512" customWidth="1"/>
    <col min="10520" max="10520" width="11.5703125" style="512" bestFit="1" customWidth="1"/>
    <col min="10521" max="10521" width="5.5703125" style="512" customWidth="1"/>
    <col min="10522" max="10522" width="11" style="512" bestFit="1" customWidth="1"/>
    <col min="10523" max="10523" width="6.140625" style="512" customWidth="1"/>
    <col min="10524" max="10758" width="9.140625" style="512"/>
    <col min="10759" max="10759" width="3.5703125" style="512" customWidth="1"/>
    <col min="10760" max="10760" width="14.42578125" style="512" customWidth="1"/>
    <col min="10761" max="10761" width="3.5703125" style="512" customWidth="1"/>
    <col min="10762" max="10762" width="22.5703125" style="512" customWidth="1"/>
    <col min="10763" max="10763" width="11.42578125" style="512" customWidth="1"/>
    <col min="10764" max="10764" width="5.42578125" style="512" customWidth="1"/>
    <col min="10765" max="10765" width="11.42578125" style="512" customWidth="1"/>
    <col min="10766" max="10766" width="5.42578125" style="512" customWidth="1"/>
    <col min="10767" max="10767" width="11.42578125" style="512" customWidth="1"/>
    <col min="10768" max="10768" width="5.42578125" style="512" customWidth="1"/>
    <col min="10769" max="10769" width="11.42578125" style="512" customWidth="1"/>
    <col min="10770" max="10772" width="5.42578125" style="512" customWidth="1"/>
    <col min="10773" max="10773" width="22.5703125" style="512" customWidth="1"/>
    <col min="10774" max="10774" width="5.85546875" style="512" customWidth="1"/>
    <col min="10775" max="10775" width="3.42578125" style="512" customWidth="1"/>
    <col min="10776" max="10776" width="11.5703125" style="512" bestFit="1" customWidth="1"/>
    <col min="10777" max="10777" width="5.5703125" style="512" customWidth="1"/>
    <col min="10778" max="10778" width="11" style="512" bestFit="1" customWidth="1"/>
    <col min="10779" max="10779" width="6.140625" style="512" customWidth="1"/>
    <col min="10780" max="11014" width="9.140625" style="512"/>
    <col min="11015" max="11015" width="3.5703125" style="512" customWidth="1"/>
    <col min="11016" max="11016" width="14.42578125" style="512" customWidth="1"/>
    <col min="11017" max="11017" width="3.5703125" style="512" customWidth="1"/>
    <col min="11018" max="11018" width="22.5703125" style="512" customWidth="1"/>
    <col min="11019" max="11019" width="11.42578125" style="512" customWidth="1"/>
    <col min="11020" max="11020" width="5.42578125" style="512" customWidth="1"/>
    <col min="11021" max="11021" width="11.42578125" style="512" customWidth="1"/>
    <col min="11022" max="11022" width="5.42578125" style="512" customWidth="1"/>
    <col min="11023" max="11023" width="11.42578125" style="512" customWidth="1"/>
    <col min="11024" max="11024" width="5.42578125" style="512" customWidth="1"/>
    <col min="11025" max="11025" width="11.42578125" style="512" customWidth="1"/>
    <col min="11026" max="11028" width="5.42578125" style="512" customWidth="1"/>
    <col min="11029" max="11029" width="22.5703125" style="512" customWidth="1"/>
    <col min="11030" max="11030" width="5.85546875" style="512" customWidth="1"/>
    <col min="11031" max="11031" width="3.42578125" style="512" customWidth="1"/>
    <col min="11032" max="11032" width="11.5703125" style="512" bestFit="1" customWidth="1"/>
    <col min="11033" max="11033" width="5.5703125" style="512" customWidth="1"/>
    <col min="11034" max="11034" width="11" style="512" bestFit="1" customWidth="1"/>
    <col min="11035" max="11035" width="6.140625" style="512" customWidth="1"/>
    <col min="11036" max="11270" width="9.140625" style="512"/>
    <col min="11271" max="11271" width="3.5703125" style="512" customWidth="1"/>
    <col min="11272" max="11272" width="14.42578125" style="512" customWidth="1"/>
    <col min="11273" max="11273" width="3.5703125" style="512" customWidth="1"/>
    <col min="11274" max="11274" width="22.5703125" style="512" customWidth="1"/>
    <col min="11275" max="11275" width="11.42578125" style="512" customWidth="1"/>
    <col min="11276" max="11276" width="5.42578125" style="512" customWidth="1"/>
    <col min="11277" max="11277" width="11.42578125" style="512" customWidth="1"/>
    <col min="11278" max="11278" width="5.42578125" style="512" customWidth="1"/>
    <col min="11279" max="11279" width="11.42578125" style="512" customWidth="1"/>
    <col min="11280" max="11280" width="5.42578125" style="512" customWidth="1"/>
    <col min="11281" max="11281" width="11.42578125" style="512" customWidth="1"/>
    <col min="11282" max="11284" width="5.42578125" style="512" customWidth="1"/>
    <col min="11285" max="11285" width="22.5703125" style="512" customWidth="1"/>
    <col min="11286" max="11286" width="5.85546875" style="512" customWidth="1"/>
    <col min="11287" max="11287" width="3.42578125" style="512" customWidth="1"/>
    <col min="11288" max="11288" width="11.5703125" style="512" bestFit="1" customWidth="1"/>
    <col min="11289" max="11289" width="5.5703125" style="512" customWidth="1"/>
    <col min="11290" max="11290" width="11" style="512" bestFit="1" customWidth="1"/>
    <col min="11291" max="11291" width="6.140625" style="512" customWidth="1"/>
    <col min="11292" max="11526" width="9.140625" style="512"/>
    <col min="11527" max="11527" width="3.5703125" style="512" customWidth="1"/>
    <col min="11528" max="11528" width="14.42578125" style="512" customWidth="1"/>
    <col min="11529" max="11529" width="3.5703125" style="512" customWidth="1"/>
    <col min="11530" max="11530" width="22.5703125" style="512" customWidth="1"/>
    <col min="11531" max="11531" width="11.42578125" style="512" customWidth="1"/>
    <col min="11532" max="11532" width="5.42578125" style="512" customWidth="1"/>
    <col min="11533" max="11533" width="11.42578125" style="512" customWidth="1"/>
    <col min="11534" max="11534" width="5.42578125" style="512" customWidth="1"/>
    <col min="11535" max="11535" width="11.42578125" style="512" customWidth="1"/>
    <col min="11536" max="11536" width="5.42578125" style="512" customWidth="1"/>
    <col min="11537" max="11537" width="11.42578125" style="512" customWidth="1"/>
    <col min="11538" max="11540" width="5.42578125" style="512" customWidth="1"/>
    <col min="11541" max="11541" width="22.5703125" style="512" customWidth="1"/>
    <col min="11542" max="11542" width="5.85546875" style="512" customWidth="1"/>
    <col min="11543" max="11543" width="3.42578125" style="512" customWidth="1"/>
    <col min="11544" max="11544" width="11.5703125" style="512" bestFit="1" customWidth="1"/>
    <col min="11545" max="11545" width="5.5703125" style="512" customWidth="1"/>
    <col min="11546" max="11546" width="11" style="512" bestFit="1" customWidth="1"/>
    <col min="11547" max="11547" width="6.140625" style="512" customWidth="1"/>
    <col min="11548" max="11782" width="9.140625" style="512"/>
    <col min="11783" max="11783" width="3.5703125" style="512" customWidth="1"/>
    <col min="11784" max="11784" width="14.42578125" style="512" customWidth="1"/>
    <col min="11785" max="11785" width="3.5703125" style="512" customWidth="1"/>
    <col min="11786" max="11786" width="22.5703125" style="512" customWidth="1"/>
    <col min="11787" max="11787" width="11.42578125" style="512" customWidth="1"/>
    <col min="11788" max="11788" width="5.42578125" style="512" customWidth="1"/>
    <col min="11789" max="11789" width="11.42578125" style="512" customWidth="1"/>
    <col min="11790" max="11790" width="5.42578125" style="512" customWidth="1"/>
    <col min="11791" max="11791" width="11.42578125" style="512" customWidth="1"/>
    <col min="11792" max="11792" width="5.42578125" style="512" customWidth="1"/>
    <col min="11793" max="11793" width="11.42578125" style="512" customWidth="1"/>
    <col min="11794" max="11796" width="5.42578125" style="512" customWidth="1"/>
    <col min="11797" max="11797" width="22.5703125" style="512" customWidth="1"/>
    <col min="11798" max="11798" width="5.85546875" style="512" customWidth="1"/>
    <col min="11799" max="11799" width="3.42578125" style="512" customWidth="1"/>
    <col min="11800" max="11800" width="11.5703125" style="512" bestFit="1" customWidth="1"/>
    <col min="11801" max="11801" width="5.5703125" style="512" customWidth="1"/>
    <col min="11802" max="11802" width="11" style="512" bestFit="1" customWidth="1"/>
    <col min="11803" max="11803" width="6.140625" style="512" customWidth="1"/>
    <col min="11804" max="12038" width="9.140625" style="512"/>
    <col min="12039" max="12039" width="3.5703125" style="512" customWidth="1"/>
    <col min="12040" max="12040" width="14.42578125" style="512" customWidth="1"/>
    <col min="12041" max="12041" width="3.5703125" style="512" customWidth="1"/>
    <col min="12042" max="12042" width="22.5703125" style="512" customWidth="1"/>
    <col min="12043" max="12043" width="11.42578125" style="512" customWidth="1"/>
    <col min="12044" max="12044" width="5.42578125" style="512" customWidth="1"/>
    <col min="12045" max="12045" width="11.42578125" style="512" customWidth="1"/>
    <col min="12046" max="12046" width="5.42578125" style="512" customWidth="1"/>
    <col min="12047" max="12047" width="11.42578125" style="512" customWidth="1"/>
    <col min="12048" max="12048" width="5.42578125" style="512" customWidth="1"/>
    <col min="12049" max="12049" width="11.42578125" style="512" customWidth="1"/>
    <col min="12050" max="12052" width="5.42578125" style="512" customWidth="1"/>
    <col min="12053" max="12053" width="22.5703125" style="512" customWidth="1"/>
    <col min="12054" max="12054" width="5.85546875" style="512" customWidth="1"/>
    <col min="12055" max="12055" width="3.42578125" style="512" customWidth="1"/>
    <col min="12056" max="12056" width="11.5703125" style="512" bestFit="1" customWidth="1"/>
    <col min="12057" max="12057" width="5.5703125" style="512" customWidth="1"/>
    <col min="12058" max="12058" width="11" style="512" bestFit="1" customWidth="1"/>
    <col min="12059" max="12059" width="6.140625" style="512" customWidth="1"/>
    <col min="12060" max="12294" width="9.140625" style="512"/>
    <col min="12295" max="12295" width="3.5703125" style="512" customWidth="1"/>
    <col min="12296" max="12296" width="14.42578125" style="512" customWidth="1"/>
    <col min="12297" max="12297" width="3.5703125" style="512" customWidth="1"/>
    <col min="12298" max="12298" width="22.5703125" style="512" customWidth="1"/>
    <col min="12299" max="12299" width="11.42578125" style="512" customWidth="1"/>
    <col min="12300" max="12300" width="5.42578125" style="512" customWidth="1"/>
    <col min="12301" max="12301" width="11.42578125" style="512" customWidth="1"/>
    <col min="12302" max="12302" width="5.42578125" style="512" customWidth="1"/>
    <col min="12303" max="12303" width="11.42578125" style="512" customWidth="1"/>
    <col min="12304" max="12304" width="5.42578125" style="512" customWidth="1"/>
    <col min="12305" max="12305" width="11.42578125" style="512" customWidth="1"/>
    <col min="12306" max="12308" width="5.42578125" style="512" customWidth="1"/>
    <col min="12309" max="12309" width="22.5703125" style="512" customWidth="1"/>
    <col min="12310" max="12310" width="5.85546875" style="512" customWidth="1"/>
    <col min="12311" max="12311" width="3.42578125" style="512" customWidth="1"/>
    <col min="12312" max="12312" width="11.5703125" style="512" bestFit="1" customWidth="1"/>
    <col min="12313" max="12313" width="5.5703125" style="512" customWidth="1"/>
    <col min="12314" max="12314" width="11" style="512" bestFit="1" customWidth="1"/>
    <col min="12315" max="12315" width="6.140625" style="512" customWidth="1"/>
    <col min="12316" max="12550" width="9.140625" style="512"/>
    <col min="12551" max="12551" width="3.5703125" style="512" customWidth="1"/>
    <col min="12552" max="12552" width="14.42578125" style="512" customWidth="1"/>
    <col min="12553" max="12553" width="3.5703125" style="512" customWidth="1"/>
    <col min="12554" max="12554" width="22.5703125" style="512" customWidth="1"/>
    <col min="12555" max="12555" width="11.42578125" style="512" customWidth="1"/>
    <col min="12556" max="12556" width="5.42578125" style="512" customWidth="1"/>
    <col min="12557" max="12557" width="11.42578125" style="512" customWidth="1"/>
    <col min="12558" max="12558" width="5.42578125" style="512" customWidth="1"/>
    <col min="12559" max="12559" width="11.42578125" style="512" customWidth="1"/>
    <col min="12560" max="12560" width="5.42578125" style="512" customWidth="1"/>
    <col min="12561" max="12561" width="11.42578125" style="512" customWidth="1"/>
    <col min="12562" max="12564" width="5.42578125" style="512" customWidth="1"/>
    <col min="12565" max="12565" width="22.5703125" style="512" customWidth="1"/>
    <col min="12566" max="12566" width="5.85546875" style="512" customWidth="1"/>
    <col min="12567" max="12567" width="3.42578125" style="512" customWidth="1"/>
    <col min="12568" max="12568" width="11.5703125" style="512" bestFit="1" customWidth="1"/>
    <col min="12569" max="12569" width="5.5703125" style="512" customWidth="1"/>
    <col min="12570" max="12570" width="11" style="512" bestFit="1" customWidth="1"/>
    <col min="12571" max="12571" width="6.140625" style="512" customWidth="1"/>
    <col min="12572" max="12806" width="9.140625" style="512"/>
    <col min="12807" max="12807" width="3.5703125" style="512" customWidth="1"/>
    <col min="12808" max="12808" width="14.42578125" style="512" customWidth="1"/>
    <col min="12809" max="12809" width="3.5703125" style="512" customWidth="1"/>
    <col min="12810" max="12810" width="22.5703125" style="512" customWidth="1"/>
    <col min="12811" max="12811" width="11.42578125" style="512" customWidth="1"/>
    <col min="12812" max="12812" width="5.42578125" style="512" customWidth="1"/>
    <col min="12813" max="12813" width="11.42578125" style="512" customWidth="1"/>
    <col min="12814" max="12814" width="5.42578125" style="512" customWidth="1"/>
    <col min="12815" max="12815" width="11.42578125" style="512" customWidth="1"/>
    <col min="12816" max="12816" width="5.42578125" style="512" customWidth="1"/>
    <col min="12817" max="12817" width="11.42578125" style="512" customWidth="1"/>
    <col min="12818" max="12820" width="5.42578125" style="512" customWidth="1"/>
    <col min="12821" max="12821" width="22.5703125" style="512" customWidth="1"/>
    <col min="12822" max="12822" width="5.85546875" style="512" customWidth="1"/>
    <col min="12823" max="12823" width="3.42578125" style="512" customWidth="1"/>
    <col min="12824" max="12824" width="11.5703125" style="512" bestFit="1" customWidth="1"/>
    <col min="12825" max="12825" width="5.5703125" style="512" customWidth="1"/>
    <col min="12826" max="12826" width="11" style="512" bestFit="1" customWidth="1"/>
    <col min="12827" max="12827" width="6.140625" style="512" customWidth="1"/>
    <col min="12828" max="13062" width="9.140625" style="512"/>
    <col min="13063" max="13063" width="3.5703125" style="512" customWidth="1"/>
    <col min="13064" max="13064" width="14.42578125" style="512" customWidth="1"/>
    <col min="13065" max="13065" width="3.5703125" style="512" customWidth="1"/>
    <col min="13066" max="13066" width="22.5703125" style="512" customWidth="1"/>
    <col min="13067" max="13067" width="11.42578125" style="512" customWidth="1"/>
    <col min="13068" max="13068" width="5.42578125" style="512" customWidth="1"/>
    <col min="13069" max="13069" width="11.42578125" style="512" customWidth="1"/>
    <col min="13070" max="13070" width="5.42578125" style="512" customWidth="1"/>
    <col min="13071" max="13071" width="11.42578125" style="512" customWidth="1"/>
    <col min="13072" max="13072" width="5.42578125" style="512" customWidth="1"/>
    <col min="13073" max="13073" width="11.42578125" style="512" customWidth="1"/>
    <col min="13074" max="13076" width="5.42578125" style="512" customWidth="1"/>
    <col min="13077" max="13077" width="22.5703125" style="512" customWidth="1"/>
    <col min="13078" max="13078" width="5.85546875" style="512" customWidth="1"/>
    <col min="13079" max="13079" width="3.42578125" style="512" customWidth="1"/>
    <col min="13080" max="13080" width="11.5703125" style="512" bestFit="1" customWidth="1"/>
    <col min="13081" max="13081" width="5.5703125" style="512" customWidth="1"/>
    <col min="13082" max="13082" width="11" style="512" bestFit="1" customWidth="1"/>
    <col min="13083" max="13083" width="6.140625" style="512" customWidth="1"/>
    <col min="13084" max="13318" width="9.140625" style="512"/>
    <col min="13319" max="13319" width="3.5703125" style="512" customWidth="1"/>
    <col min="13320" max="13320" width="14.42578125" style="512" customWidth="1"/>
    <col min="13321" max="13321" width="3.5703125" style="512" customWidth="1"/>
    <col min="13322" max="13322" width="22.5703125" style="512" customWidth="1"/>
    <col min="13323" max="13323" width="11.42578125" style="512" customWidth="1"/>
    <col min="13324" max="13324" width="5.42578125" style="512" customWidth="1"/>
    <col min="13325" max="13325" width="11.42578125" style="512" customWidth="1"/>
    <col min="13326" max="13326" width="5.42578125" style="512" customWidth="1"/>
    <col min="13327" max="13327" width="11.42578125" style="512" customWidth="1"/>
    <col min="13328" max="13328" width="5.42578125" style="512" customWidth="1"/>
    <col min="13329" max="13329" width="11.42578125" style="512" customWidth="1"/>
    <col min="13330" max="13332" width="5.42578125" style="512" customWidth="1"/>
    <col min="13333" max="13333" width="22.5703125" style="512" customWidth="1"/>
    <col min="13334" max="13334" width="5.85546875" style="512" customWidth="1"/>
    <col min="13335" max="13335" width="3.42578125" style="512" customWidth="1"/>
    <col min="13336" max="13336" width="11.5703125" style="512" bestFit="1" customWidth="1"/>
    <col min="13337" max="13337" width="5.5703125" style="512" customWidth="1"/>
    <col min="13338" max="13338" width="11" style="512" bestFit="1" customWidth="1"/>
    <col min="13339" max="13339" width="6.140625" style="512" customWidth="1"/>
    <col min="13340" max="13574" width="9.140625" style="512"/>
    <col min="13575" max="13575" width="3.5703125" style="512" customWidth="1"/>
    <col min="13576" max="13576" width="14.42578125" style="512" customWidth="1"/>
    <col min="13577" max="13577" width="3.5703125" style="512" customWidth="1"/>
    <col min="13578" max="13578" width="22.5703125" style="512" customWidth="1"/>
    <col min="13579" max="13579" width="11.42578125" style="512" customWidth="1"/>
    <col min="13580" max="13580" width="5.42578125" style="512" customWidth="1"/>
    <col min="13581" max="13581" width="11.42578125" style="512" customWidth="1"/>
    <col min="13582" max="13582" width="5.42578125" style="512" customWidth="1"/>
    <col min="13583" max="13583" width="11.42578125" style="512" customWidth="1"/>
    <col min="13584" max="13584" width="5.42578125" style="512" customWidth="1"/>
    <col min="13585" max="13585" width="11.42578125" style="512" customWidth="1"/>
    <col min="13586" max="13588" width="5.42578125" style="512" customWidth="1"/>
    <col min="13589" max="13589" width="22.5703125" style="512" customWidth="1"/>
    <col min="13590" max="13590" width="5.85546875" style="512" customWidth="1"/>
    <col min="13591" max="13591" width="3.42578125" style="512" customWidth="1"/>
    <col min="13592" max="13592" width="11.5703125" style="512" bestFit="1" customWidth="1"/>
    <col min="13593" max="13593" width="5.5703125" style="512" customWidth="1"/>
    <col min="13594" max="13594" width="11" style="512" bestFit="1" customWidth="1"/>
    <col min="13595" max="13595" width="6.140625" style="512" customWidth="1"/>
    <col min="13596" max="13830" width="9.140625" style="512"/>
    <col min="13831" max="13831" width="3.5703125" style="512" customWidth="1"/>
    <col min="13832" max="13832" width="14.42578125" style="512" customWidth="1"/>
    <col min="13833" max="13833" width="3.5703125" style="512" customWidth="1"/>
    <col min="13834" max="13834" width="22.5703125" style="512" customWidth="1"/>
    <col min="13835" max="13835" width="11.42578125" style="512" customWidth="1"/>
    <col min="13836" max="13836" width="5.42578125" style="512" customWidth="1"/>
    <col min="13837" max="13837" width="11.42578125" style="512" customWidth="1"/>
    <col min="13838" max="13838" width="5.42578125" style="512" customWidth="1"/>
    <col min="13839" max="13839" width="11.42578125" style="512" customWidth="1"/>
    <col min="13840" max="13840" width="5.42578125" style="512" customWidth="1"/>
    <col min="13841" max="13841" width="11.42578125" style="512" customWidth="1"/>
    <col min="13842" max="13844" width="5.42578125" style="512" customWidth="1"/>
    <col min="13845" max="13845" width="22.5703125" style="512" customWidth="1"/>
    <col min="13846" max="13846" width="5.85546875" style="512" customWidth="1"/>
    <col min="13847" max="13847" width="3.42578125" style="512" customWidth="1"/>
    <col min="13848" max="13848" width="11.5703125" style="512" bestFit="1" customWidth="1"/>
    <col min="13849" max="13849" width="5.5703125" style="512" customWidth="1"/>
    <col min="13850" max="13850" width="11" style="512" bestFit="1" customWidth="1"/>
    <col min="13851" max="13851" width="6.140625" style="512" customWidth="1"/>
    <col min="13852" max="14086" width="9.140625" style="512"/>
    <col min="14087" max="14087" width="3.5703125" style="512" customWidth="1"/>
    <col min="14088" max="14088" width="14.42578125" style="512" customWidth="1"/>
    <col min="14089" max="14089" width="3.5703125" style="512" customWidth="1"/>
    <col min="14090" max="14090" width="22.5703125" style="512" customWidth="1"/>
    <col min="14091" max="14091" width="11.42578125" style="512" customWidth="1"/>
    <col min="14092" max="14092" width="5.42578125" style="512" customWidth="1"/>
    <col min="14093" max="14093" width="11.42578125" style="512" customWidth="1"/>
    <col min="14094" max="14094" width="5.42578125" style="512" customWidth="1"/>
    <col min="14095" max="14095" width="11.42578125" style="512" customWidth="1"/>
    <col min="14096" max="14096" width="5.42578125" style="512" customWidth="1"/>
    <col min="14097" max="14097" width="11.42578125" style="512" customWidth="1"/>
    <col min="14098" max="14100" width="5.42578125" style="512" customWidth="1"/>
    <col min="14101" max="14101" width="22.5703125" style="512" customWidth="1"/>
    <col min="14102" max="14102" width="5.85546875" style="512" customWidth="1"/>
    <col min="14103" max="14103" width="3.42578125" style="512" customWidth="1"/>
    <col min="14104" max="14104" width="11.5703125" style="512" bestFit="1" customWidth="1"/>
    <col min="14105" max="14105" width="5.5703125" style="512" customWidth="1"/>
    <col min="14106" max="14106" width="11" style="512" bestFit="1" customWidth="1"/>
    <col min="14107" max="14107" width="6.140625" style="512" customWidth="1"/>
    <col min="14108" max="14342" width="9.140625" style="512"/>
    <col min="14343" max="14343" width="3.5703125" style="512" customWidth="1"/>
    <col min="14344" max="14344" width="14.42578125" style="512" customWidth="1"/>
    <col min="14345" max="14345" width="3.5703125" style="512" customWidth="1"/>
    <col min="14346" max="14346" width="22.5703125" style="512" customWidth="1"/>
    <col min="14347" max="14347" width="11.42578125" style="512" customWidth="1"/>
    <col min="14348" max="14348" width="5.42578125" style="512" customWidth="1"/>
    <col min="14349" max="14349" width="11.42578125" style="512" customWidth="1"/>
    <col min="14350" max="14350" width="5.42578125" style="512" customWidth="1"/>
    <col min="14351" max="14351" width="11.42578125" style="512" customWidth="1"/>
    <col min="14352" max="14352" width="5.42578125" style="512" customWidth="1"/>
    <col min="14353" max="14353" width="11.42578125" style="512" customWidth="1"/>
    <col min="14354" max="14356" width="5.42578125" style="512" customWidth="1"/>
    <col min="14357" max="14357" width="22.5703125" style="512" customWidth="1"/>
    <col min="14358" max="14358" width="5.85546875" style="512" customWidth="1"/>
    <col min="14359" max="14359" width="3.42578125" style="512" customWidth="1"/>
    <col min="14360" max="14360" width="11.5703125" style="512" bestFit="1" customWidth="1"/>
    <col min="14361" max="14361" width="5.5703125" style="512" customWidth="1"/>
    <col min="14362" max="14362" width="11" style="512" bestFit="1" customWidth="1"/>
    <col min="14363" max="14363" width="6.140625" style="512" customWidth="1"/>
    <col min="14364" max="14598" width="9.140625" style="512"/>
    <col min="14599" max="14599" width="3.5703125" style="512" customWidth="1"/>
    <col min="14600" max="14600" width="14.42578125" style="512" customWidth="1"/>
    <col min="14601" max="14601" width="3.5703125" style="512" customWidth="1"/>
    <col min="14602" max="14602" width="22.5703125" style="512" customWidth="1"/>
    <col min="14603" max="14603" width="11.42578125" style="512" customWidth="1"/>
    <col min="14604" max="14604" width="5.42578125" style="512" customWidth="1"/>
    <col min="14605" max="14605" width="11.42578125" style="512" customWidth="1"/>
    <col min="14606" max="14606" width="5.42578125" style="512" customWidth="1"/>
    <col min="14607" max="14607" width="11.42578125" style="512" customWidth="1"/>
    <col min="14608" max="14608" width="5.42578125" style="512" customWidth="1"/>
    <col min="14609" max="14609" width="11.42578125" style="512" customWidth="1"/>
    <col min="14610" max="14612" width="5.42578125" style="512" customWidth="1"/>
    <col min="14613" max="14613" width="22.5703125" style="512" customWidth="1"/>
    <col min="14614" max="14614" width="5.85546875" style="512" customWidth="1"/>
    <col min="14615" max="14615" width="3.42578125" style="512" customWidth="1"/>
    <col min="14616" max="14616" width="11.5703125" style="512" bestFit="1" customWidth="1"/>
    <col min="14617" max="14617" width="5.5703125" style="512" customWidth="1"/>
    <col min="14618" max="14618" width="11" style="512" bestFit="1" customWidth="1"/>
    <col min="14619" max="14619" width="6.140625" style="512" customWidth="1"/>
    <col min="14620" max="14854" width="9.140625" style="512"/>
    <col min="14855" max="14855" width="3.5703125" style="512" customWidth="1"/>
    <col min="14856" max="14856" width="14.42578125" style="512" customWidth="1"/>
    <col min="14857" max="14857" width="3.5703125" style="512" customWidth="1"/>
    <col min="14858" max="14858" width="22.5703125" style="512" customWidth="1"/>
    <col min="14859" max="14859" width="11.42578125" style="512" customWidth="1"/>
    <col min="14860" max="14860" width="5.42578125" style="512" customWidth="1"/>
    <col min="14861" max="14861" width="11.42578125" style="512" customWidth="1"/>
    <col min="14862" max="14862" width="5.42578125" style="512" customWidth="1"/>
    <col min="14863" max="14863" width="11.42578125" style="512" customWidth="1"/>
    <col min="14864" max="14864" width="5.42578125" style="512" customWidth="1"/>
    <col min="14865" max="14865" width="11.42578125" style="512" customWidth="1"/>
    <col min="14866" max="14868" width="5.42578125" style="512" customWidth="1"/>
    <col min="14869" max="14869" width="22.5703125" style="512" customWidth="1"/>
    <col min="14870" max="14870" width="5.85546875" style="512" customWidth="1"/>
    <col min="14871" max="14871" width="3.42578125" style="512" customWidth="1"/>
    <col min="14872" max="14872" width="11.5703125" style="512" bestFit="1" customWidth="1"/>
    <col min="14873" max="14873" width="5.5703125" style="512" customWidth="1"/>
    <col min="14874" max="14874" width="11" style="512" bestFit="1" customWidth="1"/>
    <col min="14875" max="14875" width="6.140625" style="512" customWidth="1"/>
    <col min="14876" max="15110" width="9.140625" style="512"/>
    <col min="15111" max="15111" width="3.5703125" style="512" customWidth="1"/>
    <col min="15112" max="15112" width="14.42578125" style="512" customWidth="1"/>
    <col min="15113" max="15113" width="3.5703125" style="512" customWidth="1"/>
    <col min="15114" max="15114" width="22.5703125" style="512" customWidth="1"/>
    <col min="15115" max="15115" width="11.42578125" style="512" customWidth="1"/>
    <col min="15116" max="15116" width="5.42578125" style="512" customWidth="1"/>
    <col min="15117" max="15117" width="11.42578125" style="512" customWidth="1"/>
    <col min="15118" max="15118" width="5.42578125" style="512" customWidth="1"/>
    <col min="15119" max="15119" width="11.42578125" style="512" customWidth="1"/>
    <col min="15120" max="15120" width="5.42578125" style="512" customWidth="1"/>
    <col min="15121" max="15121" width="11.42578125" style="512" customWidth="1"/>
    <col min="15122" max="15124" width="5.42578125" style="512" customWidth="1"/>
    <col min="15125" max="15125" width="22.5703125" style="512" customWidth="1"/>
    <col min="15126" max="15126" width="5.85546875" style="512" customWidth="1"/>
    <col min="15127" max="15127" width="3.42578125" style="512" customWidth="1"/>
    <col min="15128" max="15128" width="11.5703125" style="512" bestFit="1" customWidth="1"/>
    <col min="15129" max="15129" width="5.5703125" style="512" customWidth="1"/>
    <col min="15130" max="15130" width="11" style="512" bestFit="1" customWidth="1"/>
    <col min="15131" max="15131" width="6.140625" style="512" customWidth="1"/>
    <col min="15132" max="15366" width="9.140625" style="512"/>
    <col min="15367" max="15367" width="3.5703125" style="512" customWidth="1"/>
    <col min="15368" max="15368" width="14.42578125" style="512" customWidth="1"/>
    <col min="15369" max="15369" width="3.5703125" style="512" customWidth="1"/>
    <col min="15370" max="15370" width="22.5703125" style="512" customWidth="1"/>
    <col min="15371" max="15371" width="11.42578125" style="512" customWidth="1"/>
    <col min="15372" max="15372" width="5.42578125" style="512" customWidth="1"/>
    <col min="15373" max="15373" width="11.42578125" style="512" customWidth="1"/>
    <col min="15374" max="15374" width="5.42578125" style="512" customWidth="1"/>
    <col min="15375" max="15375" width="11.42578125" style="512" customWidth="1"/>
    <col min="15376" max="15376" width="5.42578125" style="512" customWidth="1"/>
    <col min="15377" max="15377" width="11.42578125" style="512" customWidth="1"/>
    <col min="15378" max="15380" width="5.42578125" style="512" customWidth="1"/>
    <col min="15381" max="15381" width="22.5703125" style="512" customWidth="1"/>
    <col min="15382" max="15382" width="5.85546875" style="512" customWidth="1"/>
    <col min="15383" max="15383" width="3.42578125" style="512" customWidth="1"/>
    <col min="15384" max="15384" width="11.5703125" style="512" bestFit="1" customWidth="1"/>
    <col min="15385" max="15385" width="5.5703125" style="512" customWidth="1"/>
    <col min="15386" max="15386" width="11" style="512" bestFit="1" customWidth="1"/>
    <col min="15387" max="15387" width="6.140625" style="512" customWidth="1"/>
    <col min="15388" max="15622" width="9.140625" style="512"/>
    <col min="15623" max="15623" width="3.5703125" style="512" customWidth="1"/>
    <col min="15624" max="15624" width="14.42578125" style="512" customWidth="1"/>
    <col min="15625" max="15625" width="3.5703125" style="512" customWidth="1"/>
    <col min="15626" max="15626" width="22.5703125" style="512" customWidth="1"/>
    <col min="15627" max="15627" width="11.42578125" style="512" customWidth="1"/>
    <col min="15628" max="15628" width="5.42578125" style="512" customWidth="1"/>
    <col min="15629" max="15629" width="11.42578125" style="512" customWidth="1"/>
    <col min="15630" max="15630" width="5.42578125" style="512" customWidth="1"/>
    <col min="15631" max="15631" width="11.42578125" style="512" customWidth="1"/>
    <col min="15632" max="15632" width="5.42578125" style="512" customWidth="1"/>
    <col min="15633" max="15633" width="11.42578125" style="512" customWidth="1"/>
    <col min="15634" max="15636" width="5.42578125" style="512" customWidth="1"/>
    <col min="15637" max="15637" width="22.5703125" style="512" customWidth="1"/>
    <col min="15638" max="15638" width="5.85546875" style="512" customWidth="1"/>
    <col min="15639" max="15639" width="3.42578125" style="512" customWidth="1"/>
    <col min="15640" max="15640" width="11.5703125" style="512" bestFit="1" customWidth="1"/>
    <col min="15641" max="15641" width="5.5703125" style="512" customWidth="1"/>
    <col min="15642" max="15642" width="11" style="512" bestFit="1" customWidth="1"/>
    <col min="15643" max="15643" width="6.140625" style="512" customWidth="1"/>
    <col min="15644" max="15878" width="9.140625" style="512"/>
    <col min="15879" max="15879" width="3.5703125" style="512" customWidth="1"/>
    <col min="15880" max="15880" width="14.42578125" style="512" customWidth="1"/>
    <col min="15881" max="15881" width="3.5703125" style="512" customWidth="1"/>
    <col min="15882" max="15882" width="22.5703125" style="512" customWidth="1"/>
    <col min="15883" max="15883" width="11.42578125" style="512" customWidth="1"/>
    <col min="15884" max="15884" width="5.42578125" style="512" customWidth="1"/>
    <col min="15885" max="15885" width="11.42578125" style="512" customWidth="1"/>
    <col min="15886" max="15886" width="5.42578125" style="512" customWidth="1"/>
    <col min="15887" max="15887" width="11.42578125" style="512" customWidth="1"/>
    <col min="15888" max="15888" width="5.42578125" style="512" customWidth="1"/>
    <col min="15889" max="15889" width="11.42578125" style="512" customWidth="1"/>
    <col min="15890" max="15892" width="5.42578125" style="512" customWidth="1"/>
    <col min="15893" max="15893" width="22.5703125" style="512" customWidth="1"/>
    <col min="15894" max="15894" width="5.85546875" style="512" customWidth="1"/>
    <col min="15895" max="15895" width="3.42578125" style="512" customWidth="1"/>
    <col min="15896" max="15896" width="11.5703125" style="512" bestFit="1" customWidth="1"/>
    <col min="15897" max="15897" width="5.5703125" style="512" customWidth="1"/>
    <col min="15898" max="15898" width="11" style="512" bestFit="1" customWidth="1"/>
    <col min="15899" max="15899" width="6.140625" style="512" customWidth="1"/>
    <col min="15900" max="16134" width="9.140625" style="512"/>
    <col min="16135" max="16135" width="3.5703125" style="512" customWidth="1"/>
    <col min="16136" max="16136" width="14.42578125" style="512" customWidth="1"/>
    <col min="16137" max="16137" width="3.5703125" style="512" customWidth="1"/>
    <col min="16138" max="16138" width="22.5703125" style="512" customWidth="1"/>
    <col min="16139" max="16139" width="11.42578125" style="512" customWidth="1"/>
    <col min="16140" max="16140" width="5.42578125" style="512" customWidth="1"/>
    <col min="16141" max="16141" width="11.42578125" style="512" customWidth="1"/>
    <col min="16142" max="16142" width="5.42578125" style="512" customWidth="1"/>
    <col min="16143" max="16143" width="11.42578125" style="512" customWidth="1"/>
    <col min="16144" max="16144" width="5.42578125" style="512" customWidth="1"/>
    <col min="16145" max="16145" width="11.42578125" style="512" customWidth="1"/>
    <col min="16146" max="16148" width="5.42578125" style="512" customWidth="1"/>
    <col min="16149" max="16149" width="22.5703125" style="512" customWidth="1"/>
    <col min="16150" max="16150" width="5.85546875" style="512" customWidth="1"/>
    <col min="16151" max="16151" width="3.42578125" style="512" customWidth="1"/>
    <col min="16152" max="16152" width="11.5703125" style="512" bestFit="1" customWidth="1"/>
    <col min="16153" max="16153" width="5.5703125" style="512" customWidth="1"/>
    <col min="16154" max="16154" width="11" style="512" bestFit="1" customWidth="1"/>
    <col min="16155" max="16155" width="6.140625" style="512" customWidth="1"/>
    <col min="16156" max="16384" width="9.140625" style="512"/>
  </cols>
  <sheetData>
    <row r="2" spans="1:33" s="508" customFormat="1" ht="15" customHeight="1" x14ac:dyDescent="0.2">
      <c r="A2" s="509">
        <v>1</v>
      </c>
      <c r="B2" s="509" t="s">
        <v>0</v>
      </c>
      <c r="C2" s="509">
        <v>60</v>
      </c>
      <c r="D2" s="4737" t="s">
        <v>1554</v>
      </c>
      <c r="E2" s="4738"/>
      <c r="F2" s="4738"/>
      <c r="G2" s="4738"/>
      <c r="H2" s="4738"/>
      <c r="I2" s="4738"/>
      <c r="J2" s="4738"/>
      <c r="K2" s="4738"/>
      <c r="L2" s="4738"/>
      <c r="M2" s="4738"/>
      <c r="N2" s="4738"/>
      <c r="O2" s="4738"/>
      <c r="P2" s="4738"/>
      <c r="Q2" s="4738"/>
      <c r="R2" s="4738"/>
      <c r="S2" s="4738"/>
      <c r="T2" s="4738"/>
      <c r="U2" s="4738"/>
      <c r="V2" s="4738"/>
      <c r="W2" s="4738"/>
      <c r="X2" s="4738"/>
      <c r="Y2" s="4738"/>
      <c r="Z2" s="4738"/>
      <c r="AA2" s="4738"/>
      <c r="AB2" s="4738"/>
      <c r="AC2" s="4738"/>
      <c r="AD2" s="4738"/>
      <c r="AE2" s="4739"/>
    </row>
    <row r="3" spans="1:33" s="508" customFormat="1" ht="15" customHeight="1" x14ac:dyDescent="0.2">
      <c r="A3" s="509">
        <v>2</v>
      </c>
      <c r="B3" s="509" t="s">
        <v>2</v>
      </c>
      <c r="C3" s="509"/>
      <c r="D3" s="4603" t="s">
        <v>1555</v>
      </c>
      <c r="E3" s="4604"/>
      <c r="F3" s="4604"/>
      <c r="G3" s="4604"/>
      <c r="H3" s="4604"/>
      <c r="I3" s="4604"/>
      <c r="J3" s="4604"/>
      <c r="K3" s="4604"/>
      <c r="L3" s="4604"/>
      <c r="M3" s="4604"/>
      <c r="N3" s="4604"/>
      <c r="O3" s="4604"/>
      <c r="P3" s="4604"/>
      <c r="Q3" s="4604"/>
      <c r="R3" s="4604"/>
      <c r="S3" s="4604"/>
      <c r="T3" s="4604"/>
      <c r="U3" s="4604"/>
      <c r="V3" s="4604"/>
      <c r="W3" s="4604"/>
      <c r="X3" s="4604"/>
      <c r="Y3" s="4604"/>
      <c r="Z3" s="4604"/>
      <c r="AA3" s="4604"/>
      <c r="AB3" s="4604"/>
      <c r="AC3" s="4604"/>
      <c r="AD3" s="4604"/>
      <c r="AE3" s="4605"/>
    </row>
    <row r="4" spans="1:33" s="508" customFormat="1" ht="15" customHeight="1" x14ac:dyDescent="0.2">
      <c r="A4" s="509">
        <v>3</v>
      </c>
      <c r="B4" s="509" t="s">
        <v>4</v>
      </c>
      <c r="C4" s="509"/>
      <c r="D4" s="4603" t="s">
        <v>1556</v>
      </c>
      <c r="E4" s="4604"/>
      <c r="F4" s="4604"/>
      <c r="G4" s="4604"/>
      <c r="H4" s="4604"/>
      <c r="I4" s="4604"/>
      <c r="J4" s="4604"/>
      <c r="K4" s="4604"/>
      <c r="L4" s="4604"/>
      <c r="M4" s="4604"/>
      <c r="N4" s="4604"/>
      <c r="O4" s="4604"/>
      <c r="P4" s="4604"/>
      <c r="Q4" s="4604"/>
      <c r="R4" s="4604"/>
      <c r="S4" s="4604"/>
      <c r="T4" s="4604"/>
      <c r="U4" s="4604"/>
      <c r="V4" s="4604"/>
      <c r="W4" s="4604"/>
      <c r="X4" s="4604"/>
      <c r="Y4" s="4604"/>
      <c r="Z4" s="4604"/>
      <c r="AA4" s="4604"/>
      <c r="AB4" s="4604"/>
      <c r="AC4" s="4604"/>
      <c r="AD4" s="4604"/>
      <c r="AE4" s="4605"/>
    </row>
    <row r="5" spans="1:33" s="508" customFormat="1" ht="14.25" x14ac:dyDescent="0.2">
      <c r="A5" s="509">
        <v>4</v>
      </c>
      <c r="B5" s="509" t="s">
        <v>62</v>
      </c>
      <c r="C5" s="509"/>
      <c r="D5" s="4603"/>
      <c r="E5" s="4604"/>
      <c r="F5" s="4604"/>
      <c r="G5" s="4604"/>
      <c r="H5" s="4604"/>
      <c r="I5" s="4604"/>
      <c r="J5" s="4604"/>
      <c r="K5" s="4604"/>
      <c r="L5" s="4604"/>
      <c r="M5" s="4604"/>
      <c r="N5" s="4604"/>
      <c r="O5" s="4604"/>
      <c r="P5" s="4604"/>
      <c r="Q5" s="4604"/>
      <c r="R5" s="4604"/>
      <c r="S5" s="4604"/>
      <c r="T5" s="4604"/>
      <c r="U5" s="4604"/>
      <c r="V5" s="4604"/>
      <c r="W5" s="4604"/>
      <c r="X5" s="4604"/>
      <c r="Y5" s="4604"/>
      <c r="Z5" s="4604"/>
      <c r="AA5" s="4604"/>
      <c r="AB5" s="4604"/>
      <c r="AC5" s="4604"/>
      <c r="AD5" s="4604"/>
      <c r="AE5" s="4605"/>
    </row>
    <row r="6" spans="1:33" s="508" customFormat="1" ht="15" customHeight="1" x14ac:dyDescent="0.2">
      <c r="A6" s="509"/>
      <c r="B6" s="509"/>
      <c r="C6" s="509"/>
      <c r="D6" s="880"/>
      <c r="E6" s="880"/>
      <c r="F6" s="880"/>
      <c r="G6" s="880"/>
      <c r="H6" s="880"/>
      <c r="I6" s="880"/>
      <c r="J6" s="880"/>
      <c r="K6" s="880"/>
      <c r="L6" s="880"/>
      <c r="M6" s="880"/>
      <c r="N6" s="880"/>
      <c r="O6" s="880"/>
      <c r="P6" s="880"/>
      <c r="Q6" s="880"/>
      <c r="R6" s="880"/>
      <c r="S6" s="880"/>
      <c r="T6" s="880"/>
      <c r="U6" s="880"/>
      <c r="V6" s="880"/>
      <c r="W6" s="880"/>
      <c r="X6" s="880"/>
      <c r="Y6" s="880"/>
      <c r="Z6" s="880"/>
      <c r="AA6" s="880"/>
      <c r="AB6" s="880"/>
      <c r="AC6" s="880"/>
      <c r="AD6" s="880"/>
      <c r="AE6" s="880"/>
    </row>
    <row r="7" spans="1:33" ht="12.75" x14ac:dyDescent="0.2">
      <c r="C7" s="509"/>
      <c r="H7" s="2393"/>
      <c r="I7" s="510"/>
    </row>
    <row r="8" spans="1:33" s="88" customFormat="1" ht="12.75" x14ac:dyDescent="0.2">
      <c r="A8" s="509">
        <v>5</v>
      </c>
      <c r="B8" s="509" t="s">
        <v>6</v>
      </c>
      <c r="C8" s="836"/>
      <c r="D8" s="861" t="s">
        <v>7</v>
      </c>
      <c r="E8" s="981" t="s">
        <v>1557</v>
      </c>
      <c r="F8" s="2410"/>
      <c r="G8" s="981"/>
      <c r="H8" s="2410"/>
      <c r="I8" s="550"/>
      <c r="J8" s="2563"/>
      <c r="K8" s="550"/>
      <c r="L8" s="2563"/>
      <c r="M8" s="2563"/>
      <c r="N8" s="2563"/>
      <c r="O8" s="2563"/>
      <c r="P8" s="2563"/>
      <c r="Q8" s="2563"/>
      <c r="R8" s="2563"/>
      <c r="S8" s="2563"/>
      <c r="T8" s="2563"/>
      <c r="U8" s="861" t="s">
        <v>7</v>
      </c>
      <c r="V8" s="981" t="s">
        <v>1558</v>
      </c>
      <c r="W8" s="2410"/>
      <c r="X8" s="981"/>
      <c r="Y8" s="2410"/>
      <c r="Z8" s="550"/>
      <c r="AA8" s="2563"/>
    </row>
    <row r="9" spans="1:33" s="413" customFormat="1" ht="14.25" customHeight="1" x14ac:dyDescent="0.2">
      <c r="A9" s="79"/>
      <c r="B9" s="81"/>
      <c r="C9" s="81"/>
      <c r="D9" s="2564"/>
      <c r="E9" s="1193">
        <v>1994</v>
      </c>
      <c r="F9" s="1193" t="s">
        <v>389</v>
      </c>
      <c r="G9" s="1193">
        <v>1999</v>
      </c>
      <c r="H9" s="1193" t="s">
        <v>389</v>
      </c>
      <c r="I9" s="1193">
        <v>2004</v>
      </c>
      <c r="J9" s="1193" t="s">
        <v>389</v>
      </c>
      <c r="K9" s="1193">
        <v>2009</v>
      </c>
      <c r="L9" s="1193" t="s">
        <v>389</v>
      </c>
      <c r="M9" s="1193">
        <v>2014</v>
      </c>
      <c r="N9" s="1194" t="s">
        <v>389</v>
      </c>
      <c r="O9" s="2565">
        <v>2019</v>
      </c>
      <c r="P9" s="2565" t="s">
        <v>389</v>
      </c>
      <c r="Q9" s="312"/>
      <c r="R9" s="312"/>
      <c r="S9" s="312"/>
      <c r="T9" s="2566"/>
      <c r="U9" s="2564"/>
      <c r="V9" s="2424">
        <v>1995</v>
      </c>
      <c r="W9" s="2567" t="s">
        <v>389</v>
      </c>
      <c r="X9" s="2568">
        <v>2000</v>
      </c>
      <c r="Y9" s="2568" t="s">
        <v>389</v>
      </c>
      <c r="Z9" s="2568">
        <v>2006</v>
      </c>
      <c r="AA9" s="2568" t="s">
        <v>389</v>
      </c>
      <c r="AB9" s="2568">
        <v>2011</v>
      </c>
      <c r="AC9" s="2568" t="s">
        <v>389</v>
      </c>
      <c r="AD9" s="2568">
        <v>2016</v>
      </c>
      <c r="AE9" s="2569" t="s">
        <v>389</v>
      </c>
      <c r="AF9" s="3806">
        <v>2021</v>
      </c>
      <c r="AG9" s="3807" t="s">
        <v>389</v>
      </c>
    </row>
    <row r="10" spans="1:33" s="88" customFormat="1" ht="22.5" customHeight="1" x14ac:dyDescent="0.2">
      <c r="A10" s="860"/>
      <c r="B10" s="1197"/>
      <c r="C10" s="836"/>
      <c r="D10" s="2378" t="s">
        <v>1559</v>
      </c>
      <c r="E10" s="1366">
        <v>22709152</v>
      </c>
      <c r="F10" s="1373"/>
      <c r="G10" s="1366">
        <v>22798845</v>
      </c>
      <c r="H10" s="1373"/>
      <c r="I10" s="1366">
        <v>27436898</v>
      </c>
      <c r="J10" s="1366"/>
      <c r="K10" s="1366">
        <v>27574414</v>
      </c>
      <c r="L10" s="1366"/>
      <c r="M10" s="1366">
        <v>31434035</v>
      </c>
      <c r="N10" s="2570"/>
      <c r="O10" s="2571">
        <v>35948298</v>
      </c>
      <c r="P10" s="2572"/>
      <c r="Q10" s="955"/>
      <c r="R10" s="955"/>
      <c r="S10" s="955"/>
      <c r="T10" s="1353"/>
      <c r="U10" s="2573" t="s">
        <v>1559</v>
      </c>
      <c r="V10" s="2574"/>
      <c r="W10" s="2186"/>
      <c r="X10" s="2385">
        <v>23532308</v>
      </c>
      <c r="Y10" s="2575"/>
      <c r="Z10" s="2385">
        <v>25364801</v>
      </c>
      <c r="AA10" s="2575"/>
      <c r="AB10" s="2385">
        <v>33702588.646421582</v>
      </c>
      <c r="AC10" s="2575"/>
      <c r="AD10" s="2385">
        <v>36198770.139200002</v>
      </c>
      <c r="AE10" s="2576"/>
      <c r="AF10" s="3808">
        <v>40025415</v>
      </c>
      <c r="AG10" s="3809"/>
    </row>
    <row r="11" spans="1:33" s="88" customFormat="1" ht="15.75" customHeight="1" x14ac:dyDescent="0.2">
      <c r="A11" s="860"/>
      <c r="B11" s="836"/>
      <c r="C11" s="836"/>
      <c r="D11" s="2378" t="s">
        <v>1560</v>
      </c>
      <c r="E11" s="1366" t="s">
        <v>1561</v>
      </c>
      <c r="F11" s="1373"/>
      <c r="G11" s="2577">
        <v>18177751</v>
      </c>
      <c r="H11" s="2578">
        <f>G11/G10</f>
        <v>0.79731017075645716</v>
      </c>
      <c r="I11" s="1366">
        <v>20674926</v>
      </c>
      <c r="J11" s="2578">
        <f>I11/I10</f>
        <v>0.75354458802157587</v>
      </c>
      <c r="K11" s="1366">
        <v>23181997</v>
      </c>
      <c r="L11" s="2578">
        <f>K11/K10</f>
        <v>0.84070678709618274</v>
      </c>
      <c r="M11" s="1366">
        <v>25390150</v>
      </c>
      <c r="N11" s="2578">
        <f>M11/M10</f>
        <v>0.80772799292232134</v>
      </c>
      <c r="O11" s="2571">
        <v>26756649</v>
      </c>
      <c r="P11" s="4372">
        <v>0.74399999999999999</v>
      </c>
      <c r="Q11" s="1057"/>
      <c r="R11" s="1057"/>
      <c r="S11" s="1057"/>
      <c r="T11" s="2381"/>
      <c r="U11" s="2378" t="s">
        <v>1560</v>
      </c>
      <c r="X11" s="2386">
        <v>18476516</v>
      </c>
      <c r="Y11" s="2579">
        <f>X11/X10</f>
        <v>0.78515528523594036</v>
      </c>
      <c r="Z11" s="2386">
        <v>21054957</v>
      </c>
      <c r="AA11" s="2579">
        <f>Z11/Z10</f>
        <v>0.83008563717886052</v>
      </c>
      <c r="AB11" s="2386">
        <v>23655046</v>
      </c>
      <c r="AC11" s="2579">
        <f>AB11/AB10</f>
        <v>0.70187623414237665</v>
      </c>
      <c r="AD11" s="2386">
        <v>26333353</v>
      </c>
      <c r="AE11" s="2580">
        <f>AD11/AD10</f>
        <v>0.72746540555761463</v>
      </c>
      <c r="AF11" s="3810">
        <v>26302428</v>
      </c>
      <c r="AG11" s="2580" t="s">
        <v>1562</v>
      </c>
    </row>
    <row r="12" spans="1:33" s="88" customFormat="1" ht="15.75" customHeight="1" x14ac:dyDescent="0.2">
      <c r="A12" s="860"/>
      <c r="B12" s="836"/>
      <c r="C12" s="836"/>
      <c r="D12" s="2378" t="s">
        <v>1563</v>
      </c>
      <c r="E12" s="2577">
        <v>19533498</v>
      </c>
      <c r="F12" s="1373"/>
      <c r="G12" s="2577">
        <v>16228462</v>
      </c>
      <c r="H12" s="2577"/>
      <c r="I12" s="2577">
        <v>15863558</v>
      </c>
      <c r="J12" s="2577"/>
      <c r="K12" s="2577">
        <v>17919966</v>
      </c>
      <c r="L12" s="2577"/>
      <c r="M12" s="2577">
        <v>18654771</v>
      </c>
      <c r="N12" s="2577"/>
      <c r="O12" s="2571">
        <v>17671615</v>
      </c>
      <c r="P12" s="2572"/>
      <c r="Q12" s="2581"/>
      <c r="R12" s="2581"/>
      <c r="S12" s="2581"/>
      <c r="T12" s="2582"/>
      <c r="U12" s="2583" t="s">
        <v>1564</v>
      </c>
      <c r="V12" s="2584"/>
      <c r="W12" s="2584"/>
      <c r="X12" s="2585">
        <v>8882734</v>
      </c>
      <c r="Y12" s="2585"/>
      <c r="Z12" s="2585">
        <v>10186795</v>
      </c>
      <c r="AA12" s="2585"/>
      <c r="AB12" s="2585">
        <v>13664914</v>
      </c>
      <c r="AC12" s="2585"/>
      <c r="AD12" s="2585">
        <v>15296759</v>
      </c>
      <c r="AE12" s="2586"/>
      <c r="AF12" s="2585">
        <v>12063759</v>
      </c>
      <c r="AG12" s="2586"/>
    </row>
    <row r="13" spans="1:33" s="2410" customFormat="1" ht="15.75" customHeight="1" x14ac:dyDescent="0.2">
      <c r="A13" s="2407"/>
      <c r="B13" s="2408"/>
      <c r="C13" s="2408"/>
      <c r="D13" s="2378" t="s">
        <v>1565</v>
      </c>
      <c r="E13" s="2587"/>
      <c r="F13" s="2578">
        <f>E12/E10</f>
        <v>0.86015972767279025</v>
      </c>
      <c r="G13" s="2587"/>
      <c r="H13" s="2578">
        <f>G12/G10</f>
        <v>0.71181070795472312</v>
      </c>
      <c r="I13" s="2587"/>
      <c r="J13" s="2578">
        <f>I12/I10</f>
        <v>0.57818336460630504</v>
      </c>
      <c r="K13" s="2587"/>
      <c r="L13" s="2578">
        <f>K12/K10</f>
        <v>0.64987658486595579</v>
      </c>
      <c r="M13" s="2587"/>
      <c r="N13" s="2578">
        <f>M12/M10</f>
        <v>0.59345772822356402</v>
      </c>
      <c r="O13" s="2588"/>
      <c r="P13" s="2589">
        <v>0.49199999999999999</v>
      </c>
      <c r="Q13" s="1057"/>
      <c r="R13" s="1057"/>
      <c r="S13" s="1057"/>
      <c r="T13" s="2381"/>
      <c r="U13" s="2378" t="s">
        <v>1566</v>
      </c>
      <c r="V13" s="2590"/>
      <c r="W13" s="88"/>
      <c r="X13" s="2591"/>
      <c r="Y13" s="2579">
        <f>X12/X10</f>
        <v>0.37746973225065727</v>
      </c>
      <c r="Z13" s="2591"/>
      <c r="AA13" s="2579">
        <f>Z12/Z10</f>
        <v>0.40161146937442954</v>
      </c>
      <c r="AB13" s="2591"/>
      <c r="AC13" s="2579">
        <f>AB12/AB10</f>
        <v>0.40545591744778009</v>
      </c>
      <c r="AD13" s="2591"/>
      <c r="AE13" s="2580">
        <f>AD12/AD10</f>
        <v>0.42257675996110683</v>
      </c>
      <c r="AF13" s="3811"/>
      <c r="AG13" s="2580" t="s">
        <v>1567</v>
      </c>
    </row>
    <row r="14" spans="1:33" s="2410" customFormat="1" ht="15.75" customHeight="1" x14ac:dyDescent="0.2">
      <c r="A14" s="2407"/>
      <c r="B14" s="437"/>
      <c r="C14" s="437"/>
      <c r="D14" s="2379" t="s">
        <v>1568</v>
      </c>
      <c r="E14" s="2538"/>
      <c r="F14" s="1058" t="s">
        <v>1561</v>
      </c>
      <c r="G14" s="2592"/>
      <c r="H14" s="1058">
        <f>G12/G11</f>
        <v>0.8927651170928681</v>
      </c>
      <c r="I14" s="2592"/>
      <c r="J14" s="1058">
        <f>I12/I11</f>
        <v>0.7672848744416304</v>
      </c>
      <c r="K14" s="2592"/>
      <c r="L14" s="1058">
        <f>K12/K11</f>
        <v>0.77301217837272607</v>
      </c>
      <c r="M14" s="2592"/>
      <c r="N14" s="1058">
        <f>M12/M11</f>
        <v>0.73472472592718041</v>
      </c>
      <c r="O14" s="2592"/>
      <c r="P14" s="4373" t="s">
        <v>1569</v>
      </c>
      <c r="Q14" s="1057"/>
      <c r="R14" s="1057"/>
      <c r="S14" s="1057"/>
      <c r="T14" s="2381"/>
      <c r="U14" s="2378" t="s">
        <v>1568</v>
      </c>
      <c r="V14" s="2590"/>
      <c r="W14" s="88"/>
      <c r="X14" s="2591"/>
      <c r="Y14" s="2579">
        <f>X12/X11</f>
        <v>0.48075806066468374</v>
      </c>
      <c r="Z14" s="2591"/>
      <c r="AA14" s="2579">
        <f>Z12/Z11</f>
        <v>0.48381932102734765</v>
      </c>
      <c r="AB14" s="2591"/>
      <c r="AC14" s="2579">
        <f>AB12/AB11</f>
        <v>0.5776743786505425</v>
      </c>
      <c r="AD14" s="2591"/>
      <c r="AE14" s="2580">
        <v>0.57969999999999999</v>
      </c>
      <c r="AF14" s="3811"/>
      <c r="AG14" s="2580" t="s">
        <v>1570</v>
      </c>
    </row>
    <row r="15" spans="1:33" s="88" customFormat="1" ht="15.75" customHeight="1" x14ac:dyDescent="0.2">
      <c r="A15" s="860"/>
      <c r="B15" s="80"/>
      <c r="C15" s="80"/>
      <c r="D15" s="2593" t="s">
        <v>1571</v>
      </c>
      <c r="E15" s="2398"/>
      <c r="F15" s="2594"/>
      <c r="G15" s="2398"/>
      <c r="H15" s="2594"/>
      <c r="I15" s="2398"/>
      <c r="J15" s="2594"/>
      <c r="K15" s="2398"/>
      <c r="L15" s="2594"/>
      <c r="M15" s="2398"/>
      <c r="N15" s="2595"/>
      <c r="O15" s="2398"/>
      <c r="P15" s="2595"/>
      <c r="Q15" s="2566"/>
      <c r="R15" s="2566"/>
      <c r="S15" s="2566"/>
      <c r="T15" s="2566"/>
      <c r="U15" s="2596" t="s">
        <v>1572</v>
      </c>
      <c r="V15" s="404"/>
      <c r="W15" s="2597"/>
      <c r="X15" s="1193">
        <v>2000</v>
      </c>
      <c r="Y15" s="2598" t="s">
        <v>389</v>
      </c>
      <c r="Z15" s="1193">
        <v>2006</v>
      </c>
      <c r="AA15" s="2598" t="s">
        <v>389</v>
      </c>
      <c r="AB15" s="2598">
        <v>2011</v>
      </c>
      <c r="AC15" s="2598" t="s">
        <v>389</v>
      </c>
      <c r="AD15" s="2598">
        <v>2016</v>
      </c>
      <c r="AE15" s="2599" t="s">
        <v>389</v>
      </c>
      <c r="AF15" s="3812">
        <v>2021</v>
      </c>
      <c r="AG15" s="3813" t="s">
        <v>389</v>
      </c>
    </row>
    <row r="16" spans="1:33" s="88" customFormat="1" ht="15.75" customHeight="1" x14ac:dyDescent="0.2">
      <c r="A16" s="860"/>
      <c r="B16" s="80"/>
      <c r="C16" s="80"/>
      <c r="D16" s="2378" t="s">
        <v>1573</v>
      </c>
      <c r="E16" s="1366"/>
      <c r="F16" s="2587"/>
      <c r="G16" s="1366">
        <v>11768544</v>
      </c>
      <c r="H16" s="2587"/>
      <c r="I16" s="1366">
        <v>14162663</v>
      </c>
      <c r="J16" s="2600"/>
      <c r="K16" s="1366">
        <v>13923366.001898218</v>
      </c>
      <c r="L16" s="2600"/>
      <c r="M16" s="1366">
        <v>15749520</v>
      </c>
      <c r="N16" s="2601"/>
      <c r="O16" s="1366">
        <v>15851354</v>
      </c>
      <c r="P16" s="2601"/>
      <c r="Q16" s="1353"/>
      <c r="R16" s="1353"/>
      <c r="S16" s="1353"/>
      <c r="T16" s="1353"/>
      <c r="U16" s="2378" t="s">
        <v>1573</v>
      </c>
      <c r="V16" s="2602"/>
      <c r="W16" s="2410"/>
      <c r="X16" s="2603">
        <v>12147151</v>
      </c>
      <c r="Y16" s="1482"/>
      <c r="Z16" s="2603">
        <v>13093066</v>
      </c>
      <c r="AA16" s="1482"/>
      <c r="AB16" s="2603">
        <v>16498464.006729301</v>
      </c>
      <c r="AC16" s="1482"/>
      <c r="AD16" s="2603">
        <v>17372684.139200009</v>
      </c>
      <c r="AE16" s="2406"/>
      <c r="AF16" s="2603">
        <v>17529735</v>
      </c>
      <c r="AG16" s="3814"/>
    </row>
    <row r="17" spans="1:33" s="88" customFormat="1" ht="15.75" customHeight="1" x14ac:dyDescent="0.2">
      <c r="A17" s="860"/>
      <c r="B17" s="80"/>
      <c r="C17" s="80"/>
      <c r="D17" s="2378" t="s">
        <v>1574</v>
      </c>
      <c r="E17" s="2604"/>
      <c r="F17" s="2587"/>
      <c r="G17" s="1366">
        <v>8667832</v>
      </c>
      <c r="H17" s="2578">
        <f>G17/G16</f>
        <v>0.73652543594177833</v>
      </c>
      <c r="I17" s="1366">
        <v>9193845</v>
      </c>
      <c r="J17" s="2578">
        <f>I17/I16</f>
        <v>0.64916075458407785</v>
      </c>
      <c r="K17" s="1366">
        <v>9253537</v>
      </c>
      <c r="L17" s="2578">
        <f>K17/K16</f>
        <v>0.66460488065446499</v>
      </c>
      <c r="M17" s="1366">
        <v>10236061</v>
      </c>
      <c r="N17" s="2605">
        <f>M17/M16</f>
        <v>0.64992844226363722</v>
      </c>
      <c r="O17" s="1366"/>
      <c r="P17" s="2605"/>
      <c r="Q17" s="1057"/>
      <c r="R17" s="1057"/>
      <c r="S17" s="1057"/>
      <c r="T17" s="2381"/>
      <c r="U17" s="2378" t="s">
        <v>1574</v>
      </c>
      <c r="V17" s="2602"/>
      <c r="W17" s="2410"/>
      <c r="X17" s="2386">
        <v>8327816</v>
      </c>
      <c r="Y17" s="2579">
        <f>X17/X16</f>
        <v>0.68557771283159319</v>
      </c>
      <c r="Z17" s="2386">
        <v>8899915</v>
      </c>
      <c r="AA17" s="2579">
        <f>Z17/Z16</f>
        <v>0.67974262101787308</v>
      </c>
      <c r="AB17" s="2386">
        <v>9820251</v>
      </c>
      <c r="AC17" s="2579">
        <f>AB17/AB16</f>
        <v>0.59522213679979974</v>
      </c>
      <c r="AD17" s="2386">
        <v>10321966</v>
      </c>
      <c r="AE17" s="2580">
        <f>AD17/AD16</f>
        <v>0.59414917794477984</v>
      </c>
      <c r="AF17" s="3810"/>
      <c r="AG17" s="2580"/>
    </row>
    <row r="18" spans="1:33" s="88" customFormat="1" ht="15.75" customHeight="1" x14ac:dyDescent="0.2">
      <c r="A18" s="860"/>
      <c r="B18" s="80"/>
      <c r="C18" s="80"/>
      <c r="D18" s="280" t="s">
        <v>1575</v>
      </c>
      <c r="E18" s="2606"/>
      <c r="F18" s="2607"/>
      <c r="G18" s="2608"/>
      <c r="H18" s="2607"/>
      <c r="I18" s="2608"/>
      <c r="J18" s="2609"/>
      <c r="K18" s="2608"/>
      <c r="L18" s="2609"/>
      <c r="M18" s="2608"/>
      <c r="N18" s="2610"/>
      <c r="O18" s="2608"/>
      <c r="P18" s="2610"/>
      <c r="Q18" s="2563"/>
      <c r="R18" s="2563"/>
      <c r="S18" s="2563"/>
      <c r="T18" s="2563"/>
      <c r="U18" s="2378" t="s">
        <v>1576</v>
      </c>
      <c r="W18" s="2410"/>
      <c r="X18" s="1482"/>
      <c r="Y18" s="2591"/>
      <c r="Z18" s="2386">
        <v>3169752</v>
      </c>
      <c r="AA18" s="2579"/>
      <c r="AB18" s="2386">
        <v>4681600</v>
      </c>
      <c r="AC18" s="2579"/>
      <c r="AD18" s="2386">
        <v>5682922.2146270555</v>
      </c>
      <c r="AE18" s="2580"/>
      <c r="AF18" s="3810">
        <v>2895302</v>
      </c>
      <c r="AG18" s="2580"/>
    </row>
    <row r="19" spans="1:33" s="2410" customFormat="1" ht="15.75" customHeight="1" x14ac:dyDescent="0.2">
      <c r="A19" s="2407"/>
      <c r="B19" s="2408"/>
      <c r="C19" s="2408"/>
      <c r="D19" s="2611"/>
      <c r="U19" s="2378" t="s">
        <v>1577</v>
      </c>
      <c r="V19" s="2590"/>
      <c r="X19" s="2591"/>
      <c r="Y19" s="2612"/>
      <c r="Z19" s="2591"/>
      <c r="AA19" s="2579">
        <f>Z18/Z16</f>
        <v>0.24209394499347975</v>
      </c>
      <c r="AB19" s="2591"/>
      <c r="AC19" s="2579">
        <f>AB18/AB16</f>
        <v>0.28375974867057291</v>
      </c>
      <c r="AD19" s="2591"/>
      <c r="AE19" s="2580">
        <f>AD18/AD16</f>
        <v>0.32711826043069631</v>
      </c>
      <c r="AF19" s="3811"/>
      <c r="AG19" s="2580">
        <v>0.24</v>
      </c>
    </row>
    <row r="20" spans="1:33" ht="22.5" x14ac:dyDescent="0.2">
      <c r="U20" s="280" t="s">
        <v>1578</v>
      </c>
      <c r="V20" s="2613"/>
      <c r="W20" s="2614"/>
      <c r="X20" s="2607"/>
      <c r="Y20" s="2615"/>
      <c r="Z20" s="2607"/>
      <c r="AA20" s="2608">
        <f>Z18/Z17</f>
        <v>0.35615531159567254</v>
      </c>
      <c r="AB20" s="2607"/>
      <c r="AC20" s="2608">
        <f>AB18/AB17</f>
        <v>0.47672915895937895</v>
      </c>
      <c r="AD20" s="2607"/>
      <c r="AE20" s="2616">
        <f>AD18/AD17</f>
        <v>0.55056587229865472</v>
      </c>
      <c r="AF20" s="3815"/>
      <c r="AG20" s="2616">
        <v>0.36799999999999999</v>
      </c>
    </row>
    <row r="21" spans="1:33" x14ac:dyDescent="0.2">
      <c r="U21" s="2617"/>
      <c r="V21" s="2618"/>
      <c r="Y21" s="2618"/>
      <c r="AA21" s="2618"/>
    </row>
    <row r="22" spans="1:33" s="508" customFormat="1" ht="14.25" customHeight="1" x14ac:dyDescent="0.2">
      <c r="A22" s="509">
        <v>6</v>
      </c>
      <c r="B22" s="509" t="s">
        <v>52</v>
      </c>
      <c r="C22" s="509"/>
      <c r="D22" s="4603" t="s">
        <v>1579</v>
      </c>
      <c r="E22" s="4604"/>
      <c r="F22" s="4604"/>
      <c r="G22" s="4604"/>
      <c r="H22" s="4604"/>
      <c r="I22" s="4604"/>
      <c r="J22" s="4604"/>
      <c r="K22" s="4604"/>
      <c r="L22" s="4604"/>
      <c r="M22" s="4604"/>
      <c r="N22" s="4604"/>
      <c r="O22" s="4604"/>
      <c r="P22" s="4604"/>
      <c r="Q22" s="4604"/>
      <c r="R22" s="4604"/>
      <c r="S22" s="4604"/>
      <c r="T22" s="4604"/>
      <c r="U22" s="4604"/>
      <c r="V22" s="4604"/>
      <c r="W22" s="4604"/>
      <c r="X22" s="4604"/>
      <c r="Y22" s="4604"/>
      <c r="Z22" s="4604"/>
      <c r="AA22" s="4604"/>
      <c r="AB22" s="4604"/>
      <c r="AC22" s="4604"/>
      <c r="AD22" s="4604"/>
      <c r="AE22" s="4605"/>
    </row>
    <row r="23" spans="1:33" s="508" customFormat="1" ht="27.75" customHeight="1" x14ac:dyDescent="0.2">
      <c r="A23" s="509">
        <v>7</v>
      </c>
      <c r="B23" s="509" t="s">
        <v>54</v>
      </c>
      <c r="C23" s="509"/>
      <c r="D23" s="4603" t="s">
        <v>1580</v>
      </c>
      <c r="E23" s="4604"/>
      <c r="F23" s="4604"/>
      <c r="G23" s="4604"/>
      <c r="H23" s="4604"/>
      <c r="I23" s="4604"/>
      <c r="J23" s="4604"/>
      <c r="K23" s="4604"/>
      <c r="L23" s="4604"/>
      <c r="M23" s="4604"/>
      <c r="N23" s="4604"/>
      <c r="O23" s="4604"/>
      <c r="P23" s="4604"/>
      <c r="Q23" s="4604"/>
      <c r="R23" s="4604"/>
      <c r="S23" s="4604"/>
      <c r="T23" s="4604"/>
      <c r="U23" s="4604"/>
      <c r="V23" s="4604"/>
      <c r="W23" s="4604"/>
      <c r="X23" s="4604"/>
      <c r="Y23" s="4604"/>
      <c r="Z23" s="4604"/>
      <c r="AA23" s="4604"/>
      <c r="AB23" s="4604"/>
      <c r="AC23" s="4604"/>
      <c r="AD23" s="4604"/>
      <c r="AE23" s="4605"/>
    </row>
    <row r="24" spans="1:33" s="508" customFormat="1" ht="27.75" customHeight="1" x14ac:dyDescent="0.2">
      <c r="A24" s="509">
        <v>8</v>
      </c>
      <c r="B24" s="509" t="s">
        <v>56</v>
      </c>
      <c r="C24" s="509"/>
      <c r="D24" s="4603" t="s">
        <v>1581</v>
      </c>
      <c r="E24" s="4604"/>
      <c r="F24" s="4604"/>
      <c r="G24" s="4604"/>
      <c r="H24" s="4604"/>
      <c r="I24" s="4604"/>
      <c r="J24" s="4604"/>
      <c r="K24" s="4604"/>
      <c r="L24" s="4604"/>
      <c r="M24" s="4604"/>
      <c r="N24" s="4604"/>
      <c r="O24" s="4604"/>
      <c r="P24" s="4604"/>
      <c r="Q24" s="4604"/>
      <c r="R24" s="4604"/>
      <c r="S24" s="4604"/>
      <c r="T24" s="4604"/>
      <c r="U24" s="4604"/>
      <c r="V24" s="4604"/>
      <c r="W24" s="4604"/>
      <c r="X24" s="4604"/>
      <c r="Y24" s="4604"/>
      <c r="Z24" s="4604"/>
      <c r="AA24" s="4604"/>
      <c r="AB24" s="4604"/>
      <c r="AC24" s="4604"/>
      <c r="AD24" s="4604"/>
      <c r="AE24" s="4605"/>
    </row>
    <row r="25" spans="1:33" ht="34.35" customHeight="1" x14ac:dyDescent="0.2">
      <c r="A25" s="203">
        <v>9</v>
      </c>
      <c r="B25" s="509" t="s">
        <v>355</v>
      </c>
      <c r="D25" s="4603" t="s">
        <v>1582</v>
      </c>
      <c r="E25" s="4604"/>
      <c r="F25" s="4604"/>
      <c r="G25" s="4604"/>
      <c r="H25" s="4604"/>
      <c r="I25" s="4604"/>
      <c r="J25" s="4604"/>
      <c r="K25" s="4604"/>
      <c r="L25" s="4604"/>
      <c r="M25" s="4604"/>
      <c r="N25" s="4604"/>
      <c r="O25" s="4604"/>
      <c r="P25" s="4604"/>
      <c r="Q25" s="4604"/>
      <c r="R25" s="4604"/>
      <c r="S25" s="4604"/>
      <c r="T25" s="4604"/>
      <c r="U25" s="4604"/>
      <c r="V25" s="4604"/>
      <c r="W25" s="4604"/>
      <c r="X25" s="4604"/>
      <c r="Y25" s="4604"/>
      <c r="Z25" s="4604"/>
      <c r="AA25" s="4604"/>
      <c r="AB25" s="4604"/>
      <c r="AC25" s="4604"/>
      <c r="AD25" s="4604"/>
      <c r="AE25" s="4605"/>
    </row>
    <row r="31" spans="1:33" ht="15" customHeight="1" x14ac:dyDescent="0.2"/>
    <row r="32" spans="1:33" ht="13.5" customHeight="1" x14ac:dyDescent="0.2"/>
    <row r="33" ht="15" customHeight="1" x14ac:dyDescent="0.2"/>
  </sheetData>
  <mergeCells count="8">
    <mergeCell ref="D24:AE24"/>
    <mergeCell ref="D25:AE25"/>
    <mergeCell ref="D2:AE2"/>
    <mergeCell ref="D3:AE3"/>
    <mergeCell ref="D4:AE4"/>
    <mergeCell ref="D5:AE5"/>
    <mergeCell ref="D22:AE22"/>
    <mergeCell ref="D23:AE23"/>
  </mergeCells>
  <pageMargins left="0.74803149606299202" right="0.74803149606299202" top="0.98425196850393704" bottom="0.98425196850393704" header="0.511811023622047" footer="0.511811023622047"/>
  <pageSetup paperSize="9" scale="44" orientation="landscape" r:id="rId1"/>
  <headerFooter alignWithMargins="0">
    <oddHeader>&amp;C&amp;"-,Bold"DEVELOPMENT INDICATORS 2017</oddHeader>
    <oddFooter>&amp;LDepartment of Planning, Monitoring and Evaluation (DPME). &amp;CPage &amp;P of &amp;N&amp;R&amp;D</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9B1A6-2056-486B-8F15-07155D96D61F}">
  <sheetPr>
    <tabColor theme="5" tint="-0.249977111117893"/>
    <pageSetUpPr fitToPage="1"/>
  </sheetPr>
  <dimension ref="A1:Y41"/>
  <sheetViews>
    <sheetView showGridLines="0" view="pageBreakPreview" topLeftCell="A2" zoomScale="110" zoomScaleNormal="100" zoomScaleSheetLayoutView="110" workbookViewId="0">
      <selection activeCell="M31" sqref="M31"/>
    </sheetView>
  </sheetViews>
  <sheetFormatPr defaultColWidth="9.140625" defaultRowHeight="12" x14ac:dyDescent="0.2"/>
  <cols>
    <col min="1" max="1" width="3.5703125" style="203" customWidth="1"/>
    <col min="2" max="2" width="14.42578125" style="527" customWidth="1"/>
    <col min="3" max="3" width="3.5703125" style="527" customWidth="1"/>
    <col min="4" max="4" width="11.42578125" style="512" customWidth="1"/>
    <col min="5" max="5" width="12" style="512" customWidth="1"/>
    <col min="6" max="6" width="10.85546875" style="2619" customWidth="1"/>
    <col min="7" max="7" width="12.5703125" style="512" customWidth="1"/>
    <col min="8" max="8" width="8.140625" style="2562" customWidth="1"/>
    <col min="9" max="9" width="13.42578125" style="2619" customWidth="1"/>
    <col min="10" max="10" width="12.5703125" style="512" customWidth="1"/>
    <col min="11" max="11" width="8.140625" style="2562" customWidth="1"/>
    <col min="12" max="13" width="10.85546875" style="512" customWidth="1"/>
    <col min="14" max="14" width="8.140625" style="512" customWidth="1"/>
    <col min="15" max="16" width="10.85546875" style="512" customWidth="1"/>
    <col min="17" max="17" width="8.140625" style="512" customWidth="1"/>
    <col min="18" max="18" width="13.42578125" style="512" customWidth="1"/>
    <col min="19" max="19" width="11" style="512" customWidth="1"/>
    <col min="20" max="259" width="9.140625" style="512"/>
    <col min="260" max="260" width="3.5703125" style="512" customWidth="1"/>
    <col min="261" max="261" width="14.42578125" style="512" customWidth="1"/>
    <col min="262" max="262" width="3.5703125" style="512" customWidth="1"/>
    <col min="263" max="263" width="11.42578125" style="512" customWidth="1"/>
    <col min="264" max="264" width="12" style="512" customWidth="1"/>
    <col min="265" max="266" width="10.85546875" style="512" customWidth="1"/>
    <col min="267" max="267" width="8.140625" style="512" customWidth="1"/>
    <col min="268" max="269" width="10.85546875" style="512" customWidth="1"/>
    <col min="270" max="270" width="8.140625" style="512" customWidth="1"/>
    <col min="271" max="272" width="10.85546875" style="512" customWidth="1"/>
    <col min="273" max="273" width="8.140625" style="512" customWidth="1"/>
    <col min="274" max="515" width="9.140625" style="512"/>
    <col min="516" max="516" width="3.5703125" style="512" customWidth="1"/>
    <col min="517" max="517" width="14.42578125" style="512" customWidth="1"/>
    <col min="518" max="518" width="3.5703125" style="512" customWidth="1"/>
    <col min="519" max="519" width="11.42578125" style="512" customWidth="1"/>
    <col min="520" max="520" width="12" style="512" customWidth="1"/>
    <col min="521" max="522" width="10.85546875" style="512" customWidth="1"/>
    <col min="523" max="523" width="8.140625" style="512" customWidth="1"/>
    <col min="524" max="525" width="10.85546875" style="512" customWidth="1"/>
    <col min="526" max="526" width="8.140625" style="512" customWidth="1"/>
    <col min="527" max="528" width="10.85546875" style="512" customWidth="1"/>
    <col min="529" max="529" width="8.140625" style="512" customWidth="1"/>
    <col min="530" max="771" width="9.140625" style="512"/>
    <col min="772" max="772" width="3.5703125" style="512" customWidth="1"/>
    <col min="773" max="773" width="14.42578125" style="512" customWidth="1"/>
    <col min="774" max="774" width="3.5703125" style="512" customWidth="1"/>
    <col min="775" max="775" width="11.42578125" style="512" customWidth="1"/>
    <col min="776" max="776" width="12" style="512" customWidth="1"/>
    <col min="777" max="778" width="10.85546875" style="512" customWidth="1"/>
    <col min="779" max="779" width="8.140625" style="512" customWidth="1"/>
    <col min="780" max="781" width="10.85546875" style="512" customWidth="1"/>
    <col min="782" max="782" width="8.140625" style="512" customWidth="1"/>
    <col min="783" max="784" width="10.85546875" style="512" customWidth="1"/>
    <col min="785" max="785" width="8.140625" style="512" customWidth="1"/>
    <col min="786" max="1027" width="9.140625" style="512"/>
    <col min="1028" max="1028" width="3.5703125" style="512" customWidth="1"/>
    <col min="1029" max="1029" width="14.42578125" style="512" customWidth="1"/>
    <col min="1030" max="1030" width="3.5703125" style="512" customWidth="1"/>
    <col min="1031" max="1031" width="11.42578125" style="512" customWidth="1"/>
    <col min="1032" max="1032" width="12" style="512" customWidth="1"/>
    <col min="1033" max="1034" width="10.85546875" style="512" customWidth="1"/>
    <col min="1035" max="1035" width="8.140625" style="512" customWidth="1"/>
    <col min="1036" max="1037" width="10.85546875" style="512" customWidth="1"/>
    <col min="1038" max="1038" width="8.140625" style="512" customWidth="1"/>
    <col min="1039" max="1040" width="10.85546875" style="512" customWidth="1"/>
    <col min="1041" max="1041" width="8.140625" style="512" customWidth="1"/>
    <col min="1042" max="1283" width="9.140625" style="512"/>
    <col min="1284" max="1284" width="3.5703125" style="512" customWidth="1"/>
    <col min="1285" max="1285" width="14.42578125" style="512" customWidth="1"/>
    <col min="1286" max="1286" width="3.5703125" style="512" customWidth="1"/>
    <col min="1287" max="1287" width="11.42578125" style="512" customWidth="1"/>
    <col min="1288" max="1288" width="12" style="512" customWidth="1"/>
    <col min="1289" max="1290" width="10.85546875" style="512" customWidth="1"/>
    <col min="1291" max="1291" width="8.140625" style="512" customWidth="1"/>
    <col min="1292" max="1293" width="10.85546875" style="512" customWidth="1"/>
    <col min="1294" max="1294" width="8.140625" style="512" customWidth="1"/>
    <col min="1295" max="1296" width="10.85546875" style="512" customWidth="1"/>
    <col min="1297" max="1297" width="8.140625" style="512" customWidth="1"/>
    <col min="1298" max="1539" width="9.140625" style="512"/>
    <col min="1540" max="1540" width="3.5703125" style="512" customWidth="1"/>
    <col min="1541" max="1541" width="14.42578125" style="512" customWidth="1"/>
    <col min="1542" max="1542" width="3.5703125" style="512" customWidth="1"/>
    <col min="1543" max="1543" width="11.42578125" style="512" customWidth="1"/>
    <col min="1544" max="1544" width="12" style="512" customWidth="1"/>
    <col min="1545" max="1546" width="10.85546875" style="512" customWidth="1"/>
    <col min="1547" max="1547" width="8.140625" style="512" customWidth="1"/>
    <col min="1548" max="1549" width="10.85546875" style="512" customWidth="1"/>
    <col min="1550" max="1550" width="8.140625" style="512" customWidth="1"/>
    <col min="1551" max="1552" width="10.85546875" style="512" customWidth="1"/>
    <col min="1553" max="1553" width="8.140625" style="512" customWidth="1"/>
    <col min="1554" max="1795" width="9.140625" style="512"/>
    <col min="1796" max="1796" width="3.5703125" style="512" customWidth="1"/>
    <col min="1797" max="1797" width="14.42578125" style="512" customWidth="1"/>
    <col min="1798" max="1798" width="3.5703125" style="512" customWidth="1"/>
    <col min="1799" max="1799" width="11.42578125" style="512" customWidth="1"/>
    <col min="1800" max="1800" width="12" style="512" customWidth="1"/>
    <col min="1801" max="1802" width="10.85546875" style="512" customWidth="1"/>
    <col min="1803" max="1803" width="8.140625" style="512" customWidth="1"/>
    <col min="1804" max="1805" width="10.85546875" style="512" customWidth="1"/>
    <col min="1806" max="1806" width="8.140625" style="512" customWidth="1"/>
    <col min="1807" max="1808" width="10.85546875" style="512" customWidth="1"/>
    <col min="1809" max="1809" width="8.140625" style="512" customWidth="1"/>
    <col min="1810" max="2051" width="9.140625" style="512"/>
    <col min="2052" max="2052" width="3.5703125" style="512" customWidth="1"/>
    <col min="2053" max="2053" width="14.42578125" style="512" customWidth="1"/>
    <col min="2054" max="2054" width="3.5703125" style="512" customWidth="1"/>
    <col min="2055" max="2055" width="11.42578125" style="512" customWidth="1"/>
    <col min="2056" max="2056" width="12" style="512" customWidth="1"/>
    <col min="2057" max="2058" width="10.85546875" style="512" customWidth="1"/>
    <col min="2059" max="2059" width="8.140625" style="512" customWidth="1"/>
    <col min="2060" max="2061" width="10.85546875" style="512" customWidth="1"/>
    <col min="2062" max="2062" width="8.140625" style="512" customWidth="1"/>
    <col min="2063" max="2064" width="10.85546875" style="512" customWidth="1"/>
    <col min="2065" max="2065" width="8.140625" style="512" customWidth="1"/>
    <col min="2066" max="2307" width="9.140625" style="512"/>
    <col min="2308" max="2308" width="3.5703125" style="512" customWidth="1"/>
    <col min="2309" max="2309" width="14.42578125" style="512" customWidth="1"/>
    <col min="2310" max="2310" width="3.5703125" style="512" customWidth="1"/>
    <col min="2311" max="2311" width="11.42578125" style="512" customWidth="1"/>
    <col min="2312" max="2312" width="12" style="512" customWidth="1"/>
    <col min="2313" max="2314" width="10.85546875" style="512" customWidth="1"/>
    <col min="2315" max="2315" width="8.140625" style="512" customWidth="1"/>
    <col min="2316" max="2317" width="10.85546875" style="512" customWidth="1"/>
    <col min="2318" max="2318" width="8.140625" style="512" customWidth="1"/>
    <col min="2319" max="2320" width="10.85546875" style="512" customWidth="1"/>
    <col min="2321" max="2321" width="8.140625" style="512" customWidth="1"/>
    <col min="2322" max="2563" width="9.140625" style="512"/>
    <col min="2564" max="2564" width="3.5703125" style="512" customWidth="1"/>
    <col min="2565" max="2565" width="14.42578125" style="512" customWidth="1"/>
    <col min="2566" max="2566" width="3.5703125" style="512" customWidth="1"/>
    <col min="2567" max="2567" width="11.42578125" style="512" customWidth="1"/>
    <col min="2568" max="2568" width="12" style="512" customWidth="1"/>
    <col min="2569" max="2570" width="10.85546875" style="512" customWidth="1"/>
    <col min="2571" max="2571" width="8.140625" style="512" customWidth="1"/>
    <col min="2572" max="2573" width="10.85546875" style="512" customWidth="1"/>
    <col min="2574" max="2574" width="8.140625" style="512" customWidth="1"/>
    <col min="2575" max="2576" width="10.85546875" style="512" customWidth="1"/>
    <col min="2577" max="2577" width="8.140625" style="512" customWidth="1"/>
    <col min="2578" max="2819" width="9.140625" style="512"/>
    <col min="2820" max="2820" width="3.5703125" style="512" customWidth="1"/>
    <col min="2821" max="2821" width="14.42578125" style="512" customWidth="1"/>
    <col min="2822" max="2822" width="3.5703125" style="512" customWidth="1"/>
    <col min="2823" max="2823" width="11.42578125" style="512" customWidth="1"/>
    <col min="2824" max="2824" width="12" style="512" customWidth="1"/>
    <col min="2825" max="2826" width="10.85546875" style="512" customWidth="1"/>
    <col min="2827" max="2827" width="8.140625" style="512" customWidth="1"/>
    <col min="2828" max="2829" width="10.85546875" style="512" customWidth="1"/>
    <col min="2830" max="2830" width="8.140625" style="512" customWidth="1"/>
    <col min="2831" max="2832" width="10.85546875" style="512" customWidth="1"/>
    <col min="2833" max="2833" width="8.140625" style="512" customWidth="1"/>
    <col min="2834" max="3075" width="9.140625" style="512"/>
    <col min="3076" max="3076" width="3.5703125" style="512" customWidth="1"/>
    <col min="3077" max="3077" width="14.42578125" style="512" customWidth="1"/>
    <col min="3078" max="3078" width="3.5703125" style="512" customWidth="1"/>
    <col min="3079" max="3079" width="11.42578125" style="512" customWidth="1"/>
    <col min="3080" max="3080" width="12" style="512" customWidth="1"/>
    <col min="3081" max="3082" width="10.85546875" style="512" customWidth="1"/>
    <col min="3083" max="3083" width="8.140625" style="512" customWidth="1"/>
    <col min="3084" max="3085" width="10.85546875" style="512" customWidth="1"/>
    <col min="3086" max="3086" width="8.140625" style="512" customWidth="1"/>
    <col min="3087" max="3088" width="10.85546875" style="512" customWidth="1"/>
    <col min="3089" max="3089" width="8.140625" style="512" customWidth="1"/>
    <col min="3090" max="3331" width="9.140625" style="512"/>
    <col min="3332" max="3332" width="3.5703125" style="512" customWidth="1"/>
    <col min="3333" max="3333" width="14.42578125" style="512" customWidth="1"/>
    <col min="3334" max="3334" width="3.5703125" style="512" customWidth="1"/>
    <col min="3335" max="3335" width="11.42578125" style="512" customWidth="1"/>
    <col min="3336" max="3336" width="12" style="512" customWidth="1"/>
    <col min="3337" max="3338" width="10.85546875" style="512" customWidth="1"/>
    <col min="3339" max="3339" width="8.140625" style="512" customWidth="1"/>
    <col min="3340" max="3341" width="10.85546875" style="512" customWidth="1"/>
    <col min="3342" max="3342" width="8.140625" style="512" customWidth="1"/>
    <col min="3343" max="3344" width="10.85546875" style="512" customWidth="1"/>
    <col min="3345" max="3345" width="8.140625" style="512" customWidth="1"/>
    <col min="3346" max="3587" width="9.140625" style="512"/>
    <col min="3588" max="3588" width="3.5703125" style="512" customWidth="1"/>
    <col min="3589" max="3589" width="14.42578125" style="512" customWidth="1"/>
    <col min="3590" max="3590" width="3.5703125" style="512" customWidth="1"/>
    <col min="3591" max="3591" width="11.42578125" style="512" customWidth="1"/>
    <col min="3592" max="3592" width="12" style="512" customWidth="1"/>
    <col min="3593" max="3594" width="10.85546875" style="512" customWidth="1"/>
    <col min="3595" max="3595" width="8.140625" style="512" customWidth="1"/>
    <col min="3596" max="3597" width="10.85546875" style="512" customWidth="1"/>
    <col min="3598" max="3598" width="8.140625" style="512" customWidth="1"/>
    <col min="3599" max="3600" width="10.85546875" style="512" customWidth="1"/>
    <col min="3601" max="3601" width="8.140625" style="512" customWidth="1"/>
    <col min="3602" max="3843" width="9.140625" style="512"/>
    <col min="3844" max="3844" width="3.5703125" style="512" customWidth="1"/>
    <col min="3845" max="3845" width="14.42578125" style="512" customWidth="1"/>
    <col min="3846" max="3846" width="3.5703125" style="512" customWidth="1"/>
    <col min="3847" max="3847" width="11.42578125" style="512" customWidth="1"/>
    <col min="3848" max="3848" width="12" style="512" customWidth="1"/>
    <col min="3849" max="3850" width="10.85546875" style="512" customWidth="1"/>
    <col min="3851" max="3851" width="8.140625" style="512" customWidth="1"/>
    <col min="3852" max="3853" width="10.85546875" style="512" customWidth="1"/>
    <col min="3854" max="3854" width="8.140625" style="512" customWidth="1"/>
    <col min="3855" max="3856" width="10.85546875" style="512" customWidth="1"/>
    <col min="3857" max="3857" width="8.140625" style="512" customWidth="1"/>
    <col min="3858" max="4099" width="9.140625" style="512"/>
    <col min="4100" max="4100" width="3.5703125" style="512" customWidth="1"/>
    <col min="4101" max="4101" width="14.42578125" style="512" customWidth="1"/>
    <col min="4102" max="4102" width="3.5703125" style="512" customWidth="1"/>
    <col min="4103" max="4103" width="11.42578125" style="512" customWidth="1"/>
    <col min="4104" max="4104" width="12" style="512" customWidth="1"/>
    <col min="4105" max="4106" width="10.85546875" style="512" customWidth="1"/>
    <col min="4107" max="4107" width="8.140625" style="512" customWidth="1"/>
    <col min="4108" max="4109" width="10.85546875" style="512" customWidth="1"/>
    <col min="4110" max="4110" width="8.140625" style="512" customWidth="1"/>
    <col min="4111" max="4112" width="10.85546875" style="512" customWidth="1"/>
    <col min="4113" max="4113" width="8.140625" style="512" customWidth="1"/>
    <col min="4114" max="4355" width="9.140625" style="512"/>
    <col min="4356" max="4356" width="3.5703125" style="512" customWidth="1"/>
    <col min="4357" max="4357" width="14.42578125" style="512" customWidth="1"/>
    <col min="4358" max="4358" width="3.5703125" style="512" customWidth="1"/>
    <col min="4359" max="4359" width="11.42578125" style="512" customWidth="1"/>
    <col min="4360" max="4360" width="12" style="512" customWidth="1"/>
    <col min="4361" max="4362" width="10.85546875" style="512" customWidth="1"/>
    <col min="4363" max="4363" width="8.140625" style="512" customWidth="1"/>
    <col min="4364" max="4365" width="10.85546875" style="512" customWidth="1"/>
    <col min="4366" max="4366" width="8.140625" style="512" customWidth="1"/>
    <col min="4367" max="4368" width="10.85546875" style="512" customWidth="1"/>
    <col min="4369" max="4369" width="8.140625" style="512" customWidth="1"/>
    <col min="4370" max="4611" width="9.140625" style="512"/>
    <col min="4612" max="4612" width="3.5703125" style="512" customWidth="1"/>
    <col min="4613" max="4613" width="14.42578125" style="512" customWidth="1"/>
    <col min="4614" max="4614" width="3.5703125" style="512" customWidth="1"/>
    <col min="4615" max="4615" width="11.42578125" style="512" customWidth="1"/>
    <col min="4616" max="4616" width="12" style="512" customWidth="1"/>
    <col min="4617" max="4618" width="10.85546875" style="512" customWidth="1"/>
    <col min="4619" max="4619" width="8.140625" style="512" customWidth="1"/>
    <col min="4620" max="4621" width="10.85546875" style="512" customWidth="1"/>
    <col min="4622" max="4622" width="8.140625" style="512" customWidth="1"/>
    <col min="4623" max="4624" width="10.85546875" style="512" customWidth="1"/>
    <col min="4625" max="4625" width="8.140625" style="512" customWidth="1"/>
    <col min="4626" max="4867" width="9.140625" style="512"/>
    <col min="4868" max="4868" width="3.5703125" style="512" customWidth="1"/>
    <col min="4869" max="4869" width="14.42578125" style="512" customWidth="1"/>
    <col min="4870" max="4870" width="3.5703125" style="512" customWidth="1"/>
    <col min="4871" max="4871" width="11.42578125" style="512" customWidth="1"/>
    <col min="4872" max="4872" width="12" style="512" customWidth="1"/>
    <col min="4873" max="4874" width="10.85546875" style="512" customWidth="1"/>
    <col min="4875" max="4875" width="8.140625" style="512" customWidth="1"/>
    <col min="4876" max="4877" width="10.85546875" style="512" customWidth="1"/>
    <col min="4878" max="4878" width="8.140625" style="512" customWidth="1"/>
    <col min="4879" max="4880" width="10.85546875" style="512" customWidth="1"/>
    <col min="4881" max="4881" width="8.140625" style="512" customWidth="1"/>
    <col min="4882" max="5123" width="9.140625" style="512"/>
    <col min="5124" max="5124" width="3.5703125" style="512" customWidth="1"/>
    <col min="5125" max="5125" width="14.42578125" style="512" customWidth="1"/>
    <col min="5126" max="5126" width="3.5703125" style="512" customWidth="1"/>
    <col min="5127" max="5127" width="11.42578125" style="512" customWidth="1"/>
    <col min="5128" max="5128" width="12" style="512" customWidth="1"/>
    <col min="5129" max="5130" width="10.85546875" style="512" customWidth="1"/>
    <col min="5131" max="5131" width="8.140625" style="512" customWidth="1"/>
    <col min="5132" max="5133" width="10.85546875" style="512" customWidth="1"/>
    <col min="5134" max="5134" width="8.140625" style="512" customWidth="1"/>
    <col min="5135" max="5136" width="10.85546875" style="512" customWidth="1"/>
    <col min="5137" max="5137" width="8.140625" style="512" customWidth="1"/>
    <col min="5138" max="5379" width="9.140625" style="512"/>
    <col min="5380" max="5380" width="3.5703125" style="512" customWidth="1"/>
    <col min="5381" max="5381" width="14.42578125" style="512" customWidth="1"/>
    <col min="5382" max="5382" width="3.5703125" style="512" customWidth="1"/>
    <col min="5383" max="5383" width="11.42578125" style="512" customWidth="1"/>
    <col min="5384" max="5384" width="12" style="512" customWidth="1"/>
    <col min="5385" max="5386" width="10.85546875" style="512" customWidth="1"/>
    <col min="5387" max="5387" width="8.140625" style="512" customWidth="1"/>
    <col min="5388" max="5389" width="10.85546875" style="512" customWidth="1"/>
    <col min="5390" max="5390" width="8.140625" style="512" customWidth="1"/>
    <col min="5391" max="5392" width="10.85546875" style="512" customWidth="1"/>
    <col min="5393" max="5393" width="8.140625" style="512" customWidth="1"/>
    <col min="5394" max="5635" width="9.140625" style="512"/>
    <col min="5636" max="5636" width="3.5703125" style="512" customWidth="1"/>
    <col min="5637" max="5637" width="14.42578125" style="512" customWidth="1"/>
    <col min="5638" max="5638" width="3.5703125" style="512" customWidth="1"/>
    <col min="5639" max="5639" width="11.42578125" style="512" customWidth="1"/>
    <col min="5640" max="5640" width="12" style="512" customWidth="1"/>
    <col min="5641" max="5642" width="10.85546875" style="512" customWidth="1"/>
    <col min="5643" max="5643" width="8.140625" style="512" customWidth="1"/>
    <col min="5644" max="5645" width="10.85546875" style="512" customWidth="1"/>
    <col min="5646" max="5646" width="8.140625" style="512" customWidth="1"/>
    <col min="5647" max="5648" width="10.85546875" style="512" customWidth="1"/>
    <col min="5649" max="5649" width="8.140625" style="512" customWidth="1"/>
    <col min="5650" max="5891" width="9.140625" style="512"/>
    <col min="5892" max="5892" width="3.5703125" style="512" customWidth="1"/>
    <col min="5893" max="5893" width="14.42578125" style="512" customWidth="1"/>
    <col min="5894" max="5894" width="3.5703125" style="512" customWidth="1"/>
    <col min="5895" max="5895" width="11.42578125" style="512" customWidth="1"/>
    <col min="5896" max="5896" width="12" style="512" customWidth="1"/>
    <col min="5897" max="5898" width="10.85546875" style="512" customWidth="1"/>
    <col min="5899" max="5899" width="8.140625" style="512" customWidth="1"/>
    <col min="5900" max="5901" width="10.85546875" style="512" customWidth="1"/>
    <col min="5902" max="5902" width="8.140625" style="512" customWidth="1"/>
    <col min="5903" max="5904" width="10.85546875" style="512" customWidth="1"/>
    <col min="5905" max="5905" width="8.140625" style="512" customWidth="1"/>
    <col min="5906" max="6147" width="9.140625" style="512"/>
    <col min="6148" max="6148" width="3.5703125" style="512" customWidth="1"/>
    <col min="6149" max="6149" width="14.42578125" style="512" customWidth="1"/>
    <col min="6150" max="6150" width="3.5703125" style="512" customWidth="1"/>
    <col min="6151" max="6151" width="11.42578125" style="512" customWidth="1"/>
    <col min="6152" max="6152" width="12" style="512" customWidth="1"/>
    <col min="6153" max="6154" width="10.85546875" style="512" customWidth="1"/>
    <col min="6155" max="6155" width="8.140625" style="512" customWidth="1"/>
    <col min="6156" max="6157" width="10.85546875" style="512" customWidth="1"/>
    <col min="6158" max="6158" width="8.140625" style="512" customWidth="1"/>
    <col min="6159" max="6160" width="10.85546875" style="512" customWidth="1"/>
    <col min="6161" max="6161" width="8.140625" style="512" customWidth="1"/>
    <col min="6162" max="6403" width="9.140625" style="512"/>
    <col min="6404" max="6404" width="3.5703125" style="512" customWidth="1"/>
    <col min="6405" max="6405" width="14.42578125" style="512" customWidth="1"/>
    <col min="6406" max="6406" width="3.5703125" style="512" customWidth="1"/>
    <col min="6407" max="6407" width="11.42578125" style="512" customWidth="1"/>
    <col min="6408" max="6408" width="12" style="512" customWidth="1"/>
    <col min="6409" max="6410" width="10.85546875" style="512" customWidth="1"/>
    <col min="6411" max="6411" width="8.140625" style="512" customWidth="1"/>
    <col min="6412" max="6413" width="10.85546875" style="512" customWidth="1"/>
    <col min="6414" max="6414" width="8.140625" style="512" customWidth="1"/>
    <col min="6415" max="6416" width="10.85546875" style="512" customWidth="1"/>
    <col min="6417" max="6417" width="8.140625" style="512" customWidth="1"/>
    <col min="6418" max="6659" width="9.140625" style="512"/>
    <col min="6660" max="6660" width="3.5703125" style="512" customWidth="1"/>
    <col min="6661" max="6661" width="14.42578125" style="512" customWidth="1"/>
    <col min="6662" max="6662" width="3.5703125" style="512" customWidth="1"/>
    <col min="6663" max="6663" width="11.42578125" style="512" customWidth="1"/>
    <col min="6664" max="6664" width="12" style="512" customWidth="1"/>
    <col min="6665" max="6666" width="10.85546875" style="512" customWidth="1"/>
    <col min="6667" max="6667" width="8.140625" style="512" customWidth="1"/>
    <col min="6668" max="6669" width="10.85546875" style="512" customWidth="1"/>
    <col min="6670" max="6670" width="8.140625" style="512" customWidth="1"/>
    <col min="6671" max="6672" width="10.85546875" style="512" customWidth="1"/>
    <col min="6673" max="6673" width="8.140625" style="512" customWidth="1"/>
    <col min="6674" max="6915" width="9.140625" style="512"/>
    <col min="6916" max="6916" width="3.5703125" style="512" customWidth="1"/>
    <col min="6917" max="6917" width="14.42578125" style="512" customWidth="1"/>
    <col min="6918" max="6918" width="3.5703125" style="512" customWidth="1"/>
    <col min="6919" max="6919" width="11.42578125" style="512" customWidth="1"/>
    <col min="6920" max="6920" width="12" style="512" customWidth="1"/>
    <col min="6921" max="6922" width="10.85546875" style="512" customWidth="1"/>
    <col min="6923" max="6923" width="8.140625" style="512" customWidth="1"/>
    <col min="6924" max="6925" width="10.85546875" style="512" customWidth="1"/>
    <col min="6926" max="6926" width="8.140625" style="512" customWidth="1"/>
    <col min="6927" max="6928" width="10.85546875" style="512" customWidth="1"/>
    <col min="6929" max="6929" width="8.140625" style="512" customWidth="1"/>
    <col min="6930" max="7171" width="9.140625" style="512"/>
    <col min="7172" max="7172" width="3.5703125" style="512" customWidth="1"/>
    <col min="7173" max="7173" width="14.42578125" style="512" customWidth="1"/>
    <col min="7174" max="7174" width="3.5703125" style="512" customWidth="1"/>
    <col min="7175" max="7175" width="11.42578125" style="512" customWidth="1"/>
    <col min="7176" max="7176" width="12" style="512" customWidth="1"/>
    <col min="7177" max="7178" width="10.85546875" style="512" customWidth="1"/>
    <col min="7179" max="7179" width="8.140625" style="512" customWidth="1"/>
    <col min="7180" max="7181" width="10.85546875" style="512" customWidth="1"/>
    <col min="7182" max="7182" width="8.140625" style="512" customWidth="1"/>
    <col min="7183" max="7184" width="10.85546875" style="512" customWidth="1"/>
    <col min="7185" max="7185" width="8.140625" style="512" customWidth="1"/>
    <col min="7186" max="7427" width="9.140625" style="512"/>
    <col min="7428" max="7428" width="3.5703125" style="512" customWidth="1"/>
    <col min="7429" max="7429" width="14.42578125" style="512" customWidth="1"/>
    <col min="7430" max="7430" width="3.5703125" style="512" customWidth="1"/>
    <col min="7431" max="7431" width="11.42578125" style="512" customWidth="1"/>
    <col min="7432" max="7432" width="12" style="512" customWidth="1"/>
    <col min="7433" max="7434" width="10.85546875" style="512" customWidth="1"/>
    <col min="7435" max="7435" width="8.140625" style="512" customWidth="1"/>
    <col min="7436" max="7437" width="10.85546875" style="512" customWidth="1"/>
    <col min="7438" max="7438" width="8.140625" style="512" customWidth="1"/>
    <col min="7439" max="7440" width="10.85546875" style="512" customWidth="1"/>
    <col min="7441" max="7441" width="8.140625" style="512" customWidth="1"/>
    <col min="7442" max="7683" width="9.140625" style="512"/>
    <col min="7684" max="7684" width="3.5703125" style="512" customWidth="1"/>
    <col min="7685" max="7685" width="14.42578125" style="512" customWidth="1"/>
    <col min="7686" max="7686" width="3.5703125" style="512" customWidth="1"/>
    <col min="7687" max="7687" width="11.42578125" style="512" customWidth="1"/>
    <col min="7688" max="7688" width="12" style="512" customWidth="1"/>
    <col min="7689" max="7690" width="10.85546875" style="512" customWidth="1"/>
    <col min="7691" max="7691" width="8.140625" style="512" customWidth="1"/>
    <col min="7692" max="7693" width="10.85546875" style="512" customWidth="1"/>
    <col min="7694" max="7694" width="8.140625" style="512" customWidth="1"/>
    <col min="7695" max="7696" width="10.85546875" style="512" customWidth="1"/>
    <col min="7697" max="7697" width="8.140625" style="512" customWidth="1"/>
    <col min="7698" max="7939" width="9.140625" style="512"/>
    <col min="7940" max="7940" width="3.5703125" style="512" customWidth="1"/>
    <col min="7941" max="7941" width="14.42578125" style="512" customWidth="1"/>
    <col min="7942" max="7942" width="3.5703125" style="512" customWidth="1"/>
    <col min="7943" max="7943" width="11.42578125" style="512" customWidth="1"/>
    <col min="7944" max="7944" width="12" style="512" customWidth="1"/>
    <col min="7945" max="7946" width="10.85546875" style="512" customWidth="1"/>
    <col min="7947" max="7947" width="8.140625" style="512" customWidth="1"/>
    <col min="7948" max="7949" width="10.85546875" style="512" customWidth="1"/>
    <col min="7950" max="7950" width="8.140625" style="512" customWidth="1"/>
    <col min="7951" max="7952" width="10.85546875" style="512" customWidth="1"/>
    <col min="7953" max="7953" width="8.140625" style="512" customWidth="1"/>
    <col min="7954" max="8195" width="9.140625" style="512"/>
    <col min="8196" max="8196" width="3.5703125" style="512" customWidth="1"/>
    <col min="8197" max="8197" width="14.42578125" style="512" customWidth="1"/>
    <col min="8198" max="8198" width="3.5703125" style="512" customWidth="1"/>
    <col min="8199" max="8199" width="11.42578125" style="512" customWidth="1"/>
    <col min="8200" max="8200" width="12" style="512" customWidth="1"/>
    <col min="8201" max="8202" width="10.85546875" style="512" customWidth="1"/>
    <col min="8203" max="8203" width="8.140625" style="512" customWidth="1"/>
    <col min="8204" max="8205" width="10.85546875" style="512" customWidth="1"/>
    <col min="8206" max="8206" width="8.140625" style="512" customWidth="1"/>
    <col min="8207" max="8208" width="10.85546875" style="512" customWidth="1"/>
    <col min="8209" max="8209" width="8.140625" style="512" customWidth="1"/>
    <col min="8210" max="8451" width="9.140625" style="512"/>
    <col min="8452" max="8452" width="3.5703125" style="512" customWidth="1"/>
    <col min="8453" max="8453" width="14.42578125" style="512" customWidth="1"/>
    <col min="8454" max="8454" width="3.5703125" style="512" customWidth="1"/>
    <col min="8455" max="8455" width="11.42578125" style="512" customWidth="1"/>
    <col min="8456" max="8456" width="12" style="512" customWidth="1"/>
    <col min="8457" max="8458" width="10.85546875" style="512" customWidth="1"/>
    <col min="8459" max="8459" width="8.140625" style="512" customWidth="1"/>
    <col min="8460" max="8461" width="10.85546875" style="512" customWidth="1"/>
    <col min="8462" max="8462" width="8.140625" style="512" customWidth="1"/>
    <col min="8463" max="8464" width="10.85546875" style="512" customWidth="1"/>
    <col min="8465" max="8465" width="8.140625" style="512" customWidth="1"/>
    <col min="8466" max="8707" width="9.140625" style="512"/>
    <col min="8708" max="8708" width="3.5703125" style="512" customWidth="1"/>
    <col min="8709" max="8709" width="14.42578125" style="512" customWidth="1"/>
    <col min="8710" max="8710" width="3.5703125" style="512" customWidth="1"/>
    <col min="8711" max="8711" width="11.42578125" style="512" customWidth="1"/>
    <col min="8712" max="8712" width="12" style="512" customWidth="1"/>
    <col min="8713" max="8714" width="10.85546875" style="512" customWidth="1"/>
    <col min="8715" max="8715" width="8.140625" style="512" customWidth="1"/>
    <col min="8716" max="8717" width="10.85546875" style="512" customWidth="1"/>
    <col min="8718" max="8718" width="8.140625" style="512" customWidth="1"/>
    <col min="8719" max="8720" width="10.85546875" style="512" customWidth="1"/>
    <col min="8721" max="8721" width="8.140625" style="512" customWidth="1"/>
    <col min="8722" max="8963" width="9.140625" style="512"/>
    <col min="8964" max="8964" width="3.5703125" style="512" customWidth="1"/>
    <col min="8965" max="8965" width="14.42578125" style="512" customWidth="1"/>
    <col min="8966" max="8966" width="3.5703125" style="512" customWidth="1"/>
    <col min="8967" max="8967" width="11.42578125" style="512" customWidth="1"/>
    <col min="8968" max="8968" width="12" style="512" customWidth="1"/>
    <col min="8969" max="8970" width="10.85546875" style="512" customWidth="1"/>
    <col min="8971" max="8971" width="8.140625" style="512" customWidth="1"/>
    <col min="8972" max="8973" width="10.85546875" style="512" customWidth="1"/>
    <col min="8974" max="8974" width="8.140625" style="512" customWidth="1"/>
    <col min="8975" max="8976" width="10.85546875" style="512" customWidth="1"/>
    <col min="8977" max="8977" width="8.140625" style="512" customWidth="1"/>
    <col min="8978" max="9219" width="9.140625" style="512"/>
    <col min="9220" max="9220" width="3.5703125" style="512" customWidth="1"/>
    <col min="9221" max="9221" width="14.42578125" style="512" customWidth="1"/>
    <col min="9222" max="9222" width="3.5703125" style="512" customWidth="1"/>
    <col min="9223" max="9223" width="11.42578125" style="512" customWidth="1"/>
    <col min="9224" max="9224" width="12" style="512" customWidth="1"/>
    <col min="9225" max="9226" width="10.85546875" style="512" customWidth="1"/>
    <col min="9227" max="9227" width="8.140625" style="512" customWidth="1"/>
    <col min="9228" max="9229" width="10.85546875" style="512" customWidth="1"/>
    <col min="9230" max="9230" width="8.140625" style="512" customWidth="1"/>
    <col min="9231" max="9232" width="10.85546875" style="512" customWidth="1"/>
    <col min="9233" max="9233" width="8.140625" style="512" customWidth="1"/>
    <col min="9234" max="9475" width="9.140625" style="512"/>
    <col min="9476" max="9476" width="3.5703125" style="512" customWidth="1"/>
    <col min="9477" max="9477" width="14.42578125" style="512" customWidth="1"/>
    <col min="9478" max="9478" width="3.5703125" style="512" customWidth="1"/>
    <col min="9479" max="9479" width="11.42578125" style="512" customWidth="1"/>
    <col min="9480" max="9480" width="12" style="512" customWidth="1"/>
    <col min="9481" max="9482" width="10.85546875" style="512" customWidth="1"/>
    <col min="9483" max="9483" width="8.140625" style="512" customWidth="1"/>
    <col min="9484" max="9485" width="10.85546875" style="512" customWidth="1"/>
    <col min="9486" max="9486" width="8.140625" style="512" customWidth="1"/>
    <col min="9487" max="9488" width="10.85546875" style="512" customWidth="1"/>
    <col min="9489" max="9489" width="8.140625" style="512" customWidth="1"/>
    <col min="9490" max="9731" width="9.140625" style="512"/>
    <col min="9732" max="9732" width="3.5703125" style="512" customWidth="1"/>
    <col min="9733" max="9733" width="14.42578125" style="512" customWidth="1"/>
    <col min="9734" max="9734" width="3.5703125" style="512" customWidth="1"/>
    <col min="9735" max="9735" width="11.42578125" style="512" customWidth="1"/>
    <col min="9736" max="9736" width="12" style="512" customWidth="1"/>
    <col min="9737" max="9738" width="10.85546875" style="512" customWidth="1"/>
    <col min="9739" max="9739" width="8.140625" style="512" customWidth="1"/>
    <col min="9740" max="9741" width="10.85546875" style="512" customWidth="1"/>
    <col min="9742" max="9742" width="8.140625" style="512" customWidth="1"/>
    <col min="9743" max="9744" width="10.85546875" style="512" customWidth="1"/>
    <col min="9745" max="9745" width="8.140625" style="512" customWidth="1"/>
    <col min="9746" max="9987" width="9.140625" style="512"/>
    <col min="9988" max="9988" width="3.5703125" style="512" customWidth="1"/>
    <col min="9989" max="9989" width="14.42578125" style="512" customWidth="1"/>
    <col min="9990" max="9990" width="3.5703125" style="512" customWidth="1"/>
    <col min="9991" max="9991" width="11.42578125" style="512" customWidth="1"/>
    <col min="9992" max="9992" width="12" style="512" customWidth="1"/>
    <col min="9993" max="9994" width="10.85546875" style="512" customWidth="1"/>
    <col min="9995" max="9995" width="8.140625" style="512" customWidth="1"/>
    <col min="9996" max="9997" width="10.85546875" style="512" customWidth="1"/>
    <col min="9998" max="9998" width="8.140625" style="512" customWidth="1"/>
    <col min="9999" max="10000" width="10.85546875" style="512" customWidth="1"/>
    <col min="10001" max="10001" width="8.140625" style="512" customWidth="1"/>
    <col min="10002" max="10243" width="9.140625" style="512"/>
    <col min="10244" max="10244" width="3.5703125" style="512" customWidth="1"/>
    <col min="10245" max="10245" width="14.42578125" style="512" customWidth="1"/>
    <col min="10246" max="10246" width="3.5703125" style="512" customWidth="1"/>
    <col min="10247" max="10247" width="11.42578125" style="512" customWidth="1"/>
    <col min="10248" max="10248" width="12" style="512" customWidth="1"/>
    <col min="10249" max="10250" width="10.85546875" style="512" customWidth="1"/>
    <col min="10251" max="10251" width="8.140625" style="512" customWidth="1"/>
    <col min="10252" max="10253" width="10.85546875" style="512" customWidth="1"/>
    <col min="10254" max="10254" width="8.140625" style="512" customWidth="1"/>
    <col min="10255" max="10256" width="10.85546875" style="512" customWidth="1"/>
    <col min="10257" max="10257" width="8.140625" style="512" customWidth="1"/>
    <col min="10258" max="10499" width="9.140625" style="512"/>
    <col min="10500" max="10500" width="3.5703125" style="512" customWidth="1"/>
    <col min="10501" max="10501" width="14.42578125" style="512" customWidth="1"/>
    <col min="10502" max="10502" width="3.5703125" style="512" customWidth="1"/>
    <col min="10503" max="10503" width="11.42578125" style="512" customWidth="1"/>
    <col min="10504" max="10504" width="12" style="512" customWidth="1"/>
    <col min="10505" max="10506" width="10.85546875" style="512" customWidth="1"/>
    <col min="10507" max="10507" width="8.140625" style="512" customWidth="1"/>
    <col min="10508" max="10509" width="10.85546875" style="512" customWidth="1"/>
    <col min="10510" max="10510" width="8.140625" style="512" customWidth="1"/>
    <col min="10511" max="10512" width="10.85546875" style="512" customWidth="1"/>
    <col min="10513" max="10513" width="8.140625" style="512" customWidth="1"/>
    <col min="10514" max="10755" width="9.140625" style="512"/>
    <col min="10756" max="10756" width="3.5703125" style="512" customWidth="1"/>
    <col min="10757" max="10757" width="14.42578125" style="512" customWidth="1"/>
    <col min="10758" max="10758" width="3.5703125" style="512" customWidth="1"/>
    <col min="10759" max="10759" width="11.42578125" style="512" customWidth="1"/>
    <col min="10760" max="10760" width="12" style="512" customWidth="1"/>
    <col min="10761" max="10762" width="10.85546875" style="512" customWidth="1"/>
    <col min="10763" max="10763" width="8.140625" style="512" customWidth="1"/>
    <col min="10764" max="10765" width="10.85546875" style="512" customWidth="1"/>
    <col min="10766" max="10766" width="8.140625" style="512" customWidth="1"/>
    <col min="10767" max="10768" width="10.85546875" style="512" customWidth="1"/>
    <col min="10769" max="10769" width="8.140625" style="512" customWidth="1"/>
    <col min="10770" max="11011" width="9.140625" style="512"/>
    <col min="11012" max="11012" width="3.5703125" style="512" customWidth="1"/>
    <col min="11013" max="11013" width="14.42578125" style="512" customWidth="1"/>
    <col min="11014" max="11014" width="3.5703125" style="512" customWidth="1"/>
    <col min="11015" max="11015" width="11.42578125" style="512" customWidth="1"/>
    <col min="11016" max="11016" width="12" style="512" customWidth="1"/>
    <col min="11017" max="11018" width="10.85546875" style="512" customWidth="1"/>
    <col min="11019" max="11019" width="8.140625" style="512" customWidth="1"/>
    <col min="11020" max="11021" width="10.85546875" style="512" customWidth="1"/>
    <col min="11022" max="11022" width="8.140625" style="512" customWidth="1"/>
    <col min="11023" max="11024" width="10.85546875" style="512" customWidth="1"/>
    <col min="11025" max="11025" width="8.140625" style="512" customWidth="1"/>
    <col min="11026" max="11267" width="9.140625" style="512"/>
    <col min="11268" max="11268" width="3.5703125" style="512" customWidth="1"/>
    <col min="11269" max="11269" width="14.42578125" style="512" customWidth="1"/>
    <col min="11270" max="11270" width="3.5703125" style="512" customWidth="1"/>
    <col min="11271" max="11271" width="11.42578125" style="512" customWidth="1"/>
    <col min="11272" max="11272" width="12" style="512" customWidth="1"/>
    <col min="11273" max="11274" width="10.85546875" style="512" customWidth="1"/>
    <col min="11275" max="11275" width="8.140625" style="512" customWidth="1"/>
    <col min="11276" max="11277" width="10.85546875" style="512" customWidth="1"/>
    <col min="11278" max="11278" width="8.140625" style="512" customWidth="1"/>
    <col min="11279" max="11280" width="10.85546875" style="512" customWidth="1"/>
    <col min="11281" max="11281" width="8.140625" style="512" customWidth="1"/>
    <col min="11282" max="11523" width="9.140625" style="512"/>
    <col min="11524" max="11524" width="3.5703125" style="512" customWidth="1"/>
    <col min="11525" max="11525" width="14.42578125" style="512" customWidth="1"/>
    <col min="11526" max="11526" width="3.5703125" style="512" customWidth="1"/>
    <col min="11527" max="11527" width="11.42578125" style="512" customWidth="1"/>
    <col min="11528" max="11528" width="12" style="512" customWidth="1"/>
    <col min="11529" max="11530" width="10.85546875" style="512" customWidth="1"/>
    <col min="11531" max="11531" width="8.140625" style="512" customWidth="1"/>
    <col min="11532" max="11533" width="10.85546875" style="512" customWidth="1"/>
    <col min="11534" max="11534" width="8.140625" style="512" customWidth="1"/>
    <col min="11535" max="11536" width="10.85546875" style="512" customWidth="1"/>
    <col min="11537" max="11537" width="8.140625" style="512" customWidth="1"/>
    <col min="11538" max="11779" width="9.140625" style="512"/>
    <col min="11780" max="11780" width="3.5703125" style="512" customWidth="1"/>
    <col min="11781" max="11781" width="14.42578125" style="512" customWidth="1"/>
    <col min="11782" max="11782" width="3.5703125" style="512" customWidth="1"/>
    <col min="11783" max="11783" width="11.42578125" style="512" customWidth="1"/>
    <col min="11784" max="11784" width="12" style="512" customWidth="1"/>
    <col min="11785" max="11786" width="10.85546875" style="512" customWidth="1"/>
    <col min="11787" max="11787" width="8.140625" style="512" customWidth="1"/>
    <col min="11788" max="11789" width="10.85546875" style="512" customWidth="1"/>
    <col min="11790" max="11790" width="8.140625" style="512" customWidth="1"/>
    <col min="11791" max="11792" width="10.85546875" style="512" customWidth="1"/>
    <col min="11793" max="11793" width="8.140625" style="512" customWidth="1"/>
    <col min="11794" max="12035" width="9.140625" style="512"/>
    <col min="12036" max="12036" width="3.5703125" style="512" customWidth="1"/>
    <col min="12037" max="12037" width="14.42578125" style="512" customWidth="1"/>
    <col min="12038" max="12038" width="3.5703125" style="512" customWidth="1"/>
    <col min="12039" max="12039" width="11.42578125" style="512" customWidth="1"/>
    <col min="12040" max="12040" width="12" style="512" customWidth="1"/>
    <col min="12041" max="12042" width="10.85546875" style="512" customWidth="1"/>
    <col min="12043" max="12043" width="8.140625" style="512" customWidth="1"/>
    <col min="12044" max="12045" width="10.85546875" style="512" customWidth="1"/>
    <col min="12046" max="12046" width="8.140625" style="512" customWidth="1"/>
    <col min="12047" max="12048" width="10.85546875" style="512" customWidth="1"/>
    <col min="12049" max="12049" width="8.140625" style="512" customWidth="1"/>
    <col min="12050" max="12291" width="9.140625" style="512"/>
    <col min="12292" max="12292" width="3.5703125" style="512" customWidth="1"/>
    <col min="12293" max="12293" width="14.42578125" style="512" customWidth="1"/>
    <col min="12294" max="12294" width="3.5703125" style="512" customWidth="1"/>
    <col min="12295" max="12295" width="11.42578125" style="512" customWidth="1"/>
    <col min="12296" max="12296" width="12" style="512" customWidth="1"/>
    <col min="12297" max="12298" width="10.85546875" style="512" customWidth="1"/>
    <col min="12299" max="12299" width="8.140625" style="512" customWidth="1"/>
    <col min="12300" max="12301" width="10.85546875" style="512" customWidth="1"/>
    <col min="12302" max="12302" width="8.140625" style="512" customWidth="1"/>
    <col min="12303" max="12304" width="10.85546875" style="512" customWidth="1"/>
    <col min="12305" max="12305" width="8.140625" style="512" customWidth="1"/>
    <col min="12306" max="12547" width="9.140625" style="512"/>
    <col min="12548" max="12548" width="3.5703125" style="512" customWidth="1"/>
    <col min="12549" max="12549" width="14.42578125" style="512" customWidth="1"/>
    <col min="12550" max="12550" width="3.5703125" style="512" customWidth="1"/>
    <col min="12551" max="12551" width="11.42578125" style="512" customWidth="1"/>
    <col min="12552" max="12552" width="12" style="512" customWidth="1"/>
    <col min="12553" max="12554" width="10.85546875" style="512" customWidth="1"/>
    <col min="12555" max="12555" width="8.140625" style="512" customWidth="1"/>
    <col min="12556" max="12557" width="10.85546875" style="512" customWidth="1"/>
    <col min="12558" max="12558" width="8.140625" style="512" customWidth="1"/>
    <col min="12559" max="12560" width="10.85546875" style="512" customWidth="1"/>
    <col min="12561" max="12561" width="8.140625" style="512" customWidth="1"/>
    <col min="12562" max="12803" width="9.140625" style="512"/>
    <col min="12804" max="12804" width="3.5703125" style="512" customWidth="1"/>
    <col min="12805" max="12805" width="14.42578125" style="512" customWidth="1"/>
    <col min="12806" max="12806" width="3.5703125" style="512" customWidth="1"/>
    <col min="12807" max="12807" width="11.42578125" style="512" customWidth="1"/>
    <col min="12808" max="12808" width="12" style="512" customWidth="1"/>
    <col min="12809" max="12810" width="10.85546875" style="512" customWidth="1"/>
    <col min="12811" max="12811" width="8.140625" style="512" customWidth="1"/>
    <col min="12812" max="12813" width="10.85546875" style="512" customWidth="1"/>
    <col min="12814" max="12814" width="8.140625" style="512" customWidth="1"/>
    <col min="12815" max="12816" width="10.85546875" style="512" customWidth="1"/>
    <col min="12817" max="12817" width="8.140625" style="512" customWidth="1"/>
    <col min="12818" max="13059" width="9.140625" style="512"/>
    <col min="13060" max="13060" width="3.5703125" style="512" customWidth="1"/>
    <col min="13061" max="13061" width="14.42578125" style="512" customWidth="1"/>
    <col min="13062" max="13062" width="3.5703125" style="512" customWidth="1"/>
    <col min="13063" max="13063" width="11.42578125" style="512" customWidth="1"/>
    <col min="13064" max="13064" width="12" style="512" customWidth="1"/>
    <col min="13065" max="13066" width="10.85546875" style="512" customWidth="1"/>
    <col min="13067" max="13067" width="8.140625" style="512" customWidth="1"/>
    <col min="13068" max="13069" width="10.85546875" style="512" customWidth="1"/>
    <col min="13070" max="13070" width="8.140625" style="512" customWidth="1"/>
    <col min="13071" max="13072" width="10.85546875" style="512" customWidth="1"/>
    <col min="13073" max="13073" width="8.140625" style="512" customWidth="1"/>
    <col min="13074" max="13315" width="9.140625" style="512"/>
    <col min="13316" max="13316" width="3.5703125" style="512" customWidth="1"/>
    <col min="13317" max="13317" width="14.42578125" style="512" customWidth="1"/>
    <col min="13318" max="13318" width="3.5703125" style="512" customWidth="1"/>
    <col min="13319" max="13319" width="11.42578125" style="512" customWidth="1"/>
    <col min="13320" max="13320" width="12" style="512" customWidth="1"/>
    <col min="13321" max="13322" width="10.85546875" style="512" customWidth="1"/>
    <col min="13323" max="13323" width="8.140625" style="512" customWidth="1"/>
    <col min="13324" max="13325" width="10.85546875" style="512" customWidth="1"/>
    <col min="13326" max="13326" width="8.140625" style="512" customWidth="1"/>
    <col min="13327" max="13328" width="10.85546875" style="512" customWidth="1"/>
    <col min="13329" max="13329" width="8.140625" style="512" customWidth="1"/>
    <col min="13330" max="13571" width="9.140625" style="512"/>
    <col min="13572" max="13572" width="3.5703125" style="512" customWidth="1"/>
    <col min="13573" max="13573" width="14.42578125" style="512" customWidth="1"/>
    <col min="13574" max="13574" width="3.5703125" style="512" customWidth="1"/>
    <col min="13575" max="13575" width="11.42578125" style="512" customWidth="1"/>
    <col min="13576" max="13576" width="12" style="512" customWidth="1"/>
    <col min="13577" max="13578" width="10.85546875" style="512" customWidth="1"/>
    <col min="13579" max="13579" width="8.140625" style="512" customWidth="1"/>
    <col min="13580" max="13581" width="10.85546875" style="512" customWidth="1"/>
    <col min="13582" max="13582" width="8.140625" style="512" customWidth="1"/>
    <col min="13583" max="13584" width="10.85546875" style="512" customWidth="1"/>
    <col min="13585" max="13585" width="8.140625" style="512" customWidth="1"/>
    <col min="13586" max="13827" width="9.140625" style="512"/>
    <col min="13828" max="13828" width="3.5703125" style="512" customWidth="1"/>
    <col min="13829" max="13829" width="14.42578125" style="512" customWidth="1"/>
    <col min="13830" max="13830" width="3.5703125" style="512" customWidth="1"/>
    <col min="13831" max="13831" width="11.42578125" style="512" customWidth="1"/>
    <col min="13832" max="13832" width="12" style="512" customWidth="1"/>
    <col min="13833" max="13834" width="10.85546875" style="512" customWidth="1"/>
    <col min="13835" max="13835" width="8.140625" style="512" customWidth="1"/>
    <col min="13836" max="13837" width="10.85546875" style="512" customWidth="1"/>
    <col min="13838" max="13838" width="8.140625" style="512" customWidth="1"/>
    <col min="13839" max="13840" width="10.85546875" style="512" customWidth="1"/>
    <col min="13841" max="13841" width="8.140625" style="512" customWidth="1"/>
    <col min="13842" max="14083" width="9.140625" style="512"/>
    <col min="14084" max="14084" width="3.5703125" style="512" customWidth="1"/>
    <col min="14085" max="14085" width="14.42578125" style="512" customWidth="1"/>
    <col min="14086" max="14086" width="3.5703125" style="512" customWidth="1"/>
    <col min="14087" max="14087" width="11.42578125" style="512" customWidth="1"/>
    <col min="14088" max="14088" width="12" style="512" customWidth="1"/>
    <col min="14089" max="14090" width="10.85546875" style="512" customWidth="1"/>
    <col min="14091" max="14091" width="8.140625" style="512" customWidth="1"/>
    <col min="14092" max="14093" width="10.85546875" style="512" customWidth="1"/>
    <col min="14094" max="14094" width="8.140625" style="512" customWidth="1"/>
    <col min="14095" max="14096" width="10.85546875" style="512" customWidth="1"/>
    <col min="14097" max="14097" width="8.140625" style="512" customWidth="1"/>
    <col min="14098" max="14339" width="9.140625" style="512"/>
    <col min="14340" max="14340" width="3.5703125" style="512" customWidth="1"/>
    <col min="14341" max="14341" width="14.42578125" style="512" customWidth="1"/>
    <col min="14342" max="14342" width="3.5703125" style="512" customWidth="1"/>
    <col min="14343" max="14343" width="11.42578125" style="512" customWidth="1"/>
    <col min="14344" max="14344" width="12" style="512" customWidth="1"/>
    <col min="14345" max="14346" width="10.85546875" style="512" customWidth="1"/>
    <col min="14347" max="14347" width="8.140625" style="512" customWidth="1"/>
    <col min="14348" max="14349" width="10.85546875" style="512" customWidth="1"/>
    <col min="14350" max="14350" width="8.140625" style="512" customWidth="1"/>
    <col min="14351" max="14352" width="10.85546875" style="512" customWidth="1"/>
    <col min="14353" max="14353" width="8.140625" style="512" customWidth="1"/>
    <col min="14354" max="14595" width="9.140625" style="512"/>
    <col min="14596" max="14596" width="3.5703125" style="512" customWidth="1"/>
    <col min="14597" max="14597" width="14.42578125" style="512" customWidth="1"/>
    <col min="14598" max="14598" width="3.5703125" style="512" customWidth="1"/>
    <col min="14599" max="14599" width="11.42578125" style="512" customWidth="1"/>
    <col min="14600" max="14600" width="12" style="512" customWidth="1"/>
    <col min="14601" max="14602" width="10.85546875" style="512" customWidth="1"/>
    <col min="14603" max="14603" width="8.140625" style="512" customWidth="1"/>
    <col min="14604" max="14605" width="10.85546875" style="512" customWidth="1"/>
    <col min="14606" max="14606" width="8.140625" style="512" customWidth="1"/>
    <col min="14607" max="14608" width="10.85546875" style="512" customWidth="1"/>
    <col min="14609" max="14609" width="8.140625" style="512" customWidth="1"/>
    <col min="14610" max="14851" width="9.140625" style="512"/>
    <col min="14852" max="14852" width="3.5703125" style="512" customWidth="1"/>
    <col min="14853" max="14853" width="14.42578125" style="512" customWidth="1"/>
    <col min="14854" max="14854" width="3.5703125" style="512" customWidth="1"/>
    <col min="14855" max="14855" width="11.42578125" style="512" customWidth="1"/>
    <col min="14856" max="14856" width="12" style="512" customWidth="1"/>
    <col min="14857" max="14858" width="10.85546875" style="512" customWidth="1"/>
    <col min="14859" max="14859" width="8.140625" style="512" customWidth="1"/>
    <col min="14860" max="14861" width="10.85546875" style="512" customWidth="1"/>
    <col min="14862" max="14862" width="8.140625" style="512" customWidth="1"/>
    <col min="14863" max="14864" width="10.85546875" style="512" customWidth="1"/>
    <col min="14865" max="14865" width="8.140625" style="512" customWidth="1"/>
    <col min="14866" max="15107" width="9.140625" style="512"/>
    <col min="15108" max="15108" width="3.5703125" style="512" customWidth="1"/>
    <col min="15109" max="15109" width="14.42578125" style="512" customWidth="1"/>
    <col min="15110" max="15110" width="3.5703125" style="512" customWidth="1"/>
    <col min="15111" max="15111" width="11.42578125" style="512" customWidth="1"/>
    <col min="15112" max="15112" width="12" style="512" customWidth="1"/>
    <col min="15113" max="15114" width="10.85546875" style="512" customWidth="1"/>
    <col min="15115" max="15115" width="8.140625" style="512" customWidth="1"/>
    <col min="15116" max="15117" width="10.85546875" style="512" customWidth="1"/>
    <col min="15118" max="15118" width="8.140625" style="512" customWidth="1"/>
    <col min="15119" max="15120" width="10.85546875" style="512" customWidth="1"/>
    <col min="15121" max="15121" width="8.140625" style="512" customWidth="1"/>
    <col min="15122" max="15363" width="9.140625" style="512"/>
    <col min="15364" max="15364" width="3.5703125" style="512" customWidth="1"/>
    <col min="15365" max="15365" width="14.42578125" style="512" customWidth="1"/>
    <col min="15366" max="15366" width="3.5703125" style="512" customWidth="1"/>
    <col min="15367" max="15367" width="11.42578125" style="512" customWidth="1"/>
    <col min="15368" max="15368" width="12" style="512" customWidth="1"/>
    <col min="15369" max="15370" width="10.85546875" style="512" customWidth="1"/>
    <col min="15371" max="15371" width="8.140625" style="512" customWidth="1"/>
    <col min="15372" max="15373" width="10.85546875" style="512" customWidth="1"/>
    <col min="15374" max="15374" width="8.140625" style="512" customWidth="1"/>
    <col min="15375" max="15376" width="10.85546875" style="512" customWidth="1"/>
    <col min="15377" max="15377" width="8.140625" style="512" customWidth="1"/>
    <col min="15378" max="15619" width="9.140625" style="512"/>
    <col min="15620" max="15620" width="3.5703125" style="512" customWidth="1"/>
    <col min="15621" max="15621" width="14.42578125" style="512" customWidth="1"/>
    <col min="15622" max="15622" width="3.5703125" style="512" customWidth="1"/>
    <col min="15623" max="15623" width="11.42578125" style="512" customWidth="1"/>
    <col min="15624" max="15624" width="12" style="512" customWidth="1"/>
    <col min="15625" max="15626" width="10.85546875" style="512" customWidth="1"/>
    <col min="15627" max="15627" width="8.140625" style="512" customWidth="1"/>
    <col min="15628" max="15629" width="10.85546875" style="512" customWidth="1"/>
    <col min="15630" max="15630" width="8.140625" style="512" customWidth="1"/>
    <col min="15631" max="15632" width="10.85546875" style="512" customWidth="1"/>
    <col min="15633" max="15633" width="8.140625" style="512" customWidth="1"/>
    <col min="15634" max="15875" width="9.140625" style="512"/>
    <col min="15876" max="15876" width="3.5703125" style="512" customWidth="1"/>
    <col min="15877" max="15877" width="14.42578125" style="512" customWidth="1"/>
    <col min="15878" max="15878" width="3.5703125" style="512" customWidth="1"/>
    <col min="15879" max="15879" width="11.42578125" style="512" customWidth="1"/>
    <col min="15880" max="15880" width="12" style="512" customWidth="1"/>
    <col min="15881" max="15882" width="10.85546875" style="512" customWidth="1"/>
    <col min="15883" max="15883" width="8.140625" style="512" customWidth="1"/>
    <col min="15884" max="15885" width="10.85546875" style="512" customWidth="1"/>
    <col min="15886" max="15886" width="8.140625" style="512" customWidth="1"/>
    <col min="15887" max="15888" width="10.85546875" style="512" customWidth="1"/>
    <col min="15889" max="15889" width="8.140625" style="512" customWidth="1"/>
    <col min="15890" max="16131" width="9.140625" style="512"/>
    <col min="16132" max="16132" width="3.5703125" style="512" customWidth="1"/>
    <col min="16133" max="16133" width="14.42578125" style="512" customWidth="1"/>
    <col min="16134" max="16134" width="3.5703125" style="512" customWidth="1"/>
    <col min="16135" max="16135" width="11.42578125" style="512" customWidth="1"/>
    <col min="16136" max="16136" width="12" style="512" customWidth="1"/>
    <col min="16137" max="16138" width="10.85546875" style="512" customWidth="1"/>
    <col min="16139" max="16139" width="8.140625" style="512" customWidth="1"/>
    <col min="16140" max="16141" width="10.85546875" style="512" customWidth="1"/>
    <col min="16142" max="16142" width="8.140625" style="512" customWidth="1"/>
    <col min="16143" max="16144" width="10.85546875" style="512" customWidth="1"/>
    <col min="16145" max="16145" width="8.140625" style="512" customWidth="1"/>
    <col min="16146" max="16384" width="9.140625" style="512"/>
  </cols>
  <sheetData>
    <row r="1" spans="1:20" x14ac:dyDescent="0.2">
      <c r="B1" s="836"/>
    </row>
    <row r="2" spans="1:20" s="508" customFormat="1" ht="15" customHeight="1" x14ac:dyDescent="0.2">
      <c r="A2" s="509">
        <v>1</v>
      </c>
      <c r="B2" s="509" t="s">
        <v>0</v>
      </c>
      <c r="C2" s="509">
        <v>61</v>
      </c>
      <c r="D2" s="4603" t="s">
        <v>1583</v>
      </c>
      <c r="E2" s="4604"/>
      <c r="F2" s="4604"/>
      <c r="G2" s="4604"/>
      <c r="H2" s="4604"/>
      <c r="I2" s="4604"/>
      <c r="J2" s="4604"/>
      <c r="K2" s="4604"/>
      <c r="L2" s="4604"/>
      <c r="M2" s="4604"/>
      <c r="N2" s="4604"/>
      <c r="O2" s="4604"/>
      <c r="P2" s="4604"/>
      <c r="Q2" s="4604"/>
      <c r="R2" s="4604"/>
      <c r="S2" s="4604"/>
      <c r="T2" s="4605"/>
    </row>
    <row r="3" spans="1:20" s="508" customFormat="1" ht="15" customHeight="1" x14ac:dyDescent="0.2">
      <c r="A3" s="509">
        <v>2</v>
      </c>
      <c r="B3" s="509" t="s">
        <v>2</v>
      </c>
      <c r="C3" s="509"/>
      <c r="D3" s="4603" t="s">
        <v>1555</v>
      </c>
      <c r="E3" s="4604"/>
      <c r="F3" s="4604"/>
      <c r="G3" s="4604"/>
      <c r="H3" s="4604"/>
      <c r="I3" s="4604"/>
      <c r="J3" s="4604"/>
      <c r="K3" s="4604"/>
      <c r="L3" s="4604"/>
      <c r="M3" s="4604"/>
      <c r="N3" s="4604"/>
      <c r="O3" s="4604"/>
      <c r="P3" s="4604"/>
      <c r="Q3" s="4604"/>
      <c r="R3" s="4604"/>
      <c r="S3" s="4604"/>
      <c r="T3" s="4605"/>
    </row>
    <row r="4" spans="1:20" s="508" customFormat="1" ht="15" customHeight="1" x14ac:dyDescent="0.2">
      <c r="A4" s="509">
        <v>3</v>
      </c>
      <c r="B4" s="509" t="s">
        <v>4</v>
      </c>
      <c r="C4" s="509"/>
      <c r="D4" s="4603" t="s">
        <v>1584</v>
      </c>
      <c r="E4" s="4604"/>
      <c r="F4" s="4604"/>
      <c r="G4" s="4604"/>
      <c r="H4" s="4604"/>
      <c r="I4" s="4604"/>
      <c r="J4" s="4604"/>
      <c r="K4" s="4604"/>
      <c r="L4" s="4604"/>
      <c r="M4" s="4604"/>
      <c r="N4" s="4604"/>
      <c r="O4" s="4604"/>
      <c r="P4" s="4604"/>
      <c r="Q4" s="4604"/>
      <c r="R4" s="4604"/>
      <c r="S4" s="4604"/>
      <c r="T4" s="4605"/>
    </row>
    <row r="5" spans="1:20" s="508" customFormat="1" ht="14.25" x14ac:dyDescent="0.2">
      <c r="A5" s="509">
        <v>4</v>
      </c>
      <c r="B5" s="509" t="s">
        <v>62</v>
      </c>
      <c r="C5" s="509"/>
      <c r="D5" s="4603"/>
      <c r="E5" s="4604"/>
      <c r="F5" s="4604"/>
      <c r="G5" s="4604"/>
      <c r="H5" s="4604"/>
      <c r="I5" s="4604"/>
      <c r="J5" s="4604"/>
      <c r="K5" s="4604"/>
      <c r="L5" s="4604"/>
      <c r="M5" s="4604"/>
      <c r="N5" s="4604"/>
      <c r="O5" s="4604"/>
      <c r="P5" s="4604"/>
      <c r="Q5" s="4604"/>
      <c r="R5" s="4604"/>
      <c r="S5" s="4604"/>
      <c r="T5" s="4605"/>
    </row>
    <row r="6" spans="1:20" s="508" customFormat="1" ht="15" customHeight="1" x14ac:dyDescent="0.25">
      <c r="A6" s="509"/>
      <c r="B6" s="509"/>
      <c r="C6" s="509"/>
      <c r="D6" s="880"/>
      <c r="E6" s="880"/>
      <c r="F6" s="880"/>
      <c r="G6" s="880"/>
      <c r="H6" s="880"/>
      <c r="I6" s="880"/>
      <c r="J6" s="880"/>
      <c r="K6" s="880"/>
      <c r="L6" s="880"/>
      <c r="M6" s="880"/>
      <c r="N6" s="880"/>
      <c r="O6" s="880"/>
      <c r="P6" s="880"/>
      <c r="Q6" s="1137"/>
      <c r="R6" s="1137"/>
      <c r="S6" s="1137"/>
    </row>
    <row r="7" spans="1:20" ht="12.75" x14ac:dyDescent="0.2">
      <c r="A7" s="509">
        <v>5</v>
      </c>
      <c r="B7" s="509" t="s">
        <v>6</v>
      </c>
      <c r="C7" s="509"/>
      <c r="F7" s="2620"/>
      <c r="I7" s="2620"/>
    </row>
    <row r="8" spans="1:20" s="88" customFormat="1" ht="12.75" x14ac:dyDescent="0.2">
      <c r="A8" s="860"/>
      <c r="B8" s="836"/>
      <c r="C8" s="836"/>
      <c r="D8" s="72" t="s">
        <v>80</v>
      </c>
      <c r="E8" s="72" t="s">
        <v>1585</v>
      </c>
      <c r="F8" s="72"/>
      <c r="G8" s="2116"/>
      <c r="H8" s="2621"/>
      <c r="I8" s="95"/>
      <c r="J8" s="95"/>
      <c r="K8" s="2622"/>
    </row>
    <row r="9" spans="1:20" s="88" customFormat="1" ht="15" x14ac:dyDescent="0.25">
      <c r="A9" s="860"/>
      <c r="B9" s="836"/>
      <c r="C9" s="836"/>
      <c r="D9" s="2623"/>
      <c r="E9" s="2624"/>
      <c r="F9" s="4998">
        <v>1999</v>
      </c>
      <c r="G9" s="4999"/>
      <c r="H9" s="5000"/>
      <c r="I9" s="4998">
        <v>2004</v>
      </c>
      <c r="J9" s="4999"/>
      <c r="K9" s="4999"/>
      <c r="L9" s="4998">
        <v>2009</v>
      </c>
      <c r="M9" s="4999"/>
      <c r="N9" s="4999"/>
      <c r="O9" s="4998">
        <v>2014</v>
      </c>
      <c r="P9" s="4999"/>
      <c r="Q9" s="4999"/>
      <c r="R9" s="4998">
        <v>2019</v>
      </c>
      <c r="S9" s="4999"/>
      <c r="T9" s="5001"/>
    </row>
    <row r="10" spans="1:20" s="88" customFormat="1" ht="17.25" customHeight="1" x14ac:dyDescent="0.2">
      <c r="A10" s="860"/>
      <c r="B10" s="836"/>
      <c r="C10" s="836"/>
      <c r="D10" s="2625"/>
      <c r="E10" s="2220"/>
      <c r="F10" s="2626" t="s">
        <v>1586</v>
      </c>
      <c r="G10" s="2627" t="s">
        <v>1587</v>
      </c>
      <c r="H10" s="2628" t="s">
        <v>389</v>
      </c>
      <c r="I10" s="2629" t="s">
        <v>1586</v>
      </c>
      <c r="J10" s="2627" t="s">
        <v>1587</v>
      </c>
      <c r="K10" s="2630" t="s">
        <v>389</v>
      </c>
      <c r="L10" s="2626" t="s">
        <v>1586</v>
      </c>
      <c r="M10" s="2627" t="s">
        <v>1588</v>
      </c>
      <c r="N10" s="2630" t="s">
        <v>389</v>
      </c>
      <c r="O10" s="2626" t="s">
        <v>1586</v>
      </c>
      <c r="P10" s="2627" t="s">
        <v>1588</v>
      </c>
      <c r="Q10" s="2630" t="s">
        <v>389</v>
      </c>
      <c r="R10" s="2626" t="s">
        <v>1586</v>
      </c>
      <c r="S10" s="2627" t="s">
        <v>1588</v>
      </c>
      <c r="T10" s="2631" t="s">
        <v>389</v>
      </c>
    </row>
    <row r="11" spans="1:20" s="88" customFormat="1" ht="11.25" x14ac:dyDescent="0.2">
      <c r="A11" s="860"/>
      <c r="B11" s="836"/>
      <c r="C11" s="836"/>
      <c r="D11" s="3598" t="s">
        <v>276</v>
      </c>
      <c r="E11" s="3557"/>
      <c r="F11" s="2632">
        <v>2454543</v>
      </c>
      <c r="G11" s="419">
        <v>2177266</v>
      </c>
      <c r="H11" s="2633">
        <f t="shared" ref="H11:H19" si="0">G11/F11</f>
        <v>0.88703518333147968</v>
      </c>
      <c r="I11" s="419">
        <v>2849486</v>
      </c>
      <c r="J11" s="2185">
        <v>2310226</v>
      </c>
      <c r="K11" s="2634">
        <f t="shared" ref="K11:K19" si="1">J11/I11</f>
        <v>0.81075183383950644</v>
      </c>
      <c r="L11" s="2632">
        <v>3056559</v>
      </c>
      <c r="M11" s="2185">
        <v>2344098</v>
      </c>
      <c r="N11" s="2634">
        <f t="shared" ref="N11:N19" si="2">M11/L11</f>
        <v>0.7669074930338331</v>
      </c>
      <c r="O11" s="2632">
        <v>3240059</v>
      </c>
      <c r="P11" s="2185">
        <v>2278555</v>
      </c>
      <c r="Q11" s="2635">
        <f t="shared" ref="Q11:Q19" si="3">P11/O11</f>
        <v>0.70324491004639111</v>
      </c>
      <c r="R11" s="2636">
        <v>3363161</v>
      </c>
      <c r="S11" s="2636">
        <v>2001262</v>
      </c>
      <c r="T11" s="2637">
        <v>0.59499999999999997</v>
      </c>
    </row>
    <row r="12" spans="1:20" s="88" customFormat="1" ht="11.25" x14ac:dyDescent="0.2">
      <c r="A12" s="860"/>
      <c r="B12" s="836"/>
      <c r="C12" s="836"/>
      <c r="D12" s="181" t="s">
        <v>277</v>
      </c>
      <c r="F12" s="2632">
        <v>1226730</v>
      </c>
      <c r="G12" s="419">
        <v>1090908</v>
      </c>
      <c r="H12" s="2633">
        <f t="shared" si="0"/>
        <v>0.889281259934949</v>
      </c>
      <c r="I12" s="419">
        <v>1321195</v>
      </c>
      <c r="J12" s="2185">
        <v>1042120</v>
      </c>
      <c r="K12" s="2634">
        <f t="shared" si="1"/>
        <v>0.78877077191481959</v>
      </c>
      <c r="L12" s="2632">
        <v>1388588</v>
      </c>
      <c r="M12" s="2185">
        <v>1069127</v>
      </c>
      <c r="N12" s="2634">
        <f t="shared" si="2"/>
        <v>0.76993823942018802</v>
      </c>
      <c r="O12" s="2632">
        <v>1449488</v>
      </c>
      <c r="P12" s="2185">
        <v>1051027</v>
      </c>
      <c r="Q12" s="2633">
        <f t="shared" si="3"/>
        <v>0.72510224299890724</v>
      </c>
      <c r="R12" s="2636">
        <v>1462508</v>
      </c>
      <c r="S12" s="2636">
        <v>897185</v>
      </c>
      <c r="T12" s="2638">
        <v>0.61299999999999999</v>
      </c>
    </row>
    <row r="13" spans="1:20" s="88" customFormat="1" ht="11.25" x14ac:dyDescent="0.2">
      <c r="A13" s="860"/>
      <c r="B13" s="836"/>
      <c r="C13" s="836"/>
      <c r="D13" s="181" t="s">
        <v>278</v>
      </c>
      <c r="F13" s="2632">
        <v>4158087</v>
      </c>
      <c r="G13" s="419">
        <v>3662790</v>
      </c>
      <c r="H13" s="2633">
        <f t="shared" si="0"/>
        <v>0.88088344471868918</v>
      </c>
      <c r="I13" s="419">
        <v>4650594</v>
      </c>
      <c r="J13" s="2185">
        <v>3553098</v>
      </c>
      <c r="K13" s="2634">
        <f t="shared" si="1"/>
        <v>0.76400950072184326</v>
      </c>
      <c r="L13" s="2632">
        <v>5555159</v>
      </c>
      <c r="M13" s="2185">
        <v>4391699</v>
      </c>
      <c r="N13" s="2634">
        <f t="shared" si="2"/>
        <v>0.79056225033342875</v>
      </c>
      <c r="O13" s="2632">
        <v>6063739</v>
      </c>
      <c r="P13" s="2185">
        <v>4638981</v>
      </c>
      <c r="Q13" s="2633">
        <f t="shared" si="3"/>
        <v>0.76503639091326325</v>
      </c>
      <c r="R13" s="2636">
        <v>6381220</v>
      </c>
      <c r="S13" s="2636">
        <v>4357348</v>
      </c>
      <c r="T13" s="2638">
        <v>0.68200000000000005</v>
      </c>
    </row>
    <row r="14" spans="1:20" s="88" customFormat="1" ht="11.25" x14ac:dyDescent="0.2">
      <c r="A14" s="860"/>
      <c r="B14" s="836"/>
      <c r="C14" s="836"/>
      <c r="D14" s="181" t="s">
        <v>641</v>
      </c>
      <c r="F14" s="2632">
        <v>3443978</v>
      </c>
      <c r="G14" s="419">
        <v>2963358</v>
      </c>
      <c r="H14" s="2633">
        <f t="shared" si="0"/>
        <v>0.86044626301329452</v>
      </c>
      <c r="I14" s="419">
        <v>3819864</v>
      </c>
      <c r="J14" s="2185">
        <v>2807885</v>
      </c>
      <c r="K14" s="2634">
        <f t="shared" si="1"/>
        <v>0.73507459951453769</v>
      </c>
      <c r="L14" s="2632">
        <v>4475217</v>
      </c>
      <c r="M14" s="2185">
        <v>3574326</v>
      </c>
      <c r="N14" s="2634">
        <f t="shared" si="2"/>
        <v>0.7986933371052175</v>
      </c>
      <c r="O14" s="2632">
        <v>5117131</v>
      </c>
      <c r="P14" s="2185">
        <v>3935771</v>
      </c>
      <c r="Q14" s="2633">
        <f t="shared" si="3"/>
        <v>0.76913626014264636</v>
      </c>
      <c r="R14" s="2636">
        <v>5524666</v>
      </c>
      <c r="S14" s="2636">
        <v>3654701</v>
      </c>
      <c r="T14" s="2638">
        <v>0.66200000000000003</v>
      </c>
    </row>
    <row r="15" spans="1:20" s="88" customFormat="1" ht="11.25" x14ac:dyDescent="0.2">
      <c r="A15" s="860"/>
      <c r="B15" s="836"/>
      <c r="C15" s="836"/>
      <c r="D15" s="181" t="s">
        <v>280</v>
      </c>
      <c r="F15" s="2632">
        <v>1847766</v>
      </c>
      <c r="G15" s="419">
        <v>1658694</v>
      </c>
      <c r="H15" s="2633">
        <f t="shared" si="0"/>
        <v>0.89767535499624951</v>
      </c>
      <c r="I15" s="419">
        <v>2187912</v>
      </c>
      <c r="J15" s="2185">
        <v>1686757</v>
      </c>
      <c r="K15" s="2634">
        <f t="shared" si="1"/>
        <v>0.77094371254419736</v>
      </c>
      <c r="L15" s="2632">
        <v>2256073</v>
      </c>
      <c r="M15" s="2185">
        <v>1570592</v>
      </c>
      <c r="N15" s="2634">
        <f t="shared" si="2"/>
        <v>0.69616187064868906</v>
      </c>
      <c r="O15" s="2632">
        <v>2440348</v>
      </c>
      <c r="P15" s="2185">
        <v>1543986</v>
      </c>
      <c r="Q15" s="2633">
        <f t="shared" si="3"/>
        <v>0.63269091129625776</v>
      </c>
      <c r="R15" s="2636">
        <v>2608460</v>
      </c>
      <c r="S15" s="2636">
        <v>1470230</v>
      </c>
      <c r="T15" s="2638">
        <v>0.56399999999999995</v>
      </c>
    </row>
    <row r="16" spans="1:20" s="88" customFormat="1" ht="11.25" x14ac:dyDescent="0.2">
      <c r="A16" s="860"/>
      <c r="B16" s="836"/>
      <c r="C16" s="836"/>
      <c r="D16" s="181" t="s">
        <v>281</v>
      </c>
      <c r="F16" s="2632">
        <v>1277783</v>
      </c>
      <c r="G16" s="419">
        <v>1129536</v>
      </c>
      <c r="H16" s="2633">
        <f t="shared" si="0"/>
        <v>0.88398108285992227</v>
      </c>
      <c r="I16" s="419">
        <v>1442472</v>
      </c>
      <c r="J16" s="2185">
        <v>1157963</v>
      </c>
      <c r="K16" s="2634">
        <f t="shared" si="1"/>
        <v>0.80276289591756378</v>
      </c>
      <c r="L16" s="2632">
        <v>1696705</v>
      </c>
      <c r="M16" s="2185">
        <v>1363836</v>
      </c>
      <c r="N16" s="2634">
        <f t="shared" si="2"/>
        <v>0.80381445212927405</v>
      </c>
      <c r="O16" s="2632">
        <v>1860834</v>
      </c>
      <c r="P16" s="2185">
        <v>1408269</v>
      </c>
      <c r="Q16" s="2633">
        <f t="shared" si="3"/>
        <v>0.75679453406375852</v>
      </c>
      <c r="R16" s="2636">
        <v>1951776</v>
      </c>
      <c r="S16" s="2636">
        <v>1233544</v>
      </c>
      <c r="T16" s="2638">
        <v>0.63200000000000001</v>
      </c>
    </row>
    <row r="17" spans="1:20" s="88" customFormat="1" ht="11.25" x14ac:dyDescent="0.2">
      <c r="A17" s="860"/>
      <c r="B17" s="836"/>
      <c r="C17" s="836"/>
      <c r="D17" s="181" t="s">
        <v>282</v>
      </c>
      <c r="F17" s="2632">
        <v>1527672</v>
      </c>
      <c r="G17" s="419">
        <v>1305441</v>
      </c>
      <c r="H17" s="2633">
        <f t="shared" si="0"/>
        <v>0.8545296372519755</v>
      </c>
      <c r="I17" s="419">
        <v>1749529</v>
      </c>
      <c r="J17" s="2185">
        <v>1353963</v>
      </c>
      <c r="K17" s="2634">
        <f t="shared" si="1"/>
        <v>0.77390143289994051</v>
      </c>
      <c r="L17" s="2632">
        <v>1564357</v>
      </c>
      <c r="M17" s="2185">
        <v>1135701</v>
      </c>
      <c r="N17" s="2634">
        <f t="shared" si="2"/>
        <v>0.72598582037220405</v>
      </c>
      <c r="O17" s="2632">
        <v>1669349</v>
      </c>
      <c r="P17" s="2185">
        <v>1147786</v>
      </c>
      <c r="Q17" s="2633">
        <f t="shared" si="3"/>
        <v>0.68756503283615344</v>
      </c>
      <c r="R17" s="2636">
        <v>1702728</v>
      </c>
      <c r="S17" s="2636">
        <v>970669</v>
      </c>
      <c r="T17" s="2638">
        <v>0.56999999999999995</v>
      </c>
    </row>
    <row r="18" spans="1:20" s="88" customFormat="1" ht="11.25" x14ac:dyDescent="0.2">
      <c r="A18" s="860"/>
      <c r="B18" s="836"/>
      <c r="C18" s="836"/>
      <c r="D18" s="181" t="s">
        <v>283</v>
      </c>
      <c r="F18" s="2632">
        <v>377173</v>
      </c>
      <c r="G18" s="419">
        <v>327772</v>
      </c>
      <c r="H18" s="2633">
        <f t="shared" si="0"/>
        <v>0.86902296824003844</v>
      </c>
      <c r="I18" s="419">
        <v>433591</v>
      </c>
      <c r="J18" s="2185">
        <v>329707</v>
      </c>
      <c r="K18" s="2634">
        <f t="shared" si="1"/>
        <v>0.76041015611486396</v>
      </c>
      <c r="L18" s="2632">
        <v>554900</v>
      </c>
      <c r="M18" s="2185">
        <v>421490</v>
      </c>
      <c r="N18" s="2634">
        <f t="shared" si="2"/>
        <v>0.75957830239682822</v>
      </c>
      <c r="O18" s="2632">
        <v>601080</v>
      </c>
      <c r="P18" s="2185">
        <v>443714</v>
      </c>
      <c r="Q18" s="2633">
        <f t="shared" si="3"/>
        <v>0.7381945830837825</v>
      </c>
      <c r="R18" s="2636">
        <v>626471</v>
      </c>
      <c r="S18" s="2636">
        <v>401663</v>
      </c>
      <c r="T18" s="2638">
        <v>0.66300000000000003</v>
      </c>
    </row>
    <row r="19" spans="1:20" s="88" customFormat="1" ht="11.25" x14ac:dyDescent="0.2">
      <c r="A19" s="860"/>
      <c r="B19" s="836"/>
      <c r="C19" s="836"/>
      <c r="D19" s="181" t="s">
        <v>284</v>
      </c>
      <c r="F19" s="2632">
        <v>1864019</v>
      </c>
      <c r="G19" s="419">
        <v>1587978</v>
      </c>
      <c r="H19" s="2633">
        <f t="shared" si="0"/>
        <v>0.85191084425641583</v>
      </c>
      <c r="I19" s="419">
        <v>2220283</v>
      </c>
      <c r="J19" s="2185">
        <v>1621839</v>
      </c>
      <c r="K19" s="2634">
        <f t="shared" si="1"/>
        <v>0.73046499027376244</v>
      </c>
      <c r="L19" s="2632">
        <v>2634439</v>
      </c>
      <c r="M19" s="2185">
        <v>2049097</v>
      </c>
      <c r="N19" s="2634">
        <f t="shared" si="2"/>
        <v>0.77781151888504541</v>
      </c>
      <c r="O19" s="2632">
        <v>2941333</v>
      </c>
      <c r="P19" s="2185">
        <v>2188236</v>
      </c>
      <c r="Q19" s="2633">
        <f t="shared" si="3"/>
        <v>0.74396064641439785</v>
      </c>
      <c r="R19" s="2636">
        <v>3128567</v>
      </c>
      <c r="S19" s="2636">
        <v>2073728</v>
      </c>
      <c r="T19" s="2638">
        <v>0.64100000000000001</v>
      </c>
    </row>
    <row r="20" spans="1:20" s="88" customFormat="1" ht="15.75" customHeight="1" x14ac:dyDescent="0.2">
      <c r="A20" s="860"/>
      <c r="B20" s="836"/>
      <c r="C20" s="836"/>
      <c r="D20" s="323" t="s">
        <v>1589</v>
      </c>
      <c r="E20" s="3435"/>
      <c r="F20" s="3534"/>
      <c r="G20" s="3403"/>
      <c r="H20" s="3475"/>
      <c r="I20" s="3403"/>
      <c r="J20" s="3476"/>
      <c r="K20" s="3477"/>
      <c r="L20" s="3534"/>
      <c r="M20" s="3476"/>
      <c r="N20" s="3477"/>
      <c r="O20" s="3534">
        <v>6789</v>
      </c>
      <c r="P20" s="3476">
        <v>18446</v>
      </c>
      <c r="Q20" s="3478" t="s">
        <v>1590</v>
      </c>
      <c r="R20" s="3479">
        <v>7092</v>
      </c>
      <c r="S20" s="3479">
        <v>19909</v>
      </c>
      <c r="T20" s="3480" t="s">
        <v>1591</v>
      </c>
    </row>
    <row r="21" spans="1:20" s="88" customFormat="1" ht="15.75" customHeight="1" x14ac:dyDescent="0.2">
      <c r="A21" s="860"/>
      <c r="B21" s="836"/>
      <c r="C21" s="836"/>
      <c r="D21" s="918" t="s">
        <v>50</v>
      </c>
      <c r="E21" s="2639"/>
      <c r="F21" s="2640">
        <f>SUM(F11:F20)</f>
        <v>18177751</v>
      </c>
      <c r="G21" s="2641">
        <f>SUM(G11:G20)</f>
        <v>15903743</v>
      </c>
      <c r="H21" s="2642">
        <f>G21/F21</f>
        <v>0.87490157610806751</v>
      </c>
      <c r="I21" s="2641">
        <f>SUM(I11:I20)</f>
        <v>20674926</v>
      </c>
      <c r="J21" s="2641">
        <f>SUM(J11:J20)</f>
        <v>15863558</v>
      </c>
      <c r="K21" s="2643">
        <f>J21/I21</f>
        <v>0.7672848744416304</v>
      </c>
      <c r="L21" s="2640">
        <v>23181997</v>
      </c>
      <c r="M21" s="2641">
        <v>17919966</v>
      </c>
      <c r="N21" s="2643">
        <f>M21/L21</f>
        <v>0.77301217837272607</v>
      </c>
      <c r="O21" s="2640">
        <v>25390150</v>
      </c>
      <c r="P21" s="2641">
        <v>18654771</v>
      </c>
      <c r="Q21" s="3599">
        <f>P21/O21</f>
        <v>0.73472472592718041</v>
      </c>
      <c r="R21" s="2644">
        <v>26756058</v>
      </c>
      <c r="S21" s="2644">
        <v>17671615</v>
      </c>
      <c r="T21" s="2645" t="s">
        <v>1569</v>
      </c>
    </row>
    <row r="22" spans="1:20" s="88" customFormat="1" ht="15.75" customHeight="1" x14ac:dyDescent="0.2">
      <c r="A22" s="860"/>
      <c r="B22" s="836"/>
      <c r="C22" s="836"/>
      <c r="D22" s="71"/>
      <c r="E22" s="2646"/>
      <c r="F22" s="2647"/>
      <c r="G22" s="2647"/>
      <c r="H22" s="1061"/>
      <c r="I22" s="2647"/>
      <c r="J22" s="2647"/>
      <c r="K22" s="1061"/>
      <c r="L22" s="2647"/>
      <c r="M22" s="2647"/>
      <c r="N22" s="1061"/>
      <c r="O22" s="2647"/>
      <c r="P22" s="2647"/>
      <c r="Q22" s="1061"/>
    </row>
    <row r="23" spans="1:20" s="88" customFormat="1" ht="11.25" x14ac:dyDescent="0.2">
      <c r="A23" s="860"/>
      <c r="B23" s="836"/>
      <c r="C23" s="836"/>
      <c r="D23" s="72" t="s">
        <v>267</v>
      </c>
      <c r="E23" s="72" t="s">
        <v>1592</v>
      </c>
      <c r="F23" s="72"/>
      <c r="G23" s="72"/>
      <c r="H23" s="2648"/>
      <c r="I23" s="95"/>
      <c r="J23" s="95"/>
      <c r="K23" s="2622"/>
    </row>
    <row r="24" spans="1:20" s="88" customFormat="1" ht="15" x14ac:dyDescent="0.25">
      <c r="A24" s="860"/>
      <c r="B24" s="836"/>
      <c r="C24" s="836"/>
      <c r="D24" s="2623"/>
      <c r="E24" s="2624"/>
      <c r="F24" s="4998">
        <v>2000</v>
      </c>
      <c r="G24" s="4999"/>
      <c r="H24" s="5000"/>
      <c r="I24" s="4998">
        <v>2006</v>
      </c>
      <c r="J24" s="4999"/>
      <c r="K24" s="5000"/>
      <c r="L24" s="5005">
        <v>2011</v>
      </c>
      <c r="M24" s="4999"/>
      <c r="N24" s="5000"/>
      <c r="O24" s="4998">
        <v>2016</v>
      </c>
      <c r="P24" s="4999"/>
      <c r="Q24" s="5001"/>
      <c r="R24" s="4998">
        <v>2021</v>
      </c>
      <c r="S24" s="4999"/>
      <c r="T24" s="5001"/>
    </row>
    <row r="25" spans="1:20" s="88" customFormat="1" ht="21.75" customHeight="1" x14ac:dyDescent="0.2">
      <c r="A25" s="860"/>
      <c r="B25" s="836"/>
      <c r="C25" s="836"/>
      <c r="D25" s="2649"/>
      <c r="E25" s="3481"/>
      <c r="F25" s="2626" t="s">
        <v>1586</v>
      </c>
      <c r="G25" s="2627" t="s">
        <v>1587</v>
      </c>
      <c r="H25" s="2628" t="s">
        <v>389</v>
      </c>
      <c r="I25" s="2629" t="s">
        <v>1586</v>
      </c>
      <c r="J25" s="2627" t="s">
        <v>1587</v>
      </c>
      <c r="K25" s="2650" t="s">
        <v>389</v>
      </c>
      <c r="L25" s="2629" t="s">
        <v>1586</v>
      </c>
      <c r="M25" s="2627" t="s">
        <v>1587</v>
      </c>
      <c r="N25" s="2650" t="s">
        <v>389</v>
      </c>
      <c r="O25" s="2626" t="s">
        <v>1586</v>
      </c>
      <c r="P25" s="2627" t="s">
        <v>1587</v>
      </c>
      <c r="Q25" s="2631" t="s">
        <v>389</v>
      </c>
      <c r="R25" s="2626" t="s">
        <v>1586</v>
      </c>
      <c r="S25" s="2627" t="s">
        <v>1587</v>
      </c>
      <c r="T25" s="2631" t="s">
        <v>389</v>
      </c>
    </row>
    <row r="26" spans="1:20" s="88" customFormat="1" ht="11.25" x14ac:dyDescent="0.2">
      <c r="A26" s="860"/>
      <c r="B26" s="836"/>
      <c r="C26" s="836"/>
      <c r="D26" s="181" t="s">
        <v>276</v>
      </c>
      <c r="F26" s="2632">
        <v>2552287</v>
      </c>
      <c r="G26" s="419">
        <v>1428259</v>
      </c>
      <c r="H26" s="2633">
        <f t="shared" ref="H26:H35" si="4">G26/F26</f>
        <v>0.55959968451823794</v>
      </c>
      <c r="I26" s="419">
        <v>2908106</v>
      </c>
      <c r="J26" s="2185">
        <v>1630284</v>
      </c>
      <c r="K26" s="2633">
        <f t="shared" ref="K26:K35" si="5">J26/I26</f>
        <v>0.56059992311146845</v>
      </c>
      <c r="L26" s="419">
        <v>3111535</v>
      </c>
      <c r="M26" s="2185">
        <v>1813802</v>
      </c>
      <c r="N26" s="2633">
        <f t="shared" ref="N26:N35" si="6">M26/L26</f>
        <v>0.58292836172500073</v>
      </c>
      <c r="O26" s="2632">
        <v>3337532</v>
      </c>
      <c r="P26" s="2185">
        <v>1888500</v>
      </c>
      <c r="Q26" s="2651">
        <f t="shared" ref="Q26:Q35" si="7">P26/O26</f>
        <v>0.56583727137297857</v>
      </c>
      <c r="R26" s="2652">
        <v>3270488</v>
      </c>
      <c r="S26" s="2652">
        <v>1522726</v>
      </c>
      <c r="T26" s="2653">
        <v>0.46559595999129183</v>
      </c>
    </row>
    <row r="27" spans="1:20" s="88" customFormat="1" ht="11.25" x14ac:dyDescent="0.2">
      <c r="A27" s="860"/>
      <c r="B27" s="836"/>
      <c r="C27" s="836"/>
      <c r="D27" s="181" t="s">
        <v>277</v>
      </c>
      <c r="F27" s="2632">
        <v>1227578</v>
      </c>
      <c r="G27" s="419">
        <v>602618</v>
      </c>
      <c r="H27" s="2633">
        <f t="shared" si="4"/>
        <v>0.49089996725259005</v>
      </c>
      <c r="I27" s="419">
        <v>1318408</v>
      </c>
      <c r="J27" s="2185">
        <v>622816</v>
      </c>
      <c r="K27" s="2633">
        <f t="shared" si="5"/>
        <v>0.47240004611622505</v>
      </c>
      <c r="L27" s="419">
        <v>1386521</v>
      </c>
      <c r="M27" s="2185">
        <v>767327</v>
      </c>
      <c r="N27" s="2633">
        <f t="shared" si="6"/>
        <v>0.55341895290442766</v>
      </c>
      <c r="O27" s="2632">
        <v>1470999</v>
      </c>
      <c r="P27" s="2185">
        <v>829349</v>
      </c>
      <c r="Q27" s="2651">
        <f t="shared" si="7"/>
        <v>0.5637998394288507</v>
      </c>
      <c r="R27" s="2652">
        <v>1418775</v>
      </c>
      <c r="S27" s="2652">
        <v>643417</v>
      </c>
      <c r="T27" s="2654">
        <v>0.45350178851473982</v>
      </c>
    </row>
    <row r="28" spans="1:20" s="88" customFormat="1" ht="11.25" x14ac:dyDescent="0.2">
      <c r="A28" s="860"/>
      <c r="B28" s="836"/>
      <c r="C28" s="836"/>
      <c r="D28" s="181" t="s">
        <v>278</v>
      </c>
      <c r="F28" s="2632">
        <v>4375372</v>
      </c>
      <c r="G28" s="419">
        <v>1891473</v>
      </c>
      <c r="H28" s="2633">
        <f t="shared" si="4"/>
        <v>0.43229992786899035</v>
      </c>
      <c r="I28" s="419">
        <v>4785955</v>
      </c>
      <c r="J28" s="2185">
        <v>2033674</v>
      </c>
      <c r="K28" s="2633">
        <f t="shared" si="5"/>
        <v>0.42492543285509371</v>
      </c>
      <c r="L28" s="419">
        <v>5592676</v>
      </c>
      <c r="M28" s="2185">
        <v>3127671</v>
      </c>
      <c r="N28" s="2633">
        <f t="shared" si="6"/>
        <v>0.55924408994906916</v>
      </c>
      <c r="O28" s="2632">
        <v>6234822</v>
      </c>
      <c r="P28" s="2185">
        <v>3624105</v>
      </c>
      <c r="Q28" s="2651">
        <f t="shared" si="7"/>
        <v>0.58126839868082847</v>
      </c>
      <c r="R28" s="2652">
        <v>6211427</v>
      </c>
      <c r="S28" s="2652">
        <v>2724361</v>
      </c>
      <c r="T28" s="2654">
        <v>0.43860468777947481</v>
      </c>
    </row>
    <row r="29" spans="1:20" s="88" customFormat="1" ht="11.25" x14ac:dyDescent="0.2">
      <c r="A29" s="860"/>
      <c r="B29" s="836"/>
      <c r="C29" s="836"/>
      <c r="D29" s="181" t="s">
        <v>641</v>
      </c>
      <c r="F29" s="2632">
        <v>3508154</v>
      </c>
      <c r="G29" s="419">
        <v>1637255</v>
      </c>
      <c r="H29" s="2633">
        <f t="shared" si="4"/>
        <v>0.46669986551331555</v>
      </c>
      <c r="I29" s="419">
        <v>3964817</v>
      </c>
      <c r="J29" s="2185">
        <v>2005008</v>
      </c>
      <c r="K29" s="2633">
        <f t="shared" si="5"/>
        <v>0.50570001087061522</v>
      </c>
      <c r="L29" s="419">
        <v>4648733</v>
      </c>
      <c r="M29" s="2185">
        <v>2865855</v>
      </c>
      <c r="N29" s="2633">
        <f t="shared" si="6"/>
        <v>0.61648087769291116</v>
      </c>
      <c r="O29" s="2632">
        <v>5411237</v>
      </c>
      <c r="P29" s="2185">
        <v>3333298</v>
      </c>
      <c r="Q29" s="2651">
        <f t="shared" si="7"/>
        <v>0.61599556626331464</v>
      </c>
      <c r="R29" s="2652">
        <v>5473718</v>
      </c>
      <c r="S29" s="2652">
        <v>2638549</v>
      </c>
      <c r="T29" s="2654">
        <v>0.48203963010151418</v>
      </c>
    </row>
    <row r="30" spans="1:20" s="88" customFormat="1" ht="11.25" x14ac:dyDescent="0.2">
      <c r="A30" s="860"/>
      <c r="B30" s="836"/>
      <c r="C30" s="836"/>
      <c r="D30" s="181" t="s">
        <v>280</v>
      </c>
      <c r="F30" s="2632">
        <v>1419315</v>
      </c>
      <c r="G30" s="419">
        <v>635427</v>
      </c>
      <c r="H30" s="2633">
        <f t="shared" si="4"/>
        <v>0.4476997706640175</v>
      </c>
      <c r="I30" s="419">
        <v>2145186</v>
      </c>
      <c r="J30" s="2185">
        <v>959971</v>
      </c>
      <c r="K30" s="2633">
        <f t="shared" si="5"/>
        <v>0.44750012353241164</v>
      </c>
      <c r="L30" s="419">
        <v>2341498</v>
      </c>
      <c r="M30" s="2185">
        <v>1172855</v>
      </c>
      <c r="N30" s="2633">
        <f t="shared" si="6"/>
        <v>0.50089942421475486</v>
      </c>
      <c r="O30" s="2632">
        <v>2556128</v>
      </c>
      <c r="P30" s="2185">
        <v>1287713</v>
      </c>
      <c r="Q30" s="2651">
        <f t="shared" si="7"/>
        <v>0.50377485008575473</v>
      </c>
      <c r="R30" s="2652">
        <v>2594082</v>
      </c>
      <c r="S30" s="2652">
        <v>1152173</v>
      </c>
      <c r="T30" s="2654">
        <v>0.44415442534198996</v>
      </c>
    </row>
    <row r="31" spans="1:20" s="88" customFormat="1" ht="11.25" x14ac:dyDescent="0.2">
      <c r="A31" s="860"/>
      <c r="B31" s="836"/>
      <c r="C31" s="836"/>
      <c r="D31" s="181" t="s">
        <v>281</v>
      </c>
      <c r="F31" s="2632">
        <v>1263004</v>
      </c>
      <c r="G31" s="419">
        <v>565699</v>
      </c>
      <c r="H31" s="2633">
        <f t="shared" si="4"/>
        <v>0.44789961076924539</v>
      </c>
      <c r="I31" s="419">
        <v>1546728</v>
      </c>
      <c r="J31" s="2185">
        <v>716908</v>
      </c>
      <c r="K31" s="2633">
        <f t="shared" si="5"/>
        <v>0.4634997232868352</v>
      </c>
      <c r="L31" s="419">
        <v>1718309</v>
      </c>
      <c r="M31" s="2185">
        <v>960748</v>
      </c>
      <c r="N31" s="2633">
        <f t="shared" si="6"/>
        <v>0.55912411562763153</v>
      </c>
      <c r="O31" s="2632">
        <v>1919216</v>
      </c>
      <c r="P31" s="2185">
        <v>1082665</v>
      </c>
      <c r="Q31" s="2651">
        <f t="shared" si="7"/>
        <v>0.56411836916740998</v>
      </c>
      <c r="R31" s="2652">
        <v>1910153</v>
      </c>
      <c r="S31" s="2652">
        <v>814745</v>
      </c>
      <c r="T31" s="2654">
        <v>0.42653389545235382</v>
      </c>
    </row>
    <row r="32" spans="1:20" s="88" customFormat="1" ht="11.25" x14ac:dyDescent="0.2">
      <c r="A32" s="860"/>
      <c r="B32" s="836"/>
      <c r="C32" s="836"/>
      <c r="D32" s="181" t="s">
        <v>282</v>
      </c>
      <c r="F32" s="2632">
        <v>452218</v>
      </c>
      <c r="G32" s="419">
        <v>260522</v>
      </c>
      <c r="H32" s="2633">
        <f t="shared" si="4"/>
        <v>0.57609825349720711</v>
      </c>
      <c r="I32" s="419">
        <v>1554864</v>
      </c>
      <c r="J32" s="2185">
        <v>709484</v>
      </c>
      <c r="K32" s="2633">
        <f t="shared" si="5"/>
        <v>0.45629971495899319</v>
      </c>
      <c r="L32" s="419">
        <v>1576898</v>
      </c>
      <c r="M32" s="2185">
        <v>845093</v>
      </c>
      <c r="N32" s="2633">
        <f t="shared" si="6"/>
        <v>0.53592115659985617</v>
      </c>
      <c r="O32" s="2632">
        <v>1715460</v>
      </c>
      <c r="P32" s="2185">
        <v>921519</v>
      </c>
      <c r="Q32" s="2651">
        <f t="shared" si="7"/>
        <v>0.5371847784267777</v>
      </c>
      <c r="R32" s="2652">
        <v>1675393</v>
      </c>
      <c r="S32" s="2652">
        <v>710300</v>
      </c>
      <c r="T32" s="2654">
        <v>0.42396022903282993</v>
      </c>
    </row>
    <row r="33" spans="1:25" s="88" customFormat="1" ht="11.25" x14ac:dyDescent="0.2">
      <c r="A33" s="860"/>
      <c r="B33" s="836"/>
      <c r="C33" s="836"/>
      <c r="D33" s="181" t="s">
        <v>283</v>
      </c>
      <c r="F33" s="2632">
        <v>1758593</v>
      </c>
      <c r="G33" s="419">
        <v>746698</v>
      </c>
      <c r="H33" s="2633">
        <f t="shared" si="4"/>
        <v>0.4245996657555216</v>
      </c>
      <c r="I33" s="419">
        <v>528657</v>
      </c>
      <c r="J33" s="2185">
        <v>282884</v>
      </c>
      <c r="K33" s="2633">
        <f t="shared" si="5"/>
        <v>0.53509931770505259</v>
      </c>
      <c r="L33" s="419">
        <v>572140</v>
      </c>
      <c r="M33" s="2185">
        <v>363361</v>
      </c>
      <c r="N33" s="2633">
        <f t="shared" si="6"/>
        <v>0.63509106162827278</v>
      </c>
      <c r="O33" s="2632">
        <v>621310</v>
      </c>
      <c r="P33" s="2185">
        <v>380718</v>
      </c>
      <c r="Q33" s="2651">
        <f t="shared" si="7"/>
        <v>0.61276657385202238</v>
      </c>
      <c r="R33" s="2652">
        <v>625921</v>
      </c>
      <c r="S33" s="2652">
        <v>333708</v>
      </c>
      <c r="T33" s="2654">
        <v>0.53314715435334492</v>
      </c>
    </row>
    <row r="34" spans="1:25" s="88" customFormat="1" ht="11.25" x14ac:dyDescent="0.2">
      <c r="A34" s="860"/>
      <c r="B34" s="836"/>
      <c r="C34" s="836"/>
      <c r="D34" s="323" t="s">
        <v>284</v>
      </c>
      <c r="E34" s="3435"/>
      <c r="F34" s="3534">
        <v>1955454</v>
      </c>
      <c r="G34" s="3403">
        <v>1131621</v>
      </c>
      <c r="H34" s="3475">
        <f t="shared" si="4"/>
        <v>0.57869988248253346</v>
      </c>
      <c r="I34" s="3403">
        <v>2301371</v>
      </c>
      <c r="J34" s="3476">
        <v>1191880</v>
      </c>
      <c r="K34" s="3475">
        <f t="shared" si="5"/>
        <v>0.51789998222798495</v>
      </c>
      <c r="L34" s="3403">
        <v>2706736</v>
      </c>
      <c r="M34" s="3476">
        <v>1748208</v>
      </c>
      <c r="N34" s="3475">
        <f t="shared" si="6"/>
        <v>0.64587311063953046</v>
      </c>
      <c r="O34" s="3534">
        <v>3066649</v>
      </c>
      <c r="P34" s="3476">
        <v>1948892</v>
      </c>
      <c r="Q34" s="3482">
        <f t="shared" si="7"/>
        <v>0.63551192197085482</v>
      </c>
      <c r="R34" s="2655">
        <v>3122471</v>
      </c>
      <c r="S34" s="3483">
        <v>1523780</v>
      </c>
      <c r="T34" s="3484">
        <v>0.48800453230790614</v>
      </c>
    </row>
    <row r="35" spans="1:25" s="88" customFormat="1" ht="15.75" customHeight="1" x14ac:dyDescent="0.2">
      <c r="A35" s="860"/>
      <c r="B35" s="836"/>
      <c r="C35" s="836"/>
      <c r="D35" s="918" t="s">
        <v>50</v>
      </c>
      <c r="E35" s="896"/>
      <c r="F35" s="2640">
        <f>SUM(F26:F34)</f>
        <v>18511975</v>
      </c>
      <c r="G35" s="2641">
        <f>SUM(G26:G34)</f>
        <v>8899572</v>
      </c>
      <c r="H35" s="2642">
        <f t="shared" si="4"/>
        <v>0.48074675986759924</v>
      </c>
      <c r="I35" s="2641">
        <f>SUM(I26:I34)</f>
        <v>21054092</v>
      </c>
      <c r="J35" s="2641">
        <f>SUM(J26:J34)</f>
        <v>10152909</v>
      </c>
      <c r="K35" s="2642">
        <f t="shared" si="5"/>
        <v>0.48222972522396124</v>
      </c>
      <c r="L35" s="2641">
        <f>SUM(L26:L34)</f>
        <v>23655046</v>
      </c>
      <c r="M35" s="2641">
        <f>SUM(M26:M34)</f>
        <v>13664920</v>
      </c>
      <c r="N35" s="2642">
        <f t="shared" si="6"/>
        <v>0.57767463229621285</v>
      </c>
      <c r="O35" s="2640">
        <f>SUM(O26:O34)</f>
        <v>26333353</v>
      </c>
      <c r="P35" s="2641">
        <f>SUM(P26:P34)</f>
        <v>15296759</v>
      </c>
      <c r="Q35" s="2656">
        <f t="shared" si="7"/>
        <v>0.58088914844987649</v>
      </c>
      <c r="R35" s="2657">
        <f>SUM(R26:R34)</f>
        <v>26302428</v>
      </c>
      <c r="S35" s="2658">
        <f>SUM(S26:S34)</f>
        <v>12063759</v>
      </c>
      <c r="T35" s="2659">
        <v>0.45865571801964444</v>
      </c>
    </row>
    <row r="36" spans="1:25" ht="15.75" customHeight="1" x14ac:dyDescent="0.2">
      <c r="B36" s="193"/>
      <c r="C36" s="193"/>
      <c r="D36" s="532"/>
      <c r="E36" s="2660"/>
      <c r="F36" s="2661"/>
      <c r="G36" s="2660"/>
      <c r="H36" s="2662"/>
      <c r="I36" s="2663"/>
      <c r="R36" s="88"/>
      <c r="S36" s="88"/>
    </row>
    <row r="37" spans="1:25" s="508" customFormat="1" ht="15" customHeight="1" x14ac:dyDescent="0.2">
      <c r="A37" s="509">
        <v>6</v>
      </c>
      <c r="B37" s="509" t="s">
        <v>52</v>
      </c>
      <c r="C37" s="509"/>
      <c r="D37" s="4764" t="s">
        <v>1593</v>
      </c>
      <c r="E37" s="4765"/>
      <c r="F37" s="4765"/>
      <c r="G37" s="4765"/>
      <c r="H37" s="4765"/>
      <c r="I37" s="4765"/>
      <c r="J37" s="4765"/>
      <c r="K37" s="4765"/>
      <c r="L37" s="4765"/>
      <c r="M37" s="4765"/>
      <c r="N37" s="4765"/>
      <c r="O37" s="4765"/>
      <c r="P37" s="4765"/>
      <c r="Q37" s="4765"/>
      <c r="R37" s="4765"/>
      <c r="S37" s="4765"/>
      <c r="T37" s="4766"/>
    </row>
    <row r="38" spans="1:25" s="508" customFormat="1" ht="13.5" customHeight="1" x14ac:dyDescent="0.2">
      <c r="A38" s="546">
        <v>7</v>
      </c>
      <c r="B38" s="546" t="s">
        <v>54</v>
      </c>
      <c r="C38" s="546"/>
      <c r="D38" s="5002" t="s">
        <v>1594</v>
      </c>
      <c r="E38" s="5003"/>
      <c r="F38" s="5003"/>
      <c r="G38" s="5003"/>
      <c r="H38" s="5003"/>
      <c r="I38" s="5003"/>
      <c r="J38" s="5003"/>
      <c r="K38" s="5003"/>
      <c r="L38" s="5003"/>
      <c r="M38" s="5003"/>
      <c r="N38" s="5003"/>
      <c r="O38" s="5003"/>
      <c r="P38" s="5003"/>
      <c r="Q38" s="5003"/>
      <c r="R38" s="5003"/>
      <c r="S38" s="5003"/>
      <c r="T38" s="5004"/>
    </row>
    <row r="39" spans="1:25" s="508" customFormat="1" ht="14.25" customHeight="1" x14ac:dyDescent="0.2">
      <c r="A39" s="509">
        <v>8</v>
      </c>
      <c r="B39" s="509" t="s">
        <v>56</v>
      </c>
      <c r="C39" s="509"/>
      <c r="D39" s="4603" t="s">
        <v>1595</v>
      </c>
      <c r="E39" s="4604"/>
      <c r="F39" s="4604"/>
      <c r="G39" s="4604"/>
      <c r="H39" s="4604"/>
      <c r="I39" s="4604"/>
      <c r="J39" s="4604"/>
      <c r="K39" s="4604"/>
      <c r="L39" s="4604"/>
      <c r="M39" s="4604"/>
      <c r="N39" s="4604"/>
      <c r="O39" s="4604"/>
      <c r="P39" s="4604"/>
      <c r="Q39" s="4604"/>
      <c r="R39" s="4604"/>
      <c r="S39" s="4604"/>
      <c r="T39" s="4605"/>
    </row>
    <row r="40" spans="1:25" ht="24.75" customHeight="1" x14ac:dyDescent="0.2">
      <c r="A40" s="546">
        <v>9</v>
      </c>
      <c r="B40" s="509" t="s">
        <v>355</v>
      </c>
      <c r="D40" s="4603" t="s">
        <v>1596</v>
      </c>
      <c r="E40" s="4604"/>
      <c r="F40" s="4604"/>
      <c r="G40" s="4604"/>
      <c r="H40" s="4604"/>
      <c r="I40" s="4604"/>
      <c r="J40" s="4604"/>
      <c r="K40" s="4604"/>
      <c r="L40" s="4604"/>
      <c r="M40" s="4604"/>
      <c r="N40" s="4604"/>
      <c r="O40" s="4604"/>
      <c r="P40" s="4604"/>
      <c r="Q40" s="4604"/>
      <c r="R40" s="4604"/>
      <c r="S40" s="4604"/>
      <c r="T40" s="4605"/>
      <c r="U40" s="344"/>
      <c r="V40" s="344"/>
      <c r="W40" s="344"/>
      <c r="X40" s="344"/>
      <c r="Y40" s="344"/>
    </row>
    <row r="41" spans="1:25" x14ac:dyDescent="0.2">
      <c r="R41" s="88"/>
      <c r="S41" s="88"/>
    </row>
  </sheetData>
  <mergeCells count="18">
    <mergeCell ref="D38:T38"/>
    <mergeCell ref="D39:T39"/>
    <mergeCell ref="D40:T40"/>
    <mergeCell ref="F24:H24"/>
    <mergeCell ref="I24:K24"/>
    <mergeCell ref="L24:N24"/>
    <mergeCell ref="O24:Q24"/>
    <mergeCell ref="R24:T24"/>
    <mergeCell ref="D37:T37"/>
    <mergeCell ref="D2:T2"/>
    <mergeCell ref="D3:T3"/>
    <mergeCell ref="D4:T4"/>
    <mergeCell ref="D5:T5"/>
    <mergeCell ref="F9:H9"/>
    <mergeCell ref="I9:K9"/>
    <mergeCell ref="L9:N9"/>
    <mergeCell ref="O9:Q9"/>
    <mergeCell ref="R9:T9"/>
  </mergeCells>
  <pageMargins left="0.74803149606299213" right="0.74803149606299213" top="0.98425196850393704" bottom="0.98425196850393704" header="0.51181102362204722" footer="0.51181102362204722"/>
  <pageSetup paperSize="9" scale="60" orientation="landscape" r:id="rId1"/>
  <headerFooter alignWithMargins="0">
    <oddHeader>&amp;C&amp;"-,Bold"DEVELOPMENT INDICATORS 2014</oddHeader>
    <oddFooter>&amp;LDepartment of Planning, Monitoring and Evaluation (DPME). &amp;CPage &amp;P of &amp;N&amp;R&amp;D</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DC350-1ACC-4451-B090-DC200274519D}">
  <sheetPr>
    <tabColor theme="5" tint="-0.249977111117893"/>
    <pageSetUpPr fitToPage="1"/>
  </sheetPr>
  <dimension ref="A1:AN61"/>
  <sheetViews>
    <sheetView showGridLines="0" view="pageBreakPreview" topLeftCell="A4" zoomScaleNormal="100" zoomScaleSheetLayoutView="100" workbookViewId="0">
      <selection activeCell="A23" sqref="A23:XFD23"/>
    </sheetView>
  </sheetViews>
  <sheetFormatPr defaultColWidth="9.140625" defaultRowHeight="12" x14ac:dyDescent="0.2"/>
  <cols>
    <col min="1" max="1" width="3.5703125" style="203" customWidth="1"/>
    <col min="2" max="2" width="11.85546875" style="527" customWidth="1"/>
    <col min="3" max="3" width="3.5703125" style="527" customWidth="1"/>
    <col min="4" max="4" width="12.42578125" style="512" customWidth="1"/>
    <col min="5" max="31" width="6.5703125" style="512" customWidth="1"/>
    <col min="32" max="33" width="9.140625" style="512"/>
    <col min="34" max="34" width="5.140625" style="512" customWidth="1"/>
    <col min="35" max="36" width="9.140625" style="512"/>
    <col min="37" max="37" width="7.42578125" style="512" customWidth="1"/>
    <col min="38" max="256" width="9.140625" style="512"/>
    <col min="257" max="257" width="3.5703125" style="512" customWidth="1"/>
    <col min="258" max="258" width="14.42578125" style="512" customWidth="1"/>
    <col min="259" max="259" width="3.5703125" style="512" customWidth="1"/>
    <col min="260" max="260" width="12.42578125" style="512" customWidth="1"/>
    <col min="261" max="287" width="6.5703125" style="512" customWidth="1"/>
    <col min="288" max="512" width="9.140625" style="512"/>
    <col min="513" max="513" width="3.5703125" style="512" customWidth="1"/>
    <col min="514" max="514" width="14.42578125" style="512" customWidth="1"/>
    <col min="515" max="515" width="3.5703125" style="512" customWidth="1"/>
    <col min="516" max="516" width="12.42578125" style="512" customWidth="1"/>
    <col min="517" max="543" width="6.5703125" style="512" customWidth="1"/>
    <col min="544" max="768" width="9.140625" style="512"/>
    <col min="769" max="769" width="3.5703125" style="512" customWidth="1"/>
    <col min="770" max="770" width="14.42578125" style="512" customWidth="1"/>
    <col min="771" max="771" width="3.5703125" style="512" customWidth="1"/>
    <col min="772" max="772" width="12.42578125" style="512" customWidth="1"/>
    <col min="773" max="799" width="6.5703125" style="512" customWidth="1"/>
    <col min="800" max="1024" width="9.140625" style="512"/>
    <col min="1025" max="1025" width="3.5703125" style="512" customWidth="1"/>
    <col min="1026" max="1026" width="14.42578125" style="512" customWidth="1"/>
    <col min="1027" max="1027" width="3.5703125" style="512" customWidth="1"/>
    <col min="1028" max="1028" width="12.42578125" style="512" customWidth="1"/>
    <col min="1029" max="1055" width="6.5703125" style="512" customWidth="1"/>
    <col min="1056" max="1280" width="9.140625" style="512"/>
    <col min="1281" max="1281" width="3.5703125" style="512" customWidth="1"/>
    <col min="1282" max="1282" width="14.42578125" style="512" customWidth="1"/>
    <col min="1283" max="1283" width="3.5703125" style="512" customWidth="1"/>
    <col min="1284" max="1284" width="12.42578125" style="512" customWidth="1"/>
    <col min="1285" max="1311" width="6.5703125" style="512" customWidth="1"/>
    <col min="1312" max="1536" width="9.140625" style="512"/>
    <col min="1537" max="1537" width="3.5703125" style="512" customWidth="1"/>
    <col min="1538" max="1538" width="14.42578125" style="512" customWidth="1"/>
    <col min="1539" max="1539" width="3.5703125" style="512" customWidth="1"/>
    <col min="1540" max="1540" width="12.42578125" style="512" customWidth="1"/>
    <col min="1541" max="1567" width="6.5703125" style="512" customWidth="1"/>
    <col min="1568" max="1792" width="9.140625" style="512"/>
    <col min="1793" max="1793" width="3.5703125" style="512" customWidth="1"/>
    <col min="1794" max="1794" width="14.42578125" style="512" customWidth="1"/>
    <col min="1795" max="1795" width="3.5703125" style="512" customWidth="1"/>
    <col min="1796" max="1796" width="12.42578125" style="512" customWidth="1"/>
    <col min="1797" max="1823" width="6.5703125" style="512" customWidth="1"/>
    <col min="1824" max="2048" width="9.140625" style="512"/>
    <col min="2049" max="2049" width="3.5703125" style="512" customWidth="1"/>
    <col min="2050" max="2050" width="14.42578125" style="512" customWidth="1"/>
    <col min="2051" max="2051" width="3.5703125" style="512" customWidth="1"/>
    <col min="2052" max="2052" width="12.42578125" style="512" customWidth="1"/>
    <col min="2053" max="2079" width="6.5703125" style="512" customWidth="1"/>
    <col min="2080" max="2304" width="9.140625" style="512"/>
    <col min="2305" max="2305" width="3.5703125" style="512" customWidth="1"/>
    <col min="2306" max="2306" width="14.42578125" style="512" customWidth="1"/>
    <col min="2307" max="2307" width="3.5703125" style="512" customWidth="1"/>
    <col min="2308" max="2308" width="12.42578125" style="512" customWidth="1"/>
    <col min="2309" max="2335" width="6.5703125" style="512" customWidth="1"/>
    <col min="2336" max="2560" width="9.140625" style="512"/>
    <col min="2561" max="2561" width="3.5703125" style="512" customWidth="1"/>
    <col min="2562" max="2562" width="14.42578125" style="512" customWidth="1"/>
    <col min="2563" max="2563" width="3.5703125" style="512" customWidth="1"/>
    <col min="2564" max="2564" width="12.42578125" style="512" customWidth="1"/>
    <col min="2565" max="2591" width="6.5703125" style="512" customWidth="1"/>
    <col min="2592" max="2816" width="9.140625" style="512"/>
    <col min="2817" max="2817" width="3.5703125" style="512" customWidth="1"/>
    <col min="2818" max="2818" width="14.42578125" style="512" customWidth="1"/>
    <col min="2819" max="2819" width="3.5703125" style="512" customWidth="1"/>
    <col min="2820" max="2820" width="12.42578125" style="512" customWidth="1"/>
    <col min="2821" max="2847" width="6.5703125" style="512" customWidth="1"/>
    <col min="2848" max="3072" width="9.140625" style="512"/>
    <col min="3073" max="3073" width="3.5703125" style="512" customWidth="1"/>
    <col min="3074" max="3074" width="14.42578125" style="512" customWidth="1"/>
    <col min="3075" max="3075" width="3.5703125" style="512" customWidth="1"/>
    <col min="3076" max="3076" width="12.42578125" style="512" customWidth="1"/>
    <col min="3077" max="3103" width="6.5703125" style="512" customWidth="1"/>
    <col min="3104" max="3328" width="9.140625" style="512"/>
    <col min="3329" max="3329" width="3.5703125" style="512" customWidth="1"/>
    <col min="3330" max="3330" width="14.42578125" style="512" customWidth="1"/>
    <col min="3331" max="3331" width="3.5703125" style="512" customWidth="1"/>
    <col min="3332" max="3332" width="12.42578125" style="512" customWidth="1"/>
    <col min="3333" max="3359" width="6.5703125" style="512" customWidth="1"/>
    <col min="3360" max="3584" width="9.140625" style="512"/>
    <col min="3585" max="3585" width="3.5703125" style="512" customWidth="1"/>
    <col min="3586" max="3586" width="14.42578125" style="512" customWidth="1"/>
    <col min="3587" max="3587" width="3.5703125" style="512" customWidth="1"/>
    <col min="3588" max="3588" width="12.42578125" style="512" customWidth="1"/>
    <col min="3589" max="3615" width="6.5703125" style="512" customWidth="1"/>
    <col min="3616" max="3840" width="9.140625" style="512"/>
    <col min="3841" max="3841" width="3.5703125" style="512" customWidth="1"/>
    <col min="3842" max="3842" width="14.42578125" style="512" customWidth="1"/>
    <col min="3843" max="3843" width="3.5703125" style="512" customWidth="1"/>
    <col min="3844" max="3844" width="12.42578125" style="512" customWidth="1"/>
    <col min="3845" max="3871" width="6.5703125" style="512" customWidth="1"/>
    <col min="3872" max="4096" width="9.140625" style="512"/>
    <col min="4097" max="4097" width="3.5703125" style="512" customWidth="1"/>
    <col min="4098" max="4098" width="14.42578125" style="512" customWidth="1"/>
    <col min="4099" max="4099" width="3.5703125" style="512" customWidth="1"/>
    <col min="4100" max="4100" width="12.42578125" style="512" customWidth="1"/>
    <col min="4101" max="4127" width="6.5703125" style="512" customWidth="1"/>
    <col min="4128" max="4352" width="9.140625" style="512"/>
    <col min="4353" max="4353" width="3.5703125" style="512" customWidth="1"/>
    <col min="4354" max="4354" width="14.42578125" style="512" customWidth="1"/>
    <col min="4355" max="4355" width="3.5703125" style="512" customWidth="1"/>
    <col min="4356" max="4356" width="12.42578125" style="512" customWidth="1"/>
    <col min="4357" max="4383" width="6.5703125" style="512" customWidth="1"/>
    <col min="4384" max="4608" width="9.140625" style="512"/>
    <col min="4609" max="4609" width="3.5703125" style="512" customWidth="1"/>
    <col min="4610" max="4610" width="14.42578125" style="512" customWidth="1"/>
    <col min="4611" max="4611" width="3.5703125" style="512" customWidth="1"/>
    <col min="4612" max="4612" width="12.42578125" style="512" customWidth="1"/>
    <col min="4613" max="4639" width="6.5703125" style="512" customWidth="1"/>
    <col min="4640" max="4864" width="9.140625" style="512"/>
    <col min="4865" max="4865" width="3.5703125" style="512" customWidth="1"/>
    <col min="4866" max="4866" width="14.42578125" style="512" customWidth="1"/>
    <col min="4867" max="4867" width="3.5703125" style="512" customWidth="1"/>
    <col min="4868" max="4868" width="12.42578125" style="512" customWidth="1"/>
    <col min="4869" max="4895" width="6.5703125" style="512" customWidth="1"/>
    <col min="4896" max="5120" width="9.140625" style="512"/>
    <col min="5121" max="5121" width="3.5703125" style="512" customWidth="1"/>
    <col min="5122" max="5122" width="14.42578125" style="512" customWidth="1"/>
    <col min="5123" max="5123" width="3.5703125" style="512" customWidth="1"/>
    <col min="5124" max="5124" width="12.42578125" style="512" customWidth="1"/>
    <col min="5125" max="5151" width="6.5703125" style="512" customWidth="1"/>
    <col min="5152" max="5376" width="9.140625" style="512"/>
    <col min="5377" max="5377" width="3.5703125" style="512" customWidth="1"/>
    <col min="5378" max="5378" width="14.42578125" style="512" customWidth="1"/>
    <col min="5379" max="5379" width="3.5703125" style="512" customWidth="1"/>
    <col min="5380" max="5380" width="12.42578125" style="512" customWidth="1"/>
    <col min="5381" max="5407" width="6.5703125" style="512" customWidth="1"/>
    <col min="5408" max="5632" width="9.140625" style="512"/>
    <col min="5633" max="5633" width="3.5703125" style="512" customWidth="1"/>
    <col min="5634" max="5634" width="14.42578125" style="512" customWidth="1"/>
    <col min="5635" max="5635" width="3.5703125" style="512" customWidth="1"/>
    <col min="5636" max="5636" width="12.42578125" style="512" customWidth="1"/>
    <col min="5637" max="5663" width="6.5703125" style="512" customWidth="1"/>
    <col min="5664" max="5888" width="9.140625" style="512"/>
    <col min="5889" max="5889" width="3.5703125" style="512" customWidth="1"/>
    <col min="5890" max="5890" width="14.42578125" style="512" customWidth="1"/>
    <col min="5891" max="5891" width="3.5703125" style="512" customWidth="1"/>
    <col min="5892" max="5892" width="12.42578125" style="512" customWidth="1"/>
    <col min="5893" max="5919" width="6.5703125" style="512" customWidth="1"/>
    <col min="5920" max="6144" width="9.140625" style="512"/>
    <col min="6145" max="6145" width="3.5703125" style="512" customWidth="1"/>
    <col min="6146" max="6146" width="14.42578125" style="512" customWidth="1"/>
    <col min="6147" max="6147" width="3.5703125" style="512" customWidth="1"/>
    <col min="6148" max="6148" width="12.42578125" style="512" customWidth="1"/>
    <col min="6149" max="6175" width="6.5703125" style="512" customWidth="1"/>
    <col min="6176" max="6400" width="9.140625" style="512"/>
    <col min="6401" max="6401" width="3.5703125" style="512" customWidth="1"/>
    <col min="6402" max="6402" width="14.42578125" style="512" customWidth="1"/>
    <col min="6403" max="6403" width="3.5703125" style="512" customWidth="1"/>
    <col min="6404" max="6404" width="12.42578125" style="512" customWidth="1"/>
    <col min="6405" max="6431" width="6.5703125" style="512" customWidth="1"/>
    <col min="6432" max="6656" width="9.140625" style="512"/>
    <col min="6657" max="6657" width="3.5703125" style="512" customWidth="1"/>
    <col min="6658" max="6658" width="14.42578125" style="512" customWidth="1"/>
    <col min="6659" max="6659" width="3.5703125" style="512" customWidth="1"/>
    <col min="6660" max="6660" width="12.42578125" style="512" customWidth="1"/>
    <col min="6661" max="6687" width="6.5703125" style="512" customWidth="1"/>
    <col min="6688" max="6912" width="9.140625" style="512"/>
    <col min="6913" max="6913" width="3.5703125" style="512" customWidth="1"/>
    <col min="6914" max="6914" width="14.42578125" style="512" customWidth="1"/>
    <col min="6915" max="6915" width="3.5703125" style="512" customWidth="1"/>
    <col min="6916" max="6916" width="12.42578125" style="512" customWidth="1"/>
    <col min="6917" max="6943" width="6.5703125" style="512" customWidth="1"/>
    <col min="6944" max="7168" width="9.140625" style="512"/>
    <col min="7169" max="7169" width="3.5703125" style="512" customWidth="1"/>
    <col min="7170" max="7170" width="14.42578125" style="512" customWidth="1"/>
    <col min="7171" max="7171" width="3.5703125" style="512" customWidth="1"/>
    <col min="7172" max="7172" width="12.42578125" style="512" customWidth="1"/>
    <col min="7173" max="7199" width="6.5703125" style="512" customWidth="1"/>
    <col min="7200" max="7424" width="9.140625" style="512"/>
    <col min="7425" max="7425" width="3.5703125" style="512" customWidth="1"/>
    <col min="7426" max="7426" width="14.42578125" style="512" customWidth="1"/>
    <col min="7427" max="7427" width="3.5703125" style="512" customWidth="1"/>
    <col min="7428" max="7428" width="12.42578125" style="512" customWidth="1"/>
    <col min="7429" max="7455" width="6.5703125" style="512" customWidth="1"/>
    <col min="7456" max="7680" width="9.140625" style="512"/>
    <col min="7681" max="7681" width="3.5703125" style="512" customWidth="1"/>
    <col min="7682" max="7682" width="14.42578125" style="512" customWidth="1"/>
    <col min="7683" max="7683" width="3.5703125" style="512" customWidth="1"/>
    <col min="7684" max="7684" width="12.42578125" style="512" customWidth="1"/>
    <col min="7685" max="7711" width="6.5703125" style="512" customWidth="1"/>
    <col min="7712" max="7936" width="9.140625" style="512"/>
    <col min="7937" max="7937" width="3.5703125" style="512" customWidth="1"/>
    <col min="7938" max="7938" width="14.42578125" style="512" customWidth="1"/>
    <col min="7939" max="7939" width="3.5703125" style="512" customWidth="1"/>
    <col min="7940" max="7940" width="12.42578125" style="512" customWidth="1"/>
    <col min="7941" max="7967" width="6.5703125" style="512" customWidth="1"/>
    <col min="7968" max="8192" width="9.140625" style="512"/>
    <col min="8193" max="8193" width="3.5703125" style="512" customWidth="1"/>
    <col min="8194" max="8194" width="14.42578125" style="512" customWidth="1"/>
    <col min="8195" max="8195" width="3.5703125" style="512" customWidth="1"/>
    <col min="8196" max="8196" width="12.42578125" style="512" customWidth="1"/>
    <col min="8197" max="8223" width="6.5703125" style="512" customWidth="1"/>
    <col min="8224" max="8448" width="9.140625" style="512"/>
    <col min="8449" max="8449" width="3.5703125" style="512" customWidth="1"/>
    <col min="8450" max="8450" width="14.42578125" style="512" customWidth="1"/>
    <col min="8451" max="8451" width="3.5703125" style="512" customWidth="1"/>
    <col min="8452" max="8452" width="12.42578125" style="512" customWidth="1"/>
    <col min="8453" max="8479" width="6.5703125" style="512" customWidth="1"/>
    <col min="8480" max="8704" width="9.140625" style="512"/>
    <col min="8705" max="8705" width="3.5703125" style="512" customWidth="1"/>
    <col min="8706" max="8706" width="14.42578125" style="512" customWidth="1"/>
    <col min="8707" max="8707" width="3.5703125" style="512" customWidth="1"/>
    <col min="8708" max="8708" width="12.42578125" style="512" customWidth="1"/>
    <col min="8709" max="8735" width="6.5703125" style="512" customWidth="1"/>
    <col min="8736" max="8960" width="9.140625" style="512"/>
    <col min="8961" max="8961" width="3.5703125" style="512" customWidth="1"/>
    <col min="8962" max="8962" width="14.42578125" style="512" customWidth="1"/>
    <col min="8963" max="8963" width="3.5703125" style="512" customWidth="1"/>
    <col min="8964" max="8964" width="12.42578125" style="512" customWidth="1"/>
    <col min="8965" max="8991" width="6.5703125" style="512" customWidth="1"/>
    <col min="8992" max="9216" width="9.140625" style="512"/>
    <col min="9217" max="9217" width="3.5703125" style="512" customWidth="1"/>
    <col min="9218" max="9218" width="14.42578125" style="512" customWidth="1"/>
    <col min="9219" max="9219" width="3.5703125" style="512" customWidth="1"/>
    <col min="9220" max="9220" width="12.42578125" style="512" customWidth="1"/>
    <col min="9221" max="9247" width="6.5703125" style="512" customWidth="1"/>
    <col min="9248" max="9472" width="9.140625" style="512"/>
    <col min="9473" max="9473" width="3.5703125" style="512" customWidth="1"/>
    <col min="9474" max="9474" width="14.42578125" style="512" customWidth="1"/>
    <col min="9475" max="9475" width="3.5703125" style="512" customWidth="1"/>
    <col min="9476" max="9476" width="12.42578125" style="512" customWidth="1"/>
    <col min="9477" max="9503" width="6.5703125" style="512" customWidth="1"/>
    <col min="9504" max="9728" width="9.140625" style="512"/>
    <col min="9729" max="9729" width="3.5703125" style="512" customWidth="1"/>
    <col min="9730" max="9730" width="14.42578125" style="512" customWidth="1"/>
    <col min="9731" max="9731" width="3.5703125" style="512" customWidth="1"/>
    <col min="9732" max="9732" width="12.42578125" style="512" customWidth="1"/>
    <col min="9733" max="9759" width="6.5703125" style="512" customWidth="1"/>
    <col min="9760" max="9984" width="9.140625" style="512"/>
    <col min="9985" max="9985" width="3.5703125" style="512" customWidth="1"/>
    <col min="9986" max="9986" width="14.42578125" style="512" customWidth="1"/>
    <col min="9987" max="9987" width="3.5703125" style="512" customWidth="1"/>
    <col min="9988" max="9988" width="12.42578125" style="512" customWidth="1"/>
    <col min="9989" max="10015" width="6.5703125" style="512" customWidth="1"/>
    <col min="10016" max="10240" width="9.140625" style="512"/>
    <col min="10241" max="10241" width="3.5703125" style="512" customWidth="1"/>
    <col min="10242" max="10242" width="14.42578125" style="512" customWidth="1"/>
    <col min="10243" max="10243" width="3.5703125" style="512" customWidth="1"/>
    <col min="10244" max="10244" width="12.42578125" style="512" customWidth="1"/>
    <col min="10245" max="10271" width="6.5703125" style="512" customWidth="1"/>
    <col min="10272" max="10496" width="9.140625" style="512"/>
    <col min="10497" max="10497" width="3.5703125" style="512" customWidth="1"/>
    <col min="10498" max="10498" width="14.42578125" style="512" customWidth="1"/>
    <col min="10499" max="10499" width="3.5703125" style="512" customWidth="1"/>
    <col min="10500" max="10500" width="12.42578125" style="512" customWidth="1"/>
    <col min="10501" max="10527" width="6.5703125" style="512" customWidth="1"/>
    <col min="10528" max="10752" width="9.140625" style="512"/>
    <col min="10753" max="10753" width="3.5703125" style="512" customWidth="1"/>
    <col min="10754" max="10754" width="14.42578125" style="512" customWidth="1"/>
    <col min="10755" max="10755" width="3.5703125" style="512" customWidth="1"/>
    <col min="10756" max="10756" width="12.42578125" style="512" customWidth="1"/>
    <col min="10757" max="10783" width="6.5703125" style="512" customWidth="1"/>
    <col min="10784" max="11008" width="9.140625" style="512"/>
    <col min="11009" max="11009" width="3.5703125" style="512" customWidth="1"/>
    <col min="11010" max="11010" width="14.42578125" style="512" customWidth="1"/>
    <col min="11011" max="11011" width="3.5703125" style="512" customWidth="1"/>
    <col min="11012" max="11012" width="12.42578125" style="512" customWidth="1"/>
    <col min="11013" max="11039" width="6.5703125" style="512" customWidth="1"/>
    <col min="11040" max="11264" width="9.140625" style="512"/>
    <col min="11265" max="11265" width="3.5703125" style="512" customWidth="1"/>
    <col min="11266" max="11266" width="14.42578125" style="512" customWidth="1"/>
    <col min="11267" max="11267" width="3.5703125" style="512" customWidth="1"/>
    <col min="11268" max="11268" width="12.42578125" style="512" customWidth="1"/>
    <col min="11269" max="11295" width="6.5703125" style="512" customWidth="1"/>
    <col min="11296" max="11520" width="9.140625" style="512"/>
    <col min="11521" max="11521" width="3.5703125" style="512" customWidth="1"/>
    <col min="11522" max="11522" width="14.42578125" style="512" customWidth="1"/>
    <col min="11523" max="11523" width="3.5703125" style="512" customWidth="1"/>
    <col min="11524" max="11524" width="12.42578125" style="512" customWidth="1"/>
    <col min="11525" max="11551" width="6.5703125" style="512" customWidth="1"/>
    <col min="11552" max="11776" width="9.140625" style="512"/>
    <col min="11777" max="11777" width="3.5703125" style="512" customWidth="1"/>
    <col min="11778" max="11778" width="14.42578125" style="512" customWidth="1"/>
    <col min="11779" max="11779" width="3.5703125" style="512" customWidth="1"/>
    <col min="11780" max="11780" width="12.42578125" style="512" customWidth="1"/>
    <col min="11781" max="11807" width="6.5703125" style="512" customWidth="1"/>
    <col min="11808" max="12032" width="9.140625" style="512"/>
    <col min="12033" max="12033" width="3.5703125" style="512" customWidth="1"/>
    <col min="12034" max="12034" width="14.42578125" style="512" customWidth="1"/>
    <col min="12035" max="12035" width="3.5703125" style="512" customWidth="1"/>
    <col min="12036" max="12036" width="12.42578125" style="512" customWidth="1"/>
    <col min="12037" max="12063" width="6.5703125" style="512" customWidth="1"/>
    <col min="12064" max="12288" width="9.140625" style="512"/>
    <col min="12289" max="12289" width="3.5703125" style="512" customWidth="1"/>
    <col min="12290" max="12290" width="14.42578125" style="512" customWidth="1"/>
    <col min="12291" max="12291" width="3.5703125" style="512" customWidth="1"/>
    <col min="12292" max="12292" width="12.42578125" style="512" customWidth="1"/>
    <col min="12293" max="12319" width="6.5703125" style="512" customWidth="1"/>
    <col min="12320" max="12544" width="9.140625" style="512"/>
    <col min="12545" max="12545" width="3.5703125" style="512" customWidth="1"/>
    <col min="12546" max="12546" width="14.42578125" style="512" customWidth="1"/>
    <col min="12547" max="12547" width="3.5703125" style="512" customWidth="1"/>
    <col min="12548" max="12548" width="12.42578125" style="512" customWidth="1"/>
    <col min="12549" max="12575" width="6.5703125" style="512" customWidth="1"/>
    <col min="12576" max="12800" width="9.140625" style="512"/>
    <col min="12801" max="12801" width="3.5703125" style="512" customWidth="1"/>
    <col min="12802" max="12802" width="14.42578125" style="512" customWidth="1"/>
    <col min="12803" max="12803" width="3.5703125" style="512" customWidth="1"/>
    <col min="12804" max="12804" width="12.42578125" style="512" customWidth="1"/>
    <col min="12805" max="12831" width="6.5703125" style="512" customWidth="1"/>
    <col min="12832" max="13056" width="9.140625" style="512"/>
    <col min="13057" max="13057" width="3.5703125" style="512" customWidth="1"/>
    <col min="13058" max="13058" width="14.42578125" style="512" customWidth="1"/>
    <col min="13059" max="13059" width="3.5703125" style="512" customWidth="1"/>
    <col min="13060" max="13060" width="12.42578125" style="512" customWidth="1"/>
    <col min="13061" max="13087" width="6.5703125" style="512" customWidth="1"/>
    <col min="13088" max="13312" width="9.140625" style="512"/>
    <col min="13313" max="13313" width="3.5703125" style="512" customWidth="1"/>
    <col min="13314" max="13314" width="14.42578125" style="512" customWidth="1"/>
    <col min="13315" max="13315" width="3.5703125" style="512" customWidth="1"/>
    <col min="13316" max="13316" width="12.42578125" style="512" customWidth="1"/>
    <col min="13317" max="13343" width="6.5703125" style="512" customWidth="1"/>
    <col min="13344" max="13568" width="9.140625" style="512"/>
    <col min="13569" max="13569" width="3.5703125" style="512" customWidth="1"/>
    <col min="13570" max="13570" width="14.42578125" style="512" customWidth="1"/>
    <col min="13571" max="13571" width="3.5703125" style="512" customWidth="1"/>
    <col min="13572" max="13572" width="12.42578125" style="512" customWidth="1"/>
    <col min="13573" max="13599" width="6.5703125" style="512" customWidth="1"/>
    <col min="13600" max="13824" width="9.140625" style="512"/>
    <col min="13825" max="13825" width="3.5703125" style="512" customWidth="1"/>
    <col min="13826" max="13826" width="14.42578125" style="512" customWidth="1"/>
    <col min="13827" max="13827" width="3.5703125" style="512" customWidth="1"/>
    <col min="13828" max="13828" width="12.42578125" style="512" customWidth="1"/>
    <col min="13829" max="13855" width="6.5703125" style="512" customWidth="1"/>
    <col min="13856" max="14080" width="9.140625" style="512"/>
    <col min="14081" max="14081" width="3.5703125" style="512" customWidth="1"/>
    <col min="14082" max="14082" width="14.42578125" style="512" customWidth="1"/>
    <col min="14083" max="14083" width="3.5703125" style="512" customWidth="1"/>
    <col min="14084" max="14084" width="12.42578125" style="512" customWidth="1"/>
    <col min="14085" max="14111" width="6.5703125" style="512" customWidth="1"/>
    <col min="14112" max="14336" width="9.140625" style="512"/>
    <col min="14337" max="14337" width="3.5703125" style="512" customWidth="1"/>
    <col min="14338" max="14338" width="14.42578125" style="512" customWidth="1"/>
    <col min="14339" max="14339" width="3.5703125" style="512" customWidth="1"/>
    <col min="14340" max="14340" width="12.42578125" style="512" customWidth="1"/>
    <col min="14341" max="14367" width="6.5703125" style="512" customWidth="1"/>
    <col min="14368" max="14592" width="9.140625" style="512"/>
    <col min="14593" max="14593" width="3.5703125" style="512" customWidth="1"/>
    <col min="14594" max="14594" width="14.42578125" style="512" customWidth="1"/>
    <col min="14595" max="14595" width="3.5703125" style="512" customWidth="1"/>
    <col min="14596" max="14596" width="12.42578125" style="512" customWidth="1"/>
    <col min="14597" max="14623" width="6.5703125" style="512" customWidth="1"/>
    <col min="14624" max="14848" width="9.140625" style="512"/>
    <col min="14849" max="14849" width="3.5703125" style="512" customWidth="1"/>
    <col min="14850" max="14850" width="14.42578125" style="512" customWidth="1"/>
    <col min="14851" max="14851" width="3.5703125" style="512" customWidth="1"/>
    <col min="14852" max="14852" width="12.42578125" style="512" customWidth="1"/>
    <col min="14853" max="14879" width="6.5703125" style="512" customWidth="1"/>
    <col min="14880" max="15104" width="9.140625" style="512"/>
    <col min="15105" max="15105" width="3.5703125" style="512" customWidth="1"/>
    <col min="15106" max="15106" width="14.42578125" style="512" customWidth="1"/>
    <col min="15107" max="15107" width="3.5703125" style="512" customWidth="1"/>
    <col min="15108" max="15108" width="12.42578125" style="512" customWidth="1"/>
    <col min="15109" max="15135" width="6.5703125" style="512" customWidth="1"/>
    <col min="15136" max="15360" width="9.140625" style="512"/>
    <col min="15361" max="15361" width="3.5703125" style="512" customWidth="1"/>
    <col min="15362" max="15362" width="14.42578125" style="512" customWidth="1"/>
    <col min="15363" max="15363" width="3.5703125" style="512" customWidth="1"/>
    <col min="15364" max="15364" width="12.42578125" style="512" customWidth="1"/>
    <col min="15365" max="15391" width="6.5703125" style="512" customWidth="1"/>
    <col min="15392" max="15616" width="9.140625" style="512"/>
    <col min="15617" max="15617" width="3.5703125" style="512" customWidth="1"/>
    <col min="15618" max="15618" width="14.42578125" style="512" customWidth="1"/>
    <col min="15619" max="15619" width="3.5703125" style="512" customWidth="1"/>
    <col min="15620" max="15620" width="12.42578125" style="512" customWidth="1"/>
    <col min="15621" max="15647" width="6.5703125" style="512" customWidth="1"/>
    <col min="15648" max="15872" width="9.140625" style="512"/>
    <col min="15873" max="15873" width="3.5703125" style="512" customWidth="1"/>
    <col min="15874" max="15874" width="14.42578125" style="512" customWidth="1"/>
    <col min="15875" max="15875" width="3.5703125" style="512" customWidth="1"/>
    <col min="15876" max="15876" width="12.42578125" style="512" customWidth="1"/>
    <col min="15877" max="15903" width="6.5703125" style="512" customWidth="1"/>
    <col min="15904" max="16128" width="9.140625" style="512"/>
    <col min="16129" max="16129" width="3.5703125" style="512" customWidth="1"/>
    <col min="16130" max="16130" width="14.42578125" style="512" customWidth="1"/>
    <col min="16131" max="16131" width="3.5703125" style="512" customWidth="1"/>
    <col min="16132" max="16132" width="12.42578125" style="512" customWidth="1"/>
    <col min="16133" max="16159" width="6.5703125" style="512" customWidth="1"/>
    <col min="16160" max="16384" width="9.140625" style="512"/>
  </cols>
  <sheetData>
    <row r="1" spans="1:31" s="508" customFormat="1" ht="15" x14ac:dyDescent="0.2">
      <c r="A1" s="506"/>
      <c r="B1" s="507"/>
      <c r="C1" s="507"/>
    </row>
    <row r="2" spans="1:31" s="508" customFormat="1" ht="15" customHeight="1" x14ac:dyDescent="0.2">
      <c r="A2" s="509">
        <v>1</v>
      </c>
      <c r="B2" s="509" t="s">
        <v>0</v>
      </c>
      <c r="C2" s="509">
        <v>62</v>
      </c>
      <c r="D2" s="3752" t="s">
        <v>1597</v>
      </c>
      <c r="E2" s="3753"/>
      <c r="F2" s="3753"/>
      <c r="G2" s="3753"/>
      <c r="H2" s="3753"/>
      <c r="I2" s="3753"/>
      <c r="J2" s="3753"/>
      <c r="K2" s="3753"/>
      <c r="L2" s="3753"/>
      <c r="M2" s="3753"/>
      <c r="N2" s="3753"/>
      <c r="O2" s="3753"/>
      <c r="P2" s="3753"/>
      <c r="Q2" s="3753"/>
      <c r="R2" s="3753"/>
      <c r="S2" s="3753"/>
      <c r="T2" s="3753"/>
      <c r="U2" s="3753"/>
      <c r="V2" s="3753"/>
      <c r="W2" s="3742"/>
      <c r="X2" s="3742"/>
      <c r="Y2" s="3742"/>
      <c r="Z2" s="3742"/>
      <c r="AA2" s="3742"/>
      <c r="AB2" s="3742"/>
      <c r="AC2" s="3742"/>
      <c r="AD2" s="3742"/>
      <c r="AE2" s="3743"/>
    </row>
    <row r="3" spans="1:31" s="508" customFormat="1" ht="15" customHeight="1" x14ac:dyDescent="0.2">
      <c r="A3" s="509">
        <v>2</v>
      </c>
      <c r="B3" s="509" t="s">
        <v>2</v>
      </c>
      <c r="C3" s="509"/>
      <c r="D3" s="4764" t="s">
        <v>1555</v>
      </c>
      <c r="E3" s="4765"/>
      <c r="F3" s="4765"/>
      <c r="G3" s="4765"/>
      <c r="H3" s="4765"/>
      <c r="I3" s="4765"/>
      <c r="J3" s="4765"/>
      <c r="K3" s="4765"/>
      <c r="L3" s="4765"/>
      <c r="M3" s="4765"/>
      <c r="N3" s="4765"/>
      <c r="O3" s="4765"/>
      <c r="P3" s="4765"/>
      <c r="Q3" s="4765"/>
      <c r="R3" s="4765"/>
      <c r="S3" s="4765"/>
      <c r="T3" s="4765"/>
      <c r="U3" s="4765"/>
      <c r="V3" s="4765"/>
      <c r="W3" s="4765"/>
      <c r="X3" s="4765"/>
      <c r="Y3" s="4765"/>
      <c r="Z3" s="4765"/>
      <c r="AA3" s="4765"/>
      <c r="AB3" s="4765"/>
      <c r="AC3" s="4765"/>
      <c r="AD3" s="4765"/>
      <c r="AE3" s="4766"/>
    </row>
    <row r="4" spans="1:31" s="508" customFormat="1" ht="15" customHeight="1" x14ac:dyDescent="0.2">
      <c r="A4" s="509">
        <v>3</v>
      </c>
      <c r="B4" s="509" t="s">
        <v>4</v>
      </c>
      <c r="C4" s="2664"/>
      <c r="D4" s="4604" t="s">
        <v>1598</v>
      </c>
      <c r="E4" s="4604"/>
      <c r="F4" s="4604"/>
      <c r="G4" s="4604"/>
      <c r="H4" s="4604"/>
      <c r="I4" s="4604"/>
      <c r="J4" s="4604"/>
      <c r="K4" s="4604"/>
      <c r="L4" s="4604"/>
      <c r="M4" s="4604"/>
      <c r="N4" s="4604"/>
      <c r="O4" s="4604"/>
      <c r="P4" s="4604"/>
      <c r="Q4" s="4604"/>
      <c r="R4" s="4604"/>
      <c r="S4" s="4604"/>
      <c r="T4" s="4604"/>
      <c r="U4" s="4604"/>
      <c r="V4" s="4604"/>
      <c r="W4" s="4604"/>
      <c r="X4" s="4604"/>
      <c r="Y4" s="4604"/>
      <c r="Z4" s="4604"/>
      <c r="AA4" s="4604"/>
      <c r="AB4" s="4604"/>
      <c r="AC4" s="4604"/>
      <c r="AD4" s="4604"/>
      <c r="AE4" s="4605"/>
    </row>
    <row r="5" spans="1:31" s="508" customFormat="1" ht="15" customHeight="1" x14ac:dyDescent="0.2">
      <c r="A5" s="509">
        <v>4</v>
      </c>
      <c r="B5" s="509" t="s">
        <v>62</v>
      </c>
      <c r="C5" s="2664"/>
      <c r="D5" s="4604"/>
      <c r="E5" s="4604"/>
      <c r="F5" s="4604"/>
      <c r="G5" s="4604"/>
      <c r="H5" s="4604"/>
      <c r="I5" s="4604"/>
      <c r="J5" s="4604"/>
      <c r="K5" s="4604"/>
      <c r="L5" s="4604"/>
      <c r="M5" s="4604"/>
      <c r="N5" s="4604"/>
      <c r="O5" s="4604"/>
      <c r="P5" s="4604"/>
      <c r="Q5" s="4604"/>
      <c r="R5" s="4604"/>
      <c r="S5" s="4604"/>
      <c r="T5" s="4604"/>
      <c r="U5" s="4604"/>
      <c r="V5" s="4604"/>
      <c r="W5" s="4604"/>
      <c r="X5" s="4604"/>
      <c r="Y5" s="4604"/>
      <c r="Z5" s="4604"/>
      <c r="AA5" s="4604"/>
      <c r="AB5" s="4604"/>
      <c r="AC5" s="4604"/>
      <c r="AD5" s="4604"/>
      <c r="AE5" s="4605"/>
    </row>
    <row r="6" spans="1:31" s="508" customFormat="1" ht="15" customHeight="1" x14ac:dyDescent="0.2">
      <c r="A6" s="509"/>
      <c r="B6" s="509"/>
      <c r="C6" s="509"/>
      <c r="D6" s="880"/>
      <c r="E6" s="880"/>
      <c r="F6" s="880"/>
      <c r="G6" s="880"/>
      <c r="H6" s="880"/>
      <c r="I6" s="880"/>
      <c r="J6" s="880"/>
      <c r="K6" s="880"/>
      <c r="L6" s="880"/>
      <c r="M6" s="880"/>
      <c r="N6" s="880"/>
      <c r="O6" s="880"/>
      <c r="P6" s="880"/>
      <c r="Q6" s="880"/>
      <c r="R6" s="880"/>
      <c r="S6" s="880"/>
      <c r="T6" s="880"/>
      <c r="U6" s="880"/>
      <c r="V6" s="880"/>
      <c r="W6" s="880"/>
      <c r="X6" s="880"/>
      <c r="Y6" s="880"/>
      <c r="Z6" s="880"/>
      <c r="AA6" s="880"/>
      <c r="AB6" s="880"/>
      <c r="AC6" s="880"/>
      <c r="AD6" s="880"/>
      <c r="AE6" s="880"/>
    </row>
    <row r="7" spans="1:31" s="508" customFormat="1" ht="15" customHeight="1" x14ac:dyDescent="0.2">
      <c r="A7" s="509"/>
      <c r="B7" s="509"/>
      <c r="C7" s="509"/>
      <c r="D7" s="880"/>
      <c r="E7" s="880"/>
      <c r="F7" s="880"/>
      <c r="G7" s="880"/>
      <c r="H7" s="880"/>
      <c r="I7" s="880"/>
      <c r="J7" s="880"/>
      <c r="K7" s="880"/>
      <c r="L7" s="880"/>
      <c r="M7" s="880"/>
      <c r="N7" s="880"/>
      <c r="O7" s="880"/>
      <c r="P7" s="880"/>
      <c r="Q7" s="880"/>
      <c r="R7" s="880"/>
      <c r="S7" s="880"/>
      <c r="T7" s="880"/>
      <c r="U7" s="880"/>
      <c r="V7" s="880"/>
      <c r="W7" s="880"/>
      <c r="X7" s="880"/>
      <c r="Y7" s="880"/>
      <c r="Z7" s="880"/>
      <c r="AA7" s="880"/>
      <c r="AB7" s="880"/>
      <c r="AC7" s="880"/>
      <c r="AD7" s="880"/>
      <c r="AE7" s="880"/>
    </row>
    <row r="8" spans="1:31" ht="12.75" x14ac:dyDescent="0.2">
      <c r="A8" s="509">
        <v>5</v>
      </c>
      <c r="B8" s="509" t="s">
        <v>6</v>
      </c>
      <c r="C8" s="509"/>
    </row>
    <row r="9" spans="1:31" s="88" customFormat="1" ht="11.25" x14ac:dyDescent="0.2">
      <c r="A9" s="860"/>
      <c r="B9" s="836"/>
      <c r="C9" s="836"/>
      <c r="D9" s="72" t="s">
        <v>80</v>
      </c>
      <c r="E9" s="72" t="s">
        <v>1599</v>
      </c>
      <c r="F9" s="72"/>
      <c r="G9" s="72"/>
      <c r="H9" s="72"/>
      <c r="I9" s="72"/>
      <c r="J9" s="72"/>
      <c r="K9" s="95"/>
      <c r="L9" s="95"/>
      <c r="M9" s="95"/>
    </row>
    <row r="10" spans="1:31" s="88" customFormat="1" ht="12.75" customHeight="1" x14ac:dyDescent="0.2">
      <c r="A10" s="860"/>
      <c r="B10" s="836"/>
      <c r="C10" s="836"/>
      <c r="D10" s="1170"/>
      <c r="E10" s="4998">
        <v>1994</v>
      </c>
      <c r="F10" s="5005"/>
      <c r="G10" s="5006"/>
      <c r="H10" s="4998">
        <v>1999</v>
      </c>
      <c r="I10" s="5005"/>
      <c r="J10" s="5006"/>
      <c r="K10" s="5005">
        <v>2004</v>
      </c>
      <c r="L10" s="5005"/>
      <c r="M10" s="5005"/>
      <c r="N10" s="4998">
        <v>2009</v>
      </c>
      <c r="O10" s="5005"/>
      <c r="P10" s="5006"/>
      <c r="Q10" s="4998">
        <v>2014</v>
      </c>
      <c r="R10" s="5005"/>
      <c r="S10" s="5007"/>
      <c r="T10" s="4998">
        <v>2019</v>
      </c>
      <c r="U10" s="5005"/>
      <c r="V10" s="5007"/>
    </row>
    <row r="11" spans="1:31" s="88" customFormat="1" ht="11.25" x14ac:dyDescent="0.2">
      <c r="A11" s="860"/>
      <c r="B11" s="836"/>
      <c r="C11" s="836"/>
      <c r="D11" s="323"/>
      <c r="E11" s="3600" t="s">
        <v>648</v>
      </c>
      <c r="F11" s="3485" t="s">
        <v>50</v>
      </c>
      <c r="G11" s="3486" t="s">
        <v>389</v>
      </c>
      <c r="H11" s="3601" t="s">
        <v>648</v>
      </c>
      <c r="I11" s="3485" t="s">
        <v>50</v>
      </c>
      <c r="J11" s="3486" t="s">
        <v>389</v>
      </c>
      <c r="K11" s="3485" t="s">
        <v>648</v>
      </c>
      <c r="L11" s="3485" t="s">
        <v>50</v>
      </c>
      <c r="M11" s="3485" t="s">
        <v>389</v>
      </c>
      <c r="N11" s="3601" t="s">
        <v>648</v>
      </c>
      <c r="O11" s="3485" t="s">
        <v>50</v>
      </c>
      <c r="P11" s="3486" t="s">
        <v>389</v>
      </c>
      <c r="Q11" s="3601" t="s">
        <v>648</v>
      </c>
      <c r="R11" s="3485" t="s">
        <v>50</v>
      </c>
      <c r="S11" s="3487" t="s">
        <v>389</v>
      </c>
      <c r="T11" s="2665" t="s">
        <v>648</v>
      </c>
      <c r="U11" s="3485" t="s">
        <v>50</v>
      </c>
      <c r="V11" s="3487" t="s">
        <v>389</v>
      </c>
    </row>
    <row r="12" spans="1:31" s="88" customFormat="1" ht="11.25" x14ac:dyDescent="0.2">
      <c r="A12" s="860"/>
      <c r="B12" s="836"/>
      <c r="C12" s="836"/>
      <c r="D12" s="3754" t="s">
        <v>1600</v>
      </c>
      <c r="E12" s="3755">
        <v>111</v>
      </c>
      <c r="F12" s="3756">
        <v>400</v>
      </c>
      <c r="G12" s="3757">
        <f>E12/F12</f>
        <v>0.27750000000000002</v>
      </c>
      <c r="H12" s="3755">
        <v>120</v>
      </c>
      <c r="I12" s="3756">
        <v>400</v>
      </c>
      <c r="J12" s="3757">
        <f>H12/I12</f>
        <v>0.3</v>
      </c>
      <c r="K12" s="3756">
        <v>131</v>
      </c>
      <c r="L12" s="3756">
        <v>400</v>
      </c>
      <c r="M12" s="3758">
        <f>K12/L12</f>
        <v>0.32750000000000001</v>
      </c>
      <c r="N12" s="3755">
        <v>173</v>
      </c>
      <c r="O12" s="3756">
        <v>400</v>
      </c>
      <c r="P12" s="3757">
        <f>N12/O12</f>
        <v>0.4325</v>
      </c>
      <c r="Q12" s="3755">
        <v>172</v>
      </c>
      <c r="R12" s="3756">
        <v>400</v>
      </c>
      <c r="S12" s="3757">
        <f>Q12/R12</f>
        <v>0.43</v>
      </c>
      <c r="T12" s="3759">
        <v>181</v>
      </c>
      <c r="U12" s="3759">
        <v>400</v>
      </c>
      <c r="V12" s="3760">
        <v>0.45</v>
      </c>
    </row>
    <row r="13" spans="1:31" s="88" customFormat="1" ht="22.5" x14ac:dyDescent="0.2">
      <c r="A13" s="860"/>
      <c r="B13" s="836"/>
      <c r="C13" s="836"/>
      <c r="D13" s="3761" t="s">
        <v>1601</v>
      </c>
      <c r="E13" s="3602" t="s">
        <v>1602</v>
      </c>
      <c r="F13" s="3488" t="s">
        <v>1603</v>
      </c>
      <c r="G13" s="3489" t="s">
        <v>1604</v>
      </c>
      <c r="H13" s="3490" t="s">
        <v>1605</v>
      </c>
      <c r="I13" s="3488" t="s">
        <v>1606</v>
      </c>
      <c r="J13" s="3489" t="s">
        <v>1607</v>
      </c>
      <c r="K13" s="3490" t="s">
        <v>1608</v>
      </c>
      <c r="L13" s="3488" t="s">
        <v>1606</v>
      </c>
      <c r="M13" s="3489" t="s">
        <v>1609</v>
      </c>
      <c r="N13" s="3490" t="s">
        <v>1610</v>
      </c>
      <c r="O13" s="3488" t="s">
        <v>1611</v>
      </c>
      <c r="P13" s="3489" t="s">
        <v>1612</v>
      </c>
      <c r="Q13" s="3490" t="s">
        <v>1613</v>
      </c>
      <c r="R13" s="3488" t="s">
        <v>1611</v>
      </c>
      <c r="S13" s="3489" t="s">
        <v>1614</v>
      </c>
      <c r="T13" s="3490">
        <v>189</v>
      </c>
      <c r="U13" s="3488">
        <v>430</v>
      </c>
      <c r="V13" s="3491">
        <v>0.44</v>
      </c>
    </row>
    <row r="14" spans="1:31" s="88" customFormat="1" ht="11.25" x14ac:dyDescent="0.2">
      <c r="A14" s="860"/>
      <c r="B14" s="836"/>
      <c r="C14" s="836"/>
      <c r="D14" s="2666" t="s">
        <v>276</v>
      </c>
      <c r="E14" s="88">
        <v>13</v>
      </c>
      <c r="F14" s="88">
        <v>56</v>
      </c>
      <c r="G14" s="2633">
        <f t="shared" ref="G14:G23" si="0">E14/F14</f>
        <v>0.23214285714285715</v>
      </c>
      <c r="H14" s="88">
        <v>15</v>
      </c>
      <c r="I14" s="88">
        <v>63</v>
      </c>
      <c r="J14" s="2633">
        <f t="shared" ref="J14:J23" si="1">H14/I14</f>
        <v>0.23809523809523808</v>
      </c>
      <c r="K14" s="88">
        <v>21</v>
      </c>
      <c r="L14" s="88">
        <v>63</v>
      </c>
      <c r="M14" s="2633">
        <f t="shared" ref="M14:M23" si="2">K14/L14</f>
        <v>0.33333333333333331</v>
      </c>
      <c r="N14" s="88">
        <v>28</v>
      </c>
      <c r="O14" s="88">
        <v>63</v>
      </c>
      <c r="P14" s="2633">
        <f t="shared" ref="P14:P23" si="3">N14/O14</f>
        <v>0.44444444444444442</v>
      </c>
      <c r="Q14" s="88">
        <v>26</v>
      </c>
      <c r="R14" s="88">
        <v>63</v>
      </c>
      <c r="S14" s="2633">
        <f t="shared" ref="S14:S23" si="4">Q14/R14</f>
        <v>0.41269841269841268</v>
      </c>
      <c r="T14" s="3688" t="s">
        <v>1615</v>
      </c>
      <c r="U14" s="3688" t="s">
        <v>1616</v>
      </c>
      <c r="V14" s="3603" t="s">
        <v>1617</v>
      </c>
    </row>
    <row r="15" spans="1:31" s="88" customFormat="1" ht="14.25" customHeight="1" x14ac:dyDescent="0.2">
      <c r="A15" s="860"/>
      <c r="B15" s="836"/>
      <c r="C15" s="836"/>
      <c r="D15" s="579" t="s">
        <v>277</v>
      </c>
      <c r="E15" s="2667">
        <v>7</v>
      </c>
      <c r="F15" s="88">
        <v>30</v>
      </c>
      <c r="G15" s="2633">
        <f t="shared" si="0"/>
        <v>0.23333333333333334</v>
      </c>
      <c r="H15" s="2667">
        <v>7</v>
      </c>
      <c r="I15" s="88">
        <v>30</v>
      </c>
      <c r="J15" s="2633">
        <f t="shared" si="1"/>
        <v>0.23333333333333334</v>
      </c>
      <c r="K15" s="88">
        <v>8</v>
      </c>
      <c r="L15" s="88">
        <v>30</v>
      </c>
      <c r="M15" s="2633">
        <f t="shared" si="2"/>
        <v>0.26666666666666666</v>
      </c>
      <c r="N15" s="88">
        <v>12</v>
      </c>
      <c r="O15" s="88">
        <v>30</v>
      </c>
      <c r="P15" s="2633">
        <f t="shared" si="3"/>
        <v>0.4</v>
      </c>
      <c r="Q15" s="2667">
        <v>14</v>
      </c>
      <c r="R15" s="88">
        <v>30</v>
      </c>
      <c r="S15" s="2633">
        <f t="shared" si="4"/>
        <v>0.46666666666666667</v>
      </c>
      <c r="T15" s="2668" t="s">
        <v>1618</v>
      </c>
      <c r="U15" s="2668" t="s">
        <v>1619</v>
      </c>
      <c r="V15" s="2669" t="s">
        <v>1620</v>
      </c>
    </row>
    <row r="16" spans="1:31" s="88" customFormat="1" ht="14.25" customHeight="1" x14ac:dyDescent="0.2">
      <c r="A16" s="860"/>
      <c r="B16" s="836"/>
      <c r="C16" s="836"/>
      <c r="D16" s="579" t="s">
        <v>278</v>
      </c>
      <c r="E16" s="2667">
        <v>25</v>
      </c>
      <c r="F16" s="88">
        <v>86</v>
      </c>
      <c r="G16" s="2633">
        <f t="shared" si="0"/>
        <v>0.29069767441860467</v>
      </c>
      <c r="H16" s="2667">
        <v>26</v>
      </c>
      <c r="I16" s="88">
        <v>73</v>
      </c>
      <c r="J16" s="2633">
        <f t="shared" si="1"/>
        <v>0.35616438356164382</v>
      </c>
      <c r="K16" s="88">
        <v>31</v>
      </c>
      <c r="L16" s="88">
        <v>73</v>
      </c>
      <c r="M16" s="2634">
        <f t="shared" si="2"/>
        <v>0.42465753424657532</v>
      </c>
      <c r="N16" s="2667">
        <v>33</v>
      </c>
      <c r="O16" s="88">
        <v>73</v>
      </c>
      <c r="P16" s="2633">
        <f t="shared" si="3"/>
        <v>0.45205479452054792</v>
      </c>
      <c r="Q16" s="2667">
        <v>29</v>
      </c>
      <c r="R16" s="88">
        <v>73</v>
      </c>
      <c r="S16" s="2633">
        <f t="shared" si="4"/>
        <v>0.39726027397260272</v>
      </c>
      <c r="T16" s="2668" t="s">
        <v>1621</v>
      </c>
      <c r="U16" s="2668" t="s">
        <v>1622</v>
      </c>
      <c r="V16" s="2669" t="s">
        <v>1623</v>
      </c>
    </row>
    <row r="17" spans="1:40" s="88" customFormat="1" ht="14.25" customHeight="1" x14ac:dyDescent="0.2">
      <c r="A17" s="860"/>
      <c r="B17" s="836"/>
      <c r="C17" s="836"/>
      <c r="D17" s="579" t="s">
        <v>641</v>
      </c>
      <c r="E17" s="2667">
        <v>11</v>
      </c>
      <c r="F17" s="88">
        <v>81</v>
      </c>
      <c r="G17" s="2633">
        <f t="shared" si="0"/>
        <v>0.13580246913580246</v>
      </c>
      <c r="H17" s="2667">
        <v>22</v>
      </c>
      <c r="I17" s="88">
        <v>80</v>
      </c>
      <c r="J17" s="2633">
        <f t="shared" si="1"/>
        <v>0.27500000000000002</v>
      </c>
      <c r="K17" s="88">
        <v>21</v>
      </c>
      <c r="L17" s="88">
        <v>80</v>
      </c>
      <c r="M17" s="2634">
        <f t="shared" si="2"/>
        <v>0.26250000000000001</v>
      </c>
      <c r="N17" s="2667">
        <v>30</v>
      </c>
      <c r="O17" s="88">
        <v>80</v>
      </c>
      <c r="P17" s="2633">
        <f t="shared" si="3"/>
        <v>0.375</v>
      </c>
      <c r="Q17" s="2667">
        <v>32</v>
      </c>
      <c r="R17" s="88">
        <v>80</v>
      </c>
      <c r="S17" s="2633">
        <f t="shared" si="4"/>
        <v>0.4</v>
      </c>
      <c r="T17" s="2668" t="s">
        <v>1624</v>
      </c>
      <c r="U17" s="2668" t="s">
        <v>1625</v>
      </c>
      <c r="V17" s="2669" t="s">
        <v>1623</v>
      </c>
    </row>
    <row r="18" spans="1:40" s="88" customFormat="1" ht="14.25" customHeight="1" x14ac:dyDescent="0.2">
      <c r="A18" s="860"/>
      <c r="B18" s="836"/>
      <c r="C18" s="836"/>
      <c r="D18" s="579" t="s">
        <v>280</v>
      </c>
      <c r="E18" s="2667">
        <v>11</v>
      </c>
      <c r="F18" s="88">
        <v>40</v>
      </c>
      <c r="G18" s="2633">
        <f t="shared" si="0"/>
        <v>0.27500000000000002</v>
      </c>
      <c r="H18" s="2667">
        <v>16</v>
      </c>
      <c r="I18" s="88">
        <v>49</v>
      </c>
      <c r="J18" s="2633">
        <f t="shared" si="1"/>
        <v>0.32653061224489793</v>
      </c>
      <c r="K18" s="88">
        <v>16</v>
      </c>
      <c r="L18" s="88">
        <v>49</v>
      </c>
      <c r="M18" s="2634">
        <f t="shared" si="2"/>
        <v>0.32653061224489793</v>
      </c>
      <c r="N18" s="2667">
        <v>23</v>
      </c>
      <c r="O18" s="88">
        <v>49</v>
      </c>
      <c r="P18" s="2633">
        <f t="shared" si="3"/>
        <v>0.46938775510204084</v>
      </c>
      <c r="Q18" s="2667">
        <v>23</v>
      </c>
      <c r="R18" s="88">
        <v>49</v>
      </c>
      <c r="S18" s="2633">
        <f t="shared" si="4"/>
        <v>0.46938775510204084</v>
      </c>
      <c r="T18" s="2668" t="s">
        <v>1626</v>
      </c>
      <c r="U18" s="2668" t="s">
        <v>1627</v>
      </c>
      <c r="V18" s="2669" t="s">
        <v>1628</v>
      </c>
    </row>
    <row r="19" spans="1:40" s="88" customFormat="1" ht="14.25" customHeight="1" x14ac:dyDescent="0.2">
      <c r="A19" s="860"/>
      <c r="B19" s="836"/>
      <c r="C19" s="836"/>
      <c r="D19" s="579" t="s">
        <v>281</v>
      </c>
      <c r="E19" s="2667">
        <v>6</v>
      </c>
      <c r="F19" s="88">
        <v>30</v>
      </c>
      <c r="G19" s="2633">
        <f t="shared" si="0"/>
        <v>0.2</v>
      </c>
      <c r="H19" s="2667">
        <v>8</v>
      </c>
      <c r="I19" s="88">
        <v>30</v>
      </c>
      <c r="J19" s="2633">
        <f t="shared" si="1"/>
        <v>0.26666666666666666</v>
      </c>
      <c r="K19" s="88">
        <v>9</v>
      </c>
      <c r="L19" s="88">
        <v>30</v>
      </c>
      <c r="M19" s="2634">
        <f t="shared" si="2"/>
        <v>0.3</v>
      </c>
      <c r="N19" s="2667">
        <v>12</v>
      </c>
      <c r="O19" s="88">
        <v>30</v>
      </c>
      <c r="P19" s="2633">
        <f t="shared" si="3"/>
        <v>0.4</v>
      </c>
      <c r="Q19" s="2667">
        <v>14</v>
      </c>
      <c r="R19" s="88">
        <v>30</v>
      </c>
      <c r="S19" s="2633">
        <f t="shared" si="4"/>
        <v>0.46666666666666667</v>
      </c>
      <c r="T19" s="2668" t="s">
        <v>1629</v>
      </c>
      <c r="U19" s="2668" t="s">
        <v>1619</v>
      </c>
      <c r="V19" s="2669" t="s">
        <v>1630</v>
      </c>
    </row>
    <row r="20" spans="1:40" s="88" customFormat="1" ht="14.25" customHeight="1" x14ac:dyDescent="0.2">
      <c r="A20" s="860"/>
      <c r="B20" s="836"/>
      <c r="C20" s="836"/>
      <c r="D20" s="579" t="s">
        <v>282</v>
      </c>
      <c r="E20" s="2667">
        <v>9</v>
      </c>
      <c r="F20" s="88">
        <v>33</v>
      </c>
      <c r="G20" s="2633">
        <f t="shared" si="0"/>
        <v>0.27272727272727271</v>
      </c>
      <c r="H20" s="2667">
        <v>9</v>
      </c>
      <c r="I20" s="88">
        <v>33</v>
      </c>
      <c r="J20" s="2633">
        <f t="shared" si="1"/>
        <v>0.27272727272727271</v>
      </c>
      <c r="K20" s="88">
        <v>11</v>
      </c>
      <c r="L20" s="88">
        <v>33</v>
      </c>
      <c r="M20" s="2634">
        <f t="shared" si="2"/>
        <v>0.33333333333333331</v>
      </c>
      <c r="N20" s="2667">
        <v>14</v>
      </c>
      <c r="O20" s="88">
        <v>33</v>
      </c>
      <c r="P20" s="2633">
        <f t="shared" si="3"/>
        <v>0.42424242424242425</v>
      </c>
      <c r="Q20" s="2667">
        <v>15</v>
      </c>
      <c r="R20" s="88">
        <v>33</v>
      </c>
      <c r="S20" s="2633">
        <f t="shared" si="4"/>
        <v>0.45454545454545453</v>
      </c>
      <c r="T20" s="2668" t="s">
        <v>1629</v>
      </c>
      <c r="U20" s="2668" t="s">
        <v>1631</v>
      </c>
      <c r="V20" s="2669" t="s">
        <v>1632</v>
      </c>
    </row>
    <row r="21" spans="1:40" s="88" customFormat="1" ht="14.25" customHeight="1" x14ac:dyDescent="0.2">
      <c r="A21" s="860"/>
      <c r="B21" s="836"/>
      <c r="C21" s="836"/>
      <c r="D21" s="579" t="s">
        <v>283</v>
      </c>
      <c r="E21" s="2667"/>
      <c r="F21" s="88">
        <v>30</v>
      </c>
      <c r="G21" s="2633">
        <f t="shared" si="0"/>
        <v>0</v>
      </c>
      <c r="H21" s="2667">
        <v>8</v>
      </c>
      <c r="I21" s="88">
        <v>30</v>
      </c>
      <c r="J21" s="2633">
        <f t="shared" si="1"/>
        <v>0.26666666666666666</v>
      </c>
      <c r="K21" s="88">
        <v>9</v>
      </c>
      <c r="L21" s="88">
        <v>30</v>
      </c>
      <c r="M21" s="2634">
        <f t="shared" si="2"/>
        <v>0.3</v>
      </c>
      <c r="N21" s="2667">
        <v>13</v>
      </c>
      <c r="O21" s="88">
        <v>30</v>
      </c>
      <c r="P21" s="2633">
        <f t="shared" si="3"/>
        <v>0.43333333333333335</v>
      </c>
      <c r="Q21" s="2667">
        <v>12</v>
      </c>
      <c r="R21" s="88">
        <v>30</v>
      </c>
      <c r="S21" s="2633">
        <f t="shared" si="4"/>
        <v>0.4</v>
      </c>
      <c r="T21" s="2668" t="s">
        <v>1633</v>
      </c>
      <c r="U21" s="2668" t="s">
        <v>1619</v>
      </c>
      <c r="V21" s="2669" t="s">
        <v>1634</v>
      </c>
    </row>
    <row r="22" spans="1:40" s="88" customFormat="1" ht="14.25" customHeight="1" x14ac:dyDescent="0.2">
      <c r="A22" s="860"/>
      <c r="B22" s="836"/>
      <c r="C22" s="836"/>
      <c r="D22" s="579" t="s">
        <v>284</v>
      </c>
      <c r="E22" s="2667">
        <v>10</v>
      </c>
      <c r="F22" s="88">
        <v>42</v>
      </c>
      <c r="G22" s="2633">
        <f t="shared" si="0"/>
        <v>0.23809523809523808</v>
      </c>
      <c r="H22" s="2667">
        <v>11</v>
      </c>
      <c r="I22" s="88">
        <v>42</v>
      </c>
      <c r="J22" s="2633">
        <f t="shared" si="1"/>
        <v>0.26190476190476192</v>
      </c>
      <c r="K22" s="88">
        <v>13</v>
      </c>
      <c r="L22" s="88">
        <v>42</v>
      </c>
      <c r="M22" s="2634">
        <f t="shared" si="2"/>
        <v>0.30952380952380953</v>
      </c>
      <c r="N22" s="2667">
        <v>14</v>
      </c>
      <c r="O22" s="88">
        <v>42</v>
      </c>
      <c r="P22" s="2633">
        <f t="shared" si="3"/>
        <v>0.33333333333333331</v>
      </c>
      <c r="Q22" s="2667">
        <v>16</v>
      </c>
      <c r="R22" s="88">
        <v>42</v>
      </c>
      <c r="S22" s="2633">
        <f t="shared" si="4"/>
        <v>0.38095238095238093</v>
      </c>
      <c r="T22" s="3490" t="s">
        <v>1629</v>
      </c>
      <c r="U22" s="3490" t="s">
        <v>1635</v>
      </c>
      <c r="V22" s="3492" t="s">
        <v>1636</v>
      </c>
    </row>
    <row r="23" spans="1:40" s="71" customFormat="1" ht="14.25" customHeight="1" x14ac:dyDescent="0.2">
      <c r="A23" s="860" t="s">
        <v>2254</v>
      </c>
      <c r="B23" s="865"/>
      <c r="C23" s="865"/>
      <c r="D23" s="3493" t="s">
        <v>50</v>
      </c>
      <c r="E23" s="3762">
        <f>SUM(E12:E22)</f>
        <v>203</v>
      </c>
      <c r="F23" s="3604">
        <f>SUM(F12:F22)</f>
        <v>828</v>
      </c>
      <c r="G23" s="3605">
        <f t="shared" si="0"/>
        <v>0.24516908212560387</v>
      </c>
      <c r="H23" s="3762">
        <f>SUM(H12:H22)</f>
        <v>242</v>
      </c>
      <c r="I23" s="3604">
        <f>SUM(I12:I22)</f>
        <v>830</v>
      </c>
      <c r="J23" s="3605">
        <f t="shared" si="1"/>
        <v>0.29156626506024097</v>
      </c>
      <c r="K23" s="3604">
        <f>SUM(K12:K22)</f>
        <v>270</v>
      </c>
      <c r="L23" s="3606">
        <f>SUM(L12:L22)</f>
        <v>830</v>
      </c>
      <c r="M23" s="3607">
        <f t="shared" si="2"/>
        <v>0.3253012048192771</v>
      </c>
      <c r="N23" s="3762">
        <f>SUM(N12:N22)</f>
        <v>352</v>
      </c>
      <c r="O23" s="3604">
        <f>SUM(O12:O22)</f>
        <v>830</v>
      </c>
      <c r="P23" s="3605">
        <f t="shared" si="3"/>
        <v>0.42409638554216866</v>
      </c>
      <c r="Q23" s="3762">
        <f>SUM(Q12:Q22)</f>
        <v>353</v>
      </c>
      <c r="R23" s="3604">
        <f>SUM(R12:R22)</f>
        <v>830</v>
      </c>
      <c r="S23" s="3605">
        <f t="shared" si="4"/>
        <v>0.42530120481927713</v>
      </c>
      <c r="T23" s="3608" t="s">
        <v>1637</v>
      </c>
      <c r="U23" s="3608" t="s">
        <v>1638</v>
      </c>
      <c r="V23" s="3609" t="s">
        <v>1639</v>
      </c>
    </row>
    <row r="24" spans="1:40" x14ac:dyDescent="0.2">
      <c r="B24" s="2670"/>
      <c r="C24" s="2670"/>
      <c r="D24" s="88"/>
      <c r="E24" s="88"/>
      <c r="F24" s="88"/>
      <c r="G24" s="88"/>
      <c r="H24" s="88"/>
      <c r="I24" s="88"/>
      <c r="J24" s="88"/>
      <c r="K24" s="88"/>
      <c r="L24" s="88"/>
      <c r="M24" s="88"/>
      <c r="N24" s="88"/>
      <c r="O24" s="88"/>
      <c r="P24" s="88"/>
      <c r="Q24" s="88"/>
      <c r="R24" s="88"/>
      <c r="S24" s="88"/>
      <c r="T24" s="88"/>
      <c r="U24" s="88"/>
      <c r="V24" s="88"/>
    </row>
    <row r="25" spans="1:40" x14ac:dyDescent="0.2">
      <c r="B25" s="2670"/>
      <c r="C25" s="2670"/>
      <c r="D25" s="72" t="s">
        <v>267</v>
      </c>
      <c r="E25" s="72"/>
      <c r="F25" s="72" t="s">
        <v>1640</v>
      </c>
      <c r="G25" s="991"/>
      <c r="H25" s="991"/>
      <c r="I25" s="991"/>
      <c r="J25" s="991"/>
      <c r="K25" s="991"/>
      <c r="L25" s="991"/>
      <c r="M25" s="88"/>
      <c r="N25" s="88"/>
      <c r="O25" s="88"/>
      <c r="P25" s="88"/>
      <c r="Q25" s="88"/>
      <c r="R25" s="88"/>
      <c r="S25" s="88"/>
      <c r="T25" s="88"/>
      <c r="U25" s="88"/>
      <c r="V25" s="88"/>
    </row>
    <row r="26" spans="1:40" ht="15" customHeight="1" x14ac:dyDescent="0.2">
      <c r="B26" s="2670"/>
      <c r="C26" s="2670"/>
      <c r="D26" s="331"/>
      <c r="E26" s="5014">
        <v>2006</v>
      </c>
      <c r="F26" s="5015"/>
      <c r="G26" s="5015"/>
      <c r="H26" s="5015"/>
      <c r="I26" s="5015"/>
      <c r="J26" s="5015"/>
      <c r="K26" s="5015"/>
      <c r="L26" s="5015"/>
      <c r="M26" s="5016"/>
      <c r="N26" s="5017">
        <v>2011</v>
      </c>
      <c r="O26" s="5015"/>
      <c r="P26" s="5015"/>
      <c r="Q26" s="5015"/>
      <c r="R26" s="5015"/>
      <c r="S26" s="5015"/>
      <c r="T26" s="5015"/>
      <c r="U26" s="5015"/>
      <c r="V26" s="5018"/>
      <c r="W26" s="5017">
        <v>2016</v>
      </c>
      <c r="X26" s="5015"/>
      <c r="Y26" s="5015"/>
      <c r="Z26" s="5015"/>
      <c r="AA26" s="5015"/>
      <c r="AB26" s="5015"/>
      <c r="AC26" s="5015"/>
      <c r="AD26" s="5015"/>
      <c r="AE26" s="5016"/>
      <c r="AF26" s="5017">
        <v>2021</v>
      </c>
      <c r="AG26" s="5015"/>
      <c r="AH26" s="5015"/>
      <c r="AI26" s="5015"/>
      <c r="AJ26" s="5015"/>
      <c r="AK26" s="5015"/>
      <c r="AL26" s="5015"/>
      <c r="AM26" s="5015"/>
      <c r="AN26" s="5016"/>
    </row>
    <row r="27" spans="1:40" ht="26.25" customHeight="1" x14ac:dyDescent="0.2">
      <c r="B27" s="2670"/>
      <c r="C27" s="2670"/>
      <c r="D27" s="3763"/>
      <c r="E27" s="5019" t="s">
        <v>1641</v>
      </c>
      <c r="F27" s="5020"/>
      <c r="G27" s="5021"/>
      <c r="H27" s="4899" t="s">
        <v>1642</v>
      </c>
      <c r="I27" s="4898"/>
      <c r="J27" s="4898"/>
      <c r="K27" s="4899" t="s">
        <v>1643</v>
      </c>
      <c r="L27" s="4898"/>
      <c r="M27" s="5013"/>
      <c r="N27" s="5022" t="s">
        <v>1641</v>
      </c>
      <c r="O27" s="5020"/>
      <c r="P27" s="5021"/>
      <c r="Q27" s="4899" t="s">
        <v>1642</v>
      </c>
      <c r="R27" s="4898"/>
      <c r="S27" s="4898"/>
      <c r="T27" s="4899" t="s">
        <v>1643</v>
      </c>
      <c r="U27" s="4898"/>
      <c r="V27" s="4900"/>
      <c r="W27" s="5022" t="s">
        <v>1641</v>
      </c>
      <c r="X27" s="5020"/>
      <c r="Y27" s="5021"/>
      <c r="Z27" s="4899" t="s">
        <v>1642</v>
      </c>
      <c r="AA27" s="4898"/>
      <c r="AB27" s="4898"/>
      <c r="AC27" s="4899" t="s">
        <v>1643</v>
      </c>
      <c r="AD27" s="4898"/>
      <c r="AE27" s="5013"/>
      <c r="AF27" s="5008" t="s">
        <v>1641</v>
      </c>
      <c r="AG27" s="5009"/>
      <c r="AH27" s="5010"/>
      <c r="AI27" s="5011" t="s">
        <v>1642</v>
      </c>
      <c r="AJ27" s="5012"/>
      <c r="AK27" s="5012"/>
      <c r="AL27" s="4899" t="s">
        <v>1643</v>
      </c>
      <c r="AM27" s="4898"/>
      <c r="AN27" s="5013"/>
    </row>
    <row r="28" spans="1:40" ht="15.75" customHeight="1" x14ac:dyDescent="0.2">
      <c r="B28" s="2670"/>
      <c r="C28" s="2670"/>
      <c r="D28" s="324" t="s">
        <v>655</v>
      </c>
      <c r="E28" s="2671" t="s">
        <v>648</v>
      </c>
      <c r="F28" s="991" t="s">
        <v>50</v>
      </c>
      <c r="G28" s="3591" t="s">
        <v>389</v>
      </c>
      <c r="H28" s="991" t="s">
        <v>648</v>
      </c>
      <c r="I28" s="991" t="s">
        <v>50</v>
      </c>
      <c r="J28" s="3591" t="s">
        <v>389</v>
      </c>
      <c r="K28" s="991" t="s">
        <v>648</v>
      </c>
      <c r="L28" s="991" t="s">
        <v>50</v>
      </c>
      <c r="M28" s="2672" t="s">
        <v>389</v>
      </c>
      <c r="N28" s="2673" t="s">
        <v>648</v>
      </c>
      <c r="O28" s="991" t="s">
        <v>50</v>
      </c>
      <c r="P28" s="3591" t="s">
        <v>389</v>
      </c>
      <c r="Q28" s="991" t="s">
        <v>648</v>
      </c>
      <c r="R28" s="991" t="s">
        <v>50</v>
      </c>
      <c r="S28" s="3591" t="s">
        <v>389</v>
      </c>
      <c r="T28" s="991" t="s">
        <v>648</v>
      </c>
      <c r="U28" s="991" t="s">
        <v>50</v>
      </c>
      <c r="V28" s="2674" t="s">
        <v>389</v>
      </c>
      <c r="W28" s="2673" t="s">
        <v>648</v>
      </c>
      <c r="X28" s="991" t="s">
        <v>50</v>
      </c>
      <c r="Y28" s="3591" t="s">
        <v>389</v>
      </c>
      <c r="Z28" s="991" t="s">
        <v>648</v>
      </c>
      <c r="AA28" s="991" t="s">
        <v>50</v>
      </c>
      <c r="AB28" s="3591" t="s">
        <v>389</v>
      </c>
      <c r="AC28" s="991" t="s">
        <v>648</v>
      </c>
      <c r="AD28" s="991" t="s">
        <v>50</v>
      </c>
      <c r="AE28" s="2672" t="s">
        <v>389</v>
      </c>
      <c r="AF28" s="4374" t="s">
        <v>648</v>
      </c>
      <c r="AG28" s="4375" t="s">
        <v>50</v>
      </c>
      <c r="AH28" s="4376" t="s">
        <v>389</v>
      </c>
      <c r="AI28" s="4375" t="s">
        <v>648</v>
      </c>
      <c r="AJ28" s="4375" t="s">
        <v>50</v>
      </c>
      <c r="AK28" s="4376" t="s">
        <v>389</v>
      </c>
      <c r="AL28" s="991" t="s">
        <v>648</v>
      </c>
      <c r="AM28" s="991" t="s">
        <v>50</v>
      </c>
      <c r="AN28" s="3610" t="s">
        <v>389</v>
      </c>
    </row>
    <row r="29" spans="1:40" x14ac:dyDescent="0.2">
      <c r="B29" s="2670"/>
      <c r="C29" s="2670"/>
      <c r="D29" s="181" t="s">
        <v>276</v>
      </c>
      <c r="E29" s="2675">
        <v>348</v>
      </c>
      <c r="F29" s="1670">
        <v>743</v>
      </c>
      <c r="G29" s="2676">
        <v>46.837146702557206</v>
      </c>
      <c r="H29" s="1670">
        <v>236</v>
      </c>
      <c r="I29" s="1670">
        <v>636</v>
      </c>
      <c r="J29" s="2676">
        <v>37.106918238993707</v>
      </c>
      <c r="K29" s="1670">
        <v>584</v>
      </c>
      <c r="L29" s="1670">
        <v>1379</v>
      </c>
      <c r="M29" s="2677">
        <v>42.349528643944886</v>
      </c>
      <c r="N29" s="2678">
        <v>358</v>
      </c>
      <c r="O29" s="1670">
        <v>799</v>
      </c>
      <c r="P29" s="2676">
        <v>44.81</v>
      </c>
      <c r="Q29" s="1670">
        <v>278</v>
      </c>
      <c r="R29" s="1670">
        <v>715</v>
      </c>
      <c r="S29" s="2676">
        <v>38.879999999999995</v>
      </c>
      <c r="T29" s="1670">
        <v>636</v>
      </c>
      <c r="U29" s="1670">
        <v>1514</v>
      </c>
      <c r="V29" s="2676">
        <v>42.01</v>
      </c>
      <c r="W29" s="2678">
        <v>415</v>
      </c>
      <c r="X29" s="1670">
        <v>787</v>
      </c>
      <c r="Y29" s="2676">
        <v>52.7</v>
      </c>
      <c r="Z29" s="1670">
        <v>229</v>
      </c>
      <c r="AA29" s="1670">
        <v>705</v>
      </c>
      <c r="AB29" s="2676">
        <v>32.5</v>
      </c>
      <c r="AC29" s="1670">
        <v>644</v>
      </c>
      <c r="AD29" s="1670">
        <v>1490</v>
      </c>
      <c r="AE29" s="2677">
        <v>43.2</v>
      </c>
      <c r="AF29" s="4377"/>
      <c r="AG29" s="4378"/>
      <c r="AH29" s="4379"/>
      <c r="AI29" s="4378"/>
      <c r="AJ29" s="4378"/>
      <c r="AK29" s="4379"/>
      <c r="AL29" s="2196">
        <v>631</v>
      </c>
      <c r="AM29" s="2196">
        <v>1506</v>
      </c>
      <c r="AN29" s="2654">
        <f>AL29/AM29</f>
        <v>0.41899070385126164</v>
      </c>
    </row>
    <row r="30" spans="1:40" x14ac:dyDescent="0.2">
      <c r="B30" s="2670"/>
      <c r="C30" s="2670"/>
      <c r="D30" s="181" t="s">
        <v>277</v>
      </c>
      <c r="E30" s="2675">
        <v>141</v>
      </c>
      <c r="F30" s="1670">
        <v>334</v>
      </c>
      <c r="G30" s="2676">
        <v>42.215568862275447</v>
      </c>
      <c r="H30" s="1670">
        <v>113</v>
      </c>
      <c r="I30" s="1670">
        <v>300</v>
      </c>
      <c r="J30" s="2676">
        <v>37.666666666666664</v>
      </c>
      <c r="K30" s="1670">
        <v>254</v>
      </c>
      <c r="L30" s="1670">
        <v>634</v>
      </c>
      <c r="M30" s="2677">
        <v>40.063091482649845</v>
      </c>
      <c r="N30" s="2678">
        <v>164</v>
      </c>
      <c r="O30" s="1670">
        <v>359</v>
      </c>
      <c r="P30" s="2676">
        <v>45.68</v>
      </c>
      <c r="Q30" s="1670">
        <v>93</v>
      </c>
      <c r="R30" s="1670">
        <v>317</v>
      </c>
      <c r="S30" s="2676">
        <v>29.34</v>
      </c>
      <c r="T30" s="1670">
        <v>257</v>
      </c>
      <c r="U30" s="1670">
        <v>676</v>
      </c>
      <c r="V30" s="2676">
        <v>38.019999999999996</v>
      </c>
      <c r="W30" s="2678">
        <v>173</v>
      </c>
      <c r="X30" s="1670">
        <v>350</v>
      </c>
      <c r="Y30" s="2676">
        <v>49.4</v>
      </c>
      <c r="Z30" s="1670">
        <v>79</v>
      </c>
      <c r="AA30" s="1670">
        <v>309</v>
      </c>
      <c r="AB30" s="2676">
        <v>25.6</v>
      </c>
      <c r="AC30" s="1670">
        <v>252</v>
      </c>
      <c r="AD30" s="1670">
        <v>659</v>
      </c>
      <c r="AE30" s="2677">
        <v>38.200000000000003</v>
      </c>
      <c r="AF30" s="4377"/>
      <c r="AG30" s="4378"/>
      <c r="AH30" s="4379"/>
      <c r="AI30" s="4378"/>
      <c r="AJ30" s="4378"/>
      <c r="AK30" s="4379"/>
      <c r="AL30" s="2196">
        <v>251</v>
      </c>
      <c r="AM30" s="2196">
        <v>676</v>
      </c>
      <c r="AN30" s="2654">
        <f t="shared" ref="AN30:AN37" si="5">AL30/AM30</f>
        <v>0.371301775147929</v>
      </c>
    </row>
    <row r="31" spans="1:40" x14ac:dyDescent="0.2">
      <c r="B31" s="2670"/>
      <c r="C31" s="2670"/>
      <c r="D31" s="181" t="s">
        <v>278</v>
      </c>
      <c r="E31" s="2675">
        <v>201</v>
      </c>
      <c r="F31" s="1670">
        <v>454</v>
      </c>
      <c r="G31" s="2676">
        <v>44.273127753303967</v>
      </c>
      <c r="H31" s="1670">
        <v>190</v>
      </c>
      <c r="I31" s="1670">
        <v>423</v>
      </c>
      <c r="J31" s="2676">
        <v>44.917257683215126</v>
      </c>
      <c r="K31" s="1670">
        <v>391</v>
      </c>
      <c r="L31" s="1670">
        <v>877</v>
      </c>
      <c r="M31" s="2677">
        <v>44.583808437856327</v>
      </c>
      <c r="N31" s="2678">
        <v>220</v>
      </c>
      <c r="O31" s="1670">
        <v>542</v>
      </c>
      <c r="P31" s="2676">
        <v>40.589999999999996</v>
      </c>
      <c r="Q31" s="1670">
        <v>199</v>
      </c>
      <c r="R31" s="1670">
        <v>508</v>
      </c>
      <c r="S31" s="2676">
        <v>39.17</v>
      </c>
      <c r="T31" s="1670">
        <v>419</v>
      </c>
      <c r="U31" s="1670">
        <v>1050</v>
      </c>
      <c r="V31" s="2676">
        <v>39.900000000000006</v>
      </c>
      <c r="W31" s="2678">
        <v>232</v>
      </c>
      <c r="X31" s="1670">
        <v>563</v>
      </c>
      <c r="Y31" s="2676">
        <v>41.2</v>
      </c>
      <c r="Z31" s="1670">
        <v>192</v>
      </c>
      <c r="AA31" s="1670">
        <v>529</v>
      </c>
      <c r="AB31" s="2676">
        <v>36.299999999999997</v>
      </c>
      <c r="AC31" s="1670">
        <v>424</v>
      </c>
      <c r="AD31" s="1670">
        <v>1092</v>
      </c>
      <c r="AE31" s="2677">
        <v>38.799999999999997</v>
      </c>
      <c r="AF31" s="4377"/>
      <c r="AG31" s="4378"/>
      <c r="AH31" s="4379"/>
      <c r="AI31" s="4378"/>
      <c r="AJ31" s="4378"/>
      <c r="AK31" s="4379"/>
      <c r="AL31" s="2196">
        <v>388</v>
      </c>
      <c r="AM31" s="2196">
        <v>1093</v>
      </c>
      <c r="AN31" s="2654">
        <f t="shared" si="5"/>
        <v>0.35498627630375112</v>
      </c>
    </row>
    <row r="32" spans="1:40" x14ac:dyDescent="0.2">
      <c r="B32" s="2670"/>
      <c r="C32" s="2670"/>
      <c r="D32" s="181" t="s">
        <v>641</v>
      </c>
      <c r="E32" s="2675">
        <v>341</v>
      </c>
      <c r="F32" s="1670">
        <v>880</v>
      </c>
      <c r="G32" s="2676">
        <v>38.75</v>
      </c>
      <c r="H32" s="1670">
        <v>143</v>
      </c>
      <c r="I32" s="1670">
        <v>771</v>
      </c>
      <c r="J32" s="2676">
        <v>18.547341115434502</v>
      </c>
      <c r="K32" s="1670">
        <v>484</v>
      </c>
      <c r="L32" s="1670">
        <v>1651</v>
      </c>
      <c r="M32" s="2677">
        <v>29.31556632344034</v>
      </c>
      <c r="N32" s="2678">
        <v>416</v>
      </c>
      <c r="O32" s="1670">
        <v>935</v>
      </c>
      <c r="P32" s="2676">
        <v>44.49</v>
      </c>
      <c r="Q32" s="1670">
        <v>148</v>
      </c>
      <c r="R32" s="1670">
        <v>828</v>
      </c>
      <c r="S32" s="2676">
        <v>17.87</v>
      </c>
      <c r="T32" s="1670">
        <v>564</v>
      </c>
      <c r="U32" s="1670">
        <v>1763</v>
      </c>
      <c r="V32" s="2676">
        <v>31.990000000000002</v>
      </c>
      <c r="W32" s="2678">
        <v>478</v>
      </c>
      <c r="X32" s="1670">
        <v>976</v>
      </c>
      <c r="Y32" s="2676">
        <v>49</v>
      </c>
      <c r="Z32" s="1670">
        <v>193</v>
      </c>
      <c r="AA32" s="1670">
        <v>870</v>
      </c>
      <c r="AB32" s="2676">
        <v>22.2</v>
      </c>
      <c r="AC32" s="1670">
        <v>671</v>
      </c>
      <c r="AD32" s="1670">
        <v>1846</v>
      </c>
      <c r="AE32" s="2677">
        <v>36.299999999999997</v>
      </c>
      <c r="AF32" s="4377"/>
      <c r="AG32" s="4378"/>
      <c r="AH32" s="4379"/>
      <c r="AI32" s="4378"/>
      <c r="AJ32" s="4378"/>
      <c r="AK32" s="4379"/>
      <c r="AL32" s="2196">
        <v>603</v>
      </c>
      <c r="AM32" s="2196">
        <v>1907</v>
      </c>
      <c r="AN32" s="2654">
        <f t="shared" si="5"/>
        <v>0.31620346093340324</v>
      </c>
    </row>
    <row r="33" spans="1:40" x14ac:dyDescent="0.2">
      <c r="B33" s="2670"/>
      <c r="C33" s="2670"/>
      <c r="D33" s="181" t="s">
        <v>281</v>
      </c>
      <c r="E33" s="2675">
        <v>254</v>
      </c>
      <c r="F33" s="1670">
        <v>593</v>
      </c>
      <c r="G33" s="2676">
        <v>42.833052276559862</v>
      </c>
      <c r="H33" s="1670">
        <v>235</v>
      </c>
      <c r="I33" s="1670">
        <v>513</v>
      </c>
      <c r="J33" s="2676">
        <v>45.808966861598435</v>
      </c>
      <c r="K33" s="1670">
        <v>489</v>
      </c>
      <c r="L33" s="1670">
        <v>1106</v>
      </c>
      <c r="M33" s="2677">
        <v>44.21338155515371</v>
      </c>
      <c r="N33" s="2678">
        <v>285</v>
      </c>
      <c r="O33" s="1670">
        <v>628</v>
      </c>
      <c r="P33" s="2676">
        <v>45.379999999999995</v>
      </c>
      <c r="Q33" s="1670">
        <v>227</v>
      </c>
      <c r="R33" s="1670">
        <v>543</v>
      </c>
      <c r="S33" s="2676">
        <v>41.8</v>
      </c>
      <c r="T33" s="1670">
        <v>512</v>
      </c>
      <c r="U33" s="1670">
        <v>1171</v>
      </c>
      <c r="V33" s="2676">
        <v>43.72</v>
      </c>
      <c r="W33" s="2678">
        <v>257</v>
      </c>
      <c r="X33" s="1670">
        <v>460</v>
      </c>
      <c r="Y33" s="2676">
        <v>55.9</v>
      </c>
      <c r="Z33" s="1670">
        <v>120</v>
      </c>
      <c r="AA33" s="1670">
        <v>400</v>
      </c>
      <c r="AB33" s="2676">
        <v>30</v>
      </c>
      <c r="AC33" s="1670">
        <v>377</v>
      </c>
      <c r="AD33" s="1670">
        <v>860</v>
      </c>
      <c r="AE33" s="2677">
        <v>43.8</v>
      </c>
      <c r="AF33" s="4377"/>
      <c r="AG33" s="4378"/>
      <c r="AH33" s="4379"/>
      <c r="AI33" s="4378"/>
      <c r="AJ33" s="4378"/>
      <c r="AK33" s="4379"/>
      <c r="AL33" s="2196">
        <v>460</v>
      </c>
      <c r="AM33" s="2196">
        <v>1226</v>
      </c>
      <c r="AN33" s="2654">
        <f t="shared" si="5"/>
        <v>0.37520391517128876</v>
      </c>
    </row>
    <row r="34" spans="1:40" x14ac:dyDescent="0.2">
      <c r="B34" s="2670"/>
      <c r="C34" s="2670"/>
      <c r="D34" s="181" t="s">
        <v>282</v>
      </c>
      <c r="E34" s="2675">
        <v>186</v>
      </c>
      <c r="F34" s="1670">
        <v>423</v>
      </c>
      <c r="G34" s="2676">
        <v>43.971631205673759</v>
      </c>
      <c r="H34" s="1670">
        <v>152</v>
      </c>
      <c r="I34" s="1670">
        <v>365</v>
      </c>
      <c r="J34" s="2676">
        <v>41.643835616438359</v>
      </c>
      <c r="K34" s="1670">
        <v>338</v>
      </c>
      <c r="L34" s="1670">
        <v>788</v>
      </c>
      <c r="M34" s="2677">
        <v>42.893401015228427</v>
      </c>
      <c r="N34" s="2678">
        <v>230</v>
      </c>
      <c r="O34" s="1670">
        <v>466</v>
      </c>
      <c r="P34" s="2676">
        <v>49.36</v>
      </c>
      <c r="Q34" s="1670">
        <v>136</v>
      </c>
      <c r="R34" s="1670">
        <v>402</v>
      </c>
      <c r="S34" s="2676">
        <v>33.83</v>
      </c>
      <c r="T34" s="1670">
        <v>366</v>
      </c>
      <c r="U34" s="1670">
        <v>868</v>
      </c>
      <c r="V34" s="2676">
        <v>42.17</v>
      </c>
      <c r="W34" s="2678">
        <v>228</v>
      </c>
      <c r="X34" s="1670">
        <v>473</v>
      </c>
      <c r="Y34" s="2676">
        <v>48.2</v>
      </c>
      <c r="Z34" s="1670">
        <v>122</v>
      </c>
      <c r="AA34" s="1670">
        <v>407</v>
      </c>
      <c r="AB34" s="2676">
        <v>30</v>
      </c>
      <c r="AC34" s="1670">
        <v>350</v>
      </c>
      <c r="AD34" s="1670">
        <v>880</v>
      </c>
      <c r="AE34" s="2677">
        <v>39.799999999999997</v>
      </c>
      <c r="AF34" s="4377"/>
      <c r="AG34" s="4378"/>
      <c r="AH34" s="4379"/>
      <c r="AI34" s="4378"/>
      <c r="AJ34" s="4378"/>
      <c r="AK34" s="4379"/>
      <c r="AL34" s="2196">
        <v>335</v>
      </c>
      <c r="AM34" s="2196">
        <v>862</v>
      </c>
      <c r="AN34" s="2654">
        <f t="shared" si="5"/>
        <v>0.38863109048723898</v>
      </c>
    </row>
    <row r="35" spans="1:40" x14ac:dyDescent="0.2">
      <c r="B35" s="2670"/>
      <c r="C35" s="2670"/>
      <c r="D35" s="181" t="s">
        <v>283</v>
      </c>
      <c r="E35" s="2675">
        <v>183</v>
      </c>
      <c r="F35" s="1670">
        <v>423</v>
      </c>
      <c r="G35" s="2676">
        <v>43.262411347517734</v>
      </c>
      <c r="H35" s="1670">
        <v>167</v>
      </c>
      <c r="I35" s="1670">
        <v>365</v>
      </c>
      <c r="J35" s="2676">
        <v>45.753424657534246</v>
      </c>
      <c r="K35" s="1670">
        <v>350</v>
      </c>
      <c r="L35" s="1670">
        <v>788</v>
      </c>
      <c r="M35" s="2677">
        <v>44.416243654822338</v>
      </c>
      <c r="N35" s="2678">
        <v>213</v>
      </c>
      <c r="O35" s="1670">
        <v>449</v>
      </c>
      <c r="P35" s="2676">
        <v>47.44</v>
      </c>
      <c r="Q35" s="1670">
        <v>132</v>
      </c>
      <c r="R35" s="1670">
        <v>383</v>
      </c>
      <c r="S35" s="2676">
        <v>34.46</v>
      </c>
      <c r="T35" s="1670">
        <v>345</v>
      </c>
      <c r="U35" s="1670">
        <v>832</v>
      </c>
      <c r="V35" s="2676">
        <v>41.47</v>
      </c>
      <c r="W35" s="2678">
        <v>105</v>
      </c>
      <c r="X35" s="1670">
        <v>219</v>
      </c>
      <c r="Y35" s="2676">
        <v>47.9</v>
      </c>
      <c r="Z35" s="1670">
        <v>82</v>
      </c>
      <c r="AA35" s="1670">
        <v>204</v>
      </c>
      <c r="AB35" s="2676">
        <v>40.200000000000003</v>
      </c>
      <c r="AC35" s="1670">
        <v>187</v>
      </c>
      <c r="AD35" s="1670">
        <v>423</v>
      </c>
      <c r="AE35" s="2677">
        <v>44.2</v>
      </c>
      <c r="AF35" s="4377"/>
      <c r="AG35" s="4378"/>
      <c r="AH35" s="4379"/>
      <c r="AI35" s="4378"/>
      <c r="AJ35" s="4378"/>
      <c r="AK35" s="4379"/>
      <c r="AL35" s="2196">
        <v>311</v>
      </c>
      <c r="AM35" s="2196">
        <v>872</v>
      </c>
      <c r="AN35" s="2654">
        <f t="shared" si="5"/>
        <v>0.35665137614678899</v>
      </c>
    </row>
    <row r="36" spans="1:40" x14ac:dyDescent="0.2">
      <c r="B36" s="2670"/>
      <c r="C36" s="2670"/>
      <c r="D36" s="181" t="s">
        <v>1644</v>
      </c>
      <c r="E36" s="2675">
        <v>87</v>
      </c>
      <c r="F36" s="1670">
        <v>205</v>
      </c>
      <c r="G36" s="2676">
        <v>42.439024390243901</v>
      </c>
      <c r="H36" s="1670">
        <v>92</v>
      </c>
      <c r="I36" s="1670">
        <v>174</v>
      </c>
      <c r="J36" s="2676">
        <v>52.873563218390807</v>
      </c>
      <c r="K36" s="1670">
        <v>179</v>
      </c>
      <c r="L36" s="1670">
        <v>379</v>
      </c>
      <c r="M36" s="2677">
        <v>47.229551451187334</v>
      </c>
      <c r="N36" s="2678">
        <v>89</v>
      </c>
      <c r="O36" s="1670">
        <v>215</v>
      </c>
      <c r="P36" s="2676">
        <v>41.4</v>
      </c>
      <c r="Q36" s="1670">
        <v>71</v>
      </c>
      <c r="R36" s="1670">
        <v>194</v>
      </c>
      <c r="S36" s="2676">
        <v>36.6</v>
      </c>
      <c r="T36" s="1670">
        <v>160</v>
      </c>
      <c r="U36" s="1670">
        <v>409</v>
      </c>
      <c r="V36" s="2676">
        <v>39.119999999999997</v>
      </c>
      <c r="W36" s="2678">
        <v>351</v>
      </c>
      <c r="X36" s="1670">
        <v>657</v>
      </c>
      <c r="Y36" s="2676">
        <v>53.4</v>
      </c>
      <c r="Z36" s="1670">
        <v>212</v>
      </c>
      <c r="AA36" s="1670">
        <v>566</v>
      </c>
      <c r="AB36" s="2676">
        <v>37.5</v>
      </c>
      <c r="AC36" s="1670">
        <v>563</v>
      </c>
      <c r="AD36" s="1670">
        <v>1222</v>
      </c>
      <c r="AE36" s="2677">
        <v>46.1</v>
      </c>
      <c r="AF36" s="4377"/>
      <c r="AG36" s="4378"/>
      <c r="AH36" s="4379"/>
      <c r="AI36" s="4378"/>
      <c r="AJ36" s="4378"/>
      <c r="AK36" s="4379"/>
      <c r="AL36" s="2196">
        <v>209</v>
      </c>
      <c r="AM36" s="2196">
        <v>487</v>
      </c>
      <c r="AN36" s="2654">
        <f t="shared" si="5"/>
        <v>0.42915811088295686</v>
      </c>
    </row>
    <row r="37" spans="1:40" x14ac:dyDescent="0.2">
      <c r="B37" s="2670"/>
      <c r="C37" s="2670"/>
      <c r="D37" s="323" t="s">
        <v>284</v>
      </c>
      <c r="E37" s="3611">
        <v>148</v>
      </c>
      <c r="F37" s="3466">
        <v>400</v>
      </c>
      <c r="G37" s="3494">
        <v>37</v>
      </c>
      <c r="H37" s="3466">
        <v>97</v>
      </c>
      <c r="I37" s="3466">
        <v>348</v>
      </c>
      <c r="J37" s="3494">
        <v>27.873563218390807</v>
      </c>
      <c r="K37" s="3466">
        <v>245</v>
      </c>
      <c r="L37" s="3466">
        <v>748</v>
      </c>
      <c r="M37" s="3495">
        <v>32.754010695187162</v>
      </c>
      <c r="N37" s="2679">
        <v>148</v>
      </c>
      <c r="O37" s="3466">
        <v>418</v>
      </c>
      <c r="P37" s="3494">
        <v>35.410000000000004</v>
      </c>
      <c r="Q37" s="3466">
        <v>127</v>
      </c>
      <c r="R37" s="3466">
        <v>387</v>
      </c>
      <c r="S37" s="3494">
        <v>32.82</v>
      </c>
      <c r="T37" s="3466">
        <v>275</v>
      </c>
      <c r="U37" s="3466">
        <v>805</v>
      </c>
      <c r="V37" s="3494">
        <v>34.160000000000004</v>
      </c>
      <c r="W37" s="2679">
        <v>167</v>
      </c>
      <c r="X37" s="3466">
        <v>433</v>
      </c>
      <c r="Y37" s="3494">
        <v>38.6</v>
      </c>
      <c r="Z37" s="3466">
        <v>155</v>
      </c>
      <c r="AA37" s="3466">
        <v>402</v>
      </c>
      <c r="AB37" s="3494">
        <v>38.6</v>
      </c>
      <c r="AC37" s="3466">
        <v>322</v>
      </c>
      <c r="AD37" s="3466">
        <v>834</v>
      </c>
      <c r="AE37" s="3495">
        <v>38.6</v>
      </c>
      <c r="AF37" s="4380"/>
      <c r="AG37" s="4381"/>
      <c r="AH37" s="4382"/>
      <c r="AI37" s="4381"/>
      <c r="AJ37" s="4381"/>
      <c r="AK37" s="4382"/>
      <c r="AL37" s="3612">
        <v>309</v>
      </c>
      <c r="AM37" s="3496">
        <v>844</v>
      </c>
      <c r="AN37" s="3484">
        <f t="shared" si="5"/>
        <v>0.36611374407582936</v>
      </c>
    </row>
    <row r="38" spans="1:40" x14ac:dyDescent="0.2">
      <c r="B38" s="2670"/>
      <c r="C38" s="2670"/>
      <c r="D38" s="918" t="s">
        <v>50</v>
      </c>
      <c r="E38" s="2680">
        <v>1889</v>
      </c>
      <c r="F38" s="2681">
        <v>4455</v>
      </c>
      <c r="G38" s="2682">
        <v>42.401795735129063</v>
      </c>
      <c r="H38" s="2681">
        <v>1425</v>
      </c>
      <c r="I38" s="2681">
        <v>3895</v>
      </c>
      <c r="J38" s="2682">
        <v>36.585365853658537</v>
      </c>
      <c r="K38" s="2681">
        <v>3314</v>
      </c>
      <c r="L38" s="2681">
        <v>8350</v>
      </c>
      <c r="M38" s="3613">
        <v>39.688622754491014</v>
      </c>
      <c r="N38" s="2681" t="s">
        <v>1645</v>
      </c>
      <c r="O38" s="2681" t="s">
        <v>1646</v>
      </c>
      <c r="P38" s="2682">
        <v>44.13</v>
      </c>
      <c r="Q38" s="2681" t="s">
        <v>1647</v>
      </c>
      <c r="R38" s="2681" t="s">
        <v>1648</v>
      </c>
      <c r="S38" s="2682">
        <v>32.99</v>
      </c>
      <c r="T38" s="2681">
        <v>3534</v>
      </c>
      <c r="U38" s="2681">
        <v>9088</v>
      </c>
      <c r="V38" s="2682">
        <v>38.89</v>
      </c>
      <c r="W38" s="2681">
        <v>2406</v>
      </c>
      <c r="X38" s="2681">
        <v>4918</v>
      </c>
      <c r="Y38" s="2682">
        <v>48.9</v>
      </c>
      <c r="Z38" s="2681">
        <v>1384</v>
      </c>
      <c r="AA38" s="2681">
        <v>4392</v>
      </c>
      <c r="AB38" s="2682">
        <v>31.5</v>
      </c>
      <c r="AC38" s="2681">
        <v>3790</v>
      </c>
      <c r="AD38" s="2681">
        <v>9306</v>
      </c>
      <c r="AE38" s="2683">
        <v>40.700000000000003</v>
      </c>
      <c r="AF38" s="2681"/>
      <c r="AG38" s="2681"/>
      <c r="AH38" s="2682"/>
      <c r="AI38" s="2681"/>
      <c r="AJ38" s="2681"/>
      <c r="AK38" s="2682"/>
      <c r="AL38" s="2684">
        <v>3497</v>
      </c>
      <c r="AM38" s="2685">
        <v>9473</v>
      </c>
      <c r="AN38" s="2686">
        <f>AL38/AM38</f>
        <v>0.36915443893170063</v>
      </c>
    </row>
    <row r="39" spans="1:40" x14ac:dyDescent="0.2">
      <c r="B39" s="2670"/>
      <c r="C39" s="2670"/>
    </row>
    <row r="40" spans="1:40" s="508" customFormat="1" ht="14.25" x14ac:dyDescent="0.2">
      <c r="A40" s="509">
        <v>6</v>
      </c>
      <c r="B40" s="509" t="s">
        <v>52</v>
      </c>
      <c r="C40" s="509"/>
      <c r="D40" s="4740" t="s">
        <v>1593</v>
      </c>
      <c r="E40" s="4741"/>
      <c r="F40" s="4741"/>
      <c r="G40" s="4741"/>
      <c r="H40" s="4741"/>
      <c r="I40" s="4741"/>
      <c r="J40" s="4741"/>
      <c r="K40" s="4741"/>
      <c r="L40" s="4741"/>
      <c r="M40" s="4741"/>
      <c r="N40" s="4741"/>
      <c r="O40" s="4741"/>
      <c r="P40" s="4741"/>
      <c r="Q40" s="4741"/>
      <c r="R40" s="4741"/>
      <c r="S40" s="4741"/>
      <c r="T40" s="4741"/>
      <c r="U40" s="4741"/>
      <c r="V40" s="4741"/>
      <c r="W40" s="4741"/>
      <c r="X40" s="4741"/>
      <c r="Y40" s="4741"/>
      <c r="Z40" s="4741"/>
      <c r="AA40" s="4741"/>
      <c r="AB40" s="4741"/>
      <c r="AC40" s="4741"/>
      <c r="AD40" s="4741"/>
      <c r="AE40" s="4756"/>
    </row>
    <row r="41" spans="1:40" s="508" customFormat="1" ht="15" customHeight="1" x14ac:dyDescent="0.2">
      <c r="A41" s="546">
        <v>7</v>
      </c>
      <c r="B41" s="546" t="s">
        <v>54</v>
      </c>
      <c r="C41" s="546"/>
      <c r="D41" s="4603" t="s">
        <v>1649</v>
      </c>
      <c r="E41" s="4604"/>
      <c r="F41" s="4604"/>
      <c r="G41" s="4604"/>
      <c r="H41" s="4604"/>
      <c r="I41" s="4604"/>
      <c r="J41" s="4604"/>
      <c r="K41" s="4604"/>
      <c r="L41" s="4604"/>
      <c r="M41" s="4604"/>
      <c r="N41" s="4604"/>
      <c r="O41" s="4604"/>
      <c r="P41" s="4604"/>
      <c r="Q41" s="4604"/>
      <c r="R41" s="4604"/>
      <c r="S41" s="4604"/>
      <c r="T41" s="4604"/>
      <c r="U41" s="4604"/>
      <c r="V41" s="4604"/>
      <c r="W41" s="4604"/>
      <c r="X41" s="4604"/>
      <c r="Y41" s="4604"/>
      <c r="Z41" s="4604"/>
      <c r="AA41" s="4604"/>
      <c r="AB41" s="4604"/>
      <c r="AC41" s="4604"/>
      <c r="AD41" s="4604"/>
      <c r="AE41" s="4605"/>
    </row>
    <row r="42" spans="1:40" s="508" customFormat="1" ht="14.1" customHeight="1" x14ac:dyDescent="0.2">
      <c r="A42" s="509">
        <v>8</v>
      </c>
      <c r="B42" s="509" t="s">
        <v>56</v>
      </c>
      <c r="C42" s="509"/>
      <c r="D42" s="4603" t="s">
        <v>1650</v>
      </c>
      <c r="E42" s="4604"/>
      <c r="F42" s="4604"/>
      <c r="G42" s="4604"/>
      <c r="H42" s="4604"/>
      <c r="I42" s="4604"/>
      <c r="J42" s="4604"/>
      <c r="K42" s="4604"/>
      <c r="L42" s="4604"/>
      <c r="M42" s="4604"/>
      <c r="N42" s="4604"/>
      <c r="O42" s="4604"/>
      <c r="P42" s="4604"/>
      <c r="Q42" s="4604"/>
      <c r="R42" s="4604"/>
      <c r="S42" s="4604"/>
      <c r="T42" s="4604"/>
      <c r="U42" s="4604"/>
      <c r="V42" s="4604"/>
      <c r="W42" s="4604"/>
      <c r="X42" s="4604"/>
      <c r="Y42" s="4604"/>
      <c r="Z42" s="4604"/>
      <c r="AA42" s="4604"/>
      <c r="AB42" s="4604"/>
      <c r="AC42" s="4604"/>
      <c r="AD42" s="4604"/>
      <c r="AE42" s="4605"/>
    </row>
    <row r="44" spans="1:40" ht="15" customHeight="1" x14ac:dyDescent="0.2">
      <c r="I44" s="2687"/>
    </row>
    <row r="45" spans="1:40" ht="13.5" customHeight="1" x14ac:dyDescent="0.2"/>
    <row r="61" spans="18:18" x14ac:dyDescent="0.2">
      <c r="R61" s="2688"/>
    </row>
  </sheetData>
  <mergeCells count="28">
    <mergeCell ref="D40:AE40"/>
    <mergeCell ref="D41:AE41"/>
    <mergeCell ref="D42:AE42"/>
    <mergeCell ref="W27:Y27"/>
    <mergeCell ref="Z27:AB27"/>
    <mergeCell ref="AC27:AE27"/>
    <mergeCell ref="AF27:AH27"/>
    <mergeCell ref="AI27:AK27"/>
    <mergeCell ref="AL27:AN27"/>
    <mergeCell ref="E26:M26"/>
    <mergeCell ref="N26:V26"/>
    <mergeCell ref="W26:AE26"/>
    <mergeCell ref="AF26:AN26"/>
    <mergeCell ref="E27:G27"/>
    <mergeCell ref="H27:J27"/>
    <mergeCell ref="K27:M27"/>
    <mergeCell ref="N27:P27"/>
    <mergeCell ref="Q27:S27"/>
    <mergeCell ref="T27:V27"/>
    <mergeCell ref="D3:AE3"/>
    <mergeCell ref="D4:AE4"/>
    <mergeCell ref="D5:AE5"/>
    <mergeCell ref="E10:G10"/>
    <mergeCell ref="H10:J10"/>
    <mergeCell ref="K10:M10"/>
    <mergeCell ref="N10:P10"/>
    <mergeCell ref="Q10:S10"/>
    <mergeCell ref="T10:V10"/>
  </mergeCells>
  <pageMargins left="0.74803149606299213" right="0.74803149606299213" top="0.98425196850393704" bottom="0.98425196850393704" header="0.51181102362204722" footer="0.51181102362204722"/>
  <pageSetup paperSize="9" scale="42" orientation="landscape" r:id="rId1"/>
  <headerFooter alignWithMargins="0">
    <oddHeader>&amp;C&amp;"-,Bold"DEVELOPMENT INDICATORS 2014</oddHeader>
    <oddFooter>&amp;LDepartment of Planning, Monitoring and Evaluation (DPME). &amp;CPage &amp;P of &amp;N&amp;R&amp;D</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86EF7-C12C-4FA4-B289-22A83C05C685}">
  <sheetPr>
    <tabColor rgb="FF00B050"/>
    <pageSetUpPr fitToPage="1"/>
  </sheetPr>
  <dimension ref="A1:Z45"/>
  <sheetViews>
    <sheetView showGridLines="0" view="pageBreakPreview" topLeftCell="A16" zoomScaleSheetLayoutView="100" workbookViewId="0">
      <selection activeCell="D43" sqref="D43:U43"/>
    </sheetView>
  </sheetViews>
  <sheetFormatPr defaultColWidth="9.140625" defaultRowHeight="12" x14ac:dyDescent="0.2"/>
  <cols>
    <col min="1" max="1" width="3.85546875" style="203" customWidth="1"/>
    <col min="2" max="2" width="14.42578125" style="527" customWidth="1"/>
    <col min="3" max="3" width="3.85546875" style="527" customWidth="1"/>
    <col min="4" max="4" width="22.5703125" style="512" customWidth="1"/>
    <col min="5" max="5" width="10.42578125" style="512" customWidth="1"/>
    <col min="6" max="8" width="10.5703125" style="512" customWidth="1"/>
    <col min="9" max="9" width="8.140625" style="512" customWidth="1"/>
    <col min="10" max="10" width="7.85546875" style="512" customWidth="1"/>
    <col min="11" max="11" width="8.140625" style="512" customWidth="1"/>
    <col min="12" max="12" width="9.140625" style="512" customWidth="1"/>
    <col min="13" max="13" width="6.85546875" style="512" customWidth="1"/>
    <col min="14" max="14" width="7.140625" style="512" customWidth="1"/>
    <col min="15" max="15" width="6.42578125" style="512" customWidth="1"/>
    <col min="16" max="16" width="7.5703125" style="512" customWidth="1"/>
    <col min="17" max="17" width="8.85546875" style="512" customWidth="1"/>
    <col min="18" max="18" width="5.85546875" style="512" customWidth="1"/>
    <col min="19" max="19" width="6.5703125" style="512" customWidth="1"/>
    <col min="20" max="21" width="8.140625" style="512" customWidth="1"/>
    <col min="22" max="22" width="7.42578125" style="512" customWidth="1"/>
    <col min="23" max="23" width="9.140625" style="512"/>
    <col min="24" max="24" width="8.140625" style="512" customWidth="1"/>
    <col min="25" max="26" width="7.5703125" style="512" customWidth="1"/>
    <col min="27" max="16384" width="9.140625" style="512"/>
  </cols>
  <sheetData>
    <row r="1" spans="1:26" s="508" customFormat="1" ht="15" x14ac:dyDescent="0.2">
      <c r="A1" s="506"/>
      <c r="B1" s="507"/>
      <c r="C1" s="507"/>
    </row>
    <row r="2" spans="1:26" s="508" customFormat="1" ht="14.25" customHeight="1" x14ac:dyDescent="0.2">
      <c r="A2" s="509">
        <v>1</v>
      </c>
      <c r="B2" s="509" t="s">
        <v>0</v>
      </c>
      <c r="C2" s="509">
        <v>63</v>
      </c>
      <c r="D2" s="4603" t="s">
        <v>1651</v>
      </c>
      <c r="E2" s="4604"/>
      <c r="F2" s="4604"/>
      <c r="G2" s="4604"/>
      <c r="H2" s="4604"/>
      <c r="I2" s="4604"/>
      <c r="J2" s="4604"/>
      <c r="K2" s="4604"/>
      <c r="L2" s="4604"/>
      <c r="M2" s="4604"/>
      <c r="N2" s="4604"/>
      <c r="O2" s="4604"/>
      <c r="P2" s="4604"/>
      <c r="Q2" s="4604"/>
      <c r="R2" s="4604"/>
      <c r="S2" s="4604"/>
      <c r="T2" s="4604"/>
      <c r="U2" s="4605"/>
    </row>
    <row r="3" spans="1:26" s="508" customFormat="1" ht="14.25" customHeight="1" x14ac:dyDescent="0.2">
      <c r="A3" s="509">
        <v>2</v>
      </c>
      <c r="B3" s="509" t="s">
        <v>2</v>
      </c>
      <c r="C3" s="509"/>
      <c r="D3" s="4603" t="s">
        <v>1652</v>
      </c>
      <c r="E3" s="4604"/>
      <c r="F3" s="4604"/>
      <c r="G3" s="4604"/>
      <c r="H3" s="4604"/>
      <c r="I3" s="4604"/>
      <c r="J3" s="4604"/>
      <c r="K3" s="4604"/>
      <c r="L3" s="4604"/>
      <c r="M3" s="4604"/>
      <c r="N3" s="4604"/>
      <c r="O3" s="4604"/>
      <c r="P3" s="4604"/>
      <c r="Q3" s="4604"/>
      <c r="R3" s="4604"/>
      <c r="S3" s="4604"/>
      <c r="T3" s="4604"/>
      <c r="U3" s="4605"/>
    </row>
    <row r="4" spans="1:26" s="508" customFormat="1" ht="14.25" x14ac:dyDescent="0.2">
      <c r="A4" s="509">
        <v>3</v>
      </c>
      <c r="B4" s="509" t="s">
        <v>4</v>
      </c>
      <c r="C4" s="509"/>
      <c r="D4" s="4603" t="s">
        <v>1653</v>
      </c>
      <c r="E4" s="4604"/>
      <c r="F4" s="4604"/>
      <c r="G4" s="4604"/>
      <c r="H4" s="4604"/>
      <c r="I4" s="4604"/>
      <c r="J4" s="4604"/>
      <c r="K4" s="4604"/>
      <c r="L4" s="4604"/>
      <c r="M4" s="4604"/>
      <c r="N4" s="4604"/>
      <c r="O4" s="4604"/>
      <c r="P4" s="4604"/>
      <c r="Q4" s="4604"/>
      <c r="R4" s="4604"/>
      <c r="S4" s="4604"/>
      <c r="T4" s="4604"/>
      <c r="U4" s="4605"/>
    </row>
    <row r="5" spans="1:26" ht="12.75" x14ac:dyDescent="0.2">
      <c r="C5" s="509"/>
    </row>
    <row r="6" spans="1:26" s="88" customFormat="1" ht="12.75" x14ac:dyDescent="0.2">
      <c r="A6" s="509">
        <v>4</v>
      </c>
      <c r="B6" s="509" t="s">
        <v>6</v>
      </c>
      <c r="C6" s="836"/>
      <c r="D6" s="918" t="s">
        <v>365</v>
      </c>
      <c r="E6" s="72"/>
      <c r="F6" s="71" t="s">
        <v>1654</v>
      </c>
      <c r="G6" s="71"/>
      <c r="H6" s="71"/>
      <c r="I6" s="71"/>
      <c r="J6" s="71"/>
      <c r="K6" s="71"/>
      <c r="L6" s="71"/>
      <c r="M6" s="71"/>
      <c r="N6" s="71"/>
      <c r="O6" s="71"/>
      <c r="P6" s="71"/>
    </row>
    <row r="7" spans="1:26" s="88" customFormat="1" ht="12.75" x14ac:dyDescent="0.25">
      <c r="A7" s="860"/>
      <c r="B7" s="836"/>
      <c r="C7" s="836"/>
      <c r="D7" s="159" t="s">
        <v>1655</v>
      </c>
      <c r="E7" s="4197"/>
      <c r="F7" s="2710">
        <v>2000</v>
      </c>
      <c r="G7" s="2710">
        <v>2001</v>
      </c>
      <c r="H7" s="2710">
        <v>2002</v>
      </c>
      <c r="I7" s="2710">
        <v>2003</v>
      </c>
      <c r="J7" s="2710">
        <v>2004</v>
      </c>
      <c r="K7" s="2710">
        <v>2005</v>
      </c>
      <c r="L7" s="2710">
        <v>2006</v>
      </c>
      <c r="M7" s="2710">
        <v>2007</v>
      </c>
      <c r="N7" s="2710">
        <v>2008</v>
      </c>
      <c r="O7" s="2710">
        <v>2009</v>
      </c>
      <c r="P7" s="2710">
        <v>2010</v>
      </c>
      <c r="Q7" s="2710">
        <v>2011</v>
      </c>
      <c r="R7" s="2710">
        <v>2012</v>
      </c>
      <c r="S7" s="2710">
        <v>2013</v>
      </c>
      <c r="T7" s="2710">
        <v>2014</v>
      </c>
      <c r="U7" s="2710">
        <v>2015</v>
      </c>
      <c r="V7" s="2710">
        <v>2016</v>
      </c>
      <c r="W7" s="2710">
        <v>2017</v>
      </c>
      <c r="X7" s="2710">
        <v>2018</v>
      </c>
      <c r="Y7" s="2710">
        <v>2019</v>
      </c>
      <c r="Z7" s="2710">
        <v>2020</v>
      </c>
    </row>
    <row r="8" spans="1:26" s="88" customFormat="1" ht="12.75" x14ac:dyDescent="0.2">
      <c r="A8" s="860"/>
      <c r="B8" s="836"/>
      <c r="C8" s="2691"/>
      <c r="D8" s="5023" t="s">
        <v>1656</v>
      </c>
      <c r="E8" s="5024"/>
      <c r="F8" s="2708">
        <v>431</v>
      </c>
      <c r="G8" s="2708">
        <v>442</v>
      </c>
      <c r="H8" s="2708">
        <v>453</v>
      </c>
      <c r="I8" s="2708">
        <v>464</v>
      </c>
      <c r="J8" s="2708">
        <v>475</v>
      </c>
      <c r="K8" s="2708">
        <v>486</v>
      </c>
      <c r="L8" s="2708">
        <v>497</v>
      </c>
      <c r="M8" s="2708">
        <v>508</v>
      </c>
      <c r="N8" s="2708">
        <v>519</v>
      </c>
      <c r="O8" s="2708">
        <v>530</v>
      </c>
      <c r="P8" s="2708">
        <v>547</v>
      </c>
      <c r="Q8" s="2708">
        <v>550</v>
      </c>
      <c r="R8" s="2708">
        <v>553</v>
      </c>
      <c r="S8" s="2708">
        <v>556</v>
      </c>
      <c r="T8" s="2708">
        <v>559</v>
      </c>
      <c r="U8" s="2708">
        <v>562</v>
      </c>
      <c r="V8" s="2708">
        <v>565</v>
      </c>
      <c r="W8" s="2708">
        <v>568</v>
      </c>
      <c r="X8" s="2708">
        <v>571</v>
      </c>
      <c r="Y8" s="2708">
        <v>574</v>
      </c>
      <c r="Z8" s="3113">
        <v>583</v>
      </c>
    </row>
    <row r="9" spans="1:26" s="88" customFormat="1" ht="12.75" x14ac:dyDescent="0.2">
      <c r="A9" s="860"/>
      <c r="B9" s="836"/>
      <c r="C9" s="2691"/>
      <c r="D9" s="5025" t="s">
        <v>1657</v>
      </c>
      <c r="E9" s="5026"/>
      <c r="F9" s="2709">
        <v>398</v>
      </c>
      <c r="G9" s="2709">
        <v>398</v>
      </c>
      <c r="H9" s="2709">
        <v>398</v>
      </c>
      <c r="I9" s="2709">
        <v>398</v>
      </c>
      <c r="J9" s="2709">
        <v>398</v>
      </c>
      <c r="K9" s="2709">
        <v>398</v>
      </c>
      <c r="L9" s="2709">
        <v>398</v>
      </c>
      <c r="M9" s="2709">
        <v>398</v>
      </c>
      <c r="N9" s="2709">
        <v>398</v>
      </c>
      <c r="O9" s="2709">
        <v>398</v>
      </c>
      <c r="P9" s="2708">
        <v>398</v>
      </c>
      <c r="Q9" s="2708">
        <v>398</v>
      </c>
      <c r="R9" s="2708">
        <v>398</v>
      </c>
      <c r="S9" s="2708">
        <v>398</v>
      </c>
      <c r="T9" s="2708">
        <v>398</v>
      </c>
      <c r="U9" s="2708">
        <v>398</v>
      </c>
      <c r="V9" s="2708">
        <v>398</v>
      </c>
      <c r="W9" s="2708">
        <v>398</v>
      </c>
      <c r="X9" s="2708">
        <v>398</v>
      </c>
      <c r="Y9" s="2708">
        <v>398</v>
      </c>
      <c r="Z9" s="3113">
        <v>398</v>
      </c>
    </row>
    <row r="10" spans="1:26" s="88" customFormat="1" ht="12.75" x14ac:dyDescent="0.2">
      <c r="A10" s="860"/>
      <c r="B10" s="836"/>
      <c r="C10" s="2691"/>
      <c r="D10" s="82" t="s">
        <v>1658</v>
      </c>
      <c r="E10" s="4198"/>
      <c r="F10" s="3109">
        <v>436</v>
      </c>
      <c r="G10" s="3109">
        <v>438</v>
      </c>
      <c r="H10" s="3109">
        <v>443</v>
      </c>
      <c r="I10" s="3109">
        <v>455</v>
      </c>
      <c r="J10" s="3109">
        <v>474</v>
      </c>
      <c r="K10" s="3109">
        <v>485</v>
      </c>
      <c r="L10" s="3109">
        <v>485</v>
      </c>
      <c r="M10" s="3109">
        <v>518</v>
      </c>
      <c r="N10" s="3109">
        <v>518</v>
      </c>
      <c r="O10" s="3109">
        <v>522</v>
      </c>
      <c r="P10" s="3109">
        <v>511</v>
      </c>
      <c r="Q10" s="3109">
        <v>501</v>
      </c>
      <c r="R10" s="3109">
        <v>514</v>
      </c>
      <c r="S10" s="3109">
        <v>509</v>
      </c>
      <c r="T10" s="3109">
        <v>511</v>
      </c>
      <c r="U10" s="3109">
        <v>504</v>
      </c>
      <c r="V10" s="3109">
        <v>481</v>
      </c>
      <c r="W10" s="3109">
        <v>482</v>
      </c>
      <c r="X10" s="3109">
        <v>490</v>
      </c>
      <c r="Y10" s="3109">
        <v>476</v>
      </c>
      <c r="Z10" s="3113">
        <v>442</v>
      </c>
    </row>
    <row r="11" spans="1:26" s="88" customFormat="1" ht="20.25" customHeight="1" x14ac:dyDescent="0.2">
      <c r="A11" s="860"/>
      <c r="B11" s="836"/>
      <c r="C11" s="836"/>
      <c r="D11" s="87"/>
      <c r="E11" s="87"/>
      <c r="F11" s="1201"/>
      <c r="G11" s="1201"/>
      <c r="H11" s="1201"/>
      <c r="I11" s="1222"/>
    </row>
    <row r="12" spans="1:26" ht="12.75" x14ac:dyDescent="0.2">
      <c r="A12" s="509">
        <v>5</v>
      </c>
      <c r="B12" s="509" t="s">
        <v>51</v>
      </c>
      <c r="D12" s="88"/>
      <c r="E12" s="88"/>
      <c r="F12" s="178"/>
      <c r="G12" s="178"/>
      <c r="H12" s="178"/>
      <c r="I12" s="178"/>
      <c r="J12" s="88"/>
      <c r="K12" s="88"/>
      <c r="L12" s="88"/>
      <c r="M12" s="88"/>
      <c r="N12" s="88"/>
      <c r="O12" s="88"/>
      <c r="P12" s="88"/>
    </row>
    <row r="18" s="512" customFormat="1" x14ac:dyDescent="0.2"/>
    <row r="19" s="512" customFormat="1" x14ac:dyDescent="0.2"/>
    <row r="20" s="512" customFormat="1" x14ac:dyDescent="0.2"/>
    <row r="21" s="512" customFormat="1" x14ac:dyDescent="0.2"/>
    <row r="22" s="512" customFormat="1" x14ac:dyDescent="0.2"/>
    <row r="23" s="512" customFormat="1" x14ac:dyDescent="0.2"/>
    <row r="24" s="512" customFormat="1" x14ac:dyDescent="0.2"/>
    <row r="25" s="512" customFormat="1" x14ac:dyDescent="0.2"/>
    <row r="26" s="512" customFormat="1" x14ac:dyDescent="0.2"/>
    <row r="27" s="512" customFormat="1" x14ac:dyDescent="0.2"/>
    <row r="28" s="512" customFormat="1" x14ac:dyDescent="0.2"/>
    <row r="29" s="512" customFormat="1" x14ac:dyDescent="0.2"/>
    <row r="43" spans="1:21" s="508" customFormat="1" ht="14.25" customHeight="1" x14ac:dyDescent="0.2">
      <c r="A43" s="509">
        <v>6</v>
      </c>
      <c r="B43" s="509" t="s">
        <v>52</v>
      </c>
      <c r="C43" s="509"/>
      <c r="D43" s="4603" t="s">
        <v>1659</v>
      </c>
      <c r="E43" s="4604"/>
      <c r="F43" s="4604"/>
      <c r="G43" s="4604"/>
      <c r="H43" s="4604"/>
      <c r="I43" s="4604"/>
      <c r="J43" s="4604"/>
      <c r="K43" s="4604"/>
      <c r="L43" s="4604"/>
      <c r="M43" s="4604"/>
      <c r="N43" s="4604"/>
      <c r="O43" s="4604"/>
      <c r="P43" s="4604"/>
      <c r="Q43" s="4604"/>
      <c r="R43" s="4604"/>
      <c r="S43" s="4604"/>
      <c r="T43" s="4604"/>
      <c r="U43" s="4605"/>
    </row>
    <row r="44" spans="1:21" s="508" customFormat="1" ht="29.25" customHeight="1" x14ac:dyDescent="0.2">
      <c r="A44" s="546">
        <v>7</v>
      </c>
      <c r="B44" s="546" t="s">
        <v>54</v>
      </c>
      <c r="C44" s="546"/>
      <c r="D44" s="4603" t="s">
        <v>1660</v>
      </c>
      <c r="E44" s="4604"/>
      <c r="F44" s="4604"/>
      <c r="G44" s="4604"/>
      <c r="H44" s="4604"/>
      <c r="I44" s="4604"/>
      <c r="J44" s="4604"/>
      <c r="K44" s="4604"/>
      <c r="L44" s="4604"/>
      <c r="M44" s="4604"/>
      <c r="N44" s="4604"/>
      <c r="O44" s="4604"/>
      <c r="P44" s="4604"/>
      <c r="Q44" s="4604"/>
      <c r="R44" s="4604"/>
      <c r="S44" s="4604"/>
      <c r="T44" s="4604"/>
      <c r="U44" s="4605"/>
    </row>
    <row r="45" spans="1:21" s="508" customFormat="1" ht="21.95" customHeight="1" x14ac:dyDescent="0.2">
      <c r="A45" s="509">
        <v>8</v>
      </c>
      <c r="B45" s="509" t="s">
        <v>56</v>
      </c>
      <c r="C45" s="509"/>
      <c r="D45" s="4603" t="s">
        <v>1661</v>
      </c>
      <c r="E45" s="4604"/>
      <c r="F45" s="4604"/>
      <c r="G45" s="4604"/>
      <c r="H45" s="4604"/>
      <c r="I45" s="4604"/>
      <c r="J45" s="4604"/>
      <c r="K45" s="4604"/>
      <c r="L45" s="4604"/>
      <c r="M45" s="4604"/>
      <c r="N45" s="4604"/>
      <c r="O45" s="4604"/>
      <c r="P45" s="4604"/>
      <c r="Q45" s="4604"/>
      <c r="R45" s="4604"/>
      <c r="S45" s="4604"/>
      <c r="T45" s="4604"/>
      <c r="U45" s="4605"/>
    </row>
  </sheetData>
  <mergeCells count="8">
    <mergeCell ref="D44:U44"/>
    <mergeCell ref="D45:U45"/>
    <mergeCell ref="D2:U2"/>
    <mergeCell ref="D3:U3"/>
    <mergeCell ref="D4:U4"/>
    <mergeCell ref="D8:E8"/>
    <mergeCell ref="D9:E9"/>
    <mergeCell ref="D43:U43"/>
  </mergeCells>
  <pageMargins left="0.74803149606299213" right="0.74803149606299213" top="0.98425196850393704" bottom="0.98425196850393704" header="0.51181102362204722" footer="0.51181102362204722"/>
  <pageSetup paperSize="9" scale="55" orientation="landscape" r:id="rId1"/>
  <headerFooter alignWithMargins="0">
    <oddFooter>&amp;LDRAFT&amp;CPage &amp;P of &amp;N</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37E8A-5580-45CD-9CDE-37E81296278C}">
  <sheetPr>
    <tabColor rgb="FF00B050"/>
    <pageSetUpPr fitToPage="1"/>
  </sheetPr>
  <dimension ref="A1:V47"/>
  <sheetViews>
    <sheetView showGridLines="0" view="pageBreakPreview" zoomScaleSheetLayoutView="100" workbookViewId="0">
      <selection activeCell="L43" sqref="L43"/>
    </sheetView>
  </sheetViews>
  <sheetFormatPr defaultColWidth="9.140625" defaultRowHeight="12" x14ac:dyDescent="0.2"/>
  <cols>
    <col min="1" max="1" width="3.85546875" style="203" customWidth="1"/>
    <col min="2" max="2" width="14.42578125" style="527" customWidth="1"/>
    <col min="3" max="3" width="3.85546875" style="527" customWidth="1"/>
    <col min="4" max="4" width="36.5703125" style="512" bestFit="1" customWidth="1"/>
    <col min="5" max="18" width="7.5703125" style="512" customWidth="1"/>
    <col min="19" max="16384" width="9.140625" style="512"/>
  </cols>
  <sheetData>
    <row r="1" spans="1:22" s="508" customFormat="1" ht="15" x14ac:dyDescent="0.2">
      <c r="A1" s="506"/>
      <c r="B1" s="507"/>
      <c r="C1" s="507"/>
    </row>
    <row r="2" spans="1:22" s="508" customFormat="1" ht="14.25" customHeight="1" x14ac:dyDescent="0.2">
      <c r="A2" s="509">
        <v>1</v>
      </c>
      <c r="B2" s="509" t="s">
        <v>0</v>
      </c>
      <c r="C2" s="509">
        <v>64</v>
      </c>
      <c r="D2" s="4603" t="s">
        <v>1662</v>
      </c>
      <c r="E2" s="4604"/>
      <c r="F2" s="4604"/>
      <c r="G2" s="4604"/>
      <c r="H2" s="4604"/>
      <c r="I2" s="4604"/>
      <c r="J2" s="4604"/>
      <c r="K2" s="4604"/>
      <c r="L2" s="4604"/>
      <c r="M2" s="4604"/>
      <c r="N2" s="4604"/>
      <c r="O2" s="4604"/>
      <c r="P2" s="4604"/>
      <c r="Q2" s="4604"/>
      <c r="R2" s="4605"/>
    </row>
    <row r="3" spans="1:22" s="508" customFormat="1" ht="14.25" customHeight="1" x14ac:dyDescent="0.2">
      <c r="A3" s="509">
        <v>2</v>
      </c>
      <c r="B3" s="509" t="s">
        <v>2</v>
      </c>
      <c r="C3" s="509"/>
      <c r="D3" s="4603" t="s">
        <v>1663</v>
      </c>
      <c r="E3" s="4604"/>
      <c r="F3" s="4604"/>
      <c r="G3" s="4604"/>
      <c r="H3" s="4604"/>
      <c r="I3" s="4604"/>
      <c r="J3" s="4604"/>
      <c r="K3" s="4604"/>
      <c r="L3" s="4604"/>
      <c r="M3" s="4604"/>
      <c r="N3" s="4604"/>
      <c r="O3" s="4604"/>
      <c r="P3" s="4604"/>
      <c r="Q3" s="4604"/>
      <c r="R3" s="4605"/>
    </row>
    <row r="4" spans="1:22" s="508" customFormat="1" ht="14.25" customHeight="1" x14ac:dyDescent="0.2">
      <c r="A4" s="509">
        <v>3</v>
      </c>
      <c r="B4" s="509" t="s">
        <v>4</v>
      </c>
      <c r="C4" s="509"/>
      <c r="D4" s="4603" t="s">
        <v>1664</v>
      </c>
      <c r="E4" s="4604"/>
      <c r="F4" s="4604"/>
      <c r="G4" s="4604"/>
      <c r="H4" s="4604"/>
      <c r="I4" s="4604"/>
      <c r="J4" s="4604"/>
      <c r="K4" s="4604"/>
      <c r="L4" s="4604"/>
      <c r="M4" s="4604"/>
      <c r="N4" s="4604"/>
      <c r="O4" s="4604"/>
      <c r="P4" s="4604"/>
      <c r="Q4" s="4604"/>
      <c r="R4" s="4605"/>
    </row>
    <row r="5" spans="1:22" ht="12.75" x14ac:dyDescent="0.2">
      <c r="C5" s="509"/>
    </row>
    <row r="6" spans="1:22" s="88" customFormat="1" ht="12.75" x14ac:dyDescent="0.2">
      <c r="A6" s="509">
        <v>4</v>
      </c>
      <c r="B6" s="509" t="s">
        <v>6</v>
      </c>
      <c r="C6" s="836"/>
      <c r="D6" s="72" t="s">
        <v>365</v>
      </c>
      <c r="E6" s="72" t="s">
        <v>1665</v>
      </c>
      <c r="F6" s="72"/>
      <c r="G6" s="72"/>
      <c r="H6" s="72"/>
      <c r="I6" s="72"/>
      <c r="J6" s="72"/>
      <c r="K6" s="72"/>
      <c r="L6" s="71"/>
      <c r="M6" s="71"/>
    </row>
    <row r="7" spans="1:22" s="88" customFormat="1" ht="11.25" x14ac:dyDescent="0.2">
      <c r="A7" s="860"/>
      <c r="B7" s="836"/>
      <c r="C7" s="836"/>
      <c r="D7" s="2692" t="s">
        <v>1666</v>
      </c>
      <c r="E7" s="2689">
        <v>2004</v>
      </c>
      <c r="F7" s="2689">
        <v>2005</v>
      </c>
      <c r="G7" s="2689">
        <v>2006</v>
      </c>
      <c r="H7" s="2689">
        <v>2007</v>
      </c>
      <c r="I7" s="2689">
        <v>2008</v>
      </c>
      <c r="J7" s="2689">
        <v>2009</v>
      </c>
      <c r="K7" s="2689">
        <v>2010</v>
      </c>
      <c r="L7" s="2689">
        <v>2011</v>
      </c>
      <c r="M7" s="2690">
        <v>2012</v>
      </c>
      <c r="N7" s="2690">
        <v>2013</v>
      </c>
      <c r="O7" s="2690">
        <v>2014</v>
      </c>
      <c r="P7" s="2690">
        <v>2015</v>
      </c>
      <c r="Q7" s="2690">
        <v>2016</v>
      </c>
      <c r="R7" s="2690">
        <v>2017</v>
      </c>
      <c r="S7" s="2690">
        <v>2018</v>
      </c>
      <c r="T7" s="2690">
        <v>2019</v>
      </c>
      <c r="U7" s="2690">
        <v>2020</v>
      </c>
      <c r="V7" s="2690">
        <v>2021</v>
      </c>
    </row>
    <row r="8" spans="1:22" s="88" customFormat="1" ht="11.25" customHeight="1" x14ac:dyDescent="0.2">
      <c r="A8" s="860"/>
      <c r="B8" s="836"/>
      <c r="C8" s="2691"/>
      <c r="D8" s="2693" t="s">
        <v>1667</v>
      </c>
      <c r="E8" s="1480">
        <v>0.81743181818181809</v>
      </c>
      <c r="F8" s="1480">
        <v>0.88807692307692299</v>
      </c>
      <c r="G8" s="1480">
        <v>0.84668750000000004</v>
      </c>
      <c r="H8" s="1480">
        <v>1.1520499999999998</v>
      </c>
      <c r="I8" s="1480">
        <v>1.1875192307692306</v>
      </c>
      <c r="J8" s="1480">
        <v>1.2734032258064516</v>
      </c>
      <c r="K8" s="1480">
        <v>1.2222105263157896</v>
      </c>
      <c r="L8" s="1480">
        <v>1.0280750000000001</v>
      </c>
      <c r="M8" s="1480">
        <v>1.0788124999999997</v>
      </c>
      <c r="N8" s="1480">
        <v>1.05315</v>
      </c>
      <c r="O8" s="1480">
        <v>0.97507978723404243</v>
      </c>
      <c r="P8" s="1480">
        <v>1.0399112903225807</v>
      </c>
      <c r="Q8" s="1480">
        <v>1.0354827586206894</v>
      </c>
      <c r="R8" s="1480">
        <v>0.97449807805253263</v>
      </c>
      <c r="S8" s="1480">
        <v>0.99</v>
      </c>
      <c r="T8" s="1480">
        <v>1.26</v>
      </c>
      <c r="U8" s="1480">
        <v>1.1200000000000001</v>
      </c>
      <c r="V8" s="2576">
        <v>1.1399999999999999</v>
      </c>
    </row>
    <row r="9" spans="1:22" s="88" customFormat="1" ht="21.95" customHeight="1" x14ac:dyDescent="0.2">
      <c r="A9" s="860"/>
      <c r="B9" s="836"/>
      <c r="C9" s="2691"/>
      <c r="D9" s="2693" t="s">
        <v>1668</v>
      </c>
      <c r="E9" s="1480"/>
      <c r="F9" s="1480"/>
      <c r="G9" s="1480"/>
      <c r="H9" s="1480">
        <v>1.43</v>
      </c>
      <c r="I9" s="1480">
        <v>1.54</v>
      </c>
      <c r="J9" s="1480">
        <v>1.51</v>
      </c>
      <c r="K9" s="1480">
        <v>1.53</v>
      </c>
      <c r="L9" s="1480">
        <v>1.51</v>
      </c>
      <c r="M9" s="1480">
        <v>1.53</v>
      </c>
      <c r="N9" s="1480">
        <v>1.35</v>
      </c>
      <c r="O9" s="1480">
        <v>1.28</v>
      </c>
      <c r="P9" s="1480">
        <v>1.3</v>
      </c>
      <c r="Q9" s="1480">
        <v>1.5</v>
      </c>
      <c r="R9" s="1480">
        <v>1.02</v>
      </c>
      <c r="S9" s="1480">
        <v>1.17</v>
      </c>
      <c r="T9" s="1480">
        <v>1.17</v>
      </c>
      <c r="U9" s="1480">
        <v>1.1399999999999999</v>
      </c>
      <c r="V9" s="2406">
        <v>1.32</v>
      </c>
    </row>
    <row r="10" spans="1:22" s="88" customFormat="1" ht="23.1" customHeight="1" x14ac:dyDescent="0.2">
      <c r="A10" s="860"/>
      <c r="B10" s="836"/>
      <c r="C10" s="2691"/>
      <c r="D10" s="87" t="s">
        <v>1669</v>
      </c>
      <c r="E10" s="1480"/>
      <c r="F10" s="1480"/>
      <c r="G10" s="1480"/>
      <c r="H10" s="1480"/>
      <c r="I10" s="1480">
        <v>1.5</v>
      </c>
      <c r="J10" s="1480">
        <v>1.28</v>
      </c>
      <c r="K10" s="1480">
        <v>1.4</v>
      </c>
      <c r="L10" s="1480">
        <v>1.35</v>
      </c>
      <c r="M10" s="1480">
        <v>1.3</v>
      </c>
      <c r="N10" s="1480">
        <v>1.39</v>
      </c>
      <c r="O10" s="1480">
        <v>0.89</v>
      </c>
      <c r="P10" s="1480">
        <v>1.22</v>
      </c>
      <c r="Q10" s="1480">
        <v>0.85</v>
      </c>
      <c r="R10" s="1480">
        <v>1.1000000000000001</v>
      </c>
      <c r="S10" s="1480">
        <v>1.44</v>
      </c>
      <c r="T10" s="1480">
        <v>1.18</v>
      </c>
      <c r="U10" s="1480">
        <v>0.97</v>
      </c>
      <c r="V10" s="2406">
        <v>0.9</v>
      </c>
    </row>
    <row r="11" spans="1:22" s="88" customFormat="1" ht="22.5" x14ac:dyDescent="0.2">
      <c r="A11" s="860"/>
      <c r="B11" s="836"/>
      <c r="C11" s="836"/>
      <c r="D11" s="2711" t="s">
        <v>1670</v>
      </c>
      <c r="E11" s="1486"/>
      <c r="F11" s="1486"/>
      <c r="G11" s="1486"/>
      <c r="H11" s="1486"/>
      <c r="I11" s="1486"/>
      <c r="J11" s="1486"/>
      <c r="K11" s="1486"/>
      <c r="L11" s="1486"/>
      <c r="M11" s="1486"/>
      <c r="N11" s="1486">
        <v>1.08</v>
      </c>
      <c r="O11" s="1486">
        <v>0.93</v>
      </c>
      <c r="P11" s="1486">
        <v>0.72</v>
      </c>
      <c r="Q11" s="1486">
        <v>1.07</v>
      </c>
      <c r="R11" s="1486">
        <v>1.04</v>
      </c>
      <c r="S11" s="1486">
        <v>1.1100000000000001</v>
      </c>
      <c r="T11" s="1486">
        <v>1.28</v>
      </c>
      <c r="U11" s="1486">
        <v>0.99</v>
      </c>
      <c r="V11" s="1442">
        <v>1.1100000000000001</v>
      </c>
    </row>
    <row r="12" spans="1:22" s="88" customFormat="1" ht="20.25" customHeight="1" x14ac:dyDescent="0.2">
      <c r="A12" s="860"/>
      <c r="B12" s="836"/>
      <c r="C12" s="836"/>
      <c r="D12" s="87"/>
      <c r="E12" s="1201"/>
      <c r="F12" s="1222"/>
    </row>
    <row r="13" spans="1:22" ht="12.75" x14ac:dyDescent="0.2">
      <c r="A13" s="509">
        <v>5</v>
      </c>
      <c r="B13" s="509" t="s">
        <v>51</v>
      </c>
      <c r="D13" s="88"/>
      <c r="E13" s="178"/>
      <c r="F13" s="178"/>
      <c r="G13" s="88"/>
      <c r="H13" s="88"/>
      <c r="I13" s="88"/>
      <c r="J13" s="88"/>
      <c r="K13" s="88"/>
      <c r="L13" s="88"/>
      <c r="M13" s="88"/>
    </row>
    <row r="19" s="512" customFormat="1" x14ac:dyDescent="0.2"/>
    <row r="20" s="512" customFormat="1" x14ac:dyDescent="0.2"/>
    <row r="21" s="512" customFormat="1" x14ac:dyDescent="0.2"/>
    <row r="22" s="512" customFormat="1" x14ac:dyDescent="0.2"/>
    <row r="23" s="512" customFormat="1" x14ac:dyDescent="0.2"/>
    <row r="24" s="512" customFormat="1" x14ac:dyDescent="0.2"/>
    <row r="25" s="512" customFormat="1" x14ac:dyDescent="0.2"/>
    <row r="26" s="512" customFormat="1" x14ac:dyDescent="0.2"/>
    <row r="27" s="512" customFormat="1" x14ac:dyDescent="0.2"/>
    <row r="28" s="512" customFormat="1" x14ac:dyDescent="0.2"/>
    <row r="29" s="512" customFormat="1" x14ac:dyDescent="0.2"/>
    <row r="30" s="512" customFormat="1" x14ac:dyDescent="0.2"/>
    <row r="44" spans="1:18" s="508" customFormat="1" ht="14.25" customHeight="1" x14ac:dyDescent="0.2">
      <c r="A44" s="509">
        <v>6</v>
      </c>
      <c r="B44" s="509" t="s">
        <v>52</v>
      </c>
      <c r="C44" s="509"/>
      <c r="D44" s="4603" t="s">
        <v>1671</v>
      </c>
      <c r="E44" s="4604"/>
      <c r="F44" s="4604"/>
      <c r="G44" s="4604"/>
      <c r="H44" s="4604"/>
      <c r="I44" s="4604"/>
      <c r="J44" s="4604"/>
      <c r="K44" s="4604"/>
      <c r="L44" s="4604"/>
      <c r="M44" s="4604"/>
      <c r="N44" s="4604"/>
      <c r="O44" s="4604"/>
      <c r="P44" s="4604"/>
      <c r="Q44" s="4604"/>
      <c r="R44" s="4605"/>
    </row>
    <row r="45" spans="1:18" s="508" customFormat="1" ht="54" customHeight="1" x14ac:dyDescent="0.2">
      <c r="A45" s="546">
        <v>7</v>
      </c>
      <c r="B45" s="546" t="s">
        <v>54</v>
      </c>
      <c r="C45" s="546"/>
      <c r="D45" s="4603" t="s">
        <v>1672</v>
      </c>
      <c r="E45" s="4604"/>
      <c r="F45" s="4604"/>
      <c r="G45" s="4604"/>
      <c r="H45" s="4604"/>
      <c r="I45" s="4604"/>
      <c r="J45" s="4604"/>
      <c r="K45" s="4604"/>
      <c r="L45" s="4604"/>
      <c r="M45" s="4604"/>
      <c r="N45" s="4604"/>
      <c r="O45" s="4604"/>
      <c r="P45" s="4604"/>
      <c r="Q45" s="4604"/>
      <c r="R45" s="4605"/>
    </row>
    <row r="46" spans="1:18" s="508" customFormat="1" ht="54.95" customHeight="1" x14ac:dyDescent="0.2">
      <c r="A46" s="509">
        <v>8</v>
      </c>
      <c r="B46" s="509" t="s">
        <v>58</v>
      </c>
      <c r="C46" s="546"/>
      <c r="D46" s="4737" t="s">
        <v>1673</v>
      </c>
      <c r="E46" s="4738"/>
      <c r="F46" s="4738"/>
      <c r="G46" s="4738"/>
      <c r="H46" s="4738"/>
      <c r="I46" s="4738"/>
      <c r="J46" s="4738"/>
      <c r="K46" s="4738"/>
      <c r="L46" s="4738"/>
      <c r="M46" s="4738"/>
      <c r="N46" s="4738"/>
      <c r="O46" s="4738"/>
      <c r="P46" s="4738"/>
      <c r="Q46" s="4738"/>
      <c r="R46" s="4739"/>
    </row>
    <row r="47" spans="1:18" s="508" customFormat="1" ht="42" customHeight="1" x14ac:dyDescent="0.2">
      <c r="A47" s="509">
        <v>9</v>
      </c>
      <c r="B47" s="509" t="s">
        <v>56</v>
      </c>
      <c r="C47" s="509"/>
      <c r="D47" s="4737" t="s">
        <v>1674</v>
      </c>
      <c r="E47" s="4738"/>
      <c r="F47" s="4738"/>
      <c r="G47" s="4738"/>
      <c r="H47" s="4738"/>
      <c r="I47" s="4738"/>
      <c r="J47" s="4738"/>
      <c r="K47" s="4738"/>
      <c r="L47" s="4738"/>
      <c r="M47" s="4738"/>
      <c r="N47" s="4738"/>
      <c r="O47" s="4738"/>
      <c r="P47" s="4738"/>
      <c r="Q47" s="4738"/>
      <c r="R47" s="4739"/>
    </row>
  </sheetData>
  <mergeCells count="7">
    <mergeCell ref="D47:R47"/>
    <mergeCell ref="D2:R2"/>
    <mergeCell ref="D3:R3"/>
    <mergeCell ref="D4:R4"/>
    <mergeCell ref="D44:R44"/>
    <mergeCell ref="D45:R45"/>
    <mergeCell ref="D46:R46"/>
  </mergeCells>
  <pageMargins left="0.74803149606299213" right="0.74803149606299213" top="0.98425196850393704" bottom="0.98425196850393704" header="0.51181102362204722" footer="0.51181102362204722"/>
  <pageSetup paperSize="9" scale="61" orientation="landscape" r:id="rId1"/>
  <headerFooter alignWithMargins="0">
    <oddFooter>&amp;LDRAFT&amp;CPage &amp;P of &amp;N</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CEA9E-C074-43D5-AD10-FB5239CFEC4E}">
  <sheetPr>
    <tabColor rgb="FF00B050"/>
    <pageSetUpPr fitToPage="1"/>
  </sheetPr>
  <dimension ref="A1:O48"/>
  <sheetViews>
    <sheetView showGridLines="0" view="pageBreakPreview" topLeftCell="A4" zoomScaleSheetLayoutView="100" workbookViewId="0">
      <selection activeCell="Q34" sqref="Q34"/>
    </sheetView>
  </sheetViews>
  <sheetFormatPr defaultColWidth="9.140625" defaultRowHeight="12" x14ac:dyDescent="0.2"/>
  <cols>
    <col min="1" max="1" width="3.85546875" style="203" customWidth="1"/>
    <col min="2" max="2" width="14.42578125" style="527" customWidth="1"/>
    <col min="3" max="3" width="3.85546875" style="527" customWidth="1"/>
    <col min="4" max="4" width="34.42578125" style="512" customWidth="1"/>
    <col min="5" max="12" width="7.5703125" style="512" customWidth="1"/>
    <col min="13" max="13" width="7.42578125" style="512" customWidth="1"/>
    <col min="14" max="14" width="9.140625" style="512"/>
    <col min="15" max="15" width="7.85546875" style="512" customWidth="1"/>
    <col min="16" max="16384" width="9.140625" style="512"/>
  </cols>
  <sheetData>
    <row r="1" spans="1:15" s="508" customFormat="1" ht="15" x14ac:dyDescent="0.2">
      <c r="A1" s="506"/>
      <c r="B1" s="507"/>
      <c r="C1" s="507"/>
      <c r="K1" s="88"/>
    </row>
    <row r="2" spans="1:15" s="508" customFormat="1" ht="14.25" customHeight="1" x14ac:dyDescent="0.2">
      <c r="A2" s="509">
        <v>1</v>
      </c>
      <c r="B2" s="509" t="s">
        <v>0</v>
      </c>
      <c r="C2" s="509">
        <v>65</v>
      </c>
      <c r="D2" s="4603" t="s">
        <v>1675</v>
      </c>
      <c r="E2" s="4604"/>
      <c r="F2" s="4604"/>
      <c r="G2" s="4604"/>
      <c r="H2" s="4604"/>
      <c r="I2" s="4604"/>
      <c r="J2" s="4604"/>
      <c r="K2" s="4604"/>
      <c r="L2" s="4605"/>
    </row>
    <row r="3" spans="1:15" s="508" customFormat="1" ht="14.25" customHeight="1" x14ac:dyDescent="0.2">
      <c r="A3" s="509">
        <v>2</v>
      </c>
      <c r="B3" s="509" t="s">
        <v>2</v>
      </c>
      <c r="C3" s="509"/>
      <c r="D3" s="4603" t="s">
        <v>1676</v>
      </c>
      <c r="E3" s="4604"/>
      <c r="F3" s="4604"/>
      <c r="G3" s="4604"/>
      <c r="H3" s="4604"/>
      <c r="I3" s="4604"/>
      <c r="J3" s="4604"/>
      <c r="K3" s="4604"/>
      <c r="L3" s="4605"/>
    </row>
    <row r="4" spans="1:15" s="508" customFormat="1" ht="15" customHeight="1" x14ac:dyDescent="0.2">
      <c r="A4" s="509">
        <v>3</v>
      </c>
      <c r="B4" s="509" t="s">
        <v>4</v>
      </c>
      <c r="C4" s="509"/>
      <c r="D4" s="4603" t="s">
        <v>1677</v>
      </c>
      <c r="E4" s="4604"/>
      <c r="F4" s="4604"/>
      <c r="G4" s="4604"/>
      <c r="H4" s="4604"/>
      <c r="I4" s="4604"/>
      <c r="J4" s="4604"/>
      <c r="K4" s="4604"/>
      <c r="L4" s="4605"/>
    </row>
    <row r="5" spans="1:15" s="508" customFormat="1" ht="145.5" customHeight="1" x14ac:dyDescent="0.2">
      <c r="A5" s="509">
        <v>4</v>
      </c>
      <c r="B5" s="509"/>
      <c r="C5" s="509"/>
      <c r="D5" s="4603" t="s">
        <v>1678</v>
      </c>
      <c r="E5" s="4604"/>
      <c r="F5" s="4604"/>
      <c r="G5" s="4604"/>
      <c r="H5" s="4604"/>
      <c r="I5" s="4604"/>
      <c r="J5" s="4604"/>
      <c r="K5" s="4604"/>
      <c r="L5" s="4605"/>
    </row>
    <row r="6" spans="1:15" ht="13.5" customHeight="1" x14ac:dyDescent="0.2">
      <c r="C6" s="509"/>
      <c r="K6" s="88"/>
    </row>
    <row r="7" spans="1:15" s="88" customFormat="1" ht="13.5" customHeight="1" x14ac:dyDescent="0.2">
      <c r="A7" s="509">
        <v>4</v>
      </c>
      <c r="B7" s="509" t="s">
        <v>6</v>
      </c>
      <c r="C7" s="836"/>
      <c r="D7" s="72" t="s">
        <v>365</v>
      </c>
      <c r="E7" s="72"/>
      <c r="F7" s="72"/>
      <c r="G7" s="72"/>
      <c r="H7" s="72"/>
      <c r="I7" s="71"/>
      <c r="J7" s="71"/>
    </row>
    <row r="8" spans="1:15" s="88" customFormat="1" ht="12" customHeight="1" x14ac:dyDescent="0.2">
      <c r="A8" s="860"/>
      <c r="B8" s="836"/>
      <c r="C8" s="836"/>
      <c r="D8" s="2692" t="s">
        <v>1679</v>
      </c>
      <c r="E8" s="2689">
        <v>1990</v>
      </c>
      <c r="F8" s="2689">
        <v>2000</v>
      </c>
      <c r="G8" s="2689">
        <v>2010</v>
      </c>
      <c r="H8" s="2689">
        <v>2014</v>
      </c>
      <c r="I8" s="2689">
        <v>2015</v>
      </c>
      <c r="J8" s="2689">
        <v>2016</v>
      </c>
      <c r="K8" s="1139">
        <v>2017</v>
      </c>
      <c r="L8" s="2694">
        <v>2018</v>
      </c>
      <c r="M8" s="2694">
        <v>2019</v>
      </c>
      <c r="N8" s="2694">
        <v>2020</v>
      </c>
      <c r="O8" s="4556">
        <v>2021</v>
      </c>
    </row>
    <row r="9" spans="1:15" s="88" customFormat="1" ht="11.25" customHeight="1" x14ac:dyDescent="0.2">
      <c r="A9" s="860"/>
      <c r="B9" s="836"/>
      <c r="C9" s="2691"/>
      <c r="D9" s="2695" t="s">
        <v>1680</v>
      </c>
      <c r="E9" s="2700">
        <v>6.2905562615290012E-2</v>
      </c>
      <c r="F9" s="2700">
        <v>7.2009335217052675E-2</v>
      </c>
      <c r="G9" s="2700">
        <v>8.3885977827423658E-2</v>
      </c>
      <c r="H9" s="2700">
        <v>8.7112406640705062E-2</v>
      </c>
      <c r="I9" s="2700">
        <v>8.7813847099815531E-2</v>
      </c>
      <c r="J9" s="2700">
        <v>9.1446535872104939E-2</v>
      </c>
      <c r="K9" s="2701">
        <v>9.1446535872104939E-2</v>
      </c>
      <c r="L9" s="2701">
        <v>9.3933314252100844E-2</v>
      </c>
      <c r="M9" s="2701">
        <v>9.4424410980938719E-2</v>
      </c>
      <c r="N9" s="2701">
        <v>9.619785201885632E-2</v>
      </c>
      <c r="O9" s="4557">
        <v>9.8299999999999998E-2</v>
      </c>
    </row>
    <row r="10" spans="1:15" s="88" customFormat="1" ht="11.25" customHeight="1" x14ac:dyDescent="0.2">
      <c r="A10" s="860"/>
      <c r="B10" s="836"/>
      <c r="C10" s="2691"/>
      <c r="D10" s="2695" t="s">
        <v>1681</v>
      </c>
      <c r="E10" s="2700">
        <v>0</v>
      </c>
      <c r="F10" s="2700">
        <v>7.2009335217052675E-2</v>
      </c>
      <c r="G10" s="2700">
        <v>0.10350466760852634</v>
      </c>
      <c r="H10" s="2700">
        <v>0.11610280056511579</v>
      </c>
      <c r="I10" s="2700">
        <v>0.11925233380426316</v>
      </c>
      <c r="J10" s="2700">
        <v>0.1255514002825579</v>
      </c>
      <c r="K10" s="2701">
        <v>0.1255514002825579</v>
      </c>
      <c r="L10" s="2701">
        <v>0.12870093352170528</v>
      </c>
      <c r="M10" s="2701">
        <v>0.13185046676085266</v>
      </c>
      <c r="N10" s="2701">
        <v>0.13500000000000004</v>
      </c>
      <c r="O10" s="4558">
        <v>0.14199999999999999</v>
      </c>
    </row>
    <row r="11" spans="1:15" s="88" customFormat="1" ht="12" customHeight="1" x14ac:dyDescent="0.2">
      <c r="A11" s="860"/>
      <c r="B11" s="836"/>
      <c r="C11" s="2691"/>
      <c r="D11" s="181" t="s">
        <v>1675</v>
      </c>
      <c r="E11" s="2700">
        <v>4.02E-2</v>
      </c>
      <c r="F11" s="2700">
        <v>4.5699999999999998E-2</v>
      </c>
      <c r="G11" s="2700">
        <v>5.1700000000000003E-2</v>
      </c>
      <c r="H11" s="2700">
        <v>5.3800000000000001E-2</v>
      </c>
      <c r="I11" s="2700">
        <v>5.4399999999999997E-2</v>
      </c>
      <c r="J11" s="2700">
        <v>5.6800000000000003E-2</v>
      </c>
      <c r="K11" s="2701">
        <v>5.7500000000000002E-2</v>
      </c>
      <c r="L11" s="2701">
        <v>6.0699999999999997E-2</v>
      </c>
      <c r="M11" s="2712">
        <v>6.1100000000000002E-2</v>
      </c>
      <c r="N11" s="4560">
        <v>6.2799999999999995E-2</v>
      </c>
      <c r="O11" s="4558">
        <v>6.59E-2</v>
      </c>
    </row>
    <row r="12" spans="1:15" s="88" customFormat="1" ht="12" customHeight="1" x14ac:dyDescent="0.2">
      <c r="A12" s="860"/>
      <c r="B12" s="836"/>
      <c r="C12" s="836"/>
      <c r="D12" s="82" t="s">
        <v>1682</v>
      </c>
      <c r="E12" s="2713"/>
      <c r="F12" s="2713"/>
      <c r="G12" s="2713">
        <v>8.3885977827423658E-2</v>
      </c>
      <c r="H12" s="2713">
        <v>0.11833158669645422</v>
      </c>
      <c r="I12" s="2713">
        <v>0.12694298891371186</v>
      </c>
      <c r="J12" s="2713">
        <v>0.13555439113096951</v>
      </c>
      <c r="K12" s="2713">
        <v>0.14416579334822716</v>
      </c>
      <c r="L12" s="2713">
        <v>0.1527771955654848</v>
      </c>
      <c r="M12" s="2713">
        <v>0.16138859778274245</v>
      </c>
      <c r="N12" s="2714">
        <v>0.1700000000000001</v>
      </c>
      <c r="O12" s="4559"/>
    </row>
    <row r="13" spans="1:15" s="88" customFormat="1" ht="20.25" customHeight="1" x14ac:dyDescent="0.2">
      <c r="A13" s="860"/>
      <c r="B13" s="836"/>
      <c r="C13" s="836"/>
      <c r="D13" s="87"/>
    </row>
    <row r="14" spans="1:15" ht="13.5" customHeight="1" x14ac:dyDescent="0.2">
      <c r="A14" s="509">
        <v>5</v>
      </c>
      <c r="B14" s="509" t="s">
        <v>51</v>
      </c>
      <c r="D14" s="88"/>
      <c r="E14" s="88"/>
      <c r="F14" s="88"/>
      <c r="G14" s="88"/>
      <c r="H14" s="88"/>
      <c r="I14" s="88"/>
      <c r="J14" s="88"/>
    </row>
    <row r="20" s="512" customFormat="1" ht="12.75" customHeight="1" x14ac:dyDescent="0.2"/>
    <row r="21" s="512" customFormat="1" ht="12.75" customHeight="1" x14ac:dyDescent="0.2"/>
    <row r="22" s="512" customFormat="1" x14ac:dyDescent="0.2"/>
    <row r="23" s="512" customFormat="1" x14ac:dyDescent="0.2"/>
    <row r="24" s="512" customFormat="1" x14ac:dyDescent="0.2"/>
    <row r="25" s="512" customFormat="1" x14ac:dyDescent="0.2"/>
    <row r="26" s="512" customFormat="1" x14ac:dyDescent="0.2"/>
    <row r="27" s="512" customFormat="1" x14ac:dyDescent="0.2"/>
    <row r="28" s="512" customFormat="1" x14ac:dyDescent="0.2"/>
    <row r="29" s="512" customFormat="1" x14ac:dyDescent="0.2"/>
    <row r="30" s="512" customFormat="1" x14ac:dyDescent="0.2"/>
    <row r="31" s="512" customFormat="1" x14ac:dyDescent="0.2"/>
    <row r="45" spans="1:12" s="508" customFormat="1" ht="14.25" customHeight="1" x14ac:dyDescent="0.2">
      <c r="A45" s="509">
        <v>6</v>
      </c>
      <c r="B45" s="509" t="s">
        <v>52</v>
      </c>
      <c r="C45" s="509"/>
      <c r="D45" s="4603" t="s">
        <v>533</v>
      </c>
      <c r="E45" s="4604"/>
      <c r="F45" s="4604"/>
      <c r="G45" s="4604"/>
      <c r="H45" s="4604"/>
      <c r="I45" s="4604"/>
      <c r="J45" s="4604"/>
      <c r="K45" s="4604"/>
      <c r="L45" s="4605"/>
    </row>
    <row r="46" spans="1:12" s="508" customFormat="1" ht="29.25" customHeight="1" x14ac:dyDescent="0.2">
      <c r="A46" s="546">
        <v>7</v>
      </c>
      <c r="B46" s="546" t="s">
        <v>54</v>
      </c>
      <c r="C46" s="546"/>
      <c r="D46" s="4603" t="s">
        <v>1683</v>
      </c>
      <c r="E46" s="4604"/>
      <c r="F46" s="4604"/>
      <c r="G46" s="4604"/>
      <c r="H46" s="4604"/>
      <c r="I46" s="4604"/>
      <c r="J46" s="4604"/>
      <c r="K46" s="4604"/>
      <c r="L46" s="4605"/>
    </row>
    <row r="47" spans="1:12" s="508" customFormat="1" ht="168.6" customHeight="1" x14ac:dyDescent="0.2">
      <c r="A47" s="509">
        <v>8</v>
      </c>
      <c r="B47" s="509" t="s">
        <v>58</v>
      </c>
      <c r="C47" s="546"/>
      <c r="D47" s="4603" t="s">
        <v>1684</v>
      </c>
      <c r="E47" s="4604"/>
      <c r="F47" s="4604"/>
      <c r="G47" s="4604"/>
      <c r="H47" s="4604"/>
      <c r="I47" s="4604"/>
      <c r="J47" s="4604"/>
      <c r="K47" s="4604"/>
      <c r="L47" s="4605"/>
    </row>
    <row r="48" spans="1:12" s="508" customFormat="1" ht="41.45" customHeight="1" x14ac:dyDescent="0.2">
      <c r="A48" s="509">
        <v>9</v>
      </c>
      <c r="B48" s="509" t="s">
        <v>56</v>
      </c>
      <c r="C48" s="509"/>
      <c r="D48" s="4603" t="s">
        <v>1685</v>
      </c>
      <c r="E48" s="4604"/>
      <c r="F48" s="4604"/>
      <c r="G48" s="4604"/>
      <c r="H48" s="4604"/>
      <c r="I48" s="4604"/>
      <c r="J48" s="4604"/>
      <c r="K48" s="4604"/>
      <c r="L48" s="4605"/>
    </row>
  </sheetData>
  <mergeCells count="8">
    <mergeCell ref="D47:L47"/>
    <mergeCell ref="D48:L48"/>
    <mergeCell ref="D2:L2"/>
    <mergeCell ref="D3:L3"/>
    <mergeCell ref="D4:L4"/>
    <mergeCell ref="D5:L5"/>
    <mergeCell ref="D45:L45"/>
    <mergeCell ref="D46:L46"/>
  </mergeCells>
  <pageMargins left="0.74803149606299213" right="0.74803149606299213" top="0.98425196850393704" bottom="0.98425196850393704" header="0.51181102362204722" footer="0.51181102362204722"/>
  <pageSetup paperSize="9" scale="49" orientation="landscape" r:id="rId1"/>
  <headerFooter alignWithMargins="0">
    <oddFooter>&amp;LDRAFT&amp;CPage &amp;P of &amp;N</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B159F-F136-47CC-BA1F-7D8F8D7CA5F3}">
  <sheetPr>
    <tabColor rgb="FF00B050"/>
    <pageSetUpPr fitToPage="1"/>
  </sheetPr>
  <dimension ref="A1:U60"/>
  <sheetViews>
    <sheetView showGridLines="0" view="pageBreakPreview" zoomScaleSheetLayoutView="100" workbookViewId="0">
      <selection activeCell="P10" sqref="P10"/>
    </sheetView>
  </sheetViews>
  <sheetFormatPr defaultColWidth="9.140625" defaultRowHeight="12" x14ac:dyDescent="0.2"/>
  <cols>
    <col min="1" max="1" width="3.85546875" style="203" customWidth="1"/>
    <col min="2" max="2" width="14.42578125" style="527" customWidth="1"/>
    <col min="3" max="3" width="3.85546875" style="527" customWidth="1"/>
    <col min="4" max="4" width="36.5703125" style="512" bestFit="1" customWidth="1"/>
    <col min="5" max="11" width="10.5703125" style="512" customWidth="1"/>
    <col min="12" max="12" width="8.7109375" style="512" customWidth="1"/>
    <col min="13" max="13" width="8.42578125" style="512" customWidth="1"/>
    <col min="14" max="14" width="9.5703125" style="512" customWidth="1"/>
    <col min="15" max="15" width="8.85546875" style="512" customWidth="1"/>
    <col min="16" max="16384" width="9.140625" style="512"/>
  </cols>
  <sheetData>
    <row r="1" spans="1:16" s="508" customFormat="1" ht="15" x14ac:dyDescent="0.2">
      <c r="A1" s="506"/>
      <c r="B1" s="507"/>
      <c r="C1" s="507"/>
      <c r="M1" s="88"/>
    </row>
    <row r="2" spans="1:16" s="508" customFormat="1" ht="14.25" customHeight="1" x14ac:dyDescent="0.2">
      <c r="A2" s="509">
        <v>1</v>
      </c>
      <c r="B2" s="509" t="s">
        <v>0</v>
      </c>
      <c r="C2" s="509">
        <v>66</v>
      </c>
      <c r="D2" s="4603" t="s">
        <v>1686</v>
      </c>
      <c r="E2" s="4604"/>
      <c r="F2" s="4604"/>
      <c r="G2" s="4604"/>
      <c r="H2" s="4604"/>
      <c r="I2" s="4604"/>
      <c r="J2" s="4604"/>
      <c r="K2" s="4604"/>
      <c r="L2" s="4605"/>
    </row>
    <row r="3" spans="1:16" s="508" customFormat="1" ht="14.25" customHeight="1" x14ac:dyDescent="0.2">
      <c r="A3" s="509">
        <v>2</v>
      </c>
      <c r="B3" s="509" t="s">
        <v>2</v>
      </c>
      <c r="C3" s="509"/>
      <c r="D3" s="4603" t="s">
        <v>1676</v>
      </c>
      <c r="E3" s="4604"/>
      <c r="F3" s="4604"/>
      <c r="G3" s="4604"/>
      <c r="H3" s="4604"/>
      <c r="I3" s="4604"/>
      <c r="J3" s="4604"/>
      <c r="K3" s="4604"/>
      <c r="L3" s="4605"/>
    </row>
    <row r="4" spans="1:16" s="508" customFormat="1" ht="18.600000000000001" customHeight="1" x14ac:dyDescent="0.2">
      <c r="A4" s="509">
        <v>3</v>
      </c>
      <c r="B4" s="509" t="s">
        <v>4</v>
      </c>
      <c r="C4" s="509"/>
      <c r="D4" s="4603" t="s">
        <v>1687</v>
      </c>
      <c r="E4" s="4604"/>
      <c r="F4" s="4604"/>
      <c r="G4" s="4604"/>
      <c r="H4" s="4604"/>
      <c r="I4" s="4604"/>
      <c r="J4" s="4604"/>
      <c r="K4" s="4604"/>
      <c r="L4" s="4605"/>
    </row>
    <row r="5" spans="1:16" ht="12.75" x14ac:dyDescent="0.2">
      <c r="C5" s="509"/>
    </row>
    <row r="6" spans="1:16" s="88" customFormat="1" ht="12.75" x14ac:dyDescent="0.2">
      <c r="A6" s="509">
        <v>4</v>
      </c>
      <c r="B6" s="509" t="s">
        <v>6</v>
      </c>
      <c r="C6" s="836"/>
      <c r="D6" s="72" t="s">
        <v>365</v>
      </c>
      <c r="E6" s="72" t="s">
        <v>1688</v>
      </c>
      <c r="F6" s="72"/>
      <c r="G6" s="72"/>
      <c r="H6" s="72"/>
      <c r="I6" s="72"/>
      <c r="J6" s="72"/>
      <c r="K6" s="72"/>
      <c r="L6" s="71"/>
    </row>
    <row r="7" spans="1:16" s="88" customFormat="1" ht="11.25" x14ac:dyDescent="0.2">
      <c r="A7" s="860"/>
      <c r="B7" s="836"/>
      <c r="C7" s="836"/>
      <c r="D7" s="2697"/>
      <c r="E7" s="2689">
        <v>1990</v>
      </c>
      <c r="F7" s="2689">
        <v>2000</v>
      </c>
      <c r="G7" s="2689">
        <v>2010</v>
      </c>
      <c r="H7" s="2689">
        <v>2015</v>
      </c>
      <c r="I7" s="2689">
        <v>2016</v>
      </c>
      <c r="J7" s="2689">
        <v>2017</v>
      </c>
      <c r="K7" s="2689">
        <v>2018</v>
      </c>
      <c r="L7" s="2690">
        <v>2019</v>
      </c>
      <c r="M7" s="2690">
        <v>2020</v>
      </c>
      <c r="N7" s="4581">
        <v>2021</v>
      </c>
    </row>
    <row r="8" spans="1:16" s="88" customFormat="1" ht="11.25" customHeight="1" x14ac:dyDescent="0.2">
      <c r="A8" s="860"/>
      <c r="B8" s="836"/>
      <c r="C8" s="2691"/>
      <c r="D8" s="2698" t="s">
        <v>1689</v>
      </c>
      <c r="E8" s="2699">
        <v>0</v>
      </c>
      <c r="F8" s="2700">
        <v>2E-3</v>
      </c>
      <c r="G8" s="2700">
        <v>4.4000000000000003E-3</v>
      </c>
      <c r="H8" s="2700">
        <v>4.5999999999999999E-3</v>
      </c>
      <c r="I8" s="2700">
        <v>4.6138695117436219E-3</v>
      </c>
      <c r="J8" s="2700">
        <v>4.6140885833889367E-3</v>
      </c>
      <c r="K8" s="2700">
        <v>4.6143962094089925E-3</v>
      </c>
      <c r="L8" s="2701">
        <v>5.3699999999999998E-2</v>
      </c>
      <c r="M8" s="2701">
        <v>5.3699999999999998E-2</v>
      </c>
      <c r="N8" s="4557">
        <v>5.3800000000000001E-2</v>
      </c>
    </row>
    <row r="9" spans="1:16" s="88" customFormat="1" ht="24.6" customHeight="1" x14ac:dyDescent="0.2">
      <c r="A9" s="860"/>
      <c r="B9" s="836"/>
      <c r="C9" s="2691"/>
      <c r="D9" s="2698" t="s">
        <v>1690</v>
      </c>
      <c r="E9" s="2700">
        <v>4.079413245217085E-5</v>
      </c>
      <c r="F9" s="2700">
        <v>1.451082553212261E-3</v>
      </c>
      <c r="G9" s="2700">
        <v>3.2859231407263226E-3</v>
      </c>
      <c r="H9" s="2700">
        <v>3.4881459016867437E-3</v>
      </c>
      <c r="I9" s="2700">
        <v>3.4881459016867437E-3</v>
      </c>
      <c r="J9" s="2700">
        <v>3.4882453159784657E-3</v>
      </c>
      <c r="K9" s="2700">
        <v>3.4884447191288843E-3</v>
      </c>
      <c r="L9" s="2701">
        <v>4.1099999999999998E-2</v>
      </c>
      <c r="M9" s="2701">
        <v>4.1099999999999998E-2</v>
      </c>
      <c r="N9" s="4558">
        <v>4.1099999999999998E-2</v>
      </c>
    </row>
    <row r="10" spans="1:16" s="88" customFormat="1" ht="11.25" customHeight="1" x14ac:dyDescent="0.2">
      <c r="A10" s="860"/>
      <c r="B10" s="836"/>
      <c r="C10" s="2691"/>
      <c r="D10" s="2698" t="s">
        <v>1691</v>
      </c>
      <c r="E10" s="2700"/>
      <c r="F10" s="2700"/>
      <c r="G10" s="2700">
        <v>4.3860445009339796E-3</v>
      </c>
      <c r="H10" s="2700">
        <v>2.0394766687850244E-2</v>
      </c>
      <c r="I10" s="2700">
        <v>2.3596511125233498E-2</v>
      </c>
      <c r="J10" s="2700">
        <v>2.6798255562616752E-2</v>
      </c>
      <c r="K10" s="2700">
        <v>3.0000000000000006E-2</v>
      </c>
      <c r="L10" s="2701">
        <v>3.32E-2</v>
      </c>
      <c r="M10" s="2701"/>
      <c r="N10" s="4558" t="s">
        <v>85</v>
      </c>
      <c r="P10" s="88" t="s">
        <v>1692</v>
      </c>
    </row>
    <row r="11" spans="1:16" s="88" customFormat="1" ht="11.25" x14ac:dyDescent="0.2">
      <c r="A11" s="860"/>
      <c r="B11" s="836"/>
      <c r="C11" s="836"/>
      <c r="D11" s="621" t="s">
        <v>1693</v>
      </c>
      <c r="E11" s="2696"/>
      <c r="F11" s="2696"/>
      <c r="G11" s="2713">
        <v>4.3860445009339796E-3</v>
      </c>
      <c r="H11" s="2713">
        <v>5.2193022250467E-2</v>
      </c>
      <c r="I11" s="2713">
        <v>6.1754417800373607E-2</v>
      </c>
      <c r="J11" s="2713">
        <v>7.1315813350280213E-2</v>
      </c>
      <c r="K11" s="2713">
        <v>8.087720890018682E-2</v>
      </c>
      <c r="L11" s="2715">
        <v>9.0399999999999994E-2</v>
      </c>
      <c r="M11" s="2715">
        <v>0.1</v>
      </c>
      <c r="N11" s="4582">
        <v>8.5900000000000004E-2</v>
      </c>
    </row>
    <row r="12" spans="1:16" s="88" customFormat="1" ht="20.25" customHeight="1" x14ac:dyDescent="0.2">
      <c r="A12" s="860"/>
      <c r="B12" s="836"/>
      <c r="C12" s="836"/>
      <c r="D12" s="87"/>
      <c r="E12" s="1201"/>
      <c r="F12" s="1222"/>
    </row>
    <row r="13" spans="1:16" ht="12.75" x14ac:dyDescent="0.2">
      <c r="A13" s="509">
        <v>5</v>
      </c>
      <c r="B13" s="509" t="s">
        <v>51</v>
      </c>
      <c r="D13" s="88"/>
      <c r="E13" s="178"/>
      <c r="F13" s="178"/>
      <c r="G13" s="88"/>
      <c r="H13" s="88"/>
      <c r="I13" s="88"/>
      <c r="J13" s="88"/>
      <c r="K13" s="88"/>
      <c r="L13" s="88"/>
    </row>
    <row r="19" s="512" customFormat="1" x14ac:dyDescent="0.2"/>
    <row r="20" s="512" customFormat="1" x14ac:dyDescent="0.2"/>
    <row r="21" s="512" customFormat="1" x14ac:dyDescent="0.2"/>
    <row r="22" s="512" customFormat="1" x14ac:dyDescent="0.2"/>
    <row r="23" s="512" customFormat="1" x14ac:dyDescent="0.2"/>
    <row r="24" s="512" customFormat="1" x14ac:dyDescent="0.2"/>
    <row r="25" s="512" customFormat="1" x14ac:dyDescent="0.2"/>
    <row r="26" s="512" customFormat="1" x14ac:dyDescent="0.2"/>
    <row r="27" s="512" customFormat="1" x14ac:dyDescent="0.2"/>
    <row r="28" s="512" customFormat="1" x14ac:dyDescent="0.2"/>
    <row r="29" s="512" customFormat="1" x14ac:dyDescent="0.2"/>
    <row r="30" s="512" customFormat="1" x14ac:dyDescent="0.2"/>
    <row r="44" spans="1:13" s="508" customFormat="1" ht="14.25" customHeight="1" x14ac:dyDescent="0.2">
      <c r="A44" s="509">
        <v>6</v>
      </c>
      <c r="B44" s="509" t="s">
        <v>52</v>
      </c>
      <c r="C44" s="509"/>
      <c r="D44" s="4603" t="s">
        <v>1694</v>
      </c>
      <c r="E44" s="4604"/>
      <c r="F44" s="4604"/>
      <c r="G44" s="4604"/>
      <c r="H44" s="4604"/>
      <c r="I44" s="4604"/>
      <c r="J44" s="4604"/>
      <c r="K44" s="4604"/>
      <c r="L44" s="4605"/>
      <c r="M44" s="512"/>
    </row>
    <row r="45" spans="1:13" s="508" customFormat="1" ht="29.25" customHeight="1" x14ac:dyDescent="0.2">
      <c r="A45" s="546">
        <v>7</v>
      </c>
      <c r="B45" s="546" t="s">
        <v>54</v>
      </c>
      <c r="C45" s="546"/>
      <c r="D45" s="4603" t="s">
        <v>1695</v>
      </c>
      <c r="E45" s="4604"/>
      <c r="F45" s="4604"/>
      <c r="G45" s="4604"/>
      <c r="H45" s="4604"/>
      <c r="I45" s="4604"/>
      <c r="J45" s="4604"/>
      <c r="K45" s="4604"/>
      <c r="L45" s="4605"/>
      <c r="M45" s="512"/>
    </row>
    <row r="46" spans="1:13" s="508" customFormat="1" ht="141.94999999999999" customHeight="1" x14ac:dyDescent="0.2">
      <c r="A46" s="509">
        <v>8</v>
      </c>
      <c r="B46" s="509" t="s">
        <v>58</v>
      </c>
      <c r="C46" s="546"/>
      <c r="D46" s="4603" t="s">
        <v>1696</v>
      </c>
      <c r="E46" s="4604"/>
      <c r="F46" s="4604"/>
      <c r="G46" s="4604"/>
      <c r="H46" s="4604"/>
      <c r="I46" s="4604"/>
      <c r="J46" s="4604"/>
      <c r="K46" s="4604"/>
      <c r="L46" s="4605"/>
      <c r="M46" s="512"/>
    </row>
    <row r="47" spans="1:13" s="508" customFormat="1" ht="41.1" customHeight="1" x14ac:dyDescent="0.2">
      <c r="A47" s="509">
        <v>9</v>
      </c>
      <c r="B47" s="509" t="s">
        <v>56</v>
      </c>
      <c r="C47" s="509"/>
      <c r="D47" s="4603" t="s">
        <v>1697</v>
      </c>
      <c r="E47" s="4604"/>
      <c r="F47" s="4604"/>
      <c r="G47" s="4604"/>
      <c r="H47" s="4604"/>
      <c r="I47" s="4604"/>
      <c r="J47" s="4604"/>
      <c r="K47" s="4604"/>
      <c r="L47" s="4605"/>
      <c r="M47" s="512"/>
    </row>
    <row r="50" spans="4:21" x14ac:dyDescent="0.2">
      <c r="D50" s="2702"/>
      <c r="E50" s="2702"/>
      <c r="F50" s="2702"/>
      <c r="G50" s="2702"/>
      <c r="H50" s="2702"/>
      <c r="I50" s="2702"/>
      <c r="J50" s="2702"/>
      <c r="K50" s="2702"/>
      <c r="L50" s="2702"/>
      <c r="M50" s="2702"/>
      <c r="U50" s="2702"/>
    </row>
    <row r="51" spans="4:21" x14ac:dyDescent="0.2">
      <c r="D51" s="2703"/>
      <c r="E51" s="2703"/>
      <c r="F51" s="2703"/>
      <c r="G51" s="2703"/>
      <c r="H51" s="2703"/>
      <c r="I51" s="2703"/>
      <c r="J51" s="2703"/>
      <c r="K51" s="2703"/>
      <c r="L51" s="2703"/>
      <c r="M51" s="2703"/>
      <c r="N51" s="2703"/>
      <c r="O51" s="2703"/>
      <c r="P51" s="2703"/>
      <c r="Q51" s="2703"/>
      <c r="R51" s="2703"/>
      <c r="S51" s="2703"/>
      <c r="T51" s="2703"/>
      <c r="U51" s="2703"/>
    </row>
    <row r="52" spans="4:21" x14ac:dyDescent="0.2">
      <c r="D52" s="2703"/>
      <c r="E52" s="2703"/>
      <c r="F52" s="2703"/>
      <c r="G52" s="2703"/>
      <c r="H52" s="2703"/>
      <c r="I52" s="2703"/>
      <c r="J52" s="2703"/>
      <c r="K52" s="2703"/>
      <c r="L52" s="2703"/>
      <c r="M52" s="2703"/>
      <c r="N52" s="2703"/>
      <c r="O52" s="2703"/>
      <c r="P52" s="2703"/>
      <c r="Q52" s="2703"/>
      <c r="R52" s="2703"/>
      <c r="S52" s="2703"/>
      <c r="T52" s="2703"/>
      <c r="U52" s="2703"/>
    </row>
    <row r="53" spans="4:21" x14ac:dyDescent="0.2">
      <c r="D53" s="2703"/>
      <c r="E53" s="2703"/>
      <c r="F53" s="2703"/>
      <c r="G53" s="2703"/>
      <c r="H53" s="2703"/>
      <c r="I53" s="2703"/>
      <c r="J53" s="2703"/>
      <c r="K53" s="2703"/>
      <c r="L53" s="2703"/>
      <c r="M53" s="2703"/>
      <c r="N53" s="2703"/>
      <c r="O53" s="2703"/>
      <c r="P53" s="2703"/>
      <c r="Q53" s="2703"/>
      <c r="R53" s="2703"/>
      <c r="S53" s="2703"/>
      <c r="T53" s="2703"/>
      <c r="U53" s="2703"/>
    </row>
    <row r="54" spans="4:21" x14ac:dyDescent="0.2">
      <c r="D54" s="2702"/>
      <c r="E54" s="2702">
        <v>1990</v>
      </c>
      <c r="F54" s="2702">
        <v>2000</v>
      </c>
      <c r="G54" s="2702">
        <v>2010</v>
      </c>
      <c r="H54" s="2702">
        <v>2015</v>
      </c>
      <c r="I54" s="2702">
        <v>2016</v>
      </c>
      <c r="J54" s="2702">
        <v>2017</v>
      </c>
      <c r="K54" s="2702">
        <v>2018</v>
      </c>
      <c r="L54" s="2702">
        <v>2019</v>
      </c>
      <c r="M54" s="2702">
        <v>2020</v>
      </c>
      <c r="N54" s="2702">
        <v>2021</v>
      </c>
      <c r="O54" s="2703"/>
      <c r="P54" s="2703"/>
      <c r="Q54" s="2703"/>
      <c r="R54" s="2703"/>
      <c r="S54" s="2703"/>
      <c r="T54" s="2703"/>
      <c r="U54" s="2703"/>
    </row>
    <row r="55" spans="4:21" x14ac:dyDescent="0.2">
      <c r="D55" s="2702" t="s">
        <v>1689</v>
      </c>
      <c r="E55" s="2704">
        <v>0</v>
      </c>
      <c r="F55" s="2704">
        <v>2.0372856900803399E-3</v>
      </c>
      <c r="G55" s="2704">
        <v>4.3860445009339796E-3</v>
      </c>
      <c r="H55" s="2704">
        <v>4.6138695117436219E-3</v>
      </c>
      <c r="I55" s="2704">
        <v>4.6138695117436219E-3</v>
      </c>
      <c r="J55" s="2704">
        <v>4.6140885833889367E-3</v>
      </c>
      <c r="K55" s="2704">
        <v>4.6143962094089925E-3</v>
      </c>
      <c r="L55" s="2704">
        <v>5.3699999999999998E-2</v>
      </c>
      <c r="M55" s="2704">
        <v>5.3699999999999998E-2</v>
      </c>
      <c r="N55" s="2704">
        <v>5.3800000000000001E-2</v>
      </c>
      <c r="O55" s="2703"/>
      <c r="P55" s="2703"/>
      <c r="Q55" s="2703"/>
      <c r="R55" s="2703"/>
      <c r="S55" s="2703"/>
      <c r="T55" s="2703"/>
      <c r="U55" s="2703"/>
    </row>
    <row r="56" spans="4:21" ht="36" x14ac:dyDescent="0.2">
      <c r="D56" s="2705" t="s">
        <v>1690</v>
      </c>
      <c r="E56" s="2704">
        <v>4.079413245217085E-5</v>
      </c>
      <c r="F56" s="2704">
        <v>1.451082553212261E-3</v>
      </c>
      <c r="G56" s="2704">
        <v>3.2859231407263226E-3</v>
      </c>
      <c r="H56" s="2704">
        <v>3.4881459016867437E-3</v>
      </c>
      <c r="I56" s="2704">
        <v>3.4881459016867437E-3</v>
      </c>
      <c r="J56" s="2704">
        <v>3.4882453159784657E-3</v>
      </c>
      <c r="K56" s="2704">
        <v>3.4884447191288843E-3</v>
      </c>
      <c r="L56" s="2704">
        <v>4.1099999999999998E-2</v>
      </c>
      <c r="M56" s="2704">
        <v>4.1099999999999998E-2</v>
      </c>
      <c r="N56" s="4561">
        <v>4.1099999999999998E-2</v>
      </c>
      <c r="O56" s="2703"/>
      <c r="P56" s="2703"/>
      <c r="Q56" s="2703"/>
      <c r="R56" s="2703"/>
      <c r="S56" s="2703"/>
      <c r="T56" s="2703"/>
      <c r="U56" s="2703"/>
    </row>
    <row r="57" spans="4:21" x14ac:dyDescent="0.2">
      <c r="D57" s="2702" t="s">
        <v>1691</v>
      </c>
      <c r="E57" s="2704"/>
      <c r="F57" s="2704"/>
      <c r="G57" s="2704">
        <v>4.3860445009339796E-3</v>
      </c>
      <c r="H57" s="2704">
        <v>2.0394766687850244E-2</v>
      </c>
      <c r="I57" s="2704">
        <v>2.3596511125233498E-2</v>
      </c>
      <c r="J57" s="2704">
        <v>2.6798255562616752E-2</v>
      </c>
      <c r="K57" s="2704">
        <v>3.0000000000000006E-2</v>
      </c>
      <c r="L57" s="2704">
        <v>3.32E-2</v>
      </c>
      <c r="M57" s="2704"/>
      <c r="O57" s="2706"/>
      <c r="P57" s="2706"/>
      <c r="Q57" s="2706"/>
      <c r="R57" s="2706"/>
      <c r="S57" s="2706"/>
      <c r="T57" s="2706"/>
      <c r="U57" s="2706"/>
    </row>
    <row r="58" spans="4:21" x14ac:dyDescent="0.2">
      <c r="D58" s="2702" t="s">
        <v>1693</v>
      </c>
      <c r="E58" s="2704"/>
      <c r="F58" s="2704"/>
      <c r="G58" s="2704">
        <v>4.3860445009339796E-3</v>
      </c>
      <c r="H58" s="2704">
        <v>5.2193022250467E-2</v>
      </c>
      <c r="I58" s="2704">
        <v>6.1754417800373607E-2</v>
      </c>
      <c r="J58" s="2704">
        <v>7.1315813350280213E-2</v>
      </c>
      <c r="K58" s="2704">
        <v>8.087720890018682E-2</v>
      </c>
      <c r="L58" s="2704">
        <v>9.0399999999999994E-2</v>
      </c>
      <c r="M58" s="2704">
        <v>0.1</v>
      </c>
      <c r="N58" s="4561">
        <v>8.5900000000000004E-2</v>
      </c>
      <c r="O58" s="2706"/>
      <c r="P58" s="2706"/>
      <c r="Q58" s="2706"/>
      <c r="R58" s="2706"/>
      <c r="S58" s="2706"/>
      <c r="T58" s="2706"/>
      <c r="U58" s="2706"/>
    </row>
    <row r="59" spans="4:21" x14ac:dyDescent="0.2">
      <c r="D59" s="2706"/>
      <c r="E59" s="2706"/>
      <c r="F59" s="2706"/>
      <c r="G59" s="2706"/>
      <c r="H59" s="2706"/>
      <c r="I59" s="2706"/>
      <c r="J59" s="2706"/>
      <c r="K59" s="2706"/>
      <c r="L59" s="2706"/>
      <c r="M59" s="2706"/>
      <c r="N59" s="2706"/>
      <c r="O59" s="2706"/>
      <c r="P59" s="2706"/>
      <c r="Q59" s="2706"/>
      <c r="R59" s="2706"/>
      <c r="S59" s="2706"/>
      <c r="T59" s="2706"/>
      <c r="U59" s="2706"/>
    </row>
    <row r="60" spans="4:21" x14ac:dyDescent="0.2">
      <c r="F60" s="2707"/>
    </row>
  </sheetData>
  <mergeCells count="7">
    <mergeCell ref="D47:L47"/>
    <mergeCell ref="D2:L2"/>
    <mergeCell ref="D3:L3"/>
    <mergeCell ref="D4:L4"/>
    <mergeCell ref="D44:L44"/>
    <mergeCell ref="D45:L45"/>
    <mergeCell ref="D46:L46"/>
  </mergeCells>
  <pageMargins left="0.74803149606299213" right="0.74803149606299213" top="0.98425196850393704" bottom="0.98425196850393704" header="0.51181102362204722" footer="0.51181102362204722"/>
  <pageSetup paperSize="9" scale="59" orientation="landscape" r:id="rId1"/>
  <headerFooter alignWithMargins="0">
    <oddFooter>&amp;LDRAFT&amp;CPage &amp;P of &amp;N</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FECA6-C135-4B8A-A5E3-AE79B3B229AA}">
  <sheetPr>
    <tabColor theme="4" tint="-0.499984740745262"/>
    <pageSetUpPr fitToPage="1"/>
  </sheetPr>
  <dimension ref="A1:AD74"/>
  <sheetViews>
    <sheetView showGridLines="0" view="pageBreakPreview" zoomScaleNormal="100" zoomScaleSheetLayoutView="100" workbookViewId="0">
      <selection activeCell="G10" sqref="G10"/>
    </sheetView>
  </sheetViews>
  <sheetFormatPr defaultColWidth="9.140625" defaultRowHeight="15" x14ac:dyDescent="0.25"/>
  <cols>
    <col min="1" max="1" width="3.85546875" style="69" customWidth="1"/>
    <col min="2" max="2" width="18.85546875" style="66" customWidth="1"/>
    <col min="3" max="3" width="5.85546875" style="67" customWidth="1"/>
    <col min="4" max="4" width="33.42578125" style="4" customWidth="1"/>
    <col min="5" max="5" width="13.140625" style="4" customWidth="1"/>
    <col min="6" max="6" width="17.140625" style="4" customWidth="1"/>
    <col min="7" max="7" width="14.42578125" style="4" customWidth="1"/>
    <col min="8" max="8" width="8.140625" style="570" customWidth="1"/>
    <col min="9" max="9" width="8.140625" style="4" customWidth="1"/>
    <col min="10" max="10" width="10.85546875" style="570" customWidth="1"/>
    <col min="11" max="11" width="8.140625" style="4" customWidth="1"/>
    <col min="12" max="12" width="9.140625" style="570"/>
    <col min="13" max="13" width="9.140625" style="4"/>
    <col min="14" max="14" width="9.140625" style="570"/>
    <col min="15" max="15" width="9.140625" style="4"/>
    <col min="16" max="16" width="9.140625" style="570"/>
    <col min="17" max="17" width="9.140625" style="4"/>
    <col min="18" max="18" width="9.140625" style="570"/>
    <col min="19" max="20" width="9.140625" style="4"/>
    <col min="21" max="21" width="7.42578125" style="4" customWidth="1"/>
    <col min="22" max="22" width="7" style="4" customWidth="1"/>
    <col min="23" max="24" width="7.85546875" style="4" customWidth="1"/>
    <col min="25" max="25" width="6.42578125" style="4" customWidth="1"/>
    <col min="26" max="16384" width="9.140625" style="4"/>
  </cols>
  <sheetData>
    <row r="1" spans="1:29" x14ac:dyDescent="0.25">
      <c r="A1" s="509"/>
      <c r="B1" s="568"/>
      <c r="C1" s="568"/>
      <c r="D1" s="68"/>
      <c r="E1" s="68"/>
      <c r="F1" s="68"/>
      <c r="G1" s="68"/>
      <c r="H1" s="569"/>
      <c r="I1" s="68"/>
      <c r="J1" s="569"/>
      <c r="K1" s="68"/>
    </row>
    <row r="2" spans="1:29" ht="13.35" customHeight="1" x14ac:dyDescent="0.25">
      <c r="A2" s="509">
        <v>1</v>
      </c>
      <c r="B2" s="509" t="s">
        <v>0</v>
      </c>
      <c r="C2" s="509">
        <v>15</v>
      </c>
      <c r="D2" s="5033" t="s">
        <v>1698</v>
      </c>
      <c r="E2" s="5030"/>
      <c r="F2" s="5030"/>
      <c r="G2" s="5030"/>
      <c r="H2" s="5030"/>
      <c r="I2" s="5030"/>
      <c r="J2" s="5030"/>
      <c r="K2" s="5030"/>
      <c r="L2" s="5030"/>
      <c r="M2" s="5030"/>
      <c r="N2" s="5030"/>
      <c r="O2" s="5030"/>
      <c r="P2" s="5030"/>
      <c r="Q2" s="5030"/>
      <c r="R2" s="5030"/>
      <c r="S2" s="5030"/>
      <c r="T2" s="5030"/>
      <c r="U2" s="5030"/>
      <c r="V2" s="5030"/>
      <c r="W2" s="5031"/>
      <c r="X2" s="180"/>
    </row>
    <row r="3" spans="1:29" ht="13.35" customHeight="1" x14ac:dyDescent="0.25">
      <c r="A3" s="509">
        <v>2</v>
      </c>
      <c r="B3" s="509" t="s">
        <v>2</v>
      </c>
      <c r="C3" s="509"/>
      <c r="D3" s="5032"/>
      <c r="E3" s="5030"/>
      <c r="F3" s="5030"/>
      <c r="G3" s="5030"/>
      <c r="H3" s="5030"/>
      <c r="I3" s="5030"/>
      <c r="J3" s="5030"/>
      <c r="K3" s="5030"/>
      <c r="L3" s="5030"/>
      <c r="M3" s="5030"/>
      <c r="N3" s="5030"/>
      <c r="O3" s="5030"/>
      <c r="P3" s="5030"/>
      <c r="Q3" s="5030"/>
      <c r="R3" s="5030"/>
      <c r="S3" s="5030"/>
      <c r="T3" s="5030"/>
      <c r="U3" s="5030"/>
      <c r="V3" s="5030"/>
      <c r="W3" s="5031"/>
      <c r="X3" s="180"/>
    </row>
    <row r="4" spans="1:29" ht="13.35" customHeight="1" x14ac:dyDescent="0.25">
      <c r="A4" s="509">
        <v>3</v>
      </c>
      <c r="B4" s="509" t="s">
        <v>4</v>
      </c>
      <c r="C4" s="509"/>
      <c r="D4" s="5032" t="s">
        <v>544</v>
      </c>
      <c r="E4" s="5030"/>
      <c r="F4" s="5030"/>
      <c r="G4" s="5030"/>
      <c r="H4" s="5030"/>
      <c r="I4" s="5030"/>
      <c r="J4" s="5030"/>
      <c r="K4" s="5030"/>
      <c r="L4" s="5030"/>
      <c r="M4" s="5030"/>
      <c r="N4" s="5030"/>
      <c r="O4" s="5030"/>
      <c r="P4" s="5030"/>
      <c r="Q4" s="5030"/>
      <c r="R4" s="5030"/>
      <c r="S4" s="5030"/>
      <c r="T4" s="5030"/>
      <c r="U4" s="5030"/>
      <c r="V4" s="5030"/>
      <c r="W4" s="5031"/>
      <c r="X4" s="180"/>
    </row>
    <row r="5" spans="1:29" ht="13.5" customHeight="1" x14ac:dyDescent="0.25">
      <c r="B5" s="70"/>
      <c r="C5" s="69"/>
      <c r="D5" s="4734"/>
      <c r="E5" s="4735"/>
      <c r="F5" s="4735"/>
      <c r="G5" s="4735"/>
      <c r="H5" s="4735"/>
      <c r="I5" s="4735"/>
      <c r="J5" s="4735"/>
      <c r="K5" s="4735"/>
      <c r="L5" s="4735"/>
      <c r="M5" s="4735"/>
      <c r="N5" s="4735"/>
      <c r="O5" s="4735"/>
      <c r="P5" s="4735"/>
      <c r="Q5" s="4735"/>
      <c r="R5" s="4735"/>
      <c r="S5" s="4735"/>
      <c r="T5" s="4735"/>
      <c r="U5" s="4735"/>
      <c r="V5" s="4735"/>
      <c r="W5" s="4736"/>
      <c r="X5" s="867"/>
      <c r="Y5" s="867"/>
      <c r="Z5" s="867"/>
      <c r="AA5" s="867"/>
      <c r="AB5" s="867"/>
      <c r="AC5" s="867"/>
    </row>
    <row r="6" spans="1:29" ht="13.5" customHeight="1" x14ac:dyDescent="0.25">
      <c r="A6" s="509">
        <v>5</v>
      </c>
      <c r="B6" s="509" t="s">
        <v>6</v>
      </c>
      <c r="C6" s="69"/>
      <c r="D6" s="4698"/>
      <c r="E6" s="4698"/>
      <c r="F6" s="4698"/>
      <c r="G6" s="4698"/>
      <c r="H6" s="4698"/>
      <c r="I6" s="4698"/>
      <c r="J6" s="4698"/>
      <c r="K6" s="4698"/>
      <c r="L6" s="4698"/>
      <c r="M6" s="4698"/>
      <c r="N6" s="4698"/>
      <c r="O6" s="4698"/>
      <c r="P6" s="4698"/>
      <c r="Q6" s="4698"/>
      <c r="R6" s="4698"/>
      <c r="S6" s="4698"/>
      <c r="T6" s="4698"/>
      <c r="U6" s="4698"/>
      <c r="V6" s="4698"/>
      <c r="W6" s="4698"/>
      <c r="X6" s="180"/>
    </row>
    <row r="7" spans="1:29" ht="13.5" customHeight="1" thickBot="1" x14ac:dyDescent="0.3">
      <c r="A7" s="509"/>
      <c r="B7" s="509"/>
      <c r="C7" s="69" t="s">
        <v>1699</v>
      </c>
      <c r="D7" s="180" t="s">
        <v>545</v>
      </c>
      <c r="E7" s="180"/>
      <c r="F7" s="180"/>
      <c r="G7" s="180"/>
      <c r="H7" s="180"/>
      <c r="I7" s="180"/>
      <c r="J7" s="180"/>
      <c r="K7" s="180"/>
      <c r="L7" s="180"/>
      <c r="M7" s="180"/>
      <c r="N7" s="180"/>
      <c r="O7" s="180"/>
      <c r="P7" s="180"/>
      <c r="Q7" s="180"/>
      <c r="R7" s="180"/>
      <c r="S7" s="180"/>
      <c r="T7" s="180"/>
      <c r="U7" s="180"/>
      <c r="V7" s="180"/>
      <c r="W7" s="180"/>
      <c r="X7" s="180"/>
    </row>
    <row r="8" spans="1:29" ht="63.95" customHeight="1" thickBot="1" x14ac:dyDescent="0.3">
      <c r="A8" s="509"/>
      <c r="B8" s="509"/>
      <c r="C8" s="69"/>
      <c r="D8" s="2897" t="s">
        <v>547</v>
      </c>
      <c r="E8" s="2898" t="s">
        <v>548</v>
      </c>
      <c r="F8" s="2898" t="s">
        <v>1700</v>
      </c>
      <c r="G8" s="2899" t="s">
        <v>550</v>
      </c>
      <c r="H8" s="180"/>
      <c r="I8" s="180"/>
      <c r="J8" s="180"/>
      <c r="K8" s="180"/>
      <c r="L8" s="180"/>
      <c r="M8" s="180"/>
      <c r="N8" s="180"/>
      <c r="O8" s="180"/>
      <c r="P8" s="180"/>
      <c r="Q8" s="180"/>
      <c r="R8" s="180"/>
      <c r="S8" s="180"/>
      <c r="T8" s="180"/>
      <c r="U8" s="180"/>
      <c r="V8" s="180"/>
      <c r="W8" s="180"/>
      <c r="X8" s="180"/>
    </row>
    <row r="9" spans="1:29" ht="22.5" customHeight="1" x14ac:dyDescent="0.25">
      <c r="A9" s="509"/>
      <c r="B9" s="509"/>
      <c r="C9" s="69"/>
      <c r="D9" s="2895"/>
      <c r="E9" s="2896">
        <v>2016</v>
      </c>
      <c r="F9" s="2895">
        <v>2016</v>
      </c>
      <c r="G9" s="2895">
        <v>2016</v>
      </c>
      <c r="H9" s="180"/>
      <c r="I9" s="180"/>
      <c r="J9" s="180"/>
      <c r="K9" s="180"/>
      <c r="L9" s="180"/>
      <c r="M9" s="180"/>
      <c r="N9" s="180"/>
      <c r="O9" s="180"/>
      <c r="P9" s="180"/>
      <c r="Q9" s="180"/>
      <c r="R9" s="180"/>
      <c r="S9" s="180"/>
      <c r="T9" s="180"/>
      <c r="U9" s="180"/>
      <c r="V9" s="180"/>
      <c r="W9" s="180"/>
      <c r="X9" s="180"/>
    </row>
    <row r="10" spans="1:29" ht="24.95" customHeight="1" x14ac:dyDescent="0.25">
      <c r="A10" s="509"/>
      <c r="B10" s="509"/>
      <c r="C10" s="69"/>
      <c r="D10" s="2894" t="s">
        <v>551</v>
      </c>
      <c r="E10" s="2893">
        <v>80.7</v>
      </c>
      <c r="F10" s="2893">
        <v>1.3</v>
      </c>
      <c r="G10" s="2893">
        <v>0.82399999999999995</v>
      </c>
      <c r="H10" s="180"/>
      <c r="I10" s="180"/>
      <c r="J10" s="180"/>
      <c r="K10" s="180"/>
      <c r="L10" s="180"/>
      <c r="M10" s="180"/>
      <c r="N10" s="180"/>
      <c r="O10" s="180"/>
      <c r="P10" s="180"/>
      <c r="Q10" s="180"/>
      <c r="R10" s="180"/>
      <c r="S10" s="180"/>
      <c r="T10" s="180"/>
      <c r="U10" s="180"/>
      <c r="V10" s="180"/>
      <c r="W10" s="180"/>
      <c r="X10" s="180"/>
    </row>
    <row r="11" spans="1:29" ht="24.95" customHeight="1" x14ac:dyDescent="0.25">
      <c r="A11" s="509"/>
      <c r="B11" s="509"/>
      <c r="C11" s="69"/>
      <c r="D11" s="2894" t="s">
        <v>558</v>
      </c>
      <c r="E11" s="2893">
        <v>55.7</v>
      </c>
      <c r="F11" s="2893">
        <v>5.7</v>
      </c>
      <c r="G11" s="2893">
        <v>0.67500000000000004</v>
      </c>
      <c r="H11" s="180"/>
      <c r="I11" s="180"/>
      <c r="J11" s="180"/>
      <c r="K11" s="180"/>
      <c r="L11" s="180"/>
      <c r="M11" s="180"/>
      <c r="N11" s="180"/>
      <c r="O11" s="180"/>
      <c r="P11" s="180"/>
      <c r="Q11" s="180"/>
      <c r="R11" s="180"/>
      <c r="S11" s="180"/>
      <c r="T11" s="180"/>
      <c r="U11" s="180"/>
      <c r="V11" s="180"/>
      <c r="W11" s="180"/>
      <c r="X11" s="180"/>
    </row>
    <row r="12" spans="1:29" ht="24.95" customHeight="1" x14ac:dyDescent="0.25">
      <c r="A12" s="509"/>
      <c r="B12" s="509"/>
      <c r="C12" s="69"/>
      <c r="D12" s="2894" t="s">
        <v>565</v>
      </c>
      <c r="E12" s="2893">
        <v>62.2</v>
      </c>
      <c r="F12" s="2893">
        <v>7.1</v>
      </c>
      <c r="G12" s="2893">
        <v>0.69199999999999995</v>
      </c>
      <c r="H12" s="180"/>
      <c r="I12" s="180"/>
      <c r="J12" s="180"/>
      <c r="K12" s="180"/>
      <c r="L12" s="180"/>
      <c r="M12" s="180"/>
      <c r="N12" s="180"/>
      <c r="O12" s="180"/>
      <c r="P12" s="180"/>
      <c r="Q12" s="180"/>
      <c r="R12" s="180"/>
      <c r="S12" s="180"/>
      <c r="T12" s="180"/>
      <c r="U12" s="180"/>
      <c r="V12" s="180"/>
      <c r="W12" s="180"/>
      <c r="X12" s="180"/>
    </row>
    <row r="13" spans="1:29" ht="24.95" customHeight="1" x14ac:dyDescent="0.25">
      <c r="A13" s="509"/>
      <c r="B13" s="509"/>
      <c r="C13" s="69"/>
      <c r="D13" s="2894" t="s">
        <v>572</v>
      </c>
      <c r="E13" s="2893">
        <v>72.099999999999994</v>
      </c>
      <c r="F13" s="2893">
        <v>3</v>
      </c>
      <c r="G13" s="2893">
        <v>0.77400000000000002</v>
      </c>
      <c r="H13" s="180"/>
      <c r="I13" s="180"/>
      <c r="J13" s="180"/>
      <c r="K13" s="180"/>
      <c r="L13" s="180"/>
      <c r="M13" s="180"/>
      <c r="N13" s="180"/>
      <c r="O13" s="180"/>
      <c r="P13" s="180"/>
      <c r="Q13" s="180"/>
      <c r="R13" s="180"/>
      <c r="S13" s="180"/>
      <c r="T13" s="180"/>
      <c r="U13" s="180"/>
      <c r="V13" s="180"/>
      <c r="W13" s="180"/>
      <c r="X13" s="180"/>
    </row>
    <row r="14" spans="1:29" ht="24.95" customHeight="1" x14ac:dyDescent="0.25">
      <c r="A14" s="509"/>
      <c r="B14" s="509"/>
      <c r="C14" s="69"/>
      <c r="D14" s="2894" t="s">
        <v>579</v>
      </c>
      <c r="E14" s="2893">
        <v>93.3</v>
      </c>
      <c r="F14" s="2893">
        <v>0.6</v>
      </c>
      <c r="G14" s="2893">
        <v>0.871</v>
      </c>
      <c r="H14" s="180"/>
      <c r="I14" s="180"/>
      <c r="J14" s="180"/>
      <c r="K14" s="180"/>
      <c r="L14" s="180"/>
      <c r="M14" s="180"/>
      <c r="N14" s="180"/>
      <c r="O14" s="180"/>
      <c r="P14" s="180"/>
      <c r="Q14" s="180"/>
      <c r="R14" s="180"/>
      <c r="S14" s="180"/>
      <c r="T14" s="180"/>
      <c r="U14" s="180"/>
      <c r="V14" s="180"/>
      <c r="W14" s="180"/>
      <c r="X14" s="180"/>
    </row>
    <row r="15" spans="1:29" ht="24.95" customHeight="1" x14ac:dyDescent="0.25">
      <c r="A15" s="509"/>
      <c r="B15" s="509"/>
      <c r="C15" s="69"/>
      <c r="D15" s="2894" t="s">
        <v>586</v>
      </c>
      <c r="E15" s="2893">
        <v>77.2</v>
      </c>
      <c r="F15" s="2893">
        <v>4.4000000000000004</v>
      </c>
      <c r="G15" s="2893">
        <v>0.77300000000000002</v>
      </c>
      <c r="H15" s="180"/>
      <c r="I15" s="180"/>
      <c r="J15" s="180"/>
      <c r="K15" s="180"/>
      <c r="L15" s="180"/>
      <c r="M15" s="180"/>
      <c r="N15" s="180"/>
      <c r="O15" s="180"/>
      <c r="P15" s="180"/>
      <c r="Q15" s="180"/>
      <c r="R15" s="180"/>
      <c r="S15" s="180"/>
      <c r="T15" s="180"/>
      <c r="U15" s="180"/>
      <c r="V15" s="180"/>
      <c r="W15" s="180"/>
      <c r="X15" s="180"/>
    </row>
    <row r="16" spans="1:29" ht="24.95" customHeight="1" x14ac:dyDescent="0.25">
      <c r="A16" s="509"/>
      <c r="B16" s="509"/>
      <c r="C16" s="69"/>
      <c r="D16" s="2894" t="s">
        <v>593</v>
      </c>
      <c r="E16" s="2893">
        <v>92.6</v>
      </c>
      <c r="F16" s="2893">
        <v>0.5</v>
      </c>
      <c r="G16" s="2893">
        <v>0.871</v>
      </c>
      <c r="H16" s="180"/>
      <c r="I16" s="180"/>
      <c r="J16" s="180"/>
      <c r="K16" s="180"/>
      <c r="L16" s="180"/>
      <c r="M16" s="180"/>
      <c r="N16" s="180"/>
      <c r="O16" s="180"/>
      <c r="P16" s="180"/>
      <c r="Q16" s="180"/>
      <c r="R16" s="180"/>
      <c r="S16" s="180"/>
      <c r="T16" s="180"/>
      <c r="U16" s="180"/>
      <c r="V16" s="180"/>
      <c r="W16" s="180"/>
      <c r="X16" s="180"/>
    </row>
    <row r="17" spans="1:24" ht="24.95" customHeight="1" x14ac:dyDescent="0.25">
      <c r="A17" s="509"/>
      <c r="B17" s="509"/>
      <c r="C17" s="69"/>
      <c r="D17" s="2894" t="s">
        <v>598</v>
      </c>
      <c r="E17" s="2893">
        <v>97</v>
      </c>
      <c r="F17" s="2893">
        <v>0.2</v>
      </c>
      <c r="G17" s="2893">
        <v>0.88800000000000001</v>
      </c>
      <c r="H17" s="180"/>
      <c r="I17" s="180"/>
      <c r="J17" s="180"/>
      <c r="K17" s="180"/>
      <c r="L17" s="180"/>
      <c r="M17" s="180"/>
      <c r="N17" s="180"/>
      <c r="O17" s="180"/>
      <c r="P17" s="180"/>
      <c r="Q17" s="180"/>
      <c r="R17" s="180"/>
      <c r="S17" s="180"/>
      <c r="T17" s="180"/>
      <c r="U17" s="180"/>
      <c r="V17" s="180"/>
      <c r="W17" s="180"/>
      <c r="X17" s="180"/>
    </row>
    <row r="18" spans="1:24" ht="24.95" customHeight="1" x14ac:dyDescent="0.25">
      <c r="A18" s="509"/>
      <c r="B18" s="509"/>
      <c r="C18" s="69"/>
      <c r="D18" s="2894" t="s">
        <v>605</v>
      </c>
      <c r="E18" s="2893">
        <v>84.1</v>
      </c>
      <c r="F18" s="2893">
        <v>1.2</v>
      </c>
      <c r="G18" s="2893">
        <v>0.83499999999999996</v>
      </c>
      <c r="H18" s="180"/>
      <c r="I18" s="180"/>
      <c r="J18" s="180"/>
      <c r="K18" s="180"/>
      <c r="L18" s="180"/>
      <c r="M18" s="180"/>
      <c r="N18" s="180"/>
      <c r="O18" s="180"/>
      <c r="P18" s="180"/>
      <c r="Q18" s="180"/>
      <c r="R18" s="180"/>
      <c r="S18" s="180"/>
      <c r="T18" s="180"/>
      <c r="U18" s="180"/>
      <c r="V18" s="180"/>
      <c r="W18" s="180"/>
      <c r="X18" s="180"/>
    </row>
    <row r="19" spans="1:24" ht="24.95" customHeight="1" x14ac:dyDescent="0.25">
      <c r="A19" s="509"/>
      <c r="B19" s="509"/>
      <c r="C19" s="69"/>
      <c r="D19" s="2894" t="s">
        <v>611</v>
      </c>
      <c r="E19" s="2893">
        <v>90.1</v>
      </c>
      <c r="F19" s="2893">
        <v>1.2</v>
      </c>
      <c r="G19" s="2893">
        <v>0.85599999999999998</v>
      </c>
      <c r="H19" s="180"/>
      <c r="I19" s="180"/>
      <c r="J19" s="180"/>
      <c r="K19" s="180"/>
      <c r="L19" s="180"/>
      <c r="M19" s="180"/>
      <c r="N19" s="180"/>
      <c r="O19" s="180"/>
      <c r="P19" s="180"/>
      <c r="Q19" s="180"/>
      <c r="R19" s="180"/>
      <c r="S19" s="180"/>
      <c r="T19" s="180"/>
      <c r="U19" s="180"/>
      <c r="V19" s="180"/>
      <c r="W19" s="180"/>
      <c r="X19" s="180"/>
    </row>
    <row r="20" spans="1:24" ht="24.95" customHeight="1" x14ac:dyDescent="0.25">
      <c r="A20" s="509"/>
      <c r="B20" s="509"/>
      <c r="C20" s="69"/>
      <c r="D20" s="2894" t="s">
        <v>616</v>
      </c>
      <c r="E20" s="2893">
        <v>88.1</v>
      </c>
      <c r="F20" s="2893">
        <v>0.8</v>
      </c>
      <c r="G20" s="2893">
        <v>0.85399999999999998</v>
      </c>
      <c r="H20" s="180"/>
      <c r="I20" s="180"/>
      <c r="J20" s="180"/>
      <c r="K20" s="180"/>
      <c r="L20" s="180"/>
      <c r="M20" s="180"/>
      <c r="N20" s="180"/>
      <c r="O20" s="180"/>
      <c r="P20" s="180"/>
      <c r="Q20" s="180"/>
      <c r="R20" s="180"/>
      <c r="S20" s="180"/>
      <c r="T20" s="180"/>
      <c r="U20" s="180"/>
      <c r="V20" s="180"/>
      <c r="W20" s="180"/>
      <c r="X20" s="180"/>
    </row>
    <row r="21" spans="1:24" ht="24.95" customHeight="1" x14ac:dyDescent="0.25">
      <c r="A21" s="509"/>
      <c r="B21" s="509"/>
      <c r="C21" s="69"/>
      <c r="D21" s="2894" t="s">
        <v>622</v>
      </c>
      <c r="E21" s="2893">
        <v>85.8</v>
      </c>
      <c r="F21" s="2893">
        <v>1.6</v>
      </c>
      <c r="G21" s="2893">
        <v>0.83599999999999997</v>
      </c>
      <c r="H21" s="180"/>
      <c r="I21" s="180"/>
      <c r="J21" s="180"/>
      <c r="K21" s="180"/>
      <c r="L21" s="180"/>
      <c r="M21" s="180"/>
      <c r="N21" s="180"/>
      <c r="O21" s="180"/>
      <c r="P21" s="180"/>
      <c r="Q21" s="180"/>
      <c r="R21" s="180"/>
      <c r="S21" s="180"/>
      <c r="T21" s="180"/>
      <c r="U21" s="180"/>
      <c r="V21" s="180"/>
      <c r="W21" s="180"/>
      <c r="X21" s="180"/>
    </row>
    <row r="22" spans="1:24" ht="13.5" customHeight="1" x14ac:dyDescent="0.25">
      <c r="A22" s="509"/>
      <c r="B22" s="509"/>
      <c r="C22" s="69"/>
      <c r="D22" s="180"/>
      <c r="E22" s="180"/>
      <c r="F22" s="180"/>
      <c r="G22" s="180"/>
      <c r="H22" s="180"/>
      <c r="I22" s="180"/>
      <c r="J22" s="180"/>
      <c r="K22" s="180"/>
      <c r="L22" s="180"/>
      <c r="M22" s="180"/>
      <c r="N22" s="180"/>
      <c r="O22" s="180"/>
      <c r="P22" s="180"/>
      <c r="Q22" s="180"/>
      <c r="R22" s="180"/>
      <c r="S22" s="180"/>
      <c r="T22" s="180"/>
      <c r="U22" s="180"/>
      <c r="V22" s="180"/>
      <c r="W22" s="180"/>
      <c r="X22" s="180"/>
    </row>
    <row r="23" spans="1:24" ht="13.5" customHeight="1" thickBot="1" x14ac:dyDescent="0.3">
      <c r="A23" s="509"/>
      <c r="B23" s="509"/>
      <c r="C23" s="69" t="s">
        <v>267</v>
      </c>
      <c r="D23" s="180"/>
      <c r="E23" s="180"/>
      <c r="F23" s="180"/>
      <c r="G23" s="180"/>
      <c r="H23" s="180"/>
      <c r="I23" s="180"/>
      <c r="J23" s="180"/>
      <c r="K23" s="180"/>
      <c r="L23" s="180"/>
      <c r="M23" s="180"/>
      <c r="N23" s="180"/>
      <c r="O23" s="180"/>
      <c r="P23" s="180"/>
      <c r="Q23" s="180"/>
      <c r="R23" s="180"/>
      <c r="S23" s="180"/>
      <c r="T23" s="180"/>
      <c r="U23" s="180"/>
      <c r="V23" s="180"/>
      <c r="W23" s="180"/>
      <c r="X23" s="180"/>
    </row>
    <row r="24" spans="1:24" ht="39.950000000000003" customHeight="1" x14ac:dyDescent="0.25">
      <c r="A24" s="509"/>
      <c r="B24" s="509"/>
      <c r="C24" s="69"/>
      <c r="D24" s="5037" t="s">
        <v>547</v>
      </c>
      <c r="E24" s="5034" t="s">
        <v>1701</v>
      </c>
      <c r="F24" s="5034"/>
      <c r="G24" s="5034" t="s">
        <v>1700</v>
      </c>
      <c r="H24" s="5034"/>
      <c r="I24" s="5035" t="s">
        <v>550</v>
      </c>
      <c r="J24" s="5036"/>
      <c r="K24" s="180"/>
      <c r="L24" s="180"/>
      <c r="M24" s="180"/>
      <c r="N24" s="180"/>
      <c r="O24" s="180"/>
      <c r="P24" s="180"/>
      <c r="Q24" s="180"/>
      <c r="R24" s="180"/>
      <c r="S24" s="180"/>
      <c r="T24" s="180"/>
      <c r="U24" s="180"/>
      <c r="V24" s="180"/>
      <c r="W24" s="180"/>
      <c r="X24" s="180"/>
    </row>
    <row r="25" spans="1:24" ht="39.950000000000003" customHeight="1" thickBot="1" x14ac:dyDescent="0.3">
      <c r="A25" s="509"/>
      <c r="B25" s="509"/>
      <c r="C25" s="69"/>
      <c r="D25" s="5038"/>
      <c r="E25" s="2901">
        <v>2011</v>
      </c>
      <c r="F25" s="2902">
        <v>2016</v>
      </c>
      <c r="G25" s="2901">
        <v>2011</v>
      </c>
      <c r="H25" s="2903">
        <v>2016</v>
      </c>
      <c r="I25" s="2903">
        <v>2011</v>
      </c>
      <c r="J25" s="2904">
        <v>2016</v>
      </c>
      <c r="K25" s="180"/>
      <c r="L25" s="180"/>
      <c r="M25" s="180"/>
      <c r="N25" s="180"/>
      <c r="O25" s="180"/>
      <c r="P25" s="180"/>
      <c r="Q25" s="180"/>
      <c r="R25" s="180"/>
      <c r="S25" s="180"/>
      <c r="T25" s="180"/>
      <c r="U25" s="180"/>
      <c r="V25" s="180"/>
      <c r="W25" s="180"/>
      <c r="X25" s="180"/>
    </row>
    <row r="26" spans="1:24" ht="24.6" customHeight="1" x14ac:dyDescent="0.25">
      <c r="A26" s="509"/>
      <c r="B26" s="509"/>
      <c r="C26" s="69"/>
      <c r="D26" s="2900" t="s">
        <v>551</v>
      </c>
      <c r="E26" s="2900">
        <v>78.7</v>
      </c>
      <c r="F26" s="2900">
        <v>80.7</v>
      </c>
      <c r="G26" s="2895">
        <v>1.9</v>
      </c>
      <c r="H26" s="2895">
        <v>1.3</v>
      </c>
      <c r="I26" s="2895">
        <v>0.80900000000000005</v>
      </c>
      <c r="J26" s="2895">
        <v>0.82399999999999995</v>
      </c>
      <c r="K26" s="180"/>
      <c r="L26" s="180"/>
      <c r="M26" s="180"/>
      <c r="N26" s="180"/>
      <c r="O26" s="180"/>
      <c r="P26" s="180"/>
      <c r="Q26" s="180"/>
      <c r="R26" s="180"/>
      <c r="S26" s="180"/>
      <c r="T26" s="180"/>
      <c r="U26" s="180"/>
      <c r="V26" s="180"/>
      <c r="W26" s="180"/>
      <c r="X26" s="180"/>
    </row>
    <row r="27" spans="1:24" ht="24.6" customHeight="1" x14ac:dyDescent="0.25">
      <c r="A27" s="509"/>
      <c r="B27" s="509"/>
      <c r="C27" s="69"/>
      <c r="D27" s="2894" t="s">
        <v>1702</v>
      </c>
      <c r="E27" s="2894">
        <v>64.099999999999994</v>
      </c>
      <c r="F27" s="2894">
        <v>55.7</v>
      </c>
      <c r="G27" s="2893">
        <v>5.4</v>
      </c>
      <c r="H27" s="2893">
        <v>5.7</v>
      </c>
      <c r="I27" s="2893">
        <v>0.70699999999999996</v>
      </c>
      <c r="J27" s="2893">
        <v>0.67500000000000004</v>
      </c>
      <c r="K27" s="180"/>
      <c r="L27" s="180"/>
      <c r="M27" s="180"/>
      <c r="N27" s="180"/>
      <c r="O27" s="180"/>
      <c r="P27" s="180"/>
      <c r="Q27" s="180"/>
      <c r="R27" s="180"/>
      <c r="S27" s="180"/>
      <c r="T27" s="180"/>
      <c r="U27" s="180"/>
      <c r="V27" s="180"/>
      <c r="W27" s="180"/>
      <c r="X27" s="180"/>
    </row>
    <row r="28" spans="1:24" ht="24.6" customHeight="1" x14ac:dyDescent="0.25">
      <c r="A28" s="509"/>
      <c r="B28" s="509"/>
      <c r="C28" s="69"/>
      <c r="D28" s="2894" t="s">
        <v>565</v>
      </c>
      <c r="E28" s="2894">
        <v>65.5</v>
      </c>
      <c r="F28" s="2894">
        <v>62.2</v>
      </c>
      <c r="G28" s="2893">
        <v>6.4</v>
      </c>
      <c r="H28" s="2893">
        <v>7.1</v>
      </c>
      <c r="I28" s="2893">
        <v>0.71199999999999997</v>
      </c>
      <c r="J28" s="2893">
        <v>0.69199999999999995</v>
      </c>
      <c r="K28" s="180"/>
      <c r="L28" s="180"/>
      <c r="M28" s="180"/>
      <c r="N28" s="180"/>
      <c r="O28" s="180"/>
      <c r="P28" s="180"/>
      <c r="Q28" s="180"/>
      <c r="R28" s="180"/>
      <c r="S28" s="180"/>
      <c r="T28" s="180"/>
      <c r="U28" s="180"/>
      <c r="V28" s="180"/>
      <c r="W28" s="180"/>
      <c r="X28" s="180"/>
    </row>
    <row r="29" spans="1:24" ht="24.6" customHeight="1" x14ac:dyDescent="0.25">
      <c r="A29" s="509"/>
      <c r="B29" s="509"/>
      <c r="C29" s="69"/>
      <c r="D29" s="2894" t="s">
        <v>572</v>
      </c>
      <c r="E29" s="2894">
        <v>72.400000000000006</v>
      </c>
      <c r="F29" s="2894">
        <v>72.099999999999994</v>
      </c>
      <c r="G29" s="2893">
        <v>3.4</v>
      </c>
      <c r="H29" s="2893">
        <v>3</v>
      </c>
      <c r="I29" s="2893">
        <v>0.77</v>
      </c>
      <c r="J29" s="2893">
        <v>0.77400000000000002</v>
      </c>
      <c r="K29" s="180"/>
      <c r="L29" s="180"/>
      <c r="M29" s="180"/>
      <c r="N29" s="180"/>
      <c r="O29" s="180"/>
      <c r="P29" s="180"/>
      <c r="Q29" s="180"/>
      <c r="R29" s="180"/>
      <c r="S29" s="180"/>
      <c r="T29" s="180"/>
      <c r="U29" s="180"/>
      <c r="V29" s="180"/>
      <c r="W29" s="180"/>
      <c r="X29" s="180"/>
    </row>
    <row r="30" spans="1:24" ht="13.5" customHeight="1" x14ac:dyDescent="0.25">
      <c r="A30" s="509"/>
      <c r="B30" s="509"/>
      <c r="C30" s="69"/>
      <c r="D30" s="180"/>
      <c r="E30" s="867"/>
      <c r="F30" s="867"/>
      <c r="G30" s="180"/>
      <c r="H30" s="180"/>
      <c r="I30" s="180"/>
      <c r="J30" s="180"/>
      <c r="K30" s="180"/>
      <c r="L30" s="180"/>
      <c r="M30" s="180"/>
      <c r="N30" s="180"/>
      <c r="O30" s="180"/>
      <c r="P30" s="180"/>
      <c r="Q30" s="180"/>
      <c r="R30" s="180"/>
      <c r="S30" s="180"/>
      <c r="T30" s="180"/>
      <c r="U30" s="180"/>
      <c r="V30" s="180"/>
      <c r="W30" s="180"/>
      <c r="X30" s="180"/>
    </row>
    <row r="31" spans="1:24" ht="13.5" customHeight="1" x14ac:dyDescent="0.25">
      <c r="A31" s="509"/>
      <c r="B31" s="509"/>
      <c r="C31" s="69" t="s">
        <v>874</v>
      </c>
      <c r="D31" s="180"/>
      <c r="E31" s="867"/>
      <c r="F31" s="867"/>
      <c r="G31" s="180"/>
      <c r="H31" s="180"/>
      <c r="I31" s="180"/>
      <c r="J31" s="180"/>
      <c r="K31" s="180"/>
      <c r="L31" s="180"/>
      <c r="M31" s="180"/>
      <c r="N31" s="180"/>
      <c r="O31" s="180"/>
      <c r="P31" s="180"/>
      <c r="Q31" s="180"/>
      <c r="R31" s="180"/>
      <c r="S31" s="180"/>
      <c r="T31" s="180"/>
      <c r="U31" s="180"/>
      <c r="V31" s="180"/>
      <c r="W31" s="180"/>
      <c r="X31" s="180"/>
    </row>
    <row r="32" spans="1:24" ht="26.45" customHeight="1" x14ac:dyDescent="0.25">
      <c r="A32" s="509"/>
      <c r="B32" s="509"/>
      <c r="C32" s="69"/>
      <c r="D32" s="5040" t="s">
        <v>547</v>
      </c>
      <c r="E32" s="5039" t="s">
        <v>1701</v>
      </c>
      <c r="F32" s="5039"/>
      <c r="G32" s="5039" t="s">
        <v>1700</v>
      </c>
      <c r="H32" s="5039"/>
      <c r="I32" s="5040" t="s">
        <v>550</v>
      </c>
      <c r="J32" s="5040"/>
      <c r="K32" s="180"/>
      <c r="L32" s="180"/>
      <c r="M32" s="180"/>
      <c r="N32" s="180"/>
      <c r="O32" s="180"/>
      <c r="P32" s="180"/>
      <c r="Q32" s="180"/>
      <c r="R32" s="180"/>
      <c r="S32" s="180"/>
      <c r="T32" s="180"/>
      <c r="U32" s="180"/>
      <c r="V32" s="180"/>
      <c r="W32" s="180"/>
      <c r="X32" s="180"/>
    </row>
    <row r="33" spans="1:29" ht="13.5" customHeight="1" x14ac:dyDescent="0.25">
      <c r="A33" s="509"/>
      <c r="B33" s="509"/>
      <c r="C33" s="69"/>
      <c r="D33" s="5040"/>
      <c r="E33" s="2894">
        <v>2011</v>
      </c>
      <c r="F33" s="2894">
        <v>2016</v>
      </c>
      <c r="G33" s="2893">
        <v>2011</v>
      </c>
      <c r="H33" s="2893">
        <v>2016</v>
      </c>
      <c r="I33" s="2893">
        <v>2011</v>
      </c>
      <c r="J33" s="2893">
        <v>2016</v>
      </c>
      <c r="K33" s="180"/>
      <c r="L33" s="180"/>
      <c r="M33" s="180"/>
      <c r="N33" s="180"/>
      <c r="O33" s="180"/>
      <c r="P33" s="180"/>
      <c r="Q33" s="180"/>
      <c r="R33" s="180"/>
      <c r="S33" s="180"/>
      <c r="T33" s="180"/>
      <c r="U33" s="180"/>
      <c r="V33" s="180"/>
      <c r="W33" s="180"/>
      <c r="X33" s="180"/>
    </row>
    <row r="34" spans="1:29" ht="13.5" customHeight="1" x14ac:dyDescent="0.25">
      <c r="A34" s="509"/>
      <c r="B34" s="509"/>
      <c r="C34" s="69"/>
      <c r="D34" s="2893" t="s">
        <v>579</v>
      </c>
      <c r="E34" s="2894">
        <v>93.3</v>
      </c>
      <c r="F34" s="2894">
        <v>93.3</v>
      </c>
      <c r="G34" s="2893">
        <v>0.8</v>
      </c>
      <c r="H34" s="2893">
        <v>0.6</v>
      </c>
      <c r="I34" s="2893">
        <v>0.86899999999999999</v>
      </c>
      <c r="J34" s="2893">
        <v>0.871</v>
      </c>
      <c r="K34" s="180"/>
      <c r="L34" s="180"/>
      <c r="M34" s="180"/>
      <c r="N34" s="180"/>
      <c r="O34" s="180"/>
      <c r="P34" s="180"/>
      <c r="Q34" s="180"/>
      <c r="R34" s="180"/>
      <c r="S34" s="180"/>
      <c r="T34" s="180"/>
      <c r="U34" s="180"/>
      <c r="V34" s="180"/>
      <c r="W34" s="180"/>
      <c r="X34" s="180"/>
    </row>
    <row r="35" spans="1:29" ht="13.5" customHeight="1" x14ac:dyDescent="0.25">
      <c r="A35" s="509"/>
      <c r="B35" s="509"/>
      <c r="C35" s="69"/>
      <c r="D35" s="2893" t="s">
        <v>586</v>
      </c>
      <c r="E35" s="2894">
        <v>75.5</v>
      </c>
      <c r="F35" s="2894">
        <v>77.2</v>
      </c>
      <c r="G35" s="2893">
        <v>4.9000000000000004</v>
      </c>
      <c r="H35" s="2893">
        <v>4.4000000000000004</v>
      </c>
      <c r="I35" s="2893">
        <v>0.76200000000000001</v>
      </c>
      <c r="J35" s="2893">
        <v>0.77300000000000002</v>
      </c>
      <c r="K35" s="180"/>
      <c r="L35" s="180"/>
      <c r="M35" s="180"/>
      <c r="N35" s="180"/>
      <c r="O35" s="180"/>
      <c r="P35" s="180"/>
      <c r="Q35" s="180"/>
      <c r="R35" s="180"/>
      <c r="S35" s="180"/>
      <c r="T35" s="180"/>
      <c r="U35" s="180"/>
      <c r="V35" s="180"/>
      <c r="W35" s="180"/>
      <c r="X35" s="180"/>
    </row>
    <row r="36" spans="1:29" ht="13.5" customHeight="1" x14ac:dyDescent="0.25">
      <c r="A36" s="509"/>
      <c r="B36" s="509"/>
      <c r="C36" s="69"/>
      <c r="D36" s="2893" t="s">
        <v>593</v>
      </c>
      <c r="E36" s="2894">
        <v>92.1</v>
      </c>
      <c r="F36" s="2894">
        <v>92.6</v>
      </c>
      <c r="G36" s="2893">
        <v>0.6</v>
      </c>
      <c r="H36" s="2893">
        <v>0.5</v>
      </c>
      <c r="I36" s="2893">
        <v>0.86699999999999999</v>
      </c>
      <c r="J36" s="2893">
        <v>0.871</v>
      </c>
      <c r="K36" s="180"/>
      <c r="L36" s="180"/>
      <c r="M36" s="180"/>
      <c r="N36" s="180"/>
      <c r="O36" s="180"/>
      <c r="P36" s="180"/>
      <c r="Q36" s="180"/>
      <c r="R36" s="180"/>
      <c r="S36" s="180"/>
      <c r="T36" s="180"/>
      <c r="U36" s="180"/>
      <c r="V36" s="180"/>
      <c r="W36" s="180"/>
      <c r="X36" s="180"/>
    </row>
    <row r="37" spans="1:29" ht="13.5" customHeight="1" x14ac:dyDescent="0.25">
      <c r="A37" s="509"/>
      <c r="B37" s="509"/>
      <c r="C37" s="69"/>
      <c r="D37" s="2893" t="s">
        <v>598</v>
      </c>
      <c r="E37" s="2894">
        <v>97.9</v>
      </c>
      <c r="F37" s="2894">
        <v>97</v>
      </c>
      <c r="G37" s="2893">
        <v>0.1</v>
      </c>
      <c r="H37" s="2893">
        <v>0.2</v>
      </c>
      <c r="I37" s="2893">
        <v>0.89100000000000001</v>
      </c>
      <c r="J37" s="2893">
        <v>0.88800000000000001</v>
      </c>
      <c r="K37" s="180"/>
      <c r="L37" s="180"/>
      <c r="M37" s="180"/>
      <c r="N37" s="180"/>
      <c r="O37" s="180"/>
      <c r="P37" s="180"/>
      <c r="Q37" s="180"/>
      <c r="R37" s="180"/>
      <c r="S37" s="180"/>
      <c r="T37" s="180"/>
      <c r="U37" s="180"/>
      <c r="V37" s="180"/>
      <c r="W37" s="180"/>
      <c r="X37" s="180"/>
    </row>
    <row r="38" spans="1:29" ht="13.5" customHeight="1" x14ac:dyDescent="0.25">
      <c r="A38" s="509"/>
      <c r="B38" s="509"/>
      <c r="C38" s="69"/>
      <c r="D38" s="2893" t="s">
        <v>605</v>
      </c>
      <c r="E38" s="2894">
        <v>85</v>
      </c>
      <c r="F38" s="2894">
        <v>84.1</v>
      </c>
      <c r="G38" s="2893">
        <v>1.3</v>
      </c>
      <c r="H38" s="2893">
        <v>1.2</v>
      </c>
      <c r="I38" s="2893">
        <v>0.83699999999999997</v>
      </c>
      <c r="J38" s="2893">
        <v>0.83499999999999996</v>
      </c>
      <c r="K38" s="180"/>
      <c r="L38" s="180"/>
      <c r="M38" s="180"/>
      <c r="N38" s="180"/>
      <c r="O38" s="180"/>
      <c r="P38" s="180"/>
      <c r="Q38" s="180"/>
      <c r="R38" s="180"/>
      <c r="S38" s="180"/>
      <c r="T38" s="180"/>
      <c r="U38" s="180"/>
      <c r="V38" s="180"/>
      <c r="W38" s="180"/>
      <c r="X38" s="180"/>
    </row>
    <row r="39" spans="1:29" ht="13.5" customHeight="1" x14ac:dyDescent="0.25">
      <c r="A39" s="509"/>
      <c r="B39" s="509"/>
      <c r="C39" s="69"/>
      <c r="D39" s="2893" t="s">
        <v>611</v>
      </c>
      <c r="E39" s="2894">
        <v>92.1</v>
      </c>
      <c r="F39" s="2894">
        <v>90.1</v>
      </c>
      <c r="G39" s="2893">
        <v>0.9</v>
      </c>
      <c r="H39" s="2893">
        <v>1.2</v>
      </c>
      <c r="I39" s="2893">
        <v>0.86399999999999999</v>
      </c>
      <c r="J39" s="2893">
        <v>0.85599999999999998</v>
      </c>
      <c r="K39" s="180"/>
      <c r="L39" s="180"/>
      <c r="M39" s="180"/>
      <c r="N39" s="180"/>
      <c r="O39" s="180"/>
      <c r="P39" s="180"/>
      <c r="Q39" s="180"/>
      <c r="R39" s="180"/>
      <c r="S39" s="180"/>
      <c r="T39" s="180"/>
      <c r="U39" s="180"/>
      <c r="V39" s="180"/>
      <c r="W39" s="180"/>
      <c r="X39" s="180"/>
    </row>
    <row r="40" spans="1:29" ht="13.5" customHeight="1" x14ac:dyDescent="0.25">
      <c r="A40" s="509"/>
      <c r="B40" s="509"/>
      <c r="C40" s="69"/>
      <c r="D40" s="2893" t="s">
        <v>616</v>
      </c>
      <c r="E40" s="2894">
        <v>86.1</v>
      </c>
      <c r="F40" s="2894">
        <v>88.1</v>
      </c>
      <c r="G40" s="2893">
        <v>1</v>
      </c>
      <c r="H40" s="2893">
        <v>0.8</v>
      </c>
      <c r="I40" s="2893">
        <v>0.84599999999999997</v>
      </c>
      <c r="J40" s="2893">
        <v>0.85399999999999998</v>
      </c>
      <c r="K40" s="180"/>
      <c r="L40" s="180"/>
      <c r="M40" s="180"/>
      <c r="N40" s="180"/>
      <c r="O40" s="180"/>
      <c r="P40" s="180"/>
      <c r="Q40" s="180"/>
      <c r="R40" s="180"/>
      <c r="S40" s="180"/>
      <c r="T40" s="180"/>
      <c r="U40" s="180"/>
      <c r="V40" s="180"/>
      <c r="W40" s="180"/>
      <c r="X40" s="180"/>
    </row>
    <row r="41" spans="1:29" ht="13.5" customHeight="1" x14ac:dyDescent="0.25">
      <c r="A41" s="509"/>
      <c r="B41" s="509"/>
      <c r="C41" s="69"/>
      <c r="D41" s="2893" t="s">
        <v>622</v>
      </c>
      <c r="E41" s="2893">
        <v>86.4</v>
      </c>
      <c r="F41" s="2893">
        <v>85.8</v>
      </c>
      <c r="G41" s="2893">
        <v>1.6</v>
      </c>
      <c r="H41" s="2893">
        <v>1.6</v>
      </c>
      <c r="I41" s="2893">
        <v>0.83699999999999997</v>
      </c>
      <c r="J41" s="2893">
        <v>0.83599999999999997</v>
      </c>
      <c r="K41" s="180"/>
      <c r="L41" s="180"/>
      <c r="M41" s="180"/>
      <c r="N41" s="180"/>
      <c r="O41" s="180"/>
      <c r="P41" s="180"/>
      <c r="Q41" s="180"/>
      <c r="R41" s="180"/>
      <c r="S41" s="180"/>
      <c r="T41" s="180"/>
      <c r="U41" s="180"/>
      <c r="V41" s="180"/>
      <c r="W41" s="180"/>
      <c r="X41" s="180"/>
    </row>
    <row r="42" spans="1:29" ht="13.5" customHeight="1" x14ac:dyDescent="0.25">
      <c r="A42" s="509"/>
      <c r="B42" s="509"/>
      <c r="C42" s="69"/>
      <c r="D42" s="180"/>
      <c r="E42" s="180"/>
      <c r="F42" s="180"/>
      <c r="G42" s="180"/>
      <c r="H42" s="180"/>
      <c r="I42" s="180"/>
      <c r="J42" s="180"/>
      <c r="K42" s="180"/>
      <c r="L42" s="180"/>
      <c r="M42" s="180"/>
      <c r="N42" s="180"/>
      <c r="O42" s="180"/>
      <c r="P42" s="180"/>
      <c r="Q42" s="180"/>
      <c r="R42" s="180"/>
      <c r="S42" s="180"/>
      <c r="T42" s="180"/>
      <c r="U42" s="180"/>
      <c r="V42" s="180"/>
      <c r="W42" s="180"/>
      <c r="X42" s="180"/>
    </row>
    <row r="43" spans="1:29" x14ac:dyDescent="0.25">
      <c r="A43" s="4"/>
      <c r="B43" s="568"/>
      <c r="C43" s="568"/>
      <c r="D43" s="87"/>
      <c r="E43" s="612"/>
      <c r="F43" s="612"/>
      <c r="G43" s="612"/>
      <c r="H43" s="610"/>
      <c r="I43" s="612"/>
      <c r="J43" s="610"/>
      <c r="K43" s="612"/>
      <c r="L43" s="610"/>
      <c r="M43" s="612"/>
      <c r="N43" s="610"/>
      <c r="O43" s="613"/>
      <c r="P43" s="611"/>
      <c r="Q43" s="613"/>
    </row>
    <row r="44" spans="1:29" x14ac:dyDescent="0.25">
      <c r="A44" s="4"/>
      <c r="B44" s="568"/>
      <c r="C44" s="568"/>
      <c r="D44" s="87"/>
      <c r="E44" s="612"/>
      <c r="F44" s="612"/>
      <c r="G44" s="612"/>
      <c r="H44" s="610"/>
      <c r="I44" s="612"/>
      <c r="J44" s="610"/>
      <c r="K44" s="612"/>
      <c r="L44" s="610"/>
      <c r="M44" s="612"/>
      <c r="N44" s="610"/>
      <c r="O44" s="613"/>
      <c r="P44" s="611"/>
      <c r="Q44" s="613"/>
    </row>
    <row r="45" spans="1:29" ht="12.75" customHeight="1" x14ac:dyDescent="0.25">
      <c r="A45" s="509"/>
      <c r="B45" s="568"/>
      <c r="C45" s="568"/>
      <c r="D45" s="87"/>
      <c r="E45" s="612"/>
      <c r="F45" s="612"/>
      <c r="G45" s="612"/>
      <c r="H45" s="572"/>
      <c r="I45" s="87"/>
      <c r="J45" s="614"/>
      <c r="K45" s="87"/>
      <c r="L45" s="572"/>
      <c r="M45" s="88"/>
      <c r="N45" s="572"/>
    </row>
    <row r="46" spans="1:29" x14ac:dyDescent="0.25">
      <c r="A46" s="509">
        <v>7</v>
      </c>
      <c r="B46" s="509" t="s">
        <v>52</v>
      </c>
      <c r="C46" s="509"/>
      <c r="D46" s="5032"/>
      <c r="E46" s="5030"/>
      <c r="F46" s="5030"/>
      <c r="G46" s="5030"/>
      <c r="H46" s="5030"/>
      <c r="I46" s="5030"/>
      <c r="J46" s="5030"/>
      <c r="K46" s="5030"/>
      <c r="L46" s="5030"/>
      <c r="M46" s="5030"/>
      <c r="N46" s="5030"/>
      <c r="O46" s="5030"/>
      <c r="P46" s="5030"/>
      <c r="Q46" s="5030"/>
      <c r="R46" s="5030"/>
      <c r="S46" s="5030"/>
      <c r="T46" s="5030"/>
      <c r="U46" s="5030"/>
      <c r="V46" s="5030"/>
      <c r="W46" s="5031"/>
      <c r="X46" s="180"/>
    </row>
    <row r="47" spans="1:29" ht="55.5" customHeight="1" x14ac:dyDescent="0.25">
      <c r="A47" s="509">
        <v>8</v>
      </c>
      <c r="B47" s="546" t="s">
        <v>54</v>
      </c>
      <c r="C47" s="546"/>
      <c r="D47" s="5027" t="s">
        <v>1703</v>
      </c>
      <c r="E47" s="5028"/>
      <c r="F47" s="5028"/>
      <c r="G47" s="5028"/>
      <c r="H47" s="5028"/>
      <c r="I47" s="5028"/>
      <c r="J47" s="5028"/>
      <c r="K47" s="5028"/>
      <c r="L47" s="5028"/>
      <c r="M47" s="5028"/>
      <c r="N47" s="5028"/>
      <c r="O47" s="5028"/>
      <c r="P47" s="5028"/>
      <c r="Q47" s="5028"/>
      <c r="R47" s="5028"/>
      <c r="S47" s="5028"/>
      <c r="T47" s="5028"/>
      <c r="U47" s="5028"/>
      <c r="V47" s="5028"/>
      <c r="W47" s="5029"/>
      <c r="X47" s="180"/>
    </row>
    <row r="48" spans="1:29" ht="57.6" customHeight="1" x14ac:dyDescent="0.25">
      <c r="A48" s="509">
        <v>9</v>
      </c>
      <c r="B48" s="546" t="s">
        <v>58</v>
      </c>
      <c r="C48" s="546"/>
      <c r="D48" s="4734" t="s">
        <v>1704</v>
      </c>
      <c r="E48" s="4735"/>
      <c r="F48" s="4735"/>
      <c r="G48" s="4735"/>
      <c r="H48" s="4735"/>
      <c r="I48" s="4735"/>
      <c r="J48" s="4735"/>
      <c r="K48" s="4735"/>
      <c r="L48" s="4735"/>
      <c r="M48" s="4735"/>
      <c r="N48" s="4735"/>
      <c r="O48" s="4735"/>
      <c r="P48" s="4735"/>
      <c r="Q48" s="4735"/>
      <c r="R48" s="4735"/>
      <c r="S48" s="4735"/>
      <c r="T48" s="4735"/>
      <c r="U48" s="4735"/>
      <c r="V48" s="4735"/>
      <c r="W48" s="4736"/>
      <c r="X48" s="867"/>
      <c r="AC48" s="34"/>
    </row>
    <row r="49" spans="1:25" ht="13.35" customHeight="1" x14ac:dyDescent="0.25">
      <c r="A49" s="509">
        <v>10</v>
      </c>
      <c r="B49" s="509" t="s">
        <v>56</v>
      </c>
      <c r="C49" s="509"/>
      <c r="D49" s="4734" t="s">
        <v>1705</v>
      </c>
      <c r="E49" s="5030"/>
      <c r="F49" s="5030"/>
      <c r="G49" s="5030"/>
      <c r="H49" s="5030"/>
      <c r="I49" s="5030"/>
      <c r="J49" s="5030"/>
      <c r="K49" s="5030"/>
      <c r="L49" s="5030"/>
      <c r="M49" s="5030"/>
      <c r="N49" s="5030"/>
      <c r="O49" s="5030"/>
      <c r="P49" s="5030"/>
      <c r="Q49" s="5030"/>
      <c r="R49" s="5030"/>
      <c r="S49" s="5030"/>
      <c r="T49" s="5030"/>
      <c r="U49" s="5030"/>
      <c r="V49" s="5030"/>
      <c r="W49" s="5031"/>
      <c r="X49" s="180"/>
    </row>
    <row r="50" spans="1:25" x14ac:dyDescent="0.25">
      <c r="D50" s="615"/>
      <c r="L50" s="572"/>
      <c r="M50" s="88"/>
      <c r="N50" s="572"/>
    </row>
    <row r="51" spans="1:25" x14ac:dyDescent="0.25">
      <c r="L51" s="572"/>
      <c r="M51" s="88"/>
      <c r="N51" s="572"/>
    </row>
    <row r="52" spans="1:25" x14ac:dyDescent="0.25">
      <c r="D52" s="68"/>
      <c r="E52" s="88"/>
      <c r="F52" s="88"/>
      <c r="G52" s="88"/>
      <c r="H52" s="572"/>
      <c r="I52" s="88"/>
      <c r="J52" s="572"/>
      <c r="K52" s="68"/>
      <c r="L52" s="572"/>
      <c r="M52" s="88"/>
      <c r="N52" s="572"/>
    </row>
    <row r="54" spans="1:25" x14ac:dyDescent="0.25">
      <c r="L54" s="572"/>
      <c r="N54" s="572"/>
    </row>
    <row r="56" spans="1:25" x14ac:dyDescent="0.25">
      <c r="B56" s="271"/>
      <c r="C56" s="92"/>
      <c r="D56" s="47"/>
      <c r="E56" s="47"/>
      <c r="F56" s="47"/>
      <c r="G56" s="47"/>
      <c r="H56" s="47"/>
      <c r="I56" s="47"/>
      <c r="J56" s="47"/>
      <c r="K56" s="47"/>
      <c r="L56" s="47"/>
      <c r="M56" s="47"/>
      <c r="N56" s="47"/>
      <c r="O56" s="47"/>
      <c r="P56" s="47"/>
      <c r="Q56" s="47"/>
      <c r="R56" s="47"/>
      <c r="S56" s="47"/>
      <c r="T56" s="47"/>
      <c r="U56" s="47"/>
      <c r="V56" s="47"/>
      <c r="W56" s="47"/>
      <c r="X56" s="47"/>
    </row>
    <row r="57" spans="1:25" x14ac:dyDescent="0.25">
      <c r="B57" s="271"/>
      <c r="C57" s="92"/>
      <c r="D57" s="47"/>
      <c r="E57" s="47"/>
      <c r="F57" s="47"/>
      <c r="G57" s="47"/>
      <c r="H57" s="47"/>
      <c r="I57" s="47"/>
      <c r="J57" s="47"/>
      <c r="K57" s="47"/>
      <c r="L57" s="47"/>
      <c r="M57" s="47"/>
      <c r="N57" s="47"/>
      <c r="O57" s="47"/>
      <c r="P57" s="47"/>
      <c r="Q57" s="47"/>
      <c r="R57" s="47"/>
      <c r="S57" s="47"/>
      <c r="T57" s="47"/>
      <c r="U57" s="47"/>
      <c r="V57" s="47"/>
      <c r="W57" s="47"/>
      <c r="X57" s="47"/>
    </row>
    <row r="58" spans="1:25" x14ac:dyDescent="0.25">
      <c r="B58" s="271"/>
      <c r="C58" s="92"/>
      <c r="D58" s="47"/>
      <c r="E58" s="47"/>
      <c r="F58" s="47"/>
      <c r="G58" s="47"/>
      <c r="H58" s="47"/>
      <c r="I58" s="47"/>
      <c r="J58" s="47"/>
      <c r="K58" s="47"/>
      <c r="L58" s="47"/>
      <c r="M58" s="47"/>
      <c r="N58" s="47"/>
      <c r="O58" s="47"/>
      <c r="P58" s="47"/>
      <c r="Q58" s="47"/>
      <c r="R58" s="47"/>
      <c r="S58" s="47"/>
      <c r="T58" s="47"/>
      <c r="U58" s="47"/>
      <c r="V58" s="47"/>
      <c r="W58" s="47"/>
      <c r="X58" s="47"/>
    </row>
    <row r="59" spans="1:25" x14ac:dyDescent="0.25">
      <c r="B59" s="271"/>
      <c r="C59" s="92"/>
      <c r="D59" s="71" t="s">
        <v>7</v>
      </c>
      <c r="E59" s="71" t="s">
        <v>537</v>
      </c>
      <c r="F59" s="71"/>
      <c r="G59" s="71"/>
      <c r="H59" s="71"/>
      <c r="I59" s="88"/>
      <c r="J59" s="71"/>
      <c r="K59" s="88"/>
      <c r="L59" s="88"/>
      <c r="M59" s="616"/>
      <c r="N59" s="616"/>
      <c r="O59" s="616"/>
      <c r="P59" s="616"/>
      <c r="Q59" s="616"/>
      <c r="R59" s="617"/>
      <c r="S59" s="617"/>
      <c r="T59" s="617"/>
      <c r="U59" s="617"/>
      <c r="V59" s="617"/>
      <c r="W59" s="617"/>
      <c r="X59" s="617"/>
    </row>
    <row r="60" spans="1:25" x14ac:dyDescent="0.25">
      <c r="B60" s="271"/>
      <c r="C60" s="92"/>
      <c r="D60" s="2186"/>
      <c r="E60" s="3243" t="s">
        <v>324</v>
      </c>
      <c r="F60" s="3243" t="s">
        <v>325</v>
      </c>
      <c r="G60" s="3243" t="s">
        <v>326</v>
      </c>
      <c r="H60" s="3243" t="s">
        <v>327</v>
      </c>
      <c r="I60" s="3243" t="s">
        <v>328</v>
      </c>
      <c r="J60" s="3243" t="s">
        <v>329</v>
      </c>
      <c r="K60" s="3243" t="s">
        <v>330</v>
      </c>
      <c r="L60" s="3243" t="s">
        <v>331</v>
      </c>
      <c r="M60" s="3243" t="s">
        <v>332</v>
      </c>
      <c r="N60" s="3243" t="s">
        <v>333</v>
      </c>
      <c r="O60" s="3243" t="s">
        <v>334</v>
      </c>
      <c r="P60" s="3243" t="s">
        <v>335</v>
      </c>
      <c r="Q60" s="3243" t="s">
        <v>336</v>
      </c>
      <c r="R60" s="3243">
        <v>2013</v>
      </c>
      <c r="S60" s="3243" t="s">
        <v>338</v>
      </c>
      <c r="T60" s="3385" t="s">
        <v>339</v>
      </c>
      <c r="U60" s="3243" t="s">
        <v>340</v>
      </c>
      <c r="V60" s="596" t="s">
        <v>341</v>
      </c>
      <c r="W60" s="594" t="s">
        <v>342</v>
      </c>
      <c r="X60" s="596" t="s">
        <v>343</v>
      </c>
      <c r="Y60" s="578" t="s">
        <v>344</v>
      </c>
    </row>
    <row r="61" spans="1:25" x14ac:dyDescent="0.25">
      <c r="B61" s="271"/>
      <c r="C61" s="92"/>
      <c r="D61" s="87" t="s">
        <v>538</v>
      </c>
      <c r="E61" s="612">
        <v>0.127</v>
      </c>
      <c r="F61" s="612">
        <v>0.251</v>
      </c>
      <c r="G61" s="612">
        <f>+(10+3.4+5)%</f>
        <v>0.184</v>
      </c>
      <c r="H61" s="612">
        <f>+(14.9+4+4.9)%</f>
        <v>0.23799999999999996</v>
      </c>
      <c r="I61" s="612">
        <f>+(11.8+3.7+5.6)%</f>
        <v>0.21100000000000002</v>
      </c>
      <c r="J61" s="612">
        <f>+(17.9+3.7+5.6)%</f>
        <v>0.27199999999999996</v>
      </c>
      <c r="K61" s="612">
        <f>(11.3+4.7+6.2)%</f>
        <v>0.222</v>
      </c>
      <c r="L61" s="612">
        <f>+(18.8+3.9+6.1)%</f>
        <v>0.28799999999999998</v>
      </c>
      <c r="M61" s="612">
        <f>+(13.6+4.7+5.9)%</f>
        <v>0.24200000000000002</v>
      </c>
      <c r="N61" s="612">
        <f>+(20.3+5+6.9)%</f>
        <v>0.32200000000000001</v>
      </c>
      <c r="O61" s="613">
        <f>(12.7+4.6+6.8)%</f>
        <v>0.24099999999999999</v>
      </c>
      <c r="P61" s="613">
        <f>+(18.5+4.8+7.5)%</f>
        <v>0.308</v>
      </c>
      <c r="Q61" s="612">
        <f>(12.3+4.6+7.3)%</f>
        <v>0.24199999999999999</v>
      </c>
      <c r="R61" s="612">
        <f>+(19.8+5.1+8.4)%</f>
        <v>0.33299999999999996</v>
      </c>
      <c r="S61" s="618">
        <v>0.26700000000000002</v>
      </c>
      <c r="T61" s="618">
        <v>0.27600000000000002</v>
      </c>
      <c r="U61" s="618">
        <v>0.28199999999999997</v>
      </c>
      <c r="V61" s="619">
        <v>0.28799999999999998</v>
      </c>
      <c r="W61" s="620">
        <v>0.30099999999999999</v>
      </c>
      <c r="X61" s="887">
        <v>0.311</v>
      </c>
      <c r="Y61" s="584">
        <v>0.32100000000000001</v>
      </c>
    </row>
    <row r="62" spans="1:25" x14ac:dyDescent="0.25">
      <c r="B62" s="271"/>
      <c r="C62" s="92"/>
      <c r="D62" s="621" t="s">
        <v>539</v>
      </c>
      <c r="E62" s="622">
        <v>0.185</v>
      </c>
      <c r="F62" s="622">
        <v>0.191</v>
      </c>
      <c r="G62" s="622">
        <f>(10.8+5.7+6.3)%</f>
        <v>0.22800000000000001</v>
      </c>
      <c r="H62" s="622">
        <f>+(14.2+6.3+6.8)%</f>
        <v>0.27300000000000002</v>
      </c>
      <c r="I62" s="622">
        <f>+(13.1+5.4+7.2)%</f>
        <v>0.25700000000000001</v>
      </c>
      <c r="J62" s="622">
        <f>+(14.5+6+7)%</f>
        <v>0.27500000000000002</v>
      </c>
      <c r="K62" s="622">
        <f>+(13.4+5.8+7.7)%</f>
        <v>0.26899999999999996</v>
      </c>
      <c r="L62" s="622">
        <f>+(18.1+6.1+8.2)%</f>
        <v>0.32400000000000007</v>
      </c>
      <c r="M62" s="622">
        <f>+(17.3+6.9+8.3)%</f>
        <v>0.32500000000000001</v>
      </c>
      <c r="N62" s="622">
        <f>+(20+6.4+9.1)%</f>
        <v>0.35499999999999998</v>
      </c>
      <c r="O62" s="623">
        <f>+(12.7+4.6+6.8)%</f>
        <v>0.24099999999999999</v>
      </c>
      <c r="P62" s="623">
        <f>+(12.8+7+9.6)%</f>
        <v>0.29399999999999998</v>
      </c>
      <c r="Q62" s="624">
        <f>+(18.4+7.1+9.5)%</f>
        <v>0.35</v>
      </c>
      <c r="R62" s="624">
        <f>(23+7+10.1)%</f>
        <v>0.40100000000000002</v>
      </c>
      <c r="S62" s="625">
        <v>0.376</v>
      </c>
      <c r="T62" s="625">
        <v>0.38800000000000001</v>
      </c>
      <c r="U62" s="625">
        <v>0.40400000000000003</v>
      </c>
      <c r="V62" s="626">
        <v>0.40699999999999997</v>
      </c>
      <c r="W62" s="586">
        <v>0.42299999999999999</v>
      </c>
      <c r="X62" s="587">
        <v>0.42899999999999999</v>
      </c>
      <c r="Y62" s="588">
        <v>0.443</v>
      </c>
    </row>
    <row r="63" spans="1:25" x14ac:dyDescent="0.25">
      <c r="B63" s="271"/>
      <c r="C63" s="92"/>
      <c r="D63" s="87"/>
      <c r="E63" s="612"/>
      <c r="F63" s="612"/>
      <c r="G63" s="612"/>
      <c r="H63" s="612"/>
      <c r="I63" s="612"/>
      <c r="J63" s="612"/>
      <c r="K63" s="612"/>
      <c r="L63" s="612"/>
      <c r="M63" s="612"/>
      <c r="N63" s="612"/>
      <c r="O63" s="613"/>
      <c r="P63" s="613"/>
      <c r="Q63" s="613"/>
      <c r="R63" s="617"/>
      <c r="S63" s="617"/>
      <c r="T63" s="617"/>
      <c r="U63" s="617"/>
      <c r="V63" s="617"/>
      <c r="W63" s="617"/>
      <c r="X63" s="617"/>
    </row>
    <row r="64" spans="1:25" x14ac:dyDescent="0.25">
      <c r="B64" s="271"/>
      <c r="C64" s="92"/>
      <c r="D64" s="131" t="s">
        <v>365</v>
      </c>
      <c r="E64" s="627" t="s">
        <v>531</v>
      </c>
      <c r="F64" s="612"/>
      <c r="G64" s="612"/>
      <c r="H64" s="612"/>
      <c r="I64" s="612"/>
      <c r="J64" s="612"/>
      <c r="K64" s="612"/>
      <c r="L64" s="612"/>
      <c r="M64" s="612"/>
      <c r="N64" s="612"/>
      <c r="O64" s="613"/>
      <c r="P64" s="613"/>
      <c r="Q64" s="613"/>
      <c r="R64" s="617"/>
      <c r="S64" s="617"/>
      <c r="T64" s="617"/>
      <c r="U64" s="617"/>
      <c r="V64" s="617"/>
      <c r="W64" s="617"/>
      <c r="X64" s="617"/>
    </row>
    <row r="65" spans="2:30" x14ac:dyDescent="0.25">
      <c r="B65" s="271"/>
      <c r="C65" s="92"/>
      <c r="D65" s="3386"/>
      <c r="E65" s="3243" t="s">
        <v>324</v>
      </c>
      <c r="F65" s="3243" t="s">
        <v>325</v>
      </c>
      <c r="G65" s="3243" t="s">
        <v>326</v>
      </c>
      <c r="H65" s="3243" t="s">
        <v>327</v>
      </c>
      <c r="I65" s="3243" t="s">
        <v>328</v>
      </c>
      <c r="J65" s="3243" t="s">
        <v>329</v>
      </c>
      <c r="K65" s="3243" t="s">
        <v>330</v>
      </c>
      <c r="L65" s="3243" t="s">
        <v>331</v>
      </c>
      <c r="M65" s="3243" t="s">
        <v>332</v>
      </c>
      <c r="N65" s="3243" t="s">
        <v>333</v>
      </c>
      <c r="O65" s="3387" t="s">
        <v>334</v>
      </c>
      <c r="P65" s="3387" t="s">
        <v>335</v>
      </c>
      <c r="Q65" s="3387" t="s">
        <v>336</v>
      </c>
      <c r="R65" s="3387">
        <v>2013</v>
      </c>
      <c r="S65" s="3243" t="s">
        <v>338</v>
      </c>
      <c r="T65" s="3243" t="s">
        <v>339</v>
      </c>
      <c r="U65" s="3243" t="s">
        <v>340</v>
      </c>
      <c r="V65" s="596" t="s">
        <v>341</v>
      </c>
      <c r="W65" s="594" t="s">
        <v>342</v>
      </c>
      <c r="X65" s="596" t="s">
        <v>343</v>
      </c>
      <c r="Y65" s="578" t="s">
        <v>344</v>
      </c>
    </row>
    <row r="66" spans="2:30" x14ac:dyDescent="0.25">
      <c r="B66" s="271"/>
      <c r="C66" s="92"/>
      <c r="D66" s="87" t="s">
        <v>540</v>
      </c>
      <c r="E66" s="612">
        <v>0.124</v>
      </c>
      <c r="F66" s="612">
        <v>0.11899999999999999</v>
      </c>
      <c r="G66" s="612">
        <v>0.13700000000000001</v>
      </c>
      <c r="H66" s="612">
        <v>0.14000000000000001</v>
      </c>
      <c r="I66" s="612">
        <v>0.151</v>
      </c>
      <c r="J66" s="612">
        <v>0.17</v>
      </c>
      <c r="K66" s="612">
        <v>0.216</v>
      </c>
      <c r="L66" s="612">
        <v>0.20599999999999999</v>
      </c>
      <c r="M66" s="612">
        <v>0.182</v>
      </c>
      <c r="N66" s="612">
        <v>0.184</v>
      </c>
      <c r="O66" s="612">
        <v>0.19</v>
      </c>
      <c r="P66" s="613">
        <v>0.19</v>
      </c>
      <c r="Q66" s="612">
        <v>0.19800000000000001</v>
      </c>
      <c r="R66" s="612">
        <v>0.20599999999999999</v>
      </c>
      <c r="S66" s="618">
        <v>0.20899999999999999</v>
      </c>
      <c r="T66" s="618">
        <v>0.214</v>
      </c>
      <c r="U66" s="618">
        <v>0.22</v>
      </c>
      <c r="V66" s="601">
        <v>0.22900000000000001</v>
      </c>
      <c r="W66" s="583">
        <v>0.23499999999999999</v>
      </c>
      <c r="X66" s="601">
        <v>0.24399999999999999</v>
      </c>
      <c r="Y66" s="602">
        <v>0.249</v>
      </c>
    </row>
    <row r="67" spans="2:30" x14ac:dyDescent="0.25">
      <c r="B67" s="271"/>
      <c r="C67" s="92"/>
      <c r="D67" s="621" t="s">
        <v>541</v>
      </c>
      <c r="E67" s="622">
        <v>0.21</v>
      </c>
      <c r="F67" s="622">
        <v>0.17699999999999999</v>
      </c>
      <c r="G67" s="622">
        <v>0.216</v>
      </c>
      <c r="H67" s="622">
        <v>0.223</v>
      </c>
      <c r="I67" s="622">
        <v>0.23699999999999999</v>
      </c>
      <c r="J67" s="622">
        <v>0.23699999999999999</v>
      </c>
      <c r="K67" s="622">
        <v>0.27400000000000002</v>
      </c>
      <c r="L67" s="622">
        <v>0.253</v>
      </c>
      <c r="M67" s="622">
        <v>0.28299999999999997</v>
      </c>
      <c r="N67" s="622">
        <v>0.27200000000000002</v>
      </c>
      <c r="O67" s="622">
        <v>0.19</v>
      </c>
      <c r="P67" s="623">
        <v>0.28199999999999997</v>
      </c>
      <c r="Q67" s="622">
        <v>0.307</v>
      </c>
      <c r="R67" s="622">
        <v>0.29899999999999999</v>
      </c>
      <c r="S67" s="628">
        <v>0.32100000000000001</v>
      </c>
      <c r="T67" s="628">
        <v>0.32400000000000001</v>
      </c>
      <c r="U67" s="628">
        <v>0.33329999999999999</v>
      </c>
      <c r="V67" s="607">
        <v>0.33800000000000002</v>
      </c>
      <c r="W67" s="604">
        <v>0.34499999999999997</v>
      </c>
      <c r="X67" s="607">
        <v>0.35299999999999998</v>
      </c>
      <c r="Y67" s="608">
        <v>0.35699999999999998</v>
      </c>
    </row>
    <row r="68" spans="2:30" x14ac:dyDescent="0.25">
      <c r="B68" s="271"/>
      <c r="C68" s="92"/>
      <c r="D68" s="617"/>
      <c r="E68" s="617"/>
      <c r="F68" s="617"/>
      <c r="G68" s="617"/>
      <c r="H68" s="617"/>
      <c r="I68" s="617"/>
      <c r="J68" s="617"/>
      <c r="K68" s="617"/>
      <c r="L68" s="617"/>
      <c r="M68" s="617"/>
      <c r="N68" s="617"/>
      <c r="O68" s="617"/>
      <c r="P68" s="617"/>
      <c r="Q68" s="617"/>
      <c r="R68" s="617"/>
      <c r="S68" s="617"/>
      <c r="T68" s="617"/>
      <c r="U68" s="617"/>
      <c r="V68" s="617"/>
      <c r="W68" s="617"/>
      <c r="X68" s="617"/>
    </row>
    <row r="69" spans="2:30" x14ac:dyDescent="0.25">
      <c r="B69" s="271"/>
      <c r="C69" s="92"/>
      <c r="D69" s="47"/>
      <c r="E69" s="47"/>
      <c r="F69" s="47"/>
      <c r="G69" s="47"/>
      <c r="H69" s="47"/>
      <c r="I69" s="47"/>
      <c r="J69" s="47"/>
      <c r="K69" s="47"/>
      <c r="L69" s="47"/>
      <c r="M69" s="47"/>
      <c r="N69" s="47"/>
      <c r="O69" s="47"/>
      <c r="P69" s="47"/>
      <c r="Q69" s="47"/>
      <c r="R69" s="47"/>
      <c r="S69" s="47"/>
      <c r="T69" s="47"/>
      <c r="U69" s="47"/>
      <c r="V69" s="47"/>
      <c r="W69" s="47"/>
      <c r="X69" s="47"/>
    </row>
    <row r="70" spans="2:30" x14ac:dyDescent="0.25">
      <c r="B70" s="271"/>
      <c r="C70" s="92"/>
      <c r="D70" s="47"/>
      <c r="E70" s="47"/>
      <c r="F70" s="47"/>
      <c r="G70" s="47"/>
      <c r="H70" s="47"/>
      <c r="I70" s="47"/>
      <c r="J70" s="47"/>
      <c r="K70" s="47"/>
      <c r="L70" s="47"/>
      <c r="M70" s="47"/>
      <c r="N70" s="47"/>
      <c r="O70" s="47"/>
      <c r="P70" s="47"/>
      <c r="Q70" s="47"/>
      <c r="R70" s="47"/>
      <c r="S70" s="47"/>
      <c r="T70" s="47"/>
      <c r="U70" s="47"/>
      <c r="V70" s="47"/>
      <c r="W70" s="47"/>
      <c r="X70" s="47"/>
    </row>
    <row r="71" spans="2:30" x14ac:dyDescent="0.25">
      <c r="B71" s="271"/>
      <c r="C71" s="92"/>
      <c r="D71" s="47"/>
      <c r="E71" s="47"/>
      <c r="F71" s="47"/>
      <c r="G71" s="47"/>
      <c r="H71" s="47"/>
      <c r="I71" s="47"/>
      <c r="J71" s="47"/>
      <c r="K71" s="47"/>
      <c r="L71" s="47"/>
      <c r="M71" s="47"/>
      <c r="N71" s="47"/>
      <c r="O71" s="47"/>
      <c r="P71" s="47"/>
      <c r="Q71" s="47"/>
      <c r="R71" s="47"/>
      <c r="S71" s="47"/>
      <c r="T71" s="47"/>
      <c r="U71" s="47"/>
      <c r="V71" s="47"/>
      <c r="W71" s="47"/>
      <c r="X71" s="47"/>
    </row>
    <row r="72" spans="2:30" x14ac:dyDescent="0.25">
      <c r="B72" s="271"/>
      <c r="C72" s="92"/>
      <c r="D72" s="47"/>
      <c r="E72" s="47"/>
      <c r="F72" s="47"/>
      <c r="G72" s="47"/>
      <c r="H72" s="47"/>
      <c r="I72" s="47"/>
      <c r="J72" s="47"/>
      <c r="K72" s="47"/>
      <c r="L72" s="47"/>
      <c r="M72" s="47"/>
      <c r="N72" s="47"/>
      <c r="O72" s="47"/>
      <c r="P72" s="47"/>
      <c r="Q72" s="47"/>
      <c r="R72" s="47"/>
      <c r="S72" s="47"/>
      <c r="T72" s="47"/>
      <c r="U72" s="47"/>
      <c r="V72" s="47"/>
      <c r="W72" s="47"/>
      <c r="X72" s="47"/>
    </row>
    <row r="74" spans="2:30" x14ac:dyDescent="0.25">
      <c r="AD74" s="4" t="s">
        <v>358</v>
      </c>
    </row>
  </sheetData>
  <mergeCells count="17">
    <mergeCell ref="D32:D33"/>
    <mergeCell ref="D47:W47"/>
    <mergeCell ref="D48:W48"/>
    <mergeCell ref="D49:W49"/>
    <mergeCell ref="D46:W46"/>
    <mergeCell ref="D2:W2"/>
    <mergeCell ref="D3:W3"/>
    <mergeCell ref="D4:W4"/>
    <mergeCell ref="D5:W5"/>
    <mergeCell ref="D6:W6"/>
    <mergeCell ref="E24:F24"/>
    <mergeCell ref="G24:H24"/>
    <mergeCell ref="I24:J24"/>
    <mergeCell ref="D24:D25"/>
    <mergeCell ref="E32:F32"/>
    <mergeCell ref="G32:H32"/>
    <mergeCell ref="I32:J32"/>
  </mergeCells>
  <pageMargins left="0.74803149606299202" right="0.74803149606299202" top="0.98425196850393704" bottom="0.98425196850393704" header="0.511811023622047" footer="0.511811023622047"/>
  <pageSetup paperSize="9" scale="43" orientation="landscape" r:id="rId1"/>
  <headerFooter alignWithMargins="0">
    <oddHeader>&amp;C&amp;"-,Bold"DEVELOPMENT INDICATORS 2017</oddHeader>
    <oddFooter>&amp;LDepartment of Planning, Monitoring and Evaluation (DPME). &amp;CPage &amp;P of &amp;N&amp;R&amp;D</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CCCE9-4354-4E52-925F-EA1AF84CE3C9}">
  <sheetPr>
    <tabColor theme="4" tint="-0.499984740745262"/>
    <pageSetUpPr fitToPage="1"/>
  </sheetPr>
  <dimension ref="A1:BK70"/>
  <sheetViews>
    <sheetView showGridLines="0" view="pageBreakPreview" topLeftCell="B1" zoomScale="110" zoomScaleNormal="100" zoomScaleSheetLayoutView="110" workbookViewId="0">
      <selection activeCell="W9" sqref="W9"/>
    </sheetView>
  </sheetViews>
  <sheetFormatPr defaultColWidth="9.140625" defaultRowHeight="15" x14ac:dyDescent="0.25"/>
  <cols>
    <col min="1" max="1" width="3.85546875" style="352" customWidth="1"/>
    <col min="2" max="2" width="12.85546875" style="349" customWidth="1"/>
    <col min="3" max="3" width="8" style="350" customWidth="1"/>
    <col min="4" max="4" width="29.85546875" style="351" customWidth="1"/>
    <col min="5" max="6" width="9.85546875" style="351" customWidth="1"/>
    <col min="7" max="8" width="9.140625" style="351" customWidth="1"/>
    <col min="9" max="9" width="9" style="351" customWidth="1"/>
    <col min="10" max="10" width="9.140625" style="351" customWidth="1"/>
    <col min="11" max="11" width="8.5703125" style="351" customWidth="1"/>
    <col min="12" max="12" width="8" style="351" customWidth="1"/>
    <col min="13" max="13" width="8.85546875" style="351" customWidth="1"/>
    <col min="14" max="14" width="9.140625" style="351" customWidth="1"/>
    <col min="15" max="15" width="9.85546875" style="351" customWidth="1"/>
    <col min="16" max="16" width="8.140625" style="351" customWidth="1"/>
    <col min="17" max="17" width="9.42578125" style="351" customWidth="1"/>
    <col min="18" max="18" width="8.140625" style="351" customWidth="1"/>
    <col min="19" max="19" width="8.42578125" style="351" customWidth="1"/>
    <col min="20" max="20" width="7.85546875" style="351" customWidth="1"/>
    <col min="21" max="21" width="9.140625" style="351" customWidth="1"/>
    <col min="22" max="22" width="8.5703125" style="351" customWidth="1"/>
    <col min="23" max="25" width="8.42578125" style="351" customWidth="1"/>
    <col min="26" max="26" width="10" style="351" customWidth="1"/>
    <col min="27" max="27" width="9.85546875" style="351" bestFit="1" customWidth="1"/>
    <col min="28" max="28" width="9.42578125" style="351" customWidth="1"/>
    <col min="29" max="30" width="10" style="351" customWidth="1"/>
    <col min="31" max="31" width="9.85546875" style="351" bestFit="1" customWidth="1"/>
    <col min="32" max="32" width="9.85546875" style="351" customWidth="1"/>
    <col min="33" max="34" width="10" style="351" customWidth="1"/>
    <col min="35" max="35" width="9.85546875" style="351" bestFit="1" customWidth="1"/>
    <col min="36" max="36" width="9.85546875" style="351" customWidth="1"/>
    <col min="37" max="38" width="10" style="351" customWidth="1"/>
    <col min="39" max="39" width="9.85546875" style="351" bestFit="1" customWidth="1"/>
    <col min="40" max="40" width="9.85546875" style="351" customWidth="1"/>
    <col min="41" max="42" width="10" style="351" customWidth="1"/>
    <col min="43" max="43" width="9.85546875" style="351" bestFit="1" customWidth="1"/>
    <col min="44" max="44" width="9.85546875" style="351" customWidth="1"/>
    <col min="45" max="46" width="10" style="351" customWidth="1"/>
    <col min="47" max="47" width="9.85546875" style="351" bestFit="1" customWidth="1"/>
    <col min="48" max="48" width="9.85546875" style="351" customWidth="1"/>
    <col min="49" max="50" width="10" style="351" customWidth="1"/>
    <col min="51" max="51" width="9.85546875" style="351" bestFit="1" customWidth="1"/>
    <col min="52" max="52" width="10.85546875" style="351" customWidth="1"/>
    <col min="53" max="53" width="13.140625" style="351" customWidth="1"/>
    <col min="54" max="54" width="10" style="351" bestFit="1" customWidth="1"/>
    <col min="55" max="56" width="9.85546875" style="351" bestFit="1" customWidth="1"/>
    <col min="57" max="58" width="10" style="351" bestFit="1" customWidth="1"/>
    <col min="59" max="62" width="10.140625" style="351" bestFit="1" customWidth="1"/>
    <col min="63" max="63" width="9.140625" style="351" customWidth="1"/>
    <col min="64" max="16384" width="9.140625" style="351"/>
  </cols>
  <sheetData>
    <row r="1" spans="1:46" x14ac:dyDescent="0.25">
      <c r="A1" s="348"/>
    </row>
    <row r="2" spans="1:46" ht="12.75" customHeight="1" x14ac:dyDescent="0.25">
      <c r="A2" s="352">
        <v>1</v>
      </c>
      <c r="B2" s="353" t="s">
        <v>0</v>
      </c>
      <c r="C2" s="352">
        <v>11</v>
      </c>
      <c r="D2" s="5044" t="s">
        <v>759</v>
      </c>
      <c r="E2" s="5045"/>
      <c r="F2" s="5045"/>
      <c r="G2" s="5045"/>
      <c r="H2" s="5045"/>
      <c r="I2" s="5045"/>
      <c r="J2" s="5045"/>
      <c r="K2" s="5045"/>
      <c r="L2" s="5045"/>
      <c r="M2" s="5045"/>
      <c r="N2" s="5045"/>
      <c r="O2" s="5045"/>
      <c r="P2" s="5045"/>
      <c r="Q2" s="5045"/>
      <c r="R2" s="5045"/>
      <c r="S2" s="5045"/>
      <c r="T2" s="5045"/>
      <c r="U2" s="5045"/>
      <c r="V2" s="5045"/>
      <c r="W2" s="5046"/>
      <c r="X2" s="881"/>
    </row>
    <row r="3" spans="1:46" ht="12.75" customHeight="1" x14ac:dyDescent="0.25">
      <c r="A3" s="352">
        <v>2</v>
      </c>
      <c r="B3" s="353" t="s">
        <v>2</v>
      </c>
      <c r="C3" s="352"/>
      <c r="D3" s="5044" t="s">
        <v>490</v>
      </c>
      <c r="E3" s="5045"/>
      <c r="F3" s="5045"/>
      <c r="G3" s="5045"/>
      <c r="H3" s="5045"/>
      <c r="I3" s="5045"/>
      <c r="J3" s="5045"/>
      <c r="K3" s="5045"/>
      <c r="L3" s="5045"/>
      <c r="M3" s="5045"/>
      <c r="N3" s="5045"/>
      <c r="O3" s="5045"/>
      <c r="P3" s="5045"/>
      <c r="Q3" s="5045"/>
      <c r="R3" s="5045"/>
      <c r="S3" s="5045"/>
      <c r="T3" s="5045"/>
      <c r="U3" s="5045"/>
      <c r="V3" s="5045"/>
      <c r="W3" s="5046"/>
      <c r="X3" s="881"/>
    </row>
    <row r="4" spans="1:46" ht="12.75" customHeight="1" x14ac:dyDescent="0.25">
      <c r="A4" s="352">
        <v>3</v>
      </c>
      <c r="B4" s="353" t="s">
        <v>4</v>
      </c>
      <c r="C4" s="352"/>
      <c r="D4" s="5044" t="s">
        <v>760</v>
      </c>
      <c r="E4" s="5045"/>
      <c r="F4" s="5045"/>
      <c r="G4" s="5045"/>
      <c r="H4" s="5045"/>
      <c r="I4" s="5045"/>
      <c r="J4" s="5045"/>
      <c r="K4" s="5045"/>
      <c r="L4" s="5045"/>
      <c r="M4" s="5045"/>
      <c r="N4" s="5045"/>
      <c r="O4" s="5045"/>
      <c r="P4" s="5045"/>
      <c r="Q4" s="5045"/>
      <c r="R4" s="5045"/>
      <c r="S4" s="5045"/>
      <c r="T4" s="5045"/>
      <c r="U4" s="5045"/>
      <c r="V4" s="5045"/>
      <c r="W4" s="5046"/>
      <c r="X4" s="881"/>
    </row>
    <row r="5" spans="1:46" s="4" customFormat="1" ht="17.25" customHeight="1" x14ac:dyDescent="0.25">
      <c r="A5" s="69"/>
      <c r="B5" s="70"/>
      <c r="C5" s="69"/>
      <c r="D5" s="351"/>
      <c r="E5" s="351"/>
      <c r="F5" s="351"/>
      <c r="G5" s="351"/>
      <c r="H5" s="351"/>
      <c r="I5" s="351"/>
      <c r="J5" s="351"/>
      <c r="K5" s="351"/>
      <c r="L5" s="351"/>
      <c r="M5" s="351"/>
      <c r="N5" s="351"/>
      <c r="O5" s="351"/>
      <c r="P5" s="351"/>
      <c r="Q5" s="351"/>
      <c r="R5" s="351"/>
      <c r="S5" s="351"/>
      <c r="T5" s="351"/>
      <c r="U5" s="351"/>
      <c r="V5" s="351"/>
      <c r="W5" s="351"/>
      <c r="X5" s="351"/>
      <c r="Y5" s="351"/>
      <c r="Z5" s="351"/>
      <c r="AA5" s="351"/>
      <c r="AB5" s="351"/>
      <c r="AC5" s="351"/>
    </row>
    <row r="6" spans="1:46" x14ac:dyDescent="0.25">
      <c r="A6" s="352">
        <v>4</v>
      </c>
      <c r="B6" s="353" t="s">
        <v>6</v>
      </c>
      <c r="D6" s="354" t="s">
        <v>80</v>
      </c>
      <c r="E6" s="355" t="s">
        <v>761</v>
      </c>
      <c r="F6" s="355"/>
      <c r="G6" s="355"/>
      <c r="H6" s="355"/>
      <c r="I6" s="355"/>
      <c r="J6" s="355"/>
      <c r="K6" s="356"/>
      <c r="L6" s="356"/>
      <c r="M6" s="356"/>
    </row>
    <row r="7" spans="1:46" s="363" customFormat="1" x14ac:dyDescent="0.25">
      <c r="A7" s="352"/>
      <c r="B7" s="357"/>
      <c r="C7" s="358"/>
      <c r="D7" s="359"/>
      <c r="E7" s="360">
        <v>2000</v>
      </c>
      <c r="F7" s="360">
        <v>2001</v>
      </c>
      <c r="G7" s="360">
        <v>2002</v>
      </c>
      <c r="H7" s="360">
        <v>2003</v>
      </c>
      <c r="I7" s="360">
        <v>2004</v>
      </c>
      <c r="J7" s="360">
        <v>2005</v>
      </c>
      <c r="K7" s="360">
        <v>2006</v>
      </c>
      <c r="L7" s="360">
        <v>2007</v>
      </c>
      <c r="M7" s="360">
        <v>2008</v>
      </c>
      <c r="N7" s="360">
        <v>2009</v>
      </c>
      <c r="O7" s="360">
        <v>2010</v>
      </c>
      <c r="P7" s="360">
        <v>2011</v>
      </c>
      <c r="Q7" s="360">
        <v>2012</v>
      </c>
      <c r="R7" s="360">
        <v>2013</v>
      </c>
      <c r="S7" s="360">
        <v>2014</v>
      </c>
      <c r="T7" s="360">
        <v>2015</v>
      </c>
      <c r="U7" s="361">
        <v>2016</v>
      </c>
      <c r="V7" s="361">
        <v>2017</v>
      </c>
      <c r="W7" s="361">
        <v>2018</v>
      </c>
      <c r="X7" s="361">
        <v>2019</v>
      </c>
      <c r="Y7" s="362">
        <v>2020</v>
      </c>
    </row>
    <row r="8" spans="1:46" ht="11.85" customHeight="1" x14ac:dyDescent="0.25">
      <c r="D8" s="364" t="s">
        <v>762</v>
      </c>
      <c r="E8" s="365">
        <v>8339000</v>
      </c>
      <c r="F8" s="365">
        <v>10787000</v>
      </c>
      <c r="G8" s="365">
        <v>13702000</v>
      </c>
      <c r="H8" s="365">
        <v>16860000</v>
      </c>
      <c r="I8" s="365">
        <v>20839000</v>
      </c>
      <c r="J8" s="365">
        <v>33959958</v>
      </c>
      <c r="K8" s="365">
        <v>39662000</v>
      </c>
      <c r="L8" s="365">
        <v>42300000</v>
      </c>
      <c r="M8" s="365">
        <v>45000000</v>
      </c>
      <c r="N8" s="365">
        <v>46436000</v>
      </c>
      <c r="O8" s="365">
        <v>50372000</v>
      </c>
      <c r="P8" s="365">
        <v>64000000</v>
      </c>
      <c r="Q8" s="365">
        <v>68394000</v>
      </c>
      <c r="R8" s="365">
        <v>76865278</v>
      </c>
      <c r="S8" s="365">
        <v>79280731</v>
      </c>
      <c r="T8" s="365">
        <v>87999492</v>
      </c>
      <c r="U8" s="366">
        <v>82412880</v>
      </c>
      <c r="V8" s="366">
        <v>88497610</v>
      </c>
      <c r="W8" s="3497">
        <v>92427958</v>
      </c>
      <c r="X8" s="3497">
        <v>96972459</v>
      </c>
      <c r="Y8" s="368">
        <v>95959439</v>
      </c>
    </row>
    <row r="9" spans="1:46" ht="16.350000000000001" customHeight="1" x14ac:dyDescent="0.25">
      <c r="D9" s="364" t="s">
        <v>763</v>
      </c>
      <c r="E9" s="369">
        <v>18.5</v>
      </c>
      <c r="F9" s="369">
        <v>23.7</v>
      </c>
      <c r="G9" s="369">
        <v>29.7</v>
      </c>
      <c r="H9" s="369">
        <v>36.1</v>
      </c>
      <c r="I9" s="369">
        <v>44.1</v>
      </c>
      <c r="J9" s="369">
        <v>70.900000000000006</v>
      </c>
      <c r="K9" s="369">
        <v>81.8</v>
      </c>
      <c r="L9" s="369">
        <v>86.1</v>
      </c>
      <c r="M9" s="369">
        <v>90.4</v>
      </c>
      <c r="N9" s="369">
        <v>92</v>
      </c>
      <c r="O9" s="369">
        <v>98.4</v>
      </c>
      <c r="P9" s="369">
        <v>123.1</v>
      </c>
      <c r="Q9" s="369">
        <v>129.5</v>
      </c>
      <c r="R9" s="369">
        <v>143.19999999999999</v>
      </c>
      <c r="S9" s="369">
        <v>145.36368648737599</v>
      </c>
      <c r="T9" s="369">
        <v>158.9</v>
      </c>
      <c r="U9" s="29">
        <v>146.6</v>
      </c>
      <c r="V9" s="29">
        <v>155.23239566224399</v>
      </c>
      <c r="W9" s="29">
        <v>159.9</v>
      </c>
      <c r="X9" s="29">
        <v>165.6</v>
      </c>
      <c r="Y9" s="370">
        <v>161.80000000000001</v>
      </c>
    </row>
    <row r="10" spans="1:46" x14ac:dyDescent="0.25">
      <c r="D10" s="364" t="s">
        <v>764</v>
      </c>
      <c r="E10" s="365">
        <v>4961743</v>
      </c>
      <c r="F10" s="365">
        <v>4924458</v>
      </c>
      <c r="G10" s="365">
        <v>4917000</v>
      </c>
      <c r="H10" s="365">
        <v>4910000</v>
      </c>
      <c r="I10" s="365">
        <v>4903000</v>
      </c>
      <c r="J10" s="365">
        <v>4896000</v>
      </c>
      <c r="K10" s="365">
        <v>4889000</v>
      </c>
      <c r="L10" s="365">
        <v>4882000</v>
      </c>
      <c r="M10" s="365">
        <v>4875000</v>
      </c>
      <c r="N10" s="365">
        <v>4868000</v>
      </c>
      <c r="O10" s="365">
        <v>4861000</v>
      </c>
      <c r="P10" s="365">
        <v>4854000</v>
      </c>
      <c r="Q10" s="365">
        <v>4847000</v>
      </c>
      <c r="R10" s="365">
        <v>3875582</v>
      </c>
      <c r="S10" s="365">
        <v>3647770</v>
      </c>
      <c r="T10" s="365">
        <v>4131055</v>
      </c>
      <c r="U10" s="366">
        <v>4522850</v>
      </c>
      <c r="V10" s="366">
        <v>4810074</v>
      </c>
      <c r="W10" s="366">
        <v>3345440</v>
      </c>
      <c r="X10" s="366">
        <v>2024730</v>
      </c>
      <c r="Y10" s="371">
        <v>2098802</v>
      </c>
    </row>
    <row r="11" spans="1:46" s="375" customFormat="1" ht="13.5" x14ac:dyDescent="0.25">
      <c r="A11" s="372"/>
      <c r="B11" s="373"/>
      <c r="C11" s="374"/>
      <c r="D11" s="364" t="s">
        <v>765</v>
      </c>
      <c r="E11" s="369">
        <v>11</v>
      </c>
      <c r="F11" s="369">
        <v>10.8</v>
      </c>
      <c r="G11" s="369">
        <v>10.7</v>
      </c>
      <c r="H11" s="369">
        <v>10.5</v>
      </c>
      <c r="I11" s="369">
        <v>10.4</v>
      </c>
      <c r="J11" s="369">
        <v>10.199999999999999</v>
      </c>
      <c r="K11" s="369">
        <v>10.1</v>
      </c>
      <c r="L11" s="369">
        <v>9.9</v>
      </c>
      <c r="M11" s="369">
        <v>9.8000000000000007</v>
      </c>
      <c r="N11" s="369">
        <v>9.5505628338160093</v>
      </c>
      <c r="O11" s="369">
        <v>9.5</v>
      </c>
      <c r="P11" s="369">
        <v>9.2875496550978305</v>
      </c>
      <c r="Q11" s="369">
        <v>9.1999999999999993</v>
      </c>
      <c r="R11" s="369">
        <v>7.20805225531101</v>
      </c>
      <c r="S11" s="369">
        <v>6.6882997667876802</v>
      </c>
      <c r="T11" s="369">
        <v>7.4714477749407804</v>
      </c>
      <c r="U11" s="29">
        <v>8</v>
      </c>
      <c r="V11" s="29">
        <v>8.4372822083293997</v>
      </c>
      <c r="W11" s="29">
        <v>5.8</v>
      </c>
      <c r="X11" s="29">
        <v>3.5</v>
      </c>
      <c r="Y11" s="370">
        <v>3.54</v>
      </c>
    </row>
    <row r="12" spans="1:46" s="375" customFormat="1" ht="13.5" x14ac:dyDescent="0.25">
      <c r="A12" s="372"/>
      <c r="B12" s="373"/>
      <c r="C12" s="374"/>
      <c r="D12" s="364" t="s">
        <v>766</v>
      </c>
      <c r="E12" s="376"/>
      <c r="F12" s="376"/>
      <c r="G12" s="365">
        <v>2669</v>
      </c>
      <c r="H12" s="365">
        <v>20313</v>
      </c>
      <c r="I12" s="365">
        <v>60000</v>
      </c>
      <c r="J12" s="365">
        <v>165290</v>
      </c>
      <c r="K12" s="365">
        <v>335112</v>
      </c>
      <c r="L12" s="365">
        <v>378000</v>
      </c>
      <c r="M12" s="365">
        <v>426000</v>
      </c>
      <c r="N12" s="365">
        <v>481000</v>
      </c>
      <c r="O12" s="365">
        <v>743000</v>
      </c>
      <c r="P12" s="365">
        <v>907000</v>
      </c>
      <c r="Q12" s="365">
        <v>1107200</v>
      </c>
      <c r="R12" s="365">
        <v>1615210</v>
      </c>
      <c r="S12" s="365">
        <v>1706313</v>
      </c>
      <c r="T12" s="365">
        <v>1409347</v>
      </c>
      <c r="U12" s="366">
        <v>1150770</v>
      </c>
      <c r="V12" s="366">
        <v>1123189</v>
      </c>
      <c r="W12" s="366">
        <v>1107013</v>
      </c>
      <c r="X12" s="366">
        <v>1250356</v>
      </c>
      <c r="Y12" s="371">
        <v>1303057</v>
      </c>
    </row>
    <row r="13" spans="1:46" s="375" customFormat="1" ht="24" customHeight="1" x14ac:dyDescent="0.25">
      <c r="A13" s="372"/>
      <c r="B13" s="373"/>
      <c r="C13" s="374"/>
      <c r="D13" s="364" t="s">
        <v>767</v>
      </c>
      <c r="E13" s="376"/>
      <c r="F13" s="376"/>
      <c r="G13" s="369">
        <v>5.6755628402932103E-3</v>
      </c>
      <c r="H13" s="369">
        <v>4.2630729673008898E-2</v>
      </c>
      <c r="I13" s="369">
        <v>0.124359045705991</v>
      </c>
      <c r="J13" s="369">
        <v>0.338566194187018</v>
      </c>
      <c r="K13" s="369">
        <v>0.67885108396137095</v>
      </c>
      <c r="L13" s="369">
        <v>0.75770968096994695</v>
      </c>
      <c r="M13" s="369">
        <v>0.9</v>
      </c>
      <c r="N13" s="369">
        <v>1</v>
      </c>
      <c r="O13" s="369">
        <v>1.5</v>
      </c>
      <c r="P13" s="369">
        <v>1.7354362458124699</v>
      </c>
      <c r="Q13" s="369">
        <v>2.0891270428306701</v>
      </c>
      <c r="R13" s="369">
        <v>3.0040696038171499</v>
      </c>
      <c r="S13" s="369">
        <v>3.1285779640620901</v>
      </c>
      <c r="T13" s="369">
        <v>2.5489523880145502</v>
      </c>
      <c r="U13" s="29">
        <v>2</v>
      </c>
      <c r="V13" s="29">
        <v>1.9701698074273499</v>
      </c>
      <c r="W13" s="29">
        <v>1.9</v>
      </c>
      <c r="X13" s="29">
        <v>2.1</v>
      </c>
      <c r="Y13" s="370">
        <v>2.2000000000000002</v>
      </c>
    </row>
    <row r="14" spans="1:46" x14ac:dyDescent="0.25">
      <c r="D14" s="377" t="s">
        <v>768</v>
      </c>
      <c r="E14" s="378">
        <v>5.3485597320353699</v>
      </c>
      <c r="F14" s="378">
        <v>6.3466193183976802</v>
      </c>
      <c r="G14" s="378">
        <v>6.7103224370540397</v>
      </c>
      <c r="H14" s="378">
        <v>7.00769172611251</v>
      </c>
      <c r="I14" s="378">
        <v>8.4251186825405995</v>
      </c>
      <c r="J14" s="378">
        <v>7.4885425299292097</v>
      </c>
      <c r="K14" s="378">
        <v>7.6071396747738103</v>
      </c>
      <c r="L14" s="378">
        <v>8.0653751735550401</v>
      </c>
      <c r="M14" s="378">
        <v>8.43</v>
      </c>
      <c r="N14" s="378">
        <v>10</v>
      </c>
      <c r="O14" s="378">
        <v>24</v>
      </c>
      <c r="P14" s="378">
        <v>33.97</v>
      </c>
      <c r="Q14" s="378">
        <v>41</v>
      </c>
      <c r="R14" s="378">
        <v>46.5</v>
      </c>
      <c r="S14" s="378">
        <v>49</v>
      </c>
      <c r="T14" s="378">
        <v>51.919115722747001</v>
      </c>
      <c r="U14" s="379">
        <v>54</v>
      </c>
      <c r="V14" s="379">
        <v>56.167394467338298</v>
      </c>
      <c r="W14" s="380"/>
      <c r="X14" s="380"/>
      <c r="Y14" s="381"/>
      <c r="AT14" s="382"/>
    </row>
    <row r="15" spans="1:46" x14ac:dyDescent="0.25">
      <c r="D15" s="383"/>
      <c r="E15" s="383"/>
      <c r="F15" s="383"/>
      <c r="G15" s="383"/>
      <c r="H15" s="383"/>
      <c r="I15" s="383"/>
      <c r="J15" s="383"/>
      <c r="K15" s="383"/>
      <c r="L15" s="383"/>
      <c r="M15" s="383"/>
      <c r="N15" s="383"/>
      <c r="O15" s="383"/>
      <c r="P15" s="383"/>
      <c r="Q15" s="383"/>
      <c r="R15" s="383"/>
      <c r="AS15" s="382"/>
    </row>
    <row r="16" spans="1:46" x14ac:dyDescent="0.25">
      <c r="D16" s="383"/>
      <c r="E16" s="383"/>
      <c r="F16" s="383"/>
      <c r="G16" s="383"/>
      <c r="H16" s="383"/>
      <c r="I16" s="383"/>
      <c r="J16" s="383"/>
      <c r="K16" s="383"/>
      <c r="L16" s="383"/>
      <c r="M16" s="383"/>
      <c r="N16" s="383"/>
      <c r="O16" s="383"/>
      <c r="P16" s="383"/>
      <c r="Q16" s="383"/>
      <c r="R16" s="383"/>
      <c r="AS16" s="382"/>
    </row>
    <row r="17" spans="1:51" x14ac:dyDescent="0.25">
      <c r="D17" s="2812" t="s">
        <v>267</v>
      </c>
      <c r="E17" s="2813" t="s">
        <v>769</v>
      </c>
      <c r="F17" s="2814"/>
      <c r="G17" s="2815"/>
      <c r="H17" s="2816"/>
      <c r="I17" s="2816"/>
      <c r="J17" s="2816"/>
      <c r="K17" s="2816"/>
      <c r="L17" s="2816"/>
      <c r="M17" s="2816"/>
      <c r="N17" s="2816"/>
      <c r="O17" s="2816"/>
      <c r="P17" s="2816"/>
      <c r="Q17" s="2817"/>
      <c r="R17" s="2817"/>
      <c r="S17" s="2817"/>
      <c r="T17" s="2817"/>
      <c r="U17" s="2817"/>
      <c r="V17" s="2817"/>
      <c r="W17" s="2817"/>
      <c r="X17" s="2817"/>
      <c r="Y17" s="2817"/>
      <c r="AS17" s="382"/>
    </row>
    <row r="18" spans="1:51" s="363" customFormat="1" ht="14.45" customHeight="1" x14ac:dyDescent="0.25">
      <c r="A18" s="352"/>
      <c r="B18" s="357"/>
      <c r="C18" s="358"/>
      <c r="D18" s="2818"/>
      <c r="E18" s="2819"/>
      <c r="F18" s="2820"/>
      <c r="G18" s="2820">
        <v>2002</v>
      </c>
      <c r="H18" s="2820">
        <v>2003</v>
      </c>
      <c r="I18" s="2820">
        <v>2004</v>
      </c>
      <c r="J18" s="2820">
        <v>2005</v>
      </c>
      <c r="K18" s="2820">
        <v>2006</v>
      </c>
      <c r="L18" s="2820">
        <v>2007</v>
      </c>
      <c r="M18" s="2820">
        <v>2008</v>
      </c>
      <c r="N18" s="2820">
        <v>2009</v>
      </c>
      <c r="O18" s="2820">
        <v>2010</v>
      </c>
      <c r="P18" s="2820">
        <v>2011</v>
      </c>
      <c r="Q18" s="2820">
        <v>2012</v>
      </c>
      <c r="R18" s="2820">
        <v>2013</v>
      </c>
      <c r="S18" s="2820">
        <v>2014</v>
      </c>
      <c r="T18" s="2820">
        <v>2015</v>
      </c>
      <c r="U18" s="2820">
        <v>2016</v>
      </c>
      <c r="V18" s="2820">
        <v>2017</v>
      </c>
      <c r="W18" s="2821">
        <v>2018</v>
      </c>
      <c r="X18" s="2821"/>
      <c r="Y18" s="2822">
        <v>2019</v>
      </c>
      <c r="AY18" s="386"/>
    </row>
    <row r="19" spans="1:51" ht="14.45" customHeight="1" x14ac:dyDescent="0.25">
      <c r="D19" s="2823" t="s">
        <v>499</v>
      </c>
      <c r="E19" s="2824"/>
      <c r="F19" s="2825"/>
      <c r="G19" s="2825">
        <v>36</v>
      </c>
      <c r="H19" s="2825">
        <v>36</v>
      </c>
      <c r="I19" s="2825">
        <v>37</v>
      </c>
      <c r="J19" s="2825">
        <v>34</v>
      </c>
      <c r="K19" s="2825">
        <v>37</v>
      </c>
      <c r="L19" s="2825">
        <v>47</v>
      </c>
      <c r="M19" s="2825">
        <v>51</v>
      </c>
      <c r="N19" s="2825">
        <v>52</v>
      </c>
      <c r="O19" s="2825">
        <v>62</v>
      </c>
      <c r="P19" s="2825">
        <v>61</v>
      </c>
      <c r="Q19" s="2825">
        <v>72</v>
      </c>
      <c r="R19" s="2825">
        <v>70</v>
      </c>
      <c r="S19" s="2825">
        <v>70</v>
      </c>
      <c r="T19" s="2825">
        <v>75</v>
      </c>
      <c r="U19" s="2826">
        <v>65</v>
      </c>
      <c r="V19" s="2825"/>
      <c r="W19" s="2827"/>
      <c r="X19" s="2827"/>
      <c r="Y19" s="2828">
        <v>72</v>
      </c>
      <c r="AY19" s="382"/>
    </row>
    <row r="20" spans="1:51" x14ac:dyDescent="0.25">
      <c r="D20" s="2829"/>
      <c r="E20" s="2829"/>
      <c r="F20" s="2830"/>
      <c r="G20" s="2830"/>
      <c r="H20" s="2830"/>
      <c r="I20" s="2830"/>
      <c r="J20" s="2830"/>
      <c r="K20" s="2830"/>
      <c r="L20" s="2830"/>
      <c r="M20" s="2830"/>
      <c r="N20" s="2830"/>
      <c r="O20" s="2830"/>
      <c r="P20" s="2830"/>
      <c r="Q20" s="2830"/>
      <c r="R20" s="2816"/>
      <c r="S20" s="2816"/>
      <c r="T20" s="2816"/>
      <c r="U20" s="2816"/>
      <c r="V20" s="2816"/>
      <c r="W20" s="2817"/>
      <c r="X20" s="2817"/>
      <c r="Y20" s="2817"/>
      <c r="AW20" s="382"/>
    </row>
    <row r="21" spans="1:51" x14ac:dyDescent="0.25">
      <c r="D21" s="2812" t="s">
        <v>770</v>
      </c>
      <c r="E21" s="2812" t="s">
        <v>771</v>
      </c>
      <c r="F21" s="2830"/>
      <c r="G21" s="2830"/>
      <c r="H21" s="2830"/>
      <c r="I21" s="2830"/>
      <c r="J21" s="2830"/>
      <c r="K21" s="2830"/>
      <c r="L21" s="2830"/>
      <c r="M21" s="2830"/>
      <c r="N21" s="2830"/>
      <c r="O21" s="2830"/>
      <c r="P21" s="2830"/>
      <c r="Q21" s="2830"/>
      <c r="R21" s="2816"/>
      <c r="S21" s="2816"/>
      <c r="T21" s="2816"/>
      <c r="U21" s="2816"/>
      <c r="V21" s="2816"/>
      <c r="W21" s="2817"/>
      <c r="X21" s="2817"/>
      <c r="Y21" s="2817"/>
      <c r="AW21" s="382"/>
    </row>
    <row r="22" spans="1:51" x14ac:dyDescent="0.25">
      <c r="D22" s="2831"/>
      <c r="E22" s="3498"/>
      <c r="F22" s="3499">
        <v>2001</v>
      </c>
      <c r="G22" s="3499">
        <v>2002</v>
      </c>
      <c r="H22" s="3499">
        <v>2003</v>
      </c>
      <c r="I22" s="3499">
        <v>2004</v>
      </c>
      <c r="J22" s="3499">
        <v>2005</v>
      </c>
      <c r="K22" s="3499">
        <v>2006</v>
      </c>
      <c r="L22" s="3499">
        <v>2007</v>
      </c>
      <c r="M22" s="3499">
        <v>2008</v>
      </c>
      <c r="N22" s="3499">
        <v>2009</v>
      </c>
      <c r="O22" s="3499">
        <v>2010</v>
      </c>
      <c r="P22" s="3499">
        <v>2011</v>
      </c>
      <c r="Q22" s="3499">
        <v>2012</v>
      </c>
      <c r="R22" s="3499">
        <v>2013</v>
      </c>
      <c r="S22" s="3499">
        <v>2014</v>
      </c>
      <c r="T22" s="3499">
        <v>2015</v>
      </c>
      <c r="U22" s="3500">
        <v>2016</v>
      </c>
      <c r="V22" s="3500">
        <v>2017</v>
      </c>
      <c r="W22" s="2835">
        <v>2018</v>
      </c>
      <c r="X22" s="2836"/>
      <c r="Y22" s="2817"/>
      <c r="AX22" s="382"/>
    </row>
    <row r="23" spans="1:51" x14ac:dyDescent="0.25">
      <c r="D23" s="2837" t="s">
        <v>772</v>
      </c>
      <c r="E23" s="2838"/>
      <c r="F23" s="2839">
        <v>0.31900000000000001</v>
      </c>
      <c r="G23" s="2840"/>
      <c r="H23" s="2840"/>
      <c r="I23" s="2840"/>
      <c r="J23" s="2840"/>
      <c r="K23" s="2840"/>
      <c r="L23" s="2841">
        <v>0.72699999999999998</v>
      </c>
      <c r="M23" s="2842"/>
      <c r="N23" s="2830"/>
      <c r="O23" s="2830"/>
      <c r="P23" s="2841">
        <v>0.88900000000000001</v>
      </c>
      <c r="Q23" s="2841"/>
      <c r="R23" s="2841"/>
      <c r="S23" s="2841"/>
      <c r="T23" s="2841"/>
      <c r="U23" s="2841"/>
      <c r="V23" s="2841"/>
      <c r="W23" s="2843"/>
      <c r="X23" s="2816"/>
      <c r="Y23" s="2817"/>
      <c r="AX23" s="382"/>
    </row>
    <row r="24" spans="1:51" x14ac:dyDescent="0.25">
      <c r="D24" s="2837" t="s">
        <v>773</v>
      </c>
      <c r="E24" s="2838"/>
      <c r="F24" s="2839">
        <v>0.72150000000000003</v>
      </c>
      <c r="G24" s="2840"/>
      <c r="H24" s="2840"/>
      <c r="I24" s="2840"/>
      <c r="J24" s="2840"/>
      <c r="K24" s="2840"/>
      <c r="L24" s="2841">
        <v>0.76500000000000001</v>
      </c>
      <c r="M24" s="2842"/>
      <c r="N24" s="2830"/>
      <c r="O24" s="2830"/>
      <c r="P24" s="2841">
        <v>0.67500000000000004</v>
      </c>
      <c r="Q24" s="2841"/>
      <c r="R24" s="2841"/>
      <c r="S24" s="2841"/>
      <c r="T24" s="2841"/>
      <c r="U24" s="2841"/>
      <c r="V24" s="2841"/>
      <c r="W24" s="2843"/>
      <c r="X24" s="2816"/>
      <c r="Y24" s="2817"/>
      <c r="AX24" s="382"/>
    </row>
    <row r="25" spans="1:51" x14ac:dyDescent="0.25">
      <c r="D25" s="2837" t="s">
        <v>774</v>
      </c>
      <c r="E25" s="2838"/>
      <c r="F25" s="2839">
        <v>8.5000000000000006E-2</v>
      </c>
      <c r="G25" s="2840"/>
      <c r="H25" s="2840"/>
      <c r="I25" s="2840"/>
      <c r="J25" s="2840"/>
      <c r="K25" s="2840"/>
      <c r="L25" s="2841">
        <v>0.156</v>
      </c>
      <c r="M25" s="2842"/>
      <c r="N25" s="2830"/>
      <c r="O25" s="2830"/>
      <c r="P25" s="2841">
        <v>0.2145</v>
      </c>
      <c r="Q25" s="2841"/>
      <c r="R25" s="2841"/>
      <c r="S25" s="2841"/>
      <c r="T25" s="2841"/>
      <c r="U25" s="2841"/>
      <c r="V25" s="2841"/>
      <c r="W25" s="2843"/>
      <c r="X25" s="2816"/>
      <c r="Y25" s="2817"/>
      <c r="AX25" s="382"/>
    </row>
    <row r="26" spans="1:51" x14ac:dyDescent="0.25">
      <c r="D26" s="2837" t="s">
        <v>775</v>
      </c>
      <c r="E26" s="2844"/>
      <c r="F26" s="2839">
        <v>0.52600000000000002</v>
      </c>
      <c r="G26" s="2840"/>
      <c r="H26" s="2840"/>
      <c r="I26" s="2840"/>
      <c r="J26" s="2840"/>
      <c r="K26" s="2840"/>
      <c r="L26" s="2841">
        <v>0.65500000000000003</v>
      </c>
      <c r="M26" s="2842"/>
      <c r="N26" s="2830"/>
      <c r="O26" s="2830"/>
      <c r="P26" s="2841">
        <v>0.745</v>
      </c>
      <c r="Q26" s="2841"/>
      <c r="R26" s="2841"/>
      <c r="S26" s="2841"/>
      <c r="T26" s="2841"/>
      <c r="U26" s="2841"/>
      <c r="V26" s="2841"/>
      <c r="W26" s="2843"/>
      <c r="X26" s="2816"/>
      <c r="Y26" s="2817"/>
      <c r="AX26" s="382"/>
    </row>
    <row r="27" spans="1:51" x14ac:dyDescent="0.25">
      <c r="D27" s="2845" t="s">
        <v>776</v>
      </c>
      <c r="E27" s="2846"/>
      <c r="F27" s="2847">
        <v>23.95</v>
      </c>
      <c r="G27" s="2848"/>
      <c r="H27" s="2848"/>
      <c r="I27" s="2848"/>
      <c r="J27" s="2848"/>
      <c r="K27" s="2848"/>
      <c r="L27" s="2849">
        <v>0.155</v>
      </c>
      <c r="M27" s="2850"/>
      <c r="N27" s="2825"/>
      <c r="O27" s="2825"/>
      <c r="P27" s="2849">
        <v>0.14499999999999999</v>
      </c>
      <c r="Q27" s="2849"/>
      <c r="R27" s="2849"/>
      <c r="S27" s="2849"/>
      <c r="T27" s="2849"/>
      <c r="U27" s="2849"/>
      <c r="V27" s="2849"/>
      <c r="W27" s="2851"/>
      <c r="X27" s="2816"/>
      <c r="Y27" s="2817"/>
      <c r="AX27" s="382"/>
    </row>
    <row r="28" spans="1:51" x14ac:dyDescent="0.25">
      <c r="D28" s="2852"/>
      <c r="E28" s="2844"/>
      <c r="F28" s="2853"/>
      <c r="G28" s="2840"/>
      <c r="H28" s="2840"/>
      <c r="I28" s="2840"/>
      <c r="J28" s="2840"/>
      <c r="K28" s="2840"/>
      <c r="L28" s="2841"/>
      <c r="M28" s="2842"/>
      <c r="N28" s="2830"/>
      <c r="O28" s="2830"/>
      <c r="P28" s="2841"/>
      <c r="Q28" s="2841"/>
      <c r="R28" s="2841"/>
      <c r="S28" s="2841"/>
      <c r="T28" s="2841"/>
      <c r="U28" s="2841"/>
      <c r="V28" s="2841"/>
      <c r="W28" s="2816"/>
      <c r="X28" s="2816"/>
      <c r="Y28" s="2817"/>
      <c r="AX28" s="382"/>
    </row>
    <row r="29" spans="1:51" x14ac:dyDescent="0.25">
      <c r="D29" s="2812" t="s">
        <v>777</v>
      </c>
      <c r="E29" s="2812" t="s">
        <v>778</v>
      </c>
      <c r="F29" s="2853"/>
      <c r="G29" s="2840"/>
      <c r="H29" s="2840"/>
      <c r="I29" s="2840"/>
      <c r="J29" s="2840"/>
      <c r="K29" s="2840"/>
      <c r="L29" s="2841"/>
      <c r="M29" s="2842"/>
      <c r="N29" s="2830"/>
      <c r="O29" s="2830"/>
      <c r="P29" s="2841"/>
      <c r="Q29" s="2841"/>
      <c r="R29" s="2841"/>
      <c r="S29" s="2841"/>
      <c r="T29" s="2816"/>
      <c r="U29" s="2816"/>
      <c r="V29" s="2816"/>
      <c r="W29" s="2841"/>
      <c r="X29" s="2841"/>
      <c r="Y29" s="2817"/>
      <c r="AW29" s="382"/>
    </row>
    <row r="30" spans="1:51" x14ac:dyDescent="0.25">
      <c r="D30" s="2831" t="s">
        <v>772</v>
      </c>
      <c r="E30" s="3501"/>
      <c r="F30" s="3502"/>
      <c r="G30" s="3503">
        <v>0.35688851200000005</v>
      </c>
      <c r="H30" s="3504">
        <v>0.412909256</v>
      </c>
      <c r="I30" s="3504">
        <v>0.50041365300000007</v>
      </c>
      <c r="J30" s="3504">
        <v>0.61948103399999999</v>
      </c>
      <c r="K30" s="3504">
        <v>0.68213298100000008</v>
      </c>
      <c r="L30" s="3505">
        <v>0.73932118099999999</v>
      </c>
      <c r="M30" s="3506">
        <v>0.77777310399999999</v>
      </c>
      <c r="N30" s="3507">
        <v>0.83576974900000001</v>
      </c>
      <c r="O30" s="3507">
        <v>0.86883918100000002</v>
      </c>
      <c r="P30" s="3508">
        <v>0.89684816299999992</v>
      </c>
      <c r="Q30" s="3509">
        <v>0.92921465600000008</v>
      </c>
      <c r="R30" s="3510">
        <v>0.9475415479999999</v>
      </c>
      <c r="S30" s="3511">
        <v>0.95637434499999996</v>
      </c>
      <c r="T30" s="3510">
        <v>0.96350349199999996</v>
      </c>
      <c r="U30" s="3511">
        <v>0.87</v>
      </c>
      <c r="V30" s="3511">
        <v>0.88200000000000001</v>
      </c>
      <c r="W30" s="2865">
        <v>0.89500000000000002</v>
      </c>
      <c r="X30" s="2866"/>
      <c r="Y30" s="2817"/>
      <c r="AX30" s="382"/>
    </row>
    <row r="31" spans="1:51" x14ac:dyDescent="0.25">
      <c r="D31" s="2837" t="s">
        <v>773</v>
      </c>
      <c r="E31" s="2838"/>
      <c r="F31" s="2839"/>
      <c r="G31" s="2866">
        <v>0.79702511499999995</v>
      </c>
      <c r="H31" s="2866">
        <v>0.80849722299999993</v>
      </c>
      <c r="I31" s="2866">
        <v>0.80900786899999999</v>
      </c>
      <c r="J31" s="2866">
        <v>0.78925426900000006</v>
      </c>
      <c r="K31" s="2866">
        <v>0.78628499500000004</v>
      </c>
      <c r="L31" s="2866">
        <v>0.79513746100000005</v>
      </c>
      <c r="M31" s="2866">
        <v>0.77531083699999992</v>
      </c>
      <c r="N31" s="2830"/>
      <c r="O31" s="2866">
        <v>0.77116662300000005</v>
      </c>
      <c r="P31" s="2866">
        <v>0.76174881699999997</v>
      </c>
      <c r="Q31" s="2841"/>
      <c r="R31" s="2867">
        <v>0.84781977999999991</v>
      </c>
      <c r="S31" s="2817"/>
      <c r="T31" s="2867">
        <v>0.17426503900000001</v>
      </c>
      <c r="U31" s="2866"/>
      <c r="V31" s="2866"/>
      <c r="W31" s="2843"/>
      <c r="X31" s="2816"/>
      <c r="Y31" s="2817"/>
      <c r="AX31" s="382"/>
    </row>
    <row r="32" spans="1:51" x14ac:dyDescent="0.25">
      <c r="D32" s="2837" t="s">
        <v>774</v>
      </c>
      <c r="E32" s="2838"/>
      <c r="F32" s="2839"/>
      <c r="G32" s="2840"/>
      <c r="H32" s="2840"/>
      <c r="I32" s="2840"/>
      <c r="J32" s="2840"/>
      <c r="K32" s="2840"/>
      <c r="L32" s="2868">
        <v>0.15600550699999999</v>
      </c>
      <c r="M32" s="2842"/>
      <c r="N32" s="2830"/>
      <c r="O32" s="2830"/>
      <c r="P32" s="2841"/>
      <c r="Q32" s="2841">
        <v>0.19221838999999999</v>
      </c>
      <c r="R32" s="2841">
        <v>0.19141688099999998</v>
      </c>
      <c r="S32" s="2841">
        <v>0.20771941999999999</v>
      </c>
      <c r="T32" s="2841">
        <v>0.20126053499999999</v>
      </c>
      <c r="U32" s="2841">
        <v>0.214</v>
      </c>
      <c r="V32" s="2841">
        <v>0.22</v>
      </c>
      <c r="W32" s="2869">
        <v>0.215</v>
      </c>
      <c r="X32" s="2841"/>
      <c r="Y32" s="2817"/>
      <c r="AX32" s="382"/>
    </row>
    <row r="33" spans="1:63" x14ac:dyDescent="0.25">
      <c r="D33" s="2837" t="s">
        <v>775</v>
      </c>
      <c r="E33" s="2844"/>
      <c r="F33" s="2839"/>
      <c r="G33" s="2870">
        <v>0.57567518100000004</v>
      </c>
      <c r="H33" s="2870">
        <v>0.59254396100000006</v>
      </c>
      <c r="I33" s="2871">
        <v>0.59925978000000002</v>
      </c>
      <c r="J33" s="2871">
        <v>0.60641471400000002</v>
      </c>
      <c r="K33" s="2871">
        <v>0.64851322700000003</v>
      </c>
      <c r="L33" s="2841">
        <v>0.66745162699999994</v>
      </c>
      <c r="M33" s="2872">
        <v>0.69533075600000005</v>
      </c>
      <c r="N33" s="2830"/>
      <c r="O33" s="2873">
        <v>0.75521570800000004</v>
      </c>
      <c r="P33" s="2841">
        <v>0.77721346000000002</v>
      </c>
      <c r="Q33" s="2867">
        <v>0.77721346000000002</v>
      </c>
      <c r="R33" s="2870">
        <v>0.79229503600000006</v>
      </c>
      <c r="S33" s="2870">
        <v>0.80932900099999994</v>
      </c>
      <c r="T33" s="2870">
        <v>0.80382913200000006</v>
      </c>
      <c r="U33" s="2866">
        <v>0.81499999999999995</v>
      </c>
      <c r="V33" s="2866">
        <v>0.82</v>
      </c>
      <c r="W33" s="2874">
        <v>0.82199999999999995</v>
      </c>
      <c r="X33" s="2866"/>
      <c r="Y33" s="2817"/>
      <c r="AX33" s="382"/>
    </row>
    <row r="34" spans="1:63" x14ac:dyDescent="0.25">
      <c r="D34" s="2845" t="s">
        <v>776</v>
      </c>
      <c r="E34" s="2846"/>
      <c r="F34" s="2847"/>
      <c r="G34" s="2875">
        <v>0.25679812499999999</v>
      </c>
      <c r="H34" s="2875">
        <v>0.23536975800000001</v>
      </c>
      <c r="I34" s="2875">
        <v>0.22703006100000001</v>
      </c>
      <c r="J34" s="2875">
        <v>0.21212214899999998</v>
      </c>
      <c r="K34" s="2875">
        <v>0.19598807900000001</v>
      </c>
      <c r="L34" s="2875">
        <v>0.181165305</v>
      </c>
      <c r="M34" s="2875">
        <v>0.178794335</v>
      </c>
      <c r="N34" s="2875">
        <v>0.16526255200000001</v>
      </c>
      <c r="O34" s="2875">
        <v>0.16333753099999998</v>
      </c>
      <c r="P34" s="2849">
        <v>0.15137735699999999</v>
      </c>
      <c r="Q34" s="2849">
        <v>0.14106903300000001</v>
      </c>
      <c r="R34" s="2849">
        <v>0.12986304000000001</v>
      </c>
      <c r="S34" s="2849">
        <v>0.12703294800000001</v>
      </c>
      <c r="T34" s="2849">
        <v>0.10944050399999999</v>
      </c>
      <c r="U34" s="2849">
        <v>1E-3</v>
      </c>
      <c r="V34" s="2849">
        <v>1E-3</v>
      </c>
      <c r="W34" s="2876">
        <v>1E-3</v>
      </c>
      <c r="X34" s="2841"/>
      <c r="Y34" s="2817"/>
      <c r="AC34" s="390"/>
      <c r="AX34" s="382"/>
    </row>
    <row r="35" spans="1:63" x14ac:dyDescent="0.25">
      <c r="D35" s="387"/>
      <c r="E35" s="387"/>
      <c r="F35" s="388"/>
      <c r="G35" s="388"/>
      <c r="H35" s="388"/>
      <c r="I35" s="388"/>
      <c r="J35" s="388"/>
      <c r="K35" s="388"/>
      <c r="L35" s="388"/>
      <c r="M35" s="388"/>
      <c r="N35" s="388"/>
      <c r="O35" s="388"/>
      <c r="P35" s="388"/>
      <c r="Q35" s="389"/>
      <c r="R35" s="384"/>
      <c r="S35" s="384"/>
      <c r="T35" s="384"/>
      <c r="U35" s="384"/>
      <c r="V35" s="384"/>
      <c r="AW35" s="382"/>
    </row>
    <row r="36" spans="1:63" x14ac:dyDescent="0.25">
      <c r="D36" s="387"/>
      <c r="E36" s="387"/>
      <c r="F36" s="387"/>
      <c r="G36" s="384"/>
      <c r="H36" s="384"/>
      <c r="I36" s="384"/>
      <c r="J36" s="384"/>
      <c r="K36" s="384"/>
      <c r="L36" s="384"/>
      <c r="M36" s="384"/>
      <c r="N36" s="384"/>
      <c r="O36" s="384"/>
      <c r="P36" s="385"/>
      <c r="AS36" s="382"/>
    </row>
    <row r="37" spans="1:63" x14ac:dyDescent="0.25">
      <c r="A37" s="352">
        <v>5</v>
      </c>
      <c r="B37" s="353" t="s">
        <v>52</v>
      </c>
      <c r="C37" s="352"/>
      <c r="D37" s="5044" t="s">
        <v>779</v>
      </c>
      <c r="E37" s="5045"/>
      <c r="F37" s="5045"/>
      <c r="G37" s="5045"/>
      <c r="H37" s="5045"/>
      <c r="I37" s="5045"/>
      <c r="J37" s="5045"/>
      <c r="K37" s="5045"/>
      <c r="L37" s="5045"/>
      <c r="M37" s="5045"/>
      <c r="N37" s="5045"/>
      <c r="O37" s="5045"/>
      <c r="P37" s="5045"/>
      <c r="Q37" s="5045"/>
      <c r="R37" s="5045"/>
      <c r="S37" s="5045"/>
      <c r="T37" s="5045"/>
      <c r="U37" s="5045"/>
      <c r="V37" s="5045"/>
      <c r="W37" s="5046"/>
      <c r="X37" s="881"/>
      <c r="AS37" s="382"/>
    </row>
    <row r="38" spans="1:63" ht="81" customHeight="1" x14ac:dyDescent="0.25">
      <c r="A38" s="391">
        <v>6</v>
      </c>
      <c r="B38" s="392" t="s">
        <v>54</v>
      </c>
      <c r="C38" s="391"/>
      <c r="D38" s="4753" t="s">
        <v>780</v>
      </c>
      <c r="E38" s="4754"/>
      <c r="F38" s="4754"/>
      <c r="G38" s="4754"/>
      <c r="H38" s="4754"/>
      <c r="I38" s="4754"/>
      <c r="J38" s="4754"/>
      <c r="K38" s="4754"/>
      <c r="L38" s="4754"/>
      <c r="M38" s="4754"/>
      <c r="N38" s="4754"/>
      <c r="O38" s="4754"/>
      <c r="P38" s="4754"/>
      <c r="Q38" s="4754"/>
      <c r="R38" s="4754"/>
      <c r="S38" s="4754"/>
      <c r="T38" s="4754"/>
      <c r="U38" s="4754"/>
      <c r="V38" s="4754"/>
      <c r="W38" s="4755"/>
      <c r="X38" s="884"/>
      <c r="AS38" s="382"/>
    </row>
    <row r="39" spans="1:63" ht="50.85" customHeight="1" x14ac:dyDescent="0.25">
      <c r="A39" s="352">
        <v>7</v>
      </c>
      <c r="B39" s="353" t="s">
        <v>56</v>
      </c>
      <c r="C39" s="352"/>
      <c r="D39" s="4753" t="s">
        <v>781</v>
      </c>
      <c r="E39" s="4754"/>
      <c r="F39" s="4754"/>
      <c r="G39" s="4754"/>
      <c r="H39" s="4754"/>
      <c r="I39" s="4754"/>
      <c r="J39" s="4754"/>
      <c r="K39" s="4754"/>
      <c r="L39" s="4754"/>
      <c r="M39" s="4754"/>
      <c r="N39" s="4754"/>
      <c r="O39" s="4754"/>
      <c r="P39" s="4754"/>
      <c r="Q39" s="4754"/>
      <c r="R39" s="4754"/>
      <c r="S39" s="4754"/>
      <c r="T39" s="4754"/>
      <c r="U39" s="4754"/>
      <c r="V39" s="4754"/>
      <c r="W39" s="4755"/>
      <c r="X39" s="884"/>
      <c r="AS39" s="382"/>
    </row>
    <row r="40" spans="1:63" ht="51" customHeight="1" x14ac:dyDescent="0.25">
      <c r="A40" s="352">
        <v>8</v>
      </c>
      <c r="B40" s="353" t="s">
        <v>355</v>
      </c>
      <c r="C40" s="352"/>
      <c r="D40" s="4753" t="s">
        <v>782</v>
      </c>
      <c r="E40" s="4754"/>
      <c r="F40" s="4754"/>
      <c r="G40" s="4754"/>
      <c r="H40" s="4754"/>
      <c r="I40" s="4754"/>
      <c r="J40" s="4754"/>
      <c r="K40" s="4754"/>
      <c r="L40" s="4754"/>
      <c r="M40" s="4754"/>
      <c r="N40" s="4754"/>
      <c r="O40" s="4754"/>
      <c r="P40" s="4754"/>
      <c r="Q40" s="4754"/>
      <c r="R40" s="4754"/>
      <c r="S40" s="4754"/>
      <c r="T40" s="4754"/>
      <c r="U40" s="4754"/>
      <c r="V40" s="4754"/>
      <c r="W40" s="4755"/>
      <c r="X40" s="884"/>
      <c r="AS40" s="382"/>
    </row>
    <row r="41" spans="1:63" x14ac:dyDescent="0.25">
      <c r="Q41" s="351" t="s">
        <v>351</v>
      </c>
    </row>
    <row r="46" spans="1:63" x14ac:dyDescent="0.25">
      <c r="BF46" s="393"/>
      <c r="BG46" s="393"/>
      <c r="BH46" s="393"/>
      <c r="BI46" s="393"/>
      <c r="BJ46" s="393"/>
      <c r="BK46" s="393"/>
    </row>
    <row r="47" spans="1:63" x14ac:dyDescent="0.25">
      <c r="BF47" s="394"/>
      <c r="BG47" s="394"/>
      <c r="BH47" s="394"/>
      <c r="BI47" s="394"/>
      <c r="BJ47" s="394"/>
      <c r="BK47" s="394"/>
    </row>
    <row r="50" spans="2:30" x14ac:dyDescent="0.25">
      <c r="B50" s="353"/>
      <c r="C50" s="352"/>
      <c r="H50" s="356"/>
      <c r="I50" s="356"/>
      <c r="J50" s="356"/>
      <c r="K50" s="356"/>
      <c r="L50" s="356"/>
      <c r="M50" s="356"/>
      <c r="N50" s="356"/>
      <c r="O50" s="356"/>
    </row>
    <row r="51" spans="2:30" x14ac:dyDescent="0.25">
      <c r="B51" s="353"/>
      <c r="C51" s="352"/>
      <c r="H51" s="356"/>
      <c r="I51" s="356"/>
      <c r="J51" s="356"/>
      <c r="K51" s="356"/>
      <c r="L51" s="356"/>
      <c r="M51" s="356"/>
      <c r="N51" s="356"/>
      <c r="O51" s="356"/>
    </row>
    <row r="52" spans="2:30" x14ac:dyDescent="0.25">
      <c r="B52" s="353"/>
      <c r="C52" s="352"/>
      <c r="H52" s="356"/>
      <c r="I52" s="356"/>
      <c r="J52" s="356"/>
      <c r="K52" s="356"/>
      <c r="L52" s="395"/>
      <c r="M52" s="356"/>
      <c r="N52" s="356"/>
      <c r="O52" s="356"/>
    </row>
    <row r="53" spans="2:30" x14ac:dyDescent="0.25">
      <c r="B53" s="353"/>
      <c r="C53" s="352"/>
      <c r="H53" s="356"/>
      <c r="I53" s="356"/>
      <c r="J53" s="356"/>
      <c r="K53" s="356"/>
      <c r="L53" s="395"/>
      <c r="M53" s="356"/>
      <c r="N53" s="356"/>
      <c r="O53" s="356"/>
    </row>
    <row r="54" spans="2:30" x14ac:dyDescent="0.25">
      <c r="B54" s="353"/>
      <c r="C54" s="352"/>
      <c r="H54" s="356"/>
      <c r="I54" s="356"/>
      <c r="J54" s="356"/>
      <c r="K54" s="356"/>
      <c r="L54" s="356"/>
      <c r="M54" s="356"/>
      <c r="N54" s="356"/>
      <c r="O54" s="356"/>
    </row>
    <row r="55" spans="2:30" x14ac:dyDescent="0.25">
      <c r="B55" s="353"/>
      <c r="C55" s="352"/>
      <c r="H55" s="356"/>
      <c r="I55" s="356"/>
      <c r="J55" s="356"/>
      <c r="K55" s="356"/>
      <c r="L55" s="356"/>
      <c r="M55" s="356"/>
      <c r="N55" s="356"/>
      <c r="O55" s="356"/>
    </row>
    <row r="56" spans="2:30" x14ac:dyDescent="0.25">
      <c r="B56" s="353"/>
      <c r="C56" s="352"/>
      <c r="H56" s="356"/>
      <c r="I56" s="356"/>
      <c r="J56" s="356"/>
      <c r="K56" s="356"/>
      <c r="L56" s="356"/>
      <c r="M56" s="356"/>
      <c r="N56" s="356"/>
      <c r="O56" s="356"/>
    </row>
    <row r="57" spans="2:30" x14ac:dyDescent="0.25">
      <c r="B57" s="353"/>
      <c r="C57" s="352"/>
      <c r="H57" s="356"/>
      <c r="I57" s="356"/>
      <c r="J57" s="356"/>
      <c r="K57" s="356"/>
      <c r="L57" s="356"/>
      <c r="M57" s="356"/>
      <c r="N57" s="356"/>
      <c r="O57" s="356"/>
    </row>
    <row r="58" spans="2:30" x14ac:dyDescent="0.25">
      <c r="B58" s="353"/>
      <c r="C58" s="871"/>
      <c r="D58" s="872">
        <v>2000</v>
      </c>
      <c r="E58" s="872">
        <v>2001</v>
      </c>
      <c r="F58" s="872">
        <v>2002</v>
      </c>
      <c r="G58" s="872">
        <v>2003</v>
      </c>
      <c r="H58" s="872">
        <v>2004</v>
      </c>
      <c r="I58" s="872">
        <v>2005</v>
      </c>
      <c r="J58" s="872">
        <v>2006</v>
      </c>
      <c r="K58" s="872">
        <v>2007</v>
      </c>
      <c r="L58" s="872">
        <v>2008</v>
      </c>
      <c r="M58" s="872">
        <v>2009</v>
      </c>
      <c r="N58" s="872">
        <v>2010</v>
      </c>
      <c r="O58" s="872">
        <v>2011</v>
      </c>
      <c r="P58" s="872">
        <v>2012</v>
      </c>
      <c r="Q58" s="872">
        <v>2013</v>
      </c>
      <c r="R58" s="872">
        <v>2014</v>
      </c>
      <c r="S58" s="872">
        <v>2015</v>
      </c>
      <c r="T58" s="873">
        <v>2016</v>
      </c>
      <c r="U58" s="873">
        <v>2017</v>
      </c>
      <c r="V58" s="873">
        <v>2018</v>
      </c>
      <c r="W58" s="873">
        <v>2019</v>
      </c>
      <c r="X58" s="354"/>
    </row>
    <row r="59" spans="2:30" ht="44.45" customHeight="1" x14ac:dyDescent="0.25">
      <c r="B59" s="376"/>
      <c r="C59" s="874" t="s">
        <v>767</v>
      </c>
      <c r="D59" s="875"/>
      <c r="E59" s="875"/>
      <c r="F59" s="876">
        <v>5.6755628402932103E-3</v>
      </c>
      <c r="G59" s="876">
        <v>4.2630729673008898E-2</v>
      </c>
      <c r="H59" s="876">
        <v>0.124359045705991</v>
      </c>
      <c r="I59" s="876">
        <v>0.338566194187018</v>
      </c>
      <c r="J59" s="876">
        <v>0.67885108396137095</v>
      </c>
      <c r="K59" s="876">
        <v>0.75770968096994695</v>
      </c>
      <c r="L59" s="876">
        <v>0.9</v>
      </c>
      <c r="M59" s="876">
        <v>1</v>
      </c>
      <c r="N59" s="876">
        <v>1.5</v>
      </c>
      <c r="O59" s="876">
        <v>1.7354362458124699</v>
      </c>
      <c r="P59" s="876">
        <v>2.0891270428306701</v>
      </c>
      <c r="Q59" s="876">
        <v>3.0040696038171499</v>
      </c>
      <c r="R59" s="876">
        <v>3.1285779640620901</v>
      </c>
      <c r="S59" s="876">
        <v>2.5489523880145502</v>
      </c>
      <c r="T59" s="877">
        <v>2</v>
      </c>
      <c r="U59" s="877">
        <v>1.9701698074273499</v>
      </c>
      <c r="V59" s="877">
        <v>1.9</v>
      </c>
      <c r="W59" s="877">
        <v>2.1</v>
      </c>
      <c r="X59" s="29"/>
    </row>
    <row r="60" spans="2:30" x14ac:dyDescent="0.25">
      <c r="B60" s="353"/>
      <c r="C60" s="352"/>
      <c r="AD60" s="351" t="s">
        <v>358</v>
      </c>
    </row>
    <row r="61" spans="2:30" x14ac:dyDescent="0.25">
      <c r="B61" s="353"/>
      <c r="C61" s="871"/>
      <c r="D61" s="872">
        <v>2000</v>
      </c>
      <c r="E61" s="872">
        <v>2001</v>
      </c>
      <c r="F61" s="872">
        <v>2002</v>
      </c>
      <c r="G61" s="872">
        <v>2003</v>
      </c>
      <c r="H61" s="872">
        <v>2004</v>
      </c>
      <c r="I61" s="872">
        <v>2005</v>
      </c>
      <c r="J61" s="872">
        <v>2006</v>
      </c>
      <c r="K61" s="872">
        <v>2007</v>
      </c>
      <c r="L61" s="872">
        <v>2008</v>
      </c>
      <c r="M61" s="872">
        <v>2009</v>
      </c>
      <c r="N61" s="872">
        <v>2010</v>
      </c>
      <c r="O61" s="872">
        <v>2011</v>
      </c>
      <c r="P61" s="872">
        <v>2012</v>
      </c>
      <c r="Q61" s="872">
        <v>2013</v>
      </c>
      <c r="R61" s="872">
        <v>2014</v>
      </c>
      <c r="S61" s="872">
        <v>2015</v>
      </c>
      <c r="T61" s="873">
        <v>2016</v>
      </c>
      <c r="U61" s="873">
        <v>2017</v>
      </c>
      <c r="V61" s="873">
        <v>2018</v>
      </c>
      <c r="W61" s="873">
        <v>2019</v>
      </c>
      <c r="X61" s="354"/>
    </row>
    <row r="62" spans="2:30" ht="63.75" x14ac:dyDescent="0.25">
      <c r="B62" s="353"/>
      <c r="C62" s="874" t="s">
        <v>763</v>
      </c>
      <c r="D62" s="876">
        <v>18.5</v>
      </c>
      <c r="E62" s="876">
        <v>23.7</v>
      </c>
      <c r="F62" s="876">
        <v>29.7</v>
      </c>
      <c r="G62" s="876">
        <v>36.1</v>
      </c>
      <c r="H62" s="876">
        <v>44.1</v>
      </c>
      <c r="I62" s="876">
        <v>70.900000000000006</v>
      </c>
      <c r="J62" s="876">
        <v>81.8</v>
      </c>
      <c r="K62" s="876">
        <v>86.1</v>
      </c>
      <c r="L62" s="876">
        <v>90.4</v>
      </c>
      <c r="M62" s="876">
        <v>92</v>
      </c>
      <c r="N62" s="876">
        <v>98.4</v>
      </c>
      <c r="O62" s="876">
        <v>123.1</v>
      </c>
      <c r="P62" s="876">
        <v>129.5</v>
      </c>
      <c r="Q62" s="876">
        <v>143.19999999999999</v>
      </c>
      <c r="R62" s="876">
        <v>145.36368648737599</v>
      </c>
      <c r="S62" s="876">
        <v>158.9</v>
      </c>
      <c r="T62" s="877">
        <v>146.6</v>
      </c>
      <c r="U62" s="877">
        <v>155.23239566224399</v>
      </c>
      <c r="V62" s="877">
        <v>159.9</v>
      </c>
      <c r="W62" s="877">
        <v>165.6</v>
      </c>
      <c r="X62" s="29"/>
    </row>
    <row r="63" spans="2:30" x14ac:dyDescent="0.25">
      <c r="B63" s="353"/>
      <c r="C63" s="364"/>
      <c r="D63" s="369"/>
      <c r="E63" s="369"/>
      <c r="F63" s="369"/>
      <c r="G63" s="369"/>
      <c r="H63" s="369"/>
      <c r="I63" s="369"/>
      <c r="J63" s="369"/>
      <c r="K63" s="369"/>
      <c r="L63" s="369"/>
      <c r="M63" s="369"/>
      <c r="N63" s="369"/>
      <c r="O63" s="369"/>
      <c r="P63" s="369"/>
      <c r="Q63" s="369"/>
      <c r="R63" s="29"/>
      <c r="S63" s="29"/>
      <c r="T63" s="29"/>
      <c r="U63" s="370"/>
    </row>
    <row r="64" spans="2:30" x14ac:dyDescent="0.25">
      <c r="B64" s="353"/>
      <c r="C64" s="352"/>
    </row>
    <row r="65" spans="2:32" x14ac:dyDescent="0.25">
      <c r="B65" s="353"/>
      <c r="C65" s="352"/>
    </row>
    <row r="66" spans="2:32" x14ac:dyDescent="0.25">
      <c r="B66" s="353"/>
      <c r="C66" s="352"/>
    </row>
    <row r="67" spans="2:32" x14ac:dyDescent="0.25">
      <c r="B67" s="353"/>
      <c r="C67" s="352"/>
    </row>
    <row r="68" spans="2:32" x14ac:dyDescent="0.25">
      <c r="B68" s="353"/>
      <c r="C68" s="352"/>
      <c r="D68" s="396"/>
      <c r="E68" s="396"/>
      <c r="F68" s="396"/>
      <c r="G68" s="5041"/>
      <c r="H68" s="5042"/>
      <c r="I68" s="5042"/>
      <c r="J68" s="5042"/>
      <c r="K68" s="5042"/>
      <c r="L68" s="5042"/>
      <c r="M68" s="5042"/>
      <c r="N68" s="5042"/>
      <c r="O68" s="5042"/>
      <c r="P68" s="5042"/>
      <c r="Q68" s="5042"/>
      <c r="R68" s="5042"/>
      <c r="S68" s="5042"/>
      <c r="T68" s="5042"/>
      <c r="U68" s="5042"/>
      <c r="V68" s="5042"/>
      <c r="W68" s="5042"/>
      <c r="X68" s="5042"/>
      <c r="Y68" s="5042"/>
      <c r="Z68" s="5042"/>
      <c r="AA68" s="5042"/>
      <c r="AB68" s="5042"/>
      <c r="AC68" s="5042"/>
      <c r="AD68" s="5042"/>
      <c r="AE68" s="5042"/>
      <c r="AF68" s="5043"/>
    </row>
    <row r="69" spans="2:32" x14ac:dyDescent="0.25">
      <c r="B69" s="397"/>
      <c r="C69" s="398"/>
      <c r="D69" s="399"/>
      <c r="E69" s="399"/>
      <c r="F69" s="399"/>
      <c r="G69" s="5041"/>
      <c r="H69" s="5042"/>
      <c r="I69" s="5042"/>
      <c r="J69" s="5042"/>
      <c r="K69" s="5042"/>
      <c r="L69" s="5042"/>
      <c r="M69" s="5042"/>
      <c r="N69" s="5042"/>
      <c r="O69" s="5042"/>
      <c r="P69" s="5042"/>
      <c r="Q69" s="5042"/>
      <c r="R69" s="5042"/>
      <c r="S69" s="5042"/>
      <c r="T69" s="5042"/>
      <c r="U69" s="5042"/>
      <c r="V69" s="5042"/>
      <c r="W69" s="5042"/>
      <c r="X69" s="3764"/>
      <c r="Y69" s="3765"/>
      <c r="Z69" s="3765"/>
      <c r="AA69" s="3765"/>
      <c r="AB69" s="3765"/>
      <c r="AC69" s="3765"/>
      <c r="AD69" s="3765"/>
      <c r="AE69" s="3765"/>
      <c r="AF69" s="3766"/>
    </row>
    <row r="70" spans="2:32" x14ac:dyDescent="0.25">
      <c r="B70" s="400"/>
      <c r="C70" s="401"/>
      <c r="D70" s="396"/>
      <c r="E70" s="396"/>
      <c r="F70" s="396"/>
      <c r="G70" s="5041"/>
      <c r="H70" s="5042"/>
      <c r="I70" s="5042"/>
      <c r="J70" s="5042"/>
      <c r="K70" s="5042"/>
      <c r="L70" s="5042"/>
      <c r="M70" s="5042"/>
      <c r="N70" s="5042"/>
      <c r="O70" s="5042"/>
      <c r="P70" s="5042"/>
      <c r="Q70" s="5042"/>
      <c r="R70" s="5042"/>
      <c r="S70" s="5042"/>
      <c r="T70" s="5042"/>
      <c r="U70" s="5042"/>
      <c r="V70" s="5042"/>
      <c r="W70" s="5042"/>
      <c r="X70" s="3764"/>
      <c r="Y70" s="3765"/>
      <c r="Z70" s="3765"/>
      <c r="AA70" s="3765"/>
      <c r="AB70" s="3765"/>
      <c r="AC70" s="3765"/>
      <c r="AD70" s="3765"/>
      <c r="AE70" s="3765"/>
      <c r="AF70" s="3766"/>
    </row>
  </sheetData>
  <mergeCells count="10">
    <mergeCell ref="D40:W40"/>
    <mergeCell ref="G68:AF68"/>
    <mergeCell ref="G69:W69"/>
    <mergeCell ref="G70:W70"/>
    <mergeCell ref="D2:W2"/>
    <mergeCell ref="D3:W3"/>
    <mergeCell ref="D4:W4"/>
    <mergeCell ref="D37:W37"/>
    <mergeCell ref="D38:W38"/>
    <mergeCell ref="D39:W39"/>
  </mergeCells>
  <pageMargins left="0.74803149606299202" right="0.74803149606299202" top="0.98425196850393704" bottom="0.98425196850393704" header="0.511811023622047" footer="0.511811023622047"/>
  <pageSetup paperSize="9" scale="29"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0CB94-C22D-4A9F-9489-2A7E05209AD2}">
  <sheetPr>
    <tabColor rgb="FFFF0000"/>
  </sheetPr>
  <dimension ref="A1:N26"/>
  <sheetViews>
    <sheetView showGridLines="0" view="pageBreakPreview" zoomScaleNormal="100" zoomScaleSheetLayoutView="100" workbookViewId="0">
      <selection activeCell="X19" sqref="X19"/>
    </sheetView>
  </sheetViews>
  <sheetFormatPr defaultColWidth="9.140625" defaultRowHeight="16.5" x14ac:dyDescent="0.3"/>
  <cols>
    <col min="1" max="1" width="9.140625" style="2227"/>
    <col min="2" max="2" width="11.140625" style="2227" customWidth="1"/>
    <col min="3" max="3" width="9.140625" style="2227"/>
    <col min="4" max="4" width="15.140625" style="2227" customWidth="1"/>
    <col min="5" max="16384" width="9.140625" style="2227"/>
  </cols>
  <sheetData>
    <row r="1" spans="1:14" s="2222" customFormat="1" ht="12.75" customHeight="1" x14ac:dyDescent="0.3">
      <c r="A1" s="2221">
        <v>1</v>
      </c>
      <c r="B1" s="2221" t="s">
        <v>1706</v>
      </c>
      <c r="C1" s="2221">
        <v>20</v>
      </c>
      <c r="D1" s="5049" t="s">
        <v>1707</v>
      </c>
      <c r="E1" s="5050"/>
      <c r="F1" s="5050"/>
      <c r="G1" s="5050"/>
      <c r="H1" s="5050"/>
      <c r="I1" s="5050"/>
      <c r="J1" s="5050"/>
      <c r="K1" s="5050"/>
      <c r="L1" s="5050"/>
      <c r="M1" s="5050"/>
      <c r="N1" s="5050"/>
    </row>
    <row r="2" spans="1:14" s="2222" customFormat="1" ht="12.75" customHeight="1" x14ac:dyDescent="0.3">
      <c r="A2" s="2221">
        <v>2</v>
      </c>
      <c r="B2" s="2221" t="s">
        <v>1708</v>
      </c>
      <c r="C2" s="2221"/>
      <c r="D2" s="5049" t="s">
        <v>1709</v>
      </c>
      <c r="E2" s="5050"/>
      <c r="F2" s="5050"/>
      <c r="G2" s="5050"/>
      <c r="H2" s="5050"/>
      <c r="I2" s="5050"/>
      <c r="J2" s="5050"/>
      <c r="K2" s="5050"/>
      <c r="L2" s="5050"/>
      <c r="M2" s="5050"/>
      <c r="N2" s="5050"/>
    </row>
    <row r="3" spans="1:14" s="2222" customFormat="1" ht="12.75" customHeight="1" x14ac:dyDescent="0.3">
      <c r="A3" s="2221">
        <v>3</v>
      </c>
      <c r="B3" s="2221" t="s">
        <v>4</v>
      </c>
      <c r="C3" s="2221"/>
      <c r="D3" s="5049" t="s">
        <v>1710</v>
      </c>
      <c r="E3" s="5051"/>
      <c r="F3" s="5051"/>
      <c r="G3" s="5051"/>
      <c r="H3" s="5051"/>
      <c r="I3" s="5051"/>
      <c r="J3" s="5051"/>
      <c r="K3" s="5051"/>
      <c r="L3" s="5051"/>
      <c r="M3" s="5051"/>
      <c r="N3" s="5051"/>
    </row>
    <row r="4" spans="1:14" s="2222" customFormat="1" ht="12.75" customHeight="1" x14ac:dyDescent="0.3">
      <c r="A4" s="2221"/>
      <c r="B4" s="2221"/>
      <c r="C4" s="2221"/>
      <c r="D4" s="2223"/>
      <c r="E4" s="2224"/>
      <c r="F4" s="2224"/>
      <c r="G4" s="2224"/>
      <c r="H4" s="2224"/>
      <c r="I4" s="2224"/>
      <c r="J4" s="2224"/>
      <c r="K4" s="2224"/>
      <c r="L4" s="2224"/>
      <c r="M4" s="2224"/>
      <c r="N4" s="2224"/>
    </row>
    <row r="5" spans="1:14" s="2222" customFormat="1" x14ac:dyDescent="0.3">
      <c r="A5" s="2221">
        <v>4</v>
      </c>
      <c r="B5" s="2221" t="s">
        <v>6</v>
      </c>
      <c r="C5" s="2225"/>
      <c r="D5" s="2226"/>
      <c r="E5" s="2226"/>
      <c r="F5" s="2226"/>
      <c r="G5" s="2226"/>
      <c r="H5" s="2226"/>
      <c r="I5" s="2226"/>
      <c r="J5" s="2226"/>
      <c r="K5" s="2226"/>
      <c r="L5" s="2226"/>
      <c r="M5" s="2226"/>
      <c r="N5" s="2226"/>
    </row>
    <row r="6" spans="1:14" s="2222" customFormat="1" x14ac:dyDescent="0.3">
      <c r="A6" s="2221"/>
      <c r="B6" s="5052" t="s">
        <v>1711</v>
      </c>
      <c r="C6" s="5053"/>
      <c r="D6" s="5053"/>
      <c r="E6" s="5053"/>
      <c r="F6" s="5053"/>
      <c r="G6" s="5053"/>
      <c r="H6" s="5053"/>
      <c r="I6" s="5053"/>
      <c r="J6" s="5053"/>
      <c r="K6" s="5053"/>
      <c r="L6" s="5053"/>
      <c r="M6" s="5053"/>
      <c r="N6" s="5053"/>
    </row>
    <row r="7" spans="1:14" x14ac:dyDescent="0.3">
      <c r="D7" s="5054" t="s">
        <v>655</v>
      </c>
      <c r="E7" s="5055" t="s">
        <v>1712</v>
      </c>
      <c r="F7" s="5055"/>
      <c r="G7" s="5055"/>
      <c r="H7" s="5055" t="s">
        <v>1713</v>
      </c>
      <c r="I7" s="5055"/>
      <c r="J7" s="5055"/>
      <c r="K7" s="5055" t="s">
        <v>1714</v>
      </c>
      <c r="L7" s="5055"/>
      <c r="M7" s="5055"/>
    </row>
    <row r="8" spans="1:14" x14ac:dyDescent="0.3">
      <c r="D8" s="5054"/>
      <c r="E8" s="2228">
        <v>2001</v>
      </c>
      <c r="F8" s="2228">
        <v>2011</v>
      </c>
      <c r="G8" s="2228">
        <v>2016</v>
      </c>
      <c r="H8" s="2228">
        <v>2001</v>
      </c>
      <c r="I8" s="2228">
        <v>2011</v>
      </c>
      <c r="J8" s="2228">
        <v>2016</v>
      </c>
      <c r="K8" s="2228">
        <v>2001</v>
      </c>
      <c r="L8" s="2228">
        <v>2011</v>
      </c>
      <c r="M8" s="2228">
        <v>2016</v>
      </c>
    </row>
    <row r="9" spans="1:14" x14ac:dyDescent="0.3">
      <c r="D9" s="2229"/>
      <c r="E9" s="2229"/>
      <c r="F9" s="2229"/>
      <c r="G9" s="2229"/>
      <c r="H9" s="2229"/>
      <c r="I9" s="2229"/>
      <c r="J9" s="2229"/>
      <c r="K9" s="2229"/>
      <c r="L9" s="2229"/>
      <c r="M9" s="2229"/>
    </row>
    <row r="10" spans="1:14" x14ac:dyDescent="0.3">
      <c r="D10" s="2228" t="s">
        <v>1715</v>
      </c>
      <c r="E10" s="2229">
        <v>17.899999999999999</v>
      </c>
      <c r="F10" s="877">
        <v>8</v>
      </c>
      <c r="G10" s="877">
        <v>7.0449623858297281</v>
      </c>
      <c r="H10" s="2229">
        <v>43.9</v>
      </c>
      <c r="I10" s="2229">
        <v>42.3</v>
      </c>
      <c r="J10" s="877">
        <v>42.801735200319925</v>
      </c>
      <c r="K10" s="2229">
        <v>0.08</v>
      </c>
      <c r="L10" s="2229">
        <v>0.03</v>
      </c>
      <c r="M10" s="2230">
        <v>3.0153661453449811E-2</v>
      </c>
    </row>
    <row r="11" spans="1:14" x14ac:dyDescent="0.3">
      <c r="D11" s="2229"/>
      <c r="E11" s="2229"/>
      <c r="F11" s="2229"/>
      <c r="G11" s="877"/>
      <c r="H11" s="2229"/>
      <c r="I11" s="2229"/>
      <c r="J11" s="877"/>
      <c r="K11" s="2229"/>
      <c r="L11" s="2229"/>
      <c r="M11" s="2231"/>
    </row>
    <row r="12" spans="1:14" x14ac:dyDescent="0.3">
      <c r="D12" s="2229" t="s">
        <v>284</v>
      </c>
      <c r="E12" s="2229">
        <v>6.7</v>
      </c>
      <c r="F12" s="2229">
        <v>3.6</v>
      </c>
      <c r="G12" s="877">
        <v>2.6842853822174018</v>
      </c>
      <c r="H12" s="2229">
        <v>44.9</v>
      </c>
      <c r="I12" s="2229">
        <v>42.6</v>
      </c>
      <c r="J12" s="877">
        <v>40.113675284940811</v>
      </c>
      <c r="K12" s="2229">
        <v>0.03</v>
      </c>
      <c r="L12" s="2229">
        <v>0.02</v>
      </c>
      <c r="M12" s="2231">
        <v>1.076765521943821E-2</v>
      </c>
    </row>
    <row r="13" spans="1:14" x14ac:dyDescent="0.3">
      <c r="D13" s="2229" t="s">
        <v>276</v>
      </c>
      <c r="E13" s="2229">
        <v>30.2</v>
      </c>
      <c r="F13" s="2229">
        <v>14.4</v>
      </c>
      <c r="G13" s="877">
        <v>12.671609401957973</v>
      </c>
      <c r="H13" s="2229">
        <v>43.7</v>
      </c>
      <c r="I13" s="2229">
        <v>41.9</v>
      </c>
      <c r="J13" s="877">
        <v>43.266343684220146</v>
      </c>
      <c r="K13" s="2229">
        <v>0.13</v>
      </c>
      <c r="L13" s="2229">
        <v>0.06</v>
      </c>
      <c r="M13" s="2231">
        <v>5.4825420741730892E-2</v>
      </c>
    </row>
    <row r="14" spans="1:14" x14ac:dyDescent="0.3">
      <c r="D14" s="2229" t="s">
        <v>283</v>
      </c>
      <c r="E14" s="2229">
        <v>11.3</v>
      </c>
      <c r="F14" s="2229">
        <v>7.1</v>
      </c>
      <c r="G14" s="877">
        <v>6.6025349770142583</v>
      </c>
      <c r="H14" s="2229">
        <v>42.3</v>
      </c>
      <c r="I14" s="2229">
        <v>42.1</v>
      </c>
      <c r="J14" s="877">
        <v>42.011215822566491</v>
      </c>
      <c r="K14" s="2229">
        <v>0.05</v>
      </c>
      <c r="L14" s="2229">
        <v>0.03</v>
      </c>
      <c r="M14" s="2231">
        <v>2.7738052189539009E-2</v>
      </c>
    </row>
    <row r="15" spans="1:14" x14ac:dyDescent="0.3">
      <c r="D15" s="2229" t="s">
        <v>277</v>
      </c>
      <c r="E15" s="2229">
        <v>17.399999999999999</v>
      </c>
      <c r="F15" s="2229">
        <v>5.5</v>
      </c>
      <c r="G15" s="877">
        <v>5.4825660620129408</v>
      </c>
      <c r="H15" s="2229">
        <v>44.3</v>
      </c>
      <c r="I15" s="2229">
        <v>42.2</v>
      </c>
      <c r="J15" s="877">
        <v>41.698147888744501</v>
      </c>
      <c r="K15" s="2229">
        <v>0.08</v>
      </c>
      <c r="L15" s="2229">
        <v>0.02</v>
      </c>
      <c r="M15" s="2231">
        <v>2.2861285046362718E-2</v>
      </c>
    </row>
    <row r="16" spans="1:14" x14ac:dyDescent="0.3">
      <c r="D16" s="2229" t="s">
        <v>1716</v>
      </c>
      <c r="E16" s="2229">
        <v>22.3</v>
      </c>
      <c r="F16" s="2229">
        <v>10.9</v>
      </c>
      <c r="G16" s="877">
        <v>7.6568917534209717</v>
      </c>
      <c r="H16" s="2229">
        <v>43.9</v>
      </c>
      <c r="I16" s="2229">
        <v>42</v>
      </c>
      <c r="J16" s="877">
        <v>42.548142231768203</v>
      </c>
      <c r="K16" s="2231">
        <v>0.1</v>
      </c>
      <c r="L16" s="2229">
        <v>0.05</v>
      </c>
      <c r="M16" s="2231">
        <v>3.2578651937780853E-2</v>
      </c>
    </row>
    <row r="17" spans="1:14" x14ac:dyDescent="0.3">
      <c r="D17" s="2229" t="s">
        <v>282</v>
      </c>
      <c r="E17" s="2229">
        <v>18.8</v>
      </c>
      <c r="F17" s="2229">
        <v>9.1999999999999993</v>
      </c>
      <c r="G17" s="877">
        <v>8.81991871038759</v>
      </c>
      <c r="H17" s="2229">
        <v>43.4</v>
      </c>
      <c r="I17" s="2229">
        <v>42</v>
      </c>
      <c r="J17" s="877">
        <v>42.502593134141947</v>
      </c>
      <c r="K17" s="2229">
        <v>0.08</v>
      </c>
      <c r="L17" s="2229">
        <v>0.04</v>
      </c>
      <c r="M17" s="2231">
        <v>3.7486941642380964E-2</v>
      </c>
    </row>
    <row r="18" spans="1:14" x14ac:dyDescent="0.3">
      <c r="D18" s="2229" t="s">
        <v>278</v>
      </c>
      <c r="E18" s="2229">
        <v>10.5</v>
      </c>
      <c r="F18" s="2229">
        <v>4.8</v>
      </c>
      <c r="G18" s="877">
        <v>4.6401076115850755</v>
      </c>
      <c r="H18" s="2229">
        <v>45</v>
      </c>
      <c r="I18" s="2229">
        <v>43.8</v>
      </c>
      <c r="J18" s="877">
        <v>44.120479714121139</v>
      </c>
      <c r="K18" s="2229">
        <v>0.05</v>
      </c>
      <c r="L18" s="2229">
        <v>0.02</v>
      </c>
      <c r="M18" s="2231">
        <v>2.0472377374827839E-2</v>
      </c>
    </row>
    <row r="19" spans="1:14" x14ac:dyDescent="0.3">
      <c r="D19" s="2229" t="s">
        <v>281</v>
      </c>
      <c r="E19" s="2229">
        <v>18.8</v>
      </c>
      <c r="F19" s="2229">
        <v>7.9</v>
      </c>
      <c r="G19" s="877">
        <v>7.7807224831877422</v>
      </c>
      <c r="H19" s="2229">
        <v>43.2</v>
      </c>
      <c r="I19" s="2229">
        <v>41.8</v>
      </c>
      <c r="J19" s="877">
        <v>42.714685255936061</v>
      </c>
      <c r="K19" s="2229">
        <v>0.08</v>
      </c>
      <c r="L19" s="2229">
        <v>0.03</v>
      </c>
      <c r="M19" s="2231">
        <v>3.3235111193314966E-2</v>
      </c>
    </row>
    <row r="20" spans="1:14" x14ac:dyDescent="0.3">
      <c r="D20" s="2229" t="s">
        <v>280</v>
      </c>
      <c r="E20" s="2229">
        <v>21.8</v>
      </c>
      <c r="F20" s="2229">
        <v>10.1</v>
      </c>
      <c r="G20" s="877">
        <v>11.485208117514787</v>
      </c>
      <c r="H20" s="2229">
        <v>43.5</v>
      </c>
      <c r="I20" s="2229">
        <v>41.6</v>
      </c>
      <c r="J20" s="877">
        <v>42.285579210127537</v>
      </c>
      <c r="K20" s="2229">
        <v>0.09</v>
      </c>
      <c r="L20" s="2229">
        <v>0.04</v>
      </c>
      <c r="M20" s="2231">
        <v>4.8565867759797134E-2</v>
      </c>
    </row>
    <row r="23" spans="1:14" x14ac:dyDescent="0.3">
      <c r="A23" s="2221">
        <v>5</v>
      </c>
      <c r="B23" s="2221" t="s">
        <v>52</v>
      </c>
      <c r="C23" s="2232"/>
      <c r="D23" s="5047" t="s">
        <v>1059</v>
      </c>
      <c r="E23" s="5048"/>
      <c r="F23" s="5048"/>
      <c r="G23" s="5048"/>
      <c r="H23" s="5048"/>
      <c r="I23" s="5048"/>
      <c r="J23" s="5048"/>
      <c r="K23" s="5048"/>
      <c r="L23" s="5048"/>
      <c r="M23" s="5048"/>
      <c r="N23" s="5048"/>
    </row>
    <row r="24" spans="1:14" ht="39" customHeight="1" x14ac:dyDescent="0.3">
      <c r="A24" s="2233">
        <v>6</v>
      </c>
      <c r="B24" s="2233" t="s">
        <v>54</v>
      </c>
      <c r="C24" s="2232"/>
      <c r="D24" s="5047" t="s">
        <v>1717</v>
      </c>
      <c r="E24" s="5048"/>
      <c r="F24" s="5048"/>
      <c r="G24" s="5048"/>
      <c r="H24" s="5048"/>
      <c r="I24" s="5048"/>
      <c r="J24" s="5048"/>
      <c r="K24" s="5048"/>
      <c r="L24" s="5048"/>
      <c r="M24" s="5048"/>
      <c r="N24" s="5048"/>
    </row>
    <row r="25" spans="1:14" x14ac:dyDescent="0.3">
      <c r="A25" s="2221">
        <v>7</v>
      </c>
      <c r="B25" s="2221" t="s">
        <v>56</v>
      </c>
      <c r="C25" s="2232"/>
      <c r="D25" s="5047" t="s">
        <v>1718</v>
      </c>
      <c r="E25" s="5048"/>
      <c r="F25" s="5048"/>
      <c r="G25" s="5048"/>
      <c r="H25" s="5048"/>
      <c r="I25" s="5048"/>
      <c r="J25" s="5048"/>
      <c r="K25" s="5048"/>
      <c r="L25" s="5048"/>
      <c r="M25" s="5048"/>
      <c r="N25" s="5048"/>
    </row>
    <row r="26" spans="1:14" ht="61.5" customHeight="1" x14ac:dyDescent="0.3">
      <c r="A26" s="2221">
        <v>8</v>
      </c>
      <c r="B26" s="2221" t="s">
        <v>1719</v>
      </c>
      <c r="C26" s="2232"/>
      <c r="D26" s="5047" t="s">
        <v>1720</v>
      </c>
      <c r="E26" s="5048"/>
      <c r="F26" s="5048"/>
      <c r="G26" s="5048"/>
      <c r="H26" s="5048"/>
      <c r="I26" s="5048"/>
      <c r="J26" s="5048"/>
      <c r="K26" s="5048"/>
      <c r="L26" s="5048"/>
      <c r="M26" s="5048"/>
      <c r="N26" s="5048"/>
    </row>
  </sheetData>
  <mergeCells count="12">
    <mergeCell ref="D23:N23"/>
    <mergeCell ref="D24:N24"/>
    <mergeCell ref="D25:N25"/>
    <mergeCell ref="D26:N26"/>
    <mergeCell ref="D1:N1"/>
    <mergeCell ref="D2:N2"/>
    <mergeCell ref="D3:N3"/>
    <mergeCell ref="B6:N6"/>
    <mergeCell ref="D7:D8"/>
    <mergeCell ref="E7:G7"/>
    <mergeCell ref="H7:J7"/>
    <mergeCell ref="K7:M7"/>
  </mergeCells>
  <pageMargins left="0.7" right="0.7" top="0.75" bottom="0.75" header="0.3" footer="0.3"/>
  <pageSetup paperSize="9" scale="6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4E8D7-7006-4D92-8342-B0056CE67614}">
  <sheetPr>
    <tabColor rgb="FFFFC000"/>
  </sheetPr>
  <dimension ref="A1:CS92"/>
  <sheetViews>
    <sheetView showGridLines="0" view="pageBreakPreview" topLeftCell="D1" zoomScale="110" zoomScaleNormal="100" zoomScaleSheetLayoutView="110" workbookViewId="0">
      <selection activeCell="E8" sqref="E8:AG8"/>
    </sheetView>
  </sheetViews>
  <sheetFormatPr defaultColWidth="9.140625" defaultRowHeight="15" x14ac:dyDescent="0.25"/>
  <cols>
    <col min="1" max="1" width="3.85546875" style="5" customWidth="1"/>
    <col min="2" max="2" width="12.85546875" style="2" customWidth="1"/>
    <col min="3" max="3" width="3.85546875" style="3" customWidth="1"/>
    <col min="4" max="4" width="14.42578125" style="4" bestFit="1" customWidth="1"/>
    <col min="5" max="5" width="6" style="4" customWidth="1"/>
    <col min="6" max="26" width="6.140625" style="4" customWidth="1"/>
    <col min="27" max="27" width="7.85546875" style="4" customWidth="1"/>
    <col min="28" max="28" width="6.140625" style="4" customWidth="1"/>
    <col min="29" max="31" width="7.140625" style="4" customWidth="1"/>
    <col min="32" max="32" width="7" style="4" customWidth="1"/>
    <col min="33" max="33" width="6.85546875" style="4" customWidth="1"/>
    <col min="34" max="34" width="10" style="4" customWidth="1"/>
    <col min="35" max="35" width="10" style="4" bestFit="1" customWidth="1"/>
    <col min="36" max="36" width="9.42578125" style="4" customWidth="1"/>
    <col min="37" max="38" width="10" style="4" customWidth="1"/>
    <col min="39" max="39" width="10" style="4" bestFit="1" customWidth="1"/>
    <col min="40" max="40" width="9.85546875" style="4" customWidth="1"/>
    <col min="41" max="42" width="10" style="4" customWidth="1"/>
    <col min="43" max="43" width="10" style="4" bestFit="1" customWidth="1"/>
    <col min="44" max="44" width="9.85546875" style="4" customWidth="1"/>
    <col min="45" max="46" width="10" style="4" customWidth="1"/>
    <col min="47" max="47" width="10" style="4" bestFit="1" customWidth="1"/>
    <col min="48" max="48" width="9.85546875" style="4" customWidth="1"/>
    <col min="49" max="50" width="10" style="4" customWidth="1"/>
    <col min="51" max="51" width="10" style="4" bestFit="1" customWidth="1"/>
    <col min="52" max="52" width="9.85546875" style="4" customWidth="1"/>
    <col min="53" max="54" width="10" style="4" customWidth="1"/>
    <col min="55" max="55" width="10" style="4" bestFit="1" customWidth="1"/>
    <col min="56" max="56" width="9.85546875" style="4" customWidth="1"/>
    <col min="57" max="58" width="10" style="4" customWidth="1"/>
    <col min="59" max="59" width="10" style="4" bestFit="1" customWidth="1"/>
    <col min="60" max="60" width="10.85546875" style="4" customWidth="1"/>
    <col min="61" max="61" width="13.140625" style="4" customWidth="1"/>
    <col min="62" max="62" width="10.140625" style="4" bestFit="1" customWidth="1"/>
    <col min="63" max="63" width="10" style="4" bestFit="1" customWidth="1"/>
    <col min="64" max="64" width="9.85546875" style="4" bestFit="1" customWidth="1"/>
    <col min="65" max="66" width="10.140625" style="4" bestFit="1" customWidth="1"/>
    <col min="67" max="67" width="10.42578125" style="4" bestFit="1" customWidth="1"/>
    <col min="68" max="68" width="10.140625" style="4" bestFit="1" customWidth="1"/>
    <col min="69" max="69" width="10.42578125" style="4" bestFit="1" customWidth="1"/>
    <col min="70" max="70" width="10.140625" style="4" bestFit="1" customWidth="1"/>
    <col min="71" max="71" width="9.140625" style="4" customWidth="1"/>
    <col min="72" max="85" width="9.5703125" style="4" bestFit="1" customWidth="1"/>
    <col min="86" max="86" width="10.140625" style="4" bestFit="1" customWidth="1"/>
    <col min="87" max="87" width="10.140625" style="4" customWidth="1"/>
    <col min="88" max="89" width="9.5703125" style="4" bestFit="1" customWidth="1"/>
    <col min="90" max="16384" width="9.140625" style="4"/>
  </cols>
  <sheetData>
    <row r="1" spans="1:54" x14ac:dyDescent="0.25">
      <c r="A1" s="1"/>
    </row>
    <row r="2" spans="1:54" ht="12.75" customHeight="1" x14ac:dyDescent="0.25">
      <c r="A2" s="5">
        <v>1</v>
      </c>
      <c r="B2" s="6" t="s">
        <v>0</v>
      </c>
      <c r="C2" s="5">
        <v>10</v>
      </c>
      <c r="D2" s="4657" t="s">
        <v>314</v>
      </c>
      <c r="E2" s="4658"/>
      <c r="F2" s="4658"/>
      <c r="G2" s="4658"/>
      <c r="H2" s="4658"/>
      <c r="I2" s="4658"/>
      <c r="J2" s="4658"/>
      <c r="K2" s="4658"/>
      <c r="L2" s="4658"/>
      <c r="M2" s="4658"/>
      <c r="N2" s="4658"/>
      <c r="O2" s="4658"/>
      <c r="P2" s="4658"/>
      <c r="Q2" s="4658"/>
      <c r="R2" s="4658"/>
      <c r="S2" s="4658"/>
      <c r="T2" s="4658"/>
      <c r="U2" s="4658"/>
      <c r="V2" s="4658"/>
      <c r="W2" s="4658"/>
      <c r="X2" s="4658"/>
      <c r="Y2" s="4658"/>
      <c r="Z2" s="4658"/>
      <c r="AA2" s="4658"/>
      <c r="AB2" s="4658"/>
      <c r="AC2" s="4659"/>
      <c r="AD2" s="881"/>
      <c r="AE2" s="881"/>
    </row>
    <row r="3" spans="1:54" ht="12.75" customHeight="1" x14ac:dyDescent="0.25">
      <c r="A3" s="5">
        <v>2</v>
      </c>
      <c r="B3" s="6" t="s">
        <v>2</v>
      </c>
      <c r="C3" s="5"/>
      <c r="D3" s="4657" t="s">
        <v>315</v>
      </c>
      <c r="E3" s="4658"/>
      <c r="F3" s="4658"/>
      <c r="G3" s="4658"/>
      <c r="H3" s="4658"/>
      <c r="I3" s="4658"/>
      <c r="J3" s="4658"/>
      <c r="K3" s="4658"/>
      <c r="L3" s="4658"/>
      <c r="M3" s="4658"/>
      <c r="N3" s="4658"/>
      <c r="O3" s="4658"/>
      <c r="P3" s="4658"/>
      <c r="Q3" s="4658"/>
      <c r="R3" s="4658"/>
      <c r="S3" s="4658"/>
      <c r="T3" s="4658"/>
      <c r="U3" s="4658"/>
      <c r="V3" s="4658"/>
      <c r="W3" s="4658"/>
      <c r="X3" s="4658"/>
      <c r="Y3" s="4658"/>
      <c r="Z3" s="4658"/>
      <c r="AA3" s="4658"/>
      <c r="AB3" s="4658"/>
      <c r="AC3" s="4659"/>
      <c r="AD3" s="881"/>
      <c r="AE3" s="881"/>
    </row>
    <row r="4" spans="1:54" ht="12.75" customHeight="1" x14ac:dyDescent="0.25">
      <c r="A4" s="5">
        <v>3</v>
      </c>
      <c r="B4" s="6" t="s">
        <v>4</v>
      </c>
      <c r="C4" s="5"/>
      <c r="D4" s="4657" t="s">
        <v>316</v>
      </c>
      <c r="E4" s="4658"/>
      <c r="F4" s="4658"/>
      <c r="G4" s="4658"/>
      <c r="H4" s="4658"/>
      <c r="I4" s="4658"/>
      <c r="J4" s="4658"/>
      <c r="K4" s="4658"/>
      <c r="L4" s="4658"/>
      <c r="M4" s="4658"/>
      <c r="N4" s="4658"/>
      <c r="O4" s="4658"/>
      <c r="P4" s="4658"/>
      <c r="Q4" s="4658"/>
      <c r="R4" s="4658"/>
      <c r="S4" s="4658"/>
      <c r="T4" s="4658"/>
      <c r="U4" s="4658"/>
      <c r="V4" s="4658"/>
      <c r="W4" s="4658"/>
      <c r="X4" s="4658"/>
      <c r="Y4" s="4658"/>
      <c r="Z4" s="4658"/>
      <c r="AA4" s="4658"/>
      <c r="AB4" s="4658"/>
      <c r="AC4" s="4659"/>
      <c r="AD4" s="881"/>
      <c r="AE4" s="881"/>
    </row>
    <row r="5" spans="1:54" s="869" customFormat="1" ht="14.25" customHeight="1" x14ac:dyDescent="0.25">
      <c r="A5" s="5"/>
      <c r="B5" s="6"/>
      <c r="C5" s="5"/>
      <c r="D5" s="4660"/>
      <c r="E5" s="4660"/>
      <c r="F5" s="4660"/>
      <c r="G5" s="4660"/>
      <c r="H5" s="4660"/>
      <c r="I5" s="4660"/>
      <c r="J5" s="4660"/>
      <c r="K5" s="4660"/>
      <c r="L5" s="4660"/>
      <c r="M5" s="4660"/>
      <c r="N5" s="4660"/>
      <c r="O5" s="4660"/>
      <c r="P5" s="4660"/>
      <c r="Q5" s="4660"/>
      <c r="R5" s="4660"/>
      <c r="S5" s="4660"/>
      <c r="T5" s="4660"/>
      <c r="U5" s="4660"/>
      <c r="V5" s="4660"/>
      <c r="W5" s="4660"/>
      <c r="X5" s="4660"/>
      <c r="Y5" s="4660"/>
      <c r="Z5" s="4660"/>
      <c r="AA5" s="4660"/>
      <c r="AB5" s="4660"/>
      <c r="AC5" s="4660"/>
      <c r="AD5" s="882"/>
      <c r="AE5" s="882"/>
      <c r="AF5" s="8"/>
      <c r="AG5" s="8"/>
      <c r="AH5" s="274"/>
      <c r="AI5" s="868"/>
      <c r="AJ5" s="868"/>
      <c r="AK5" s="868"/>
      <c r="AL5" s="868"/>
      <c r="AM5" s="868"/>
      <c r="AN5" s="868"/>
      <c r="AO5" s="868"/>
      <c r="AP5" s="868"/>
      <c r="AQ5" s="868"/>
      <c r="AR5" s="868"/>
    </row>
    <row r="6" spans="1:54" x14ac:dyDescent="0.25">
      <c r="A6" s="5">
        <v>4</v>
      </c>
      <c r="B6" s="6" t="s">
        <v>6</v>
      </c>
      <c r="D6" s="9" t="s">
        <v>80</v>
      </c>
      <c r="E6" s="9"/>
      <c r="F6" s="9" t="s">
        <v>317</v>
      </c>
      <c r="G6" s="9"/>
      <c r="H6" s="9"/>
      <c r="I6" s="9"/>
      <c r="J6" s="9"/>
      <c r="K6" s="9"/>
      <c r="L6" s="9"/>
      <c r="M6" s="9"/>
      <c r="N6" s="10"/>
      <c r="O6" s="10"/>
      <c r="P6" s="10"/>
      <c r="Q6" s="10"/>
      <c r="R6" s="10"/>
      <c r="S6" s="10"/>
    </row>
    <row r="7" spans="1:54" x14ac:dyDescent="0.25">
      <c r="D7" s="11"/>
      <c r="E7" s="12" t="s">
        <v>318</v>
      </c>
      <c r="F7" s="12" t="s">
        <v>319</v>
      </c>
      <c r="G7" s="12" t="s">
        <v>320</v>
      </c>
      <c r="H7" s="12" t="s">
        <v>321</v>
      </c>
      <c r="I7" s="12" t="s">
        <v>322</v>
      </c>
      <c r="J7" s="12" t="s">
        <v>323</v>
      </c>
      <c r="K7" s="12" t="s">
        <v>324</v>
      </c>
      <c r="L7" s="12" t="s">
        <v>325</v>
      </c>
      <c r="M7" s="12" t="s">
        <v>326</v>
      </c>
      <c r="N7" s="12" t="s">
        <v>327</v>
      </c>
      <c r="O7" s="12" t="s">
        <v>328</v>
      </c>
      <c r="P7" s="12" t="s">
        <v>329</v>
      </c>
      <c r="Q7" s="12" t="s">
        <v>330</v>
      </c>
      <c r="R7" s="12" t="s">
        <v>331</v>
      </c>
      <c r="S7" s="12" t="s">
        <v>332</v>
      </c>
      <c r="T7" s="12" t="s">
        <v>333</v>
      </c>
      <c r="U7" s="12" t="s">
        <v>334</v>
      </c>
      <c r="V7" s="12" t="s">
        <v>335</v>
      </c>
      <c r="W7" s="12" t="s">
        <v>336</v>
      </c>
      <c r="X7" s="12" t="s">
        <v>337</v>
      </c>
      <c r="Y7" s="12" t="s">
        <v>338</v>
      </c>
      <c r="Z7" s="12" t="s">
        <v>339</v>
      </c>
      <c r="AA7" s="12" t="s">
        <v>340</v>
      </c>
      <c r="AB7" s="12" t="s">
        <v>341</v>
      </c>
      <c r="AC7" s="12" t="s">
        <v>342</v>
      </c>
      <c r="AD7" s="12" t="s">
        <v>343</v>
      </c>
      <c r="AE7" s="12" t="s">
        <v>344</v>
      </c>
      <c r="AF7" s="2805" t="s">
        <v>345</v>
      </c>
      <c r="AG7" s="2805" t="s">
        <v>2173</v>
      </c>
    </row>
    <row r="8" spans="1:54" x14ac:dyDescent="0.25">
      <c r="D8" s="856" t="s">
        <v>346</v>
      </c>
      <c r="E8" s="84">
        <v>3.2000000000000313</v>
      </c>
      <c r="F8" s="84">
        <v>3.0999999999999517</v>
      </c>
      <c r="G8" s="84">
        <v>4.2999999999999972</v>
      </c>
      <c r="H8" s="84">
        <v>2.6000000000000227</v>
      </c>
      <c r="I8" s="84">
        <v>0.49999999999997158</v>
      </c>
      <c r="J8" s="84">
        <v>2.3999999999999773</v>
      </c>
      <c r="K8" s="84">
        <v>4.2000000000000739</v>
      </c>
      <c r="L8" s="84">
        <v>2.6999999999999744</v>
      </c>
      <c r="M8" s="84">
        <v>3.7003744034342958</v>
      </c>
      <c r="N8" s="84">
        <v>2.9490754669025563</v>
      </c>
      <c r="O8" s="84">
        <v>4.5545599068037319</v>
      </c>
      <c r="P8" s="84">
        <v>5.2770519743303481</v>
      </c>
      <c r="Q8" s="84">
        <v>5.6038061160837742</v>
      </c>
      <c r="R8" s="84">
        <v>5.3604737885323885</v>
      </c>
      <c r="S8" s="84">
        <v>3.1910446266535644</v>
      </c>
      <c r="T8" s="84">
        <v>-1.538088957143998</v>
      </c>
      <c r="U8" s="84">
        <v>3.0397323068580135</v>
      </c>
      <c r="V8" s="84">
        <v>3.1685562788890991</v>
      </c>
      <c r="W8" s="85">
        <v>2.3962323843987861</v>
      </c>
      <c r="X8" s="84">
        <v>2.4854680089647587</v>
      </c>
      <c r="Y8" s="84">
        <v>1.4138264512349394</v>
      </c>
      <c r="Z8" s="84">
        <v>1.3218622371000635</v>
      </c>
      <c r="AA8" s="84">
        <v>0.66455230785689423</v>
      </c>
      <c r="AB8" s="84">
        <v>1.1579469511465277</v>
      </c>
      <c r="AC8" s="84">
        <v>1.4876173726830189</v>
      </c>
      <c r="AD8" s="84">
        <v>0.11305369753380035</v>
      </c>
      <c r="AE8" s="84">
        <v>-6.3</v>
      </c>
      <c r="AF8" s="86">
        <v>4.9000000000000004</v>
      </c>
      <c r="AG8" s="84">
        <v>2</v>
      </c>
      <c r="BB8" s="13"/>
    </row>
    <row r="9" spans="1:54" x14ac:dyDescent="0.25">
      <c r="D9" s="14"/>
      <c r="E9" s="15"/>
      <c r="F9" s="15"/>
      <c r="G9" s="15"/>
      <c r="H9" s="15"/>
      <c r="I9" s="15"/>
      <c r="J9" s="15"/>
      <c r="K9" s="15"/>
      <c r="L9" s="15"/>
      <c r="M9" s="15"/>
      <c r="N9" s="15"/>
      <c r="O9" s="15"/>
      <c r="P9" s="15"/>
      <c r="Q9" s="15"/>
      <c r="R9" s="15"/>
      <c r="S9" s="15"/>
      <c r="T9" s="15"/>
      <c r="U9" s="15"/>
      <c r="V9" s="15"/>
      <c r="W9" s="15"/>
      <c r="X9" s="15"/>
      <c r="Y9" s="15"/>
      <c r="Z9" s="15"/>
      <c r="AA9" s="15"/>
      <c r="AB9" s="15"/>
      <c r="AC9" s="15"/>
      <c r="AD9" s="15"/>
      <c r="AE9" s="15"/>
      <c r="BA9" s="13"/>
    </row>
    <row r="10" spans="1:54" x14ac:dyDescent="0.25">
      <c r="D10" s="14"/>
      <c r="E10" s="14"/>
      <c r="F10" s="16"/>
      <c r="G10" s="16"/>
      <c r="H10" s="16"/>
      <c r="I10" s="16"/>
      <c r="J10" s="16"/>
      <c r="K10" s="16"/>
      <c r="L10" s="16"/>
      <c r="M10" s="16"/>
      <c r="N10" s="16"/>
      <c r="O10" s="16"/>
      <c r="P10" s="16"/>
      <c r="Q10" s="16"/>
      <c r="R10" s="16"/>
      <c r="S10" s="16"/>
      <c r="T10" s="16"/>
      <c r="U10" s="16"/>
      <c r="V10" s="17"/>
      <c r="W10" s="17"/>
      <c r="X10" s="17"/>
      <c r="Y10" s="17"/>
      <c r="AA10" s="16"/>
      <c r="AB10" s="16"/>
      <c r="BA10" s="13"/>
    </row>
    <row r="11" spans="1:54" s="10" customFormat="1" ht="12" thickBot="1" x14ac:dyDescent="0.25">
      <c r="A11" s="18"/>
      <c r="B11" s="19"/>
      <c r="C11" s="20"/>
      <c r="D11" s="21" t="s">
        <v>267</v>
      </c>
      <c r="E11" s="21"/>
      <c r="F11" s="22" t="s">
        <v>347</v>
      </c>
      <c r="G11" s="22"/>
      <c r="H11" s="22"/>
      <c r="I11" s="22"/>
      <c r="J11" s="22"/>
      <c r="K11" s="16"/>
      <c r="L11" s="16"/>
      <c r="M11" s="16"/>
      <c r="N11" s="16"/>
      <c r="O11" s="16"/>
      <c r="P11" s="16"/>
      <c r="Q11" s="16"/>
      <c r="R11" s="16"/>
      <c r="S11" s="16"/>
      <c r="T11" s="16"/>
      <c r="U11" s="16"/>
      <c r="V11" s="17"/>
      <c r="W11" s="17"/>
      <c r="AA11" s="16"/>
      <c r="AB11" s="16"/>
      <c r="BA11" s="13"/>
    </row>
    <row r="12" spans="1:54" s="10" customFormat="1" ht="12" thickBot="1" x14ac:dyDescent="0.25">
      <c r="A12" s="18"/>
      <c r="B12" s="19"/>
      <c r="C12" s="20"/>
      <c r="D12" s="23"/>
      <c r="E12" s="24" t="s">
        <v>318</v>
      </c>
      <c r="F12" s="25" t="s">
        <v>319</v>
      </c>
      <c r="G12" s="25">
        <v>1996</v>
      </c>
      <c r="H12" s="25">
        <v>1997</v>
      </c>
      <c r="I12" s="25">
        <v>1998</v>
      </c>
      <c r="J12" s="25">
        <v>1999</v>
      </c>
      <c r="K12" s="25">
        <v>2000</v>
      </c>
      <c r="L12" s="25">
        <v>2001</v>
      </c>
      <c r="M12" s="25">
        <v>2002</v>
      </c>
      <c r="N12" s="25">
        <v>2003</v>
      </c>
      <c r="O12" s="25">
        <v>2004</v>
      </c>
      <c r="P12" s="25">
        <v>2005</v>
      </c>
      <c r="Q12" s="25">
        <v>2006</v>
      </c>
      <c r="R12" s="25">
        <v>2007</v>
      </c>
      <c r="S12" s="25">
        <v>2008</v>
      </c>
      <c r="T12" s="25">
        <v>2009</v>
      </c>
      <c r="U12" s="25">
        <v>2010</v>
      </c>
      <c r="V12" s="25">
        <v>2011</v>
      </c>
      <c r="W12" s="25">
        <v>2012</v>
      </c>
      <c r="X12" s="25">
        <v>2013</v>
      </c>
      <c r="Y12" s="25">
        <v>2014</v>
      </c>
      <c r="Z12" s="25">
        <v>2015</v>
      </c>
      <c r="AA12" s="26">
        <v>2016</v>
      </c>
      <c r="AB12" s="26">
        <v>2017</v>
      </c>
      <c r="AC12" s="26">
        <v>2018</v>
      </c>
      <c r="AD12" s="26">
        <v>2019</v>
      </c>
      <c r="AE12" s="26">
        <v>2020</v>
      </c>
      <c r="AF12" s="27">
        <v>2021</v>
      </c>
      <c r="BB12" s="13"/>
    </row>
    <row r="13" spans="1:54" s="10" customFormat="1" ht="12" customHeight="1" x14ac:dyDescent="0.2">
      <c r="A13" s="18"/>
      <c r="B13" s="19"/>
      <c r="C13" s="20"/>
      <c r="D13" s="28" t="s">
        <v>148</v>
      </c>
      <c r="E13" s="29">
        <v>5.8362007036852646</v>
      </c>
      <c r="F13" s="29">
        <v>-2.8452096105707909</v>
      </c>
      <c r="G13" s="29">
        <v>5.5266898271523388</v>
      </c>
      <c r="H13" s="29">
        <v>8.1110467707457019</v>
      </c>
      <c r="I13" s="29">
        <v>3.8501788515622763</v>
      </c>
      <c r="J13" s="29">
        <v>-3.3854570406326872</v>
      </c>
      <c r="K13" s="29">
        <v>-0.78899893905690988</v>
      </c>
      <c r="L13" s="29">
        <v>-4.4088396825855654</v>
      </c>
      <c r="M13" s="29">
        <v>-10.894484828590279</v>
      </c>
      <c r="N13" s="29">
        <v>8.8370407957692407</v>
      </c>
      <c r="O13" s="29">
        <v>9.0295733006815198</v>
      </c>
      <c r="P13" s="29">
        <v>8.8516599201343666</v>
      </c>
      <c r="Q13" s="29">
        <v>8.0471515004302745</v>
      </c>
      <c r="R13" s="29">
        <v>9.0076508750475739</v>
      </c>
      <c r="S13" s="29">
        <v>4.057233103464057</v>
      </c>
      <c r="T13" s="29">
        <v>-5.9185250763494679</v>
      </c>
      <c r="U13" s="29">
        <v>10.125398156100232</v>
      </c>
      <c r="V13" s="29">
        <v>6.003951692805785</v>
      </c>
      <c r="W13" s="29">
        <v>-1.0264204544320989</v>
      </c>
      <c r="X13" s="29">
        <v>2.4053237807943617</v>
      </c>
      <c r="Y13" s="29">
        <v>-2.5126153208139357</v>
      </c>
      <c r="Z13" s="29">
        <v>2.7311598282894352</v>
      </c>
      <c r="AA13" s="29">
        <v>-2.0803278437781074</v>
      </c>
      <c r="AB13" s="29">
        <v>2.8185029777591808</v>
      </c>
      <c r="AC13" s="29">
        <v>-2.5653518824754826</v>
      </c>
      <c r="AD13" s="29">
        <v>-2.0880148606621276</v>
      </c>
      <c r="AE13" s="29">
        <v>-9.9052348557388825</v>
      </c>
      <c r="AF13" s="30"/>
      <c r="BB13" s="13"/>
    </row>
    <row r="14" spans="1:54" s="10" customFormat="1" ht="12" customHeight="1" x14ac:dyDescent="0.2">
      <c r="A14" s="18"/>
      <c r="B14" s="19"/>
      <c r="C14" s="20"/>
      <c r="D14" s="28" t="s">
        <v>119</v>
      </c>
      <c r="E14" s="29">
        <v>3.983890152931707</v>
      </c>
      <c r="F14" s="29">
        <v>3.8377552929629957</v>
      </c>
      <c r="G14" s="29">
        <v>3.8785852933782365</v>
      </c>
      <c r="H14" s="29">
        <v>3.9665376617495269</v>
      </c>
      <c r="I14" s="29">
        <v>4.5766887591888405</v>
      </c>
      <c r="J14" s="29">
        <v>5.0735990951056351</v>
      </c>
      <c r="K14" s="29">
        <v>3.9331369447020563</v>
      </c>
      <c r="L14" s="29">
        <v>1.9308575922541706</v>
      </c>
      <c r="M14" s="29">
        <v>4.0014040616516979</v>
      </c>
      <c r="N14" s="29">
        <v>2.9859343216580072</v>
      </c>
      <c r="O14" s="29">
        <v>4.0554519675095833</v>
      </c>
      <c r="P14" s="29">
        <v>3.2042697928786907</v>
      </c>
      <c r="Q14" s="29">
        <v>2.7945370244631107</v>
      </c>
      <c r="R14" s="29">
        <v>3.8442303155678843</v>
      </c>
      <c r="S14" s="29">
        <v>3.6579535255648636</v>
      </c>
      <c r="T14" s="29">
        <v>1.936993920300381</v>
      </c>
      <c r="U14" s="29">
        <v>2.0674171276839957</v>
      </c>
      <c r="V14" s="29">
        <v>2.4627563116272455</v>
      </c>
      <c r="W14" s="29">
        <v>3.9181628709411171</v>
      </c>
      <c r="X14" s="29">
        <v>2.5848977015489254</v>
      </c>
      <c r="Y14" s="29">
        <v>2.5331146653881973</v>
      </c>
      <c r="Z14" s="29">
        <v>2.1926474264603684</v>
      </c>
      <c r="AA14" s="29">
        <v>2.7706521973024962</v>
      </c>
      <c r="AB14" s="29">
        <v>2.3006106235942525</v>
      </c>
      <c r="AC14" s="29">
        <v>2.9492857716095813</v>
      </c>
      <c r="AD14" s="29">
        <v>2.1609562953599948</v>
      </c>
      <c r="AE14" s="29">
        <v>-0.28483929778560935</v>
      </c>
      <c r="AF14" s="30"/>
      <c r="BB14" s="13"/>
    </row>
    <row r="15" spans="1:54" s="10" customFormat="1" ht="12" customHeight="1" x14ac:dyDescent="0.2">
      <c r="A15" s="18"/>
      <c r="B15" s="19"/>
      <c r="C15" s="20"/>
      <c r="D15" s="28" t="s">
        <v>111</v>
      </c>
      <c r="E15" s="29">
        <v>3.6279160209385708</v>
      </c>
      <c r="F15" s="29">
        <v>7.03041026074564</v>
      </c>
      <c r="G15" s="29">
        <v>5.8298000784227497</v>
      </c>
      <c r="H15" s="29">
        <v>8.3258908984286535</v>
      </c>
      <c r="I15" s="29">
        <v>0.44366348033824465</v>
      </c>
      <c r="J15" s="29">
        <v>9.667240741511975</v>
      </c>
      <c r="K15" s="29">
        <v>1.9876958543875389</v>
      </c>
      <c r="L15" s="29">
        <v>0.25057386672273196</v>
      </c>
      <c r="M15" s="29">
        <v>6.069530867650144</v>
      </c>
      <c r="N15" s="29">
        <v>4.625894791915556</v>
      </c>
      <c r="O15" s="29">
        <v>2.70582173663567</v>
      </c>
      <c r="P15" s="29">
        <v>4.5566456573284455</v>
      </c>
      <c r="Q15" s="29">
        <v>8.3638710689572662</v>
      </c>
      <c r="R15" s="29">
        <v>8.2767637934696836</v>
      </c>
      <c r="S15" s="29">
        <v>6.2454373629087883</v>
      </c>
      <c r="T15" s="29">
        <v>-7.652310202534764</v>
      </c>
      <c r="U15" s="29">
        <v>8.5636307922088974</v>
      </c>
      <c r="V15" s="29">
        <v>6.0483614546898821</v>
      </c>
      <c r="W15" s="29">
        <v>4.456144470595774</v>
      </c>
      <c r="X15" s="29">
        <v>11.343396971349677</v>
      </c>
      <c r="Y15" s="29">
        <v>4.1492622552040217</v>
      </c>
      <c r="Z15" s="29">
        <v>-1.6979354267597415</v>
      </c>
      <c r="AA15" s="29">
        <v>4.3037674480267469</v>
      </c>
      <c r="AB15" s="29">
        <v>2.9039977321092749</v>
      </c>
      <c r="AC15" s="29">
        <v>4.47883655345764</v>
      </c>
      <c r="AD15" s="29">
        <v>3.0259100544789419</v>
      </c>
      <c r="AE15" s="29">
        <v>-7.8930535889574855</v>
      </c>
      <c r="AF15" s="30"/>
      <c r="BB15" s="13"/>
    </row>
    <row r="16" spans="1:54" s="10" customFormat="1" ht="12" customHeight="1" x14ac:dyDescent="0.2">
      <c r="A16" s="18"/>
      <c r="B16" s="19"/>
      <c r="C16" s="20"/>
      <c r="D16" s="28" t="s">
        <v>106</v>
      </c>
      <c r="E16" s="29">
        <v>5.334551701681761</v>
      </c>
      <c r="F16" s="29">
        <v>4.4167313554373209</v>
      </c>
      <c r="G16" s="29">
        <v>2.2075355267745778</v>
      </c>
      <c r="H16" s="29">
        <v>3.3948459848441814</v>
      </c>
      <c r="I16" s="29">
        <v>0.33809790295242692</v>
      </c>
      <c r="J16" s="29">
        <v>0.46793756737825731</v>
      </c>
      <c r="K16" s="29">
        <v>4.387949442673829</v>
      </c>
      <c r="L16" s="29">
        <v>1.3898964032589305</v>
      </c>
      <c r="M16" s="29">
        <v>3.0534618579525699</v>
      </c>
      <c r="N16" s="29">
        <v>1.1408289981000905</v>
      </c>
      <c r="O16" s="29">
        <v>5.7599646387177472</v>
      </c>
      <c r="P16" s="29">
        <v>3.2021313799023545</v>
      </c>
      <c r="Q16" s="29">
        <v>3.9619887218498775</v>
      </c>
      <c r="R16" s="29">
        <v>6.0698706077183999</v>
      </c>
      <c r="S16" s="29">
        <v>5.0941954473271664</v>
      </c>
      <c r="T16" s="29">
        <v>-0.12581199941486432</v>
      </c>
      <c r="U16" s="29">
        <v>7.5282258300556322</v>
      </c>
      <c r="V16" s="29">
        <v>3.9744254058381614</v>
      </c>
      <c r="W16" s="29">
        <v>1.9211503183630469</v>
      </c>
      <c r="X16" s="29">
        <v>3.0048463050570575</v>
      </c>
      <c r="Y16" s="29">
        <v>0.50395574024224743</v>
      </c>
      <c r="Z16" s="29">
        <v>-3.5457633926942549</v>
      </c>
      <c r="AA16" s="29">
        <v>-3.275916907821923</v>
      </c>
      <c r="AB16" s="29">
        <v>1.3228690548574065</v>
      </c>
      <c r="AC16" s="29">
        <v>1.783666761369787</v>
      </c>
      <c r="AD16" s="29">
        <v>1.4111529850702169</v>
      </c>
      <c r="AE16" s="29">
        <v>-4.0590482726729533</v>
      </c>
      <c r="AF16" s="30"/>
      <c r="BB16" s="13"/>
    </row>
    <row r="17" spans="1:54" s="10" customFormat="1" ht="12" customHeight="1" x14ac:dyDescent="0.2">
      <c r="A17" s="18"/>
      <c r="B17" s="19"/>
      <c r="C17" s="20"/>
      <c r="D17" s="28" t="s">
        <v>128</v>
      </c>
      <c r="E17" s="29"/>
      <c r="F17" s="29"/>
      <c r="G17" s="29"/>
      <c r="H17" s="29"/>
      <c r="I17" s="29">
        <v>2.7965424799343879</v>
      </c>
      <c r="J17" s="29">
        <v>3.9704826368942179</v>
      </c>
      <c r="K17" s="29">
        <v>4.9177627435622355</v>
      </c>
      <c r="L17" s="29">
        <v>1.4055275887281624</v>
      </c>
      <c r="M17" s="29">
        <v>3.4221461713249255</v>
      </c>
      <c r="N17" s="29">
        <v>3.811090152824633</v>
      </c>
      <c r="O17" s="29">
        <v>3.9140287821924176</v>
      </c>
      <c r="P17" s="29">
        <v>4.9958608693017084</v>
      </c>
      <c r="Q17" s="29">
        <v>4.1658176272067635</v>
      </c>
      <c r="R17" s="29">
        <v>6.8686088570304662</v>
      </c>
      <c r="S17" s="29">
        <v>1.007622695457556</v>
      </c>
      <c r="T17" s="29">
        <v>-2.928400166845492</v>
      </c>
      <c r="U17" s="29">
        <v>3.0894946198278603</v>
      </c>
      <c r="V17" s="29">
        <v>3.1468813720705811</v>
      </c>
      <c r="W17" s="29">
        <v>1.7622225494588122</v>
      </c>
      <c r="X17" s="29">
        <v>2.3291225062101972</v>
      </c>
      <c r="Y17" s="29">
        <v>2.87003607545671</v>
      </c>
      <c r="Z17" s="29">
        <v>0.65917686355886929</v>
      </c>
      <c r="AA17" s="29">
        <v>1.0013944139040518</v>
      </c>
      <c r="AB17" s="29">
        <v>3.0398802252819479</v>
      </c>
      <c r="AC17" s="29">
        <v>2.4295475448333832</v>
      </c>
      <c r="AD17" s="29">
        <v>1.8614153793387516</v>
      </c>
      <c r="AE17" s="29">
        <v>-5.402798552568683</v>
      </c>
      <c r="AF17" s="30"/>
      <c r="BB17" s="13"/>
    </row>
    <row r="18" spans="1:54" s="10" customFormat="1" ht="12" customHeight="1" x14ac:dyDescent="0.2">
      <c r="A18" s="18"/>
      <c r="B18" s="19"/>
      <c r="C18" s="20"/>
      <c r="D18" s="28" t="s">
        <v>123</v>
      </c>
      <c r="E18" s="29">
        <v>5.0301979774230574</v>
      </c>
      <c r="F18" s="29">
        <v>8.9332958694526781</v>
      </c>
      <c r="G18" s="29">
        <v>6.8029165957768924</v>
      </c>
      <c r="H18" s="29">
        <v>7.4278898078901534</v>
      </c>
      <c r="I18" s="29">
        <v>4.3245794968563445</v>
      </c>
      <c r="J18" s="29">
        <v>-0.41209616703309848</v>
      </c>
      <c r="K18" s="29">
        <v>5.3269384191235929</v>
      </c>
      <c r="L18" s="29">
        <v>3.3030473125087241</v>
      </c>
      <c r="M18" s="29">
        <v>3.1069705322706085</v>
      </c>
      <c r="N18" s="29">
        <v>4.0910476847042077</v>
      </c>
      <c r="O18" s="29">
        <v>7.2095397094503539</v>
      </c>
      <c r="P18" s="29">
        <v>5.7428304894511513</v>
      </c>
      <c r="Q18" s="29">
        <v>6.3171763431471391</v>
      </c>
      <c r="R18" s="29">
        <v>4.9053245035615589</v>
      </c>
      <c r="S18" s="29">
        <v>3.5295305532651753</v>
      </c>
      <c r="T18" s="29">
        <v>-1.5642394429906972</v>
      </c>
      <c r="U18" s="29">
        <v>5.8441772957899616</v>
      </c>
      <c r="V18" s="29">
        <v>6.1109188291364376</v>
      </c>
      <c r="W18" s="29">
        <v>5.3186280004141366</v>
      </c>
      <c r="X18" s="29">
        <v>4.0450042981716336</v>
      </c>
      <c r="Y18" s="29">
        <v>1.7667397836020484</v>
      </c>
      <c r="Z18" s="29">
        <v>2.3037670361456151</v>
      </c>
      <c r="AA18" s="29">
        <v>1.7110892886599487</v>
      </c>
      <c r="AB18" s="29">
        <v>1.1845447066099553</v>
      </c>
      <c r="AC18" s="29">
        <v>3.713859177068997</v>
      </c>
      <c r="AD18" s="29">
        <v>0.94200530655041348</v>
      </c>
      <c r="AE18" s="29">
        <v>-5.7715016687617577</v>
      </c>
      <c r="AF18" s="30"/>
      <c r="BB18" s="13"/>
    </row>
    <row r="19" spans="1:54" s="10" customFormat="1" ht="12" customHeight="1" x14ac:dyDescent="0.2">
      <c r="A19" s="18"/>
      <c r="B19" s="19"/>
      <c r="C19" s="20"/>
      <c r="D19" s="28" t="s">
        <v>133</v>
      </c>
      <c r="E19" s="29">
        <v>5.8146619078781328</v>
      </c>
      <c r="F19" s="29">
        <v>5.2024375925091988</v>
      </c>
      <c r="G19" s="29">
        <v>2.0558547121738684</v>
      </c>
      <c r="H19" s="29">
        <v>3.4302936782762288</v>
      </c>
      <c r="I19" s="29">
        <v>0.5697840898662605</v>
      </c>
      <c r="J19" s="29">
        <v>-4.2040152436992742</v>
      </c>
      <c r="K19" s="29">
        <v>2.9248614831459179</v>
      </c>
      <c r="L19" s="29">
        <v>1.6778983076995502</v>
      </c>
      <c r="M19" s="29">
        <v>2.5039804655068565</v>
      </c>
      <c r="N19" s="29">
        <v>3.918271903598324</v>
      </c>
      <c r="O19" s="29">
        <v>5.3330220674523616</v>
      </c>
      <c r="P19" s="29">
        <v>4.8287611079508537</v>
      </c>
      <c r="Q19" s="29">
        <v>6.7168686984440171</v>
      </c>
      <c r="R19" s="29">
        <v>6.7381946909097508</v>
      </c>
      <c r="S19" s="29">
        <v>3.2834461861654063</v>
      </c>
      <c r="T19" s="29">
        <v>1.1396486454806194</v>
      </c>
      <c r="U19" s="29">
        <v>4.4946589707092244</v>
      </c>
      <c r="V19" s="29">
        <v>6.9478919817355518</v>
      </c>
      <c r="W19" s="29">
        <v>3.9126357671611487</v>
      </c>
      <c r="X19" s="29">
        <v>5.1339935199567179</v>
      </c>
      <c r="Y19" s="29">
        <v>4.4990300011097162</v>
      </c>
      <c r="Z19" s="29">
        <v>2.9559013752752321</v>
      </c>
      <c r="AA19" s="29">
        <v>2.0873825016279426</v>
      </c>
      <c r="AB19" s="29">
        <v>1.3593608678874602</v>
      </c>
      <c r="AC19" s="29">
        <v>2.5643242827770365</v>
      </c>
      <c r="AD19" s="29">
        <v>3.2811168045264338</v>
      </c>
      <c r="AE19" s="29">
        <v>-6.8473142056572982</v>
      </c>
      <c r="AF19" s="30"/>
      <c r="BB19" s="13"/>
    </row>
    <row r="20" spans="1:54" s="10" customFormat="1" ht="12" customHeight="1" x14ac:dyDescent="0.2">
      <c r="A20" s="18"/>
      <c r="B20" s="19"/>
      <c r="C20" s="20"/>
      <c r="D20" s="28" t="s">
        <v>169</v>
      </c>
      <c r="E20" s="29">
        <v>3.2999998087801998</v>
      </c>
      <c r="F20" s="29">
        <v>4.1124189286804835</v>
      </c>
      <c r="G20" s="29">
        <v>4.6024610902981635</v>
      </c>
      <c r="H20" s="29">
        <v>4.1963574580107519</v>
      </c>
      <c r="I20" s="29">
        <v>4.7003908435882806</v>
      </c>
      <c r="J20" s="29">
        <v>4.3999968863182488</v>
      </c>
      <c r="K20" s="29">
        <v>3.7000000399154658</v>
      </c>
      <c r="L20" s="29">
        <v>4.000000098598349</v>
      </c>
      <c r="M20" s="29">
        <v>4.49999957793014</v>
      </c>
      <c r="N20" s="29">
        <v>5.2000000739746355</v>
      </c>
      <c r="O20" s="29">
        <v>5.5999999893859211</v>
      </c>
      <c r="P20" s="29">
        <v>5.9000039161938531</v>
      </c>
      <c r="Q20" s="29">
        <v>6.399912501760312</v>
      </c>
      <c r="R20" s="29">
        <v>4.3468191641467229</v>
      </c>
      <c r="S20" s="29">
        <v>9.1497989752667053</v>
      </c>
      <c r="T20" s="29">
        <v>4.8444869984482892</v>
      </c>
      <c r="U20" s="29">
        <v>7.8997118893530569</v>
      </c>
      <c r="V20" s="29">
        <v>14.047123630318907</v>
      </c>
      <c r="W20" s="29">
        <v>9.29278940459713</v>
      </c>
      <c r="X20" s="29">
        <v>7.3125250073311747</v>
      </c>
      <c r="Y20" s="29">
        <v>2.8562401989396591</v>
      </c>
      <c r="Z20" s="29">
        <v>2.1207593100140372</v>
      </c>
      <c r="AA20" s="29">
        <v>3.3734657246651523</v>
      </c>
      <c r="AB20" s="29">
        <v>8.1288949158406183</v>
      </c>
      <c r="AC20" s="29">
        <v>6.2000776718421804</v>
      </c>
      <c r="AD20" s="29">
        <v>6.5077747875723873</v>
      </c>
      <c r="AE20" s="29">
        <v>0.41444346805519672</v>
      </c>
      <c r="AF20" s="30"/>
      <c r="BB20" s="13"/>
    </row>
    <row r="21" spans="1:54" s="10" customFormat="1" ht="12" customHeight="1" x14ac:dyDescent="0.2">
      <c r="A21" s="18"/>
      <c r="B21" s="19"/>
      <c r="C21" s="20"/>
      <c r="D21" s="28" t="s">
        <v>348</v>
      </c>
      <c r="E21" s="29"/>
      <c r="F21" s="29"/>
      <c r="G21" s="29">
        <v>4.5671235215975798</v>
      </c>
      <c r="H21" s="29">
        <v>5.7715254526448092</v>
      </c>
      <c r="I21" s="29">
        <v>7.3627903313681315</v>
      </c>
      <c r="J21" s="29">
        <v>4.0349235267536727</v>
      </c>
      <c r="K21" s="29">
        <v>4.98504277020335</v>
      </c>
      <c r="L21" s="29">
        <v>4.0134975547356788</v>
      </c>
      <c r="M21" s="29">
        <v>0.55951908200762546</v>
      </c>
      <c r="N21" s="29">
        <v>2.1426883786691064</v>
      </c>
      <c r="O21" s="29">
        <v>7.8023995075354264</v>
      </c>
      <c r="P21" s="29">
        <v>6.1244389653361253</v>
      </c>
      <c r="Q21" s="29">
        <v>6.3169930863707435</v>
      </c>
      <c r="R21" s="29">
        <v>8.454860096129508</v>
      </c>
      <c r="S21" s="29">
        <v>2.2094964188209758</v>
      </c>
      <c r="T21" s="29">
        <v>-7.663809560259466</v>
      </c>
      <c r="U21" s="29">
        <v>-2.8327749154085495</v>
      </c>
      <c r="V21" s="29">
        <v>1.8457791562421733</v>
      </c>
      <c r="W21" s="29">
        <v>1.0636366074376298</v>
      </c>
      <c r="X21" s="29">
        <v>4.5524603201510843</v>
      </c>
      <c r="Y21" s="29">
        <v>1.6872150175063894</v>
      </c>
      <c r="Z21" s="29">
        <v>4.4366637193717224</v>
      </c>
      <c r="AA21" s="29">
        <v>6.303687106501755</v>
      </c>
      <c r="AB21" s="29">
        <v>4.1949488290837564</v>
      </c>
      <c r="AC21" s="29">
        <v>4.7148137875703497</v>
      </c>
      <c r="AD21" s="29">
        <v>2.5690120008882218</v>
      </c>
      <c r="AE21" s="29">
        <v>-6.6491054127991021</v>
      </c>
      <c r="AF21" s="30"/>
      <c r="BB21" s="13"/>
    </row>
    <row r="22" spans="1:54" s="10" customFormat="1" ht="12" customHeight="1" x14ac:dyDescent="0.2">
      <c r="A22" s="18"/>
      <c r="B22" s="19"/>
      <c r="C22" s="20"/>
      <c r="D22" s="28" t="s">
        <v>125</v>
      </c>
      <c r="E22" s="29">
        <v>6.6589240673402514</v>
      </c>
      <c r="F22" s="29">
        <v>7.5744918403237875</v>
      </c>
      <c r="G22" s="29">
        <v>7.5495222488197982</v>
      </c>
      <c r="H22" s="29">
        <v>4.0498208490925975</v>
      </c>
      <c r="I22" s="29">
        <v>6.1844158209061817</v>
      </c>
      <c r="J22" s="29">
        <v>8.8457555610550855</v>
      </c>
      <c r="K22" s="29">
        <v>3.8409911568128479</v>
      </c>
      <c r="L22" s="29">
        <v>4.8239662639064136</v>
      </c>
      <c r="M22" s="29">
        <v>3.8039753213758019</v>
      </c>
      <c r="N22" s="29">
        <v>7.8603814755325914</v>
      </c>
      <c r="O22" s="29">
        <v>7.9229366128650298</v>
      </c>
      <c r="P22" s="29">
        <v>7.92343062149763</v>
      </c>
      <c r="Q22" s="29">
        <v>8.0607325730327233</v>
      </c>
      <c r="R22" s="29">
        <v>7.6608150650492775</v>
      </c>
      <c r="S22" s="29">
        <v>3.0866980595328926</v>
      </c>
      <c r="T22" s="29">
        <v>7.8618888330349819</v>
      </c>
      <c r="U22" s="29">
        <v>8.4975847015810615</v>
      </c>
      <c r="V22" s="29">
        <v>5.2413150014404977</v>
      </c>
      <c r="W22" s="29">
        <v>5.4563887529331936</v>
      </c>
      <c r="X22" s="29">
        <v>6.3861064009234809</v>
      </c>
      <c r="Y22" s="29">
        <v>7.4102276051640814</v>
      </c>
      <c r="Z22" s="29">
        <v>7.9962537856658571</v>
      </c>
      <c r="AA22" s="29">
        <v>8.2563055017815543</v>
      </c>
      <c r="AB22" s="29">
        <v>6.7953834189856934</v>
      </c>
      <c r="AC22" s="29">
        <v>6.5329890114186355</v>
      </c>
      <c r="AD22" s="29">
        <v>4.0415541865081934</v>
      </c>
      <c r="AE22" s="29">
        <v>-7.9646104111381959</v>
      </c>
      <c r="AF22" s="30"/>
      <c r="BB22" s="13"/>
    </row>
    <row r="23" spans="1:54" s="10" customFormat="1" ht="12" customHeight="1" x14ac:dyDescent="0.2">
      <c r="A23" s="18"/>
      <c r="B23" s="19"/>
      <c r="C23" s="20"/>
      <c r="D23" s="28" t="s">
        <v>130</v>
      </c>
      <c r="E23" s="29">
        <v>7.5399710955143888</v>
      </c>
      <c r="F23" s="29">
        <v>8.2200073990349267</v>
      </c>
      <c r="G23" s="29">
        <v>7.8181870767086679</v>
      </c>
      <c r="H23" s="29">
        <v>4.699878853903968</v>
      </c>
      <c r="I23" s="29">
        <v>-13.126725492381823</v>
      </c>
      <c r="J23" s="29">
        <v>0.79112608199847045</v>
      </c>
      <c r="K23" s="29">
        <v>4.9200677470169012</v>
      </c>
      <c r="L23" s="29">
        <v>3.6434664472149194</v>
      </c>
      <c r="M23" s="29">
        <v>4.4994753908576399</v>
      </c>
      <c r="N23" s="29">
        <v>4.7803691216765429</v>
      </c>
      <c r="O23" s="29">
        <v>5.0308739450168503</v>
      </c>
      <c r="P23" s="29">
        <v>5.6925713038338444</v>
      </c>
      <c r="Q23" s="29">
        <v>5.5009517852034833</v>
      </c>
      <c r="R23" s="29">
        <v>6.3450222266721426</v>
      </c>
      <c r="S23" s="29">
        <v>6.0137036000912332</v>
      </c>
      <c r="T23" s="29">
        <v>4.6288711825615252</v>
      </c>
      <c r="U23" s="29">
        <v>6.2238541806236611</v>
      </c>
      <c r="V23" s="29">
        <v>6.1697842077100802</v>
      </c>
      <c r="W23" s="29">
        <v>6.0300506530561506</v>
      </c>
      <c r="X23" s="29">
        <v>5.5572636889100977</v>
      </c>
      <c r="Y23" s="29">
        <v>5.0066684257549952</v>
      </c>
      <c r="Z23" s="29">
        <v>4.8763223002212328</v>
      </c>
      <c r="AA23" s="29">
        <v>5.0330691828017677</v>
      </c>
      <c r="AB23" s="29">
        <v>5.0697859013491637</v>
      </c>
      <c r="AC23" s="29">
        <v>5.1742915395502393</v>
      </c>
      <c r="AD23" s="29">
        <v>5.0181597150828594</v>
      </c>
      <c r="AE23" s="29">
        <v>-2.0695434990643662</v>
      </c>
      <c r="AF23" s="30"/>
      <c r="BB23" s="13"/>
    </row>
    <row r="24" spans="1:54" s="10" customFormat="1" ht="12" customHeight="1" x14ac:dyDescent="0.2">
      <c r="A24" s="18"/>
      <c r="B24" s="19"/>
      <c r="C24" s="20"/>
      <c r="D24" s="28" t="s">
        <v>150</v>
      </c>
      <c r="E24" s="29">
        <v>2.6327845185903271</v>
      </c>
      <c r="F24" s="29">
        <v>4.4062165258050641</v>
      </c>
      <c r="G24" s="29">
        <v>4.1468392671671239</v>
      </c>
      <c r="H24" s="29">
        <v>0.47490192048410051</v>
      </c>
      <c r="I24" s="29">
        <v>3.2902137230934585</v>
      </c>
      <c r="J24" s="29">
        <v>2.3053885959187284</v>
      </c>
      <c r="K24" s="29">
        <v>0.59969539161363627</v>
      </c>
      <c r="L24" s="29">
        <v>3.7799064962898683</v>
      </c>
      <c r="M24" s="29">
        <v>0.5468595299945207</v>
      </c>
      <c r="N24" s="29">
        <v>2.9324755461927197</v>
      </c>
      <c r="O24" s="29">
        <v>5.1042997756893413</v>
      </c>
      <c r="P24" s="29">
        <v>5.9066660816801289</v>
      </c>
      <c r="Q24" s="29">
        <v>6.4724942986248237</v>
      </c>
      <c r="R24" s="29">
        <v>6.850729770631375</v>
      </c>
      <c r="S24" s="29">
        <v>0.23228274566594109</v>
      </c>
      <c r="T24" s="29">
        <v>3.306939815347576</v>
      </c>
      <c r="U24" s="29">
        <v>8.4056992242171731</v>
      </c>
      <c r="V24" s="29">
        <v>6.1082637197965113</v>
      </c>
      <c r="W24" s="29">
        <v>4.5632091307111722</v>
      </c>
      <c r="X24" s="29">
        <v>5.8786805667541842</v>
      </c>
      <c r="Y24" s="29">
        <v>5.3571256444996891</v>
      </c>
      <c r="Z24" s="29">
        <v>5.7185071313351443</v>
      </c>
      <c r="AA24" s="29">
        <v>5.8789492995013717</v>
      </c>
      <c r="AB24" s="29">
        <v>4.8056965247938734</v>
      </c>
      <c r="AC24" s="29">
        <v>6.3184507016286631</v>
      </c>
      <c r="AD24" s="29">
        <v>5.3657489654746371</v>
      </c>
      <c r="AE24" s="29">
        <v>-0.30749749049844866</v>
      </c>
      <c r="AF24" s="30"/>
      <c r="BB24" s="13"/>
    </row>
    <row r="25" spans="1:54" s="10" customFormat="1" ht="12" customHeight="1" x14ac:dyDescent="0.2">
      <c r="A25" s="18"/>
      <c r="B25" s="19"/>
      <c r="C25" s="20"/>
      <c r="D25" s="28" t="s">
        <v>349</v>
      </c>
      <c r="E25" s="29">
        <v>9.2686663377837561</v>
      </c>
      <c r="F25" s="29">
        <v>9.6145653931996549</v>
      </c>
      <c r="G25" s="29">
        <v>7.8907033260066726</v>
      </c>
      <c r="H25" s="29">
        <v>6.1705524265897651</v>
      </c>
      <c r="I25" s="29">
        <v>-5.129448165209638</v>
      </c>
      <c r="J25" s="29">
        <v>11.466942426742492</v>
      </c>
      <c r="K25" s="29">
        <v>9.0608333250853406</v>
      </c>
      <c r="L25" s="29">
        <v>4.8523995715128052</v>
      </c>
      <c r="M25" s="29">
        <v>7.7251426754717301</v>
      </c>
      <c r="N25" s="29">
        <v>3.1472911937340911</v>
      </c>
      <c r="O25" s="29">
        <v>5.197391363243824</v>
      </c>
      <c r="P25" s="29">
        <v>4.3085427141123631</v>
      </c>
      <c r="Q25" s="29">
        <v>5.2643265946672386</v>
      </c>
      <c r="R25" s="29">
        <v>5.799548415032163</v>
      </c>
      <c r="S25" s="29">
        <v>3.0129848728116713</v>
      </c>
      <c r="T25" s="29">
        <v>0.79269898951818618</v>
      </c>
      <c r="U25" s="29">
        <v>6.8048249178367115</v>
      </c>
      <c r="V25" s="29">
        <v>3.6856677821252646</v>
      </c>
      <c r="W25" s="29">
        <v>2.4025309924618625</v>
      </c>
      <c r="X25" s="29">
        <v>3.1647086364718433</v>
      </c>
      <c r="Y25" s="29">
        <v>3.2024537945736</v>
      </c>
      <c r="Z25" s="29">
        <v>2.8091032682413299</v>
      </c>
      <c r="AA25" s="29">
        <v>2.9468817150862634</v>
      </c>
      <c r="AB25" s="29">
        <v>3.1596357401277686</v>
      </c>
      <c r="AC25" s="29">
        <v>2.9074037737713496</v>
      </c>
      <c r="AD25" s="29">
        <v>2.0393482271079364</v>
      </c>
      <c r="AE25" s="29">
        <v>-0.95776622352529728</v>
      </c>
      <c r="AF25" s="30"/>
      <c r="BB25" s="13"/>
    </row>
    <row r="26" spans="1:54" s="10" customFormat="1" ht="12" customHeight="1" x14ac:dyDescent="0.2">
      <c r="A26" s="18"/>
      <c r="B26" s="19"/>
      <c r="C26" s="20"/>
      <c r="D26" s="28" t="s">
        <v>180</v>
      </c>
      <c r="E26" s="29">
        <v>9.2120417933486749</v>
      </c>
      <c r="F26" s="29">
        <v>9.8290851973081175</v>
      </c>
      <c r="G26" s="29">
        <v>10.002700686184411</v>
      </c>
      <c r="H26" s="29">
        <v>7.3227418503592361</v>
      </c>
      <c r="I26" s="29">
        <v>-7.3594151881755607</v>
      </c>
      <c r="J26" s="29">
        <v>6.1376120105769161</v>
      </c>
      <c r="K26" s="29">
        <v>8.8588681696938636</v>
      </c>
      <c r="L26" s="29">
        <v>0.51767531919286114</v>
      </c>
      <c r="M26" s="29">
        <v>5.3909883069279658</v>
      </c>
      <c r="N26" s="29">
        <v>5.7884992858874966</v>
      </c>
      <c r="O26" s="29">
        <v>6.7834377237030452</v>
      </c>
      <c r="P26" s="29">
        <v>5.3321391614148581</v>
      </c>
      <c r="Q26" s="29">
        <v>5.5848470671515003</v>
      </c>
      <c r="R26" s="29">
        <v>6.2987859274094689</v>
      </c>
      <c r="S26" s="29">
        <v>4.8317698891309675</v>
      </c>
      <c r="T26" s="29">
        <v>-1.5135287159871353</v>
      </c>
      <c r="U26" s="29">
        <v>7.4248473832609676</v>
      </c>
      <c r="V26" s="29">
        <v>5.2939128341400306</v>
      </c>
      <c r="W26" s="29">
        <v>5.4734541925385258</v>
      </c>
      <c r="X26" s="29">
        <v>4.6937225255789343</v>
      </c>
      <c r="Y26" s="29">
        <v>6.0067219455820293</v>
      </c>
      <c r="Z26" s="29">
        <v>5.091532421550113</v>
      </c>
      <c r="AA26" s="29">
        <v>4.4497813976154106</v>
      </c>
      <c r="AB26" s="29">
        <v>5.8127224098332846</v>
      </c>
      <c r="AC26" s="29">
        <v>4.7699270236309985</v>
      </c>
      <c r="AD26" s="29">
        <v>4.3028159822100349</v>
      </c>
      <c r="AE26" s="29">
        <v>-5.5877446780619522</v>
      </c>
      <c r="AF26" s="30"/>
      <c r="BB26" s="13"/>
    </row>
    <row r="27" spans="1:54" s="10" customFormat="1" ht="12" customHeight="1" x14ac:dyDescent="0.2">
      <c r="A27" s="18"/>
      <c r="B27" s="19"/>
      <c r="C27" s="20"/>
      <c r="D27" s="28" t="s">
        <v>105</v>
      </c>
      <c r="E27" s="29">
        <v>4.9410806756874308</v>
      </c>
      <c r="F27" s="29">
        <v>-6.2912308211011663</v>
      </c>
      <c r="G27" s="29">
        <v>6.7732586944504618</v>
      </c>
      <c r="H27" s="29">
        <v>6.8468522786242687</v>
      </c>
      <c r="I27" s="29">
        <v>5.1639251679514615</v>
      </c>
      <c r="J27" s="29">
        <v>2.7535542474823558</v>
      </c>
      <c r="K27" s="29">
        <v>4.9424537146742153</v>
      </c>
      <c r="L27" s="29">
        <v>-0.4043901266928458</v>
      </c>
      <c r="M27" s="29">
        <v>-3.9844481468534809E-2</v>
      </c>
      <c r="N27" s="29">
        <v>1.4463826837036038</v>
      </c>
      <c r="O27" s="29">
        <v>3.920590810287905</v>
      </c>
      <c r="P27" s="29">
        <v>2.3078070659173591</v>
      </c>
      <c r="Q27" s="29">
        <v>4.4950778942140772</v>
      </c>
      <c r="R27" s="29">
        <v>2.2914457142980211</v>
      </c>
      <c r="S27" s="29">
        <v>1.1435845871940131</v>
      </c>
      <c r="T27" s="29">
        <v>-5.2857441368175131</v>
      </c>
      <c r="U27" s="29">
        <v>5.1181181432116318</v>
      </c>
      <c r="V27" s="29">
        <v>3.6630079295009352</v>
      </c>
      <c r="W27" s="29">
        <v>3.6423226794134678</v>
      </c>
      <c r="X27" s="29">
        <v>1.3540919615167866</v>
      </c>
      <c r="Y27" s="29">
        <v>2.8497732549068786</v>
      </c>
      <c r="Z27" s="29">
        <v>3.2931515283338655</v>
      </c>
      <c r="AA27" s="29">
        <v>2.6305324245508928</v>
      </c>
      <c r="AB27" s="29">
        <v>2.1131291354969477</v>
      </c>
      <c r="AC27" s="29">
        <v>2.1949920489605148</v>
      </c>
      <c r="AD27" s="29">
        <v>-5.4527928044322493E-2</v>
      </c>
      <c r="AE27" s="29">
        <v>-8.2394732773174439</v>
      </c>
      <c r="AF27" s="30"/>
      <c r="BB27" s="13"/>
    </row>
    <row r="28" spans="1:54" s="10" customFormat="1" ht="12" customHeight="1" x14ac:dyDescent="0.2">
      <c r="A28" s="18"/>
      <c r="B28" s="19"/>
      <c r="C28" s="20"/>
      <c r="D28" s="28" t="s">
        <v>113</v>
      </c>
      <c r="E28" s="29">
        <v>5.2928020584200226</v>
      </c>
      <c r="F28" s="29">
        <v>7.1028655381029466</v>
      </c>
      <c r="G28" s="29">
        <v>6.1153807094743655</v>
      </c>
      <c r="H28" s="29">
        <v>6.4490598348722017</v>
      </c>
      <c r="I28" s="29">
        <v>4.6406343685527247</v>
      </c>
      <c r="J28" s="29">
        <v>4.6548266590651792</v>
      </c>
      <c r="K28" s="29">
        <v>4.5610254683833489</v>
      </c>
      <c r="L28" s="29">
        <v>1.2584726936318589</v>
      </c>
      <c r="M28" s="29">
        <v>2.0359035010511661</v>
      </c>
      <c r="N28" s="29">
        <v>3.4983991839323352</v>
      </c>
      <c r="O28" s="29">
        <v>4.9828221234847376</v>
      </c>
      <c r="P28" s="29">
        <v>3.5068474534369471</v>
      </c>
      <c r="Q28" s="29">
        <v>6.1311439460615844</v>
      </c>
      <c r="R28" s="29">
        <v>7.0615438131078179</v>
      </c>
      <c r="S28" s="29">
        <v>4.1999622924876689</v>
      </c>
      <c r="T28" s="29">
        <v>2.8321845894309803</v>
      </c>
      <c r="U28" s="29">
        <v>3.7405177790768391</v>
      </c>
      <c r="V28" s="29">
        <v>4.7576380038207162</v>
      </c>
      <c r="W28" s="29">
        <v>1.3248908278504388</v>
      </c>
      <c r="X28" s="29">
        <v>1.1257678360958181</v>
      </c>
      <c r="Y28" s="29">
        <v>3.3785780726413179</v>
      </c>
      <c r="Z28" s="29">
        <v>4.2363263060808549</v>
      </c>
      <c r="AA28" s="29">
        <v>3.1417312290701318</v>
      </c>
      <c r="AB28" s="29">
        <v>4.8306545703617871</v>
      </c>
      <c r="AC28" s="29">
        <v>5.3537047460440021</v>
      </c>
      <c r="AD28" s="29">
        <v>4.5409195143276406</v>
      </c>
      <c r="AE28" s="29">
        <v>-2.7017091948250851</v>
      </c>
      <c r="AF28" s="30"/>
      <c r="BB28" s="13"/>
    </row>
    <row r="29" spans="1:54" s="10" customFormat="1" ht="12" customHeight="1" x14ac:dyDescent="0.2">
      <c r="A29" s="18"/>
      <c r="B29" s="19"/>
      <c r="C29" s="20"/>
      <c r="D29" s="28" t="s">
        <v>136</v>
      </c>
      <c r="E29" s="29">
        <v>0.96483792534367296</v>
      </c>
      <c r="F29" s="29">
        <v>4.2827804595035275</v>
      </c>
      <c r="G29" s="29">
        <v>3.5042470691652738</v>
      </c>
      <c r="H29" s="29">
        <v>4.4008677538124772</v>
      </c>
      <c r="I29" s="29">
        <v>4.8079629757332896</v>
      </c>
      <c r="J29" s="29">
        <v>3.9065774400257851</v>
      </c>
      <c r="K29" s="29">
        <v>3.8161780634697919</v>
      </c>
      <c r="L29" s="29">
        <v>1.9436722958495949</v>
      </c>
      <c r="M29" s="29">
        <v>0.77092402429121876</v>
      </c>
      <c r="N29" s="29">
        <v>-0.93052119262306121</v>
      </c>
      <c r="O29" s="29">
        <v>1.788735681571211</v>
      </c>
      <c r="P29" s="29">
        <v>0.78184821592743958</v>
      </c>
      <c r="Q29" s="29">
        <v>1.6250341762967366</v>
      </c>
      <c r="R29" s="29">
        <v>2.506579645517732</v>
      </c>
      <c r="S29" s="29">
        <v>0.31924792506308108</v>
      </c>
      <c r="T29" s="29">
        <v>-3.1220794203332076</v>
      </c>
      <c r="U29" s="29">
        <v>1.7376254759056593</v>
      </c>
      <c r="V29" s="29">
        <v>-1.6961647806150353</v>
      </c>
      <c r="W29" s="29">
        <v>-4.0572936076956125</v>
      </c>
      <c r="X29" s="29">
        <v>-0.92264467452788779</v>
      </c>
      <c r="Y29" s="29">
        <v>0.79219030187536532</v>
      </c>
      <c r="Z29" s="29">
        <v>1.7920460455598288</v>
      </c>
      <c r="AA29" s="29">
        <v>2.0194853956131169</v>
      </c>
      <c r="AB29" s="29">
        <v>3.5063452848123973</v>
      </c>
      <c r="AC29" s="29">
        <v>2.8493264613125291</v>
      </c>
      <c r="AD29" s="29">
        <v>2.4889586061267011</v>
      </c>
      <c r="AE29" s="29">
        <v>-7.5636164225146416</v>
      </c>
      <c r="AF29" s="30"/>
      <c r="BB29" s="13"/>
    </row>
    <row r="30" spans="1:54" s="10" customFormat="1" ht="12" customHeight="1" x14ac:dyDescent="0.2">
      <c r="A30" s="18"/>
      <c r="B30" s="19"/>
      <c r="C30" s="20"/>
      <c r="D30" s="28" t="s">
        <v>350</v>
      </c>
      <c r="E30" s="29">
        <v>6.2055296787509917</v>
      </c>
      <c r="F30" s="29">
        <v>5.8434959895745209</v>
      </c>
      <c r="G30" s="29">
        <v>6.619895357103772</v>
      </c>
      <c r="H30" s="29">
        <v>5.9258385572759522</v>
      </c>
      <c r="I30" s="29">
        <v>4.0760963337162224</v>
      </c>
      <c r="J30" s="29">
        <v>-0.10591426319783181</v>
      </c>
      <c r="K30" s="29">
        <v>1.1665282469973874</v>
      </c>
      <c r="L30" s="29">
        <v>3.2537827286625003</v>
      </c>
      <c r="M30" s="29">
        <v>4.5094440010224446</v>
      </c>
      <c r="N30" s="29">
        <v>5.49908215059925</v>
      </c>
      <c r="O30" s="29">
        <v>5.2788799907258692</v>
      </c>
      <c r="P30" s="29">
        <v>6.6234632149246124</v>
      </c>
      <c r="Q30" s="29">
        <v>8.4931775871123847</v>
      </c>
      <c r="R30" s="29">
        <v>10.832028832638585</v>
      </c>
      <c r="S30" s="29">
        <v>5.5748863615347375</v>
      </c>
      <c r="T30" s="29">
        <v>-5.4555332306824056</v>
      </c>
      <c r="U30" s="29">
        <v>5.8712561088070601</v>
      </c>
      <c r="V30" s="29">
        <v>2.8472181779788173</v>
      </c>
      <c r="W30" s="29">
        <v>1.8967422714071631</v>
      </c>
      <c r="X30" s="29">
        <v>0.66653504176339595</v>
      </c>
      <c r="Y30" s="29">
        <v>2.6415897461004221</v>
      </c>
      <c r="Z30" s="29">
        <v>4.8148996702743574</v>
      </c>
      <c r="AA30" s="29">
        <v>2.132727783939842</v>
      </c>
      <c r="AB30" s="29">
        <v>2.9895203180201975</v>
      </c>
      <c r="AC30" s="29">
        <v>3.6501233577796341</v>
      </c>
      <c r="AD30" s="29">
        <v>2.5115881409905256</v>
      </c>
      <c r="AE30" s="29">
        <v>-4.754325341100099</v>
      </c>
      <c r="AF30" s="30"/>
      <c r="BB30" s="13"/>
    </row>
    <row r="31" spans="1:54" s="10" customFormat="1" ht="12" customHeight="1" thickBot="1" x14ac:dyDescent="0.25">
      <c r="A31" s="18"/>
      <c r="B31" s="19"/>
      <c r="C31" s="20"/>
      <c r="D31" s="31" t="s">
        <v>124</v>
      </c>
      <c r="E31" s="32">
        <v>2.3831953965124768</v>
      </c>
      <c r="F31" s="32">
        <v>2.7574939944246353</v>
      </c>
      <c r="G31" s="32">
        <v>2.660524452723422</v>
      </c>
      <c r="H31" s="32">
        <v>3.7025802853684127</v>
      </c>
      <c r="I31" s="32">
        <v>4.3930373512449279</v>
      </c>
      <c r="J31" s="32">
        <v>4.4904913155355359</v>
      </c>
      <c r="K31" s="32">
        <v>5.2459946804161319</v>
      </c>
      <c r="L31" s="32">
        <v>3.9329488433309905</v>
      </c>
      <c r="M31" s="32">
        <v>2.7310222316026369</v>
      </c>
      <c r="N31" s="32">
        <v>2.9818948359620663</v>
      </c>
      <c r="O31" s="32">
        <v>3.1227952415142397</v>
      </c>
      <c r="P31" s="32">
        <v>3.6520326743317781</v>
      </c>
      <c r="Q31" s="32">
        <v>4.1027271154246279</v>
      </c>
      <c r="R31" s="32">
        <v>3.6046879712693141</v>
      </c>
      <c r="S31" s="32">
        <v>0.88714518248529828</v>
      </c>
      <c r="T31" s="32">
        <v>-3.763231926900886</v>
      </c>
      <c r="U31" s="32">
        <v>0.1630102308414223</v>
      </c>
      <c r="V31" s="32">
        <v>-0.8143734551510704</v>
      </c>
      <c r="W31" s="32">
        <v>-2.9594413017355521</v>
      </c>
      <c r="X31" s="32">
        <v>-1.4353942591932736</v>
      </c>
      <c r="Y31" s="32">
        <v>1.3839079426702909</v>
      </c>
      <c r="Z31" s="32">
        <v>3.8351726603384577</v>
      </c>
      <c r="AA31" s="32">
        <v>3.0313013298193283</v>
      </c>
      <c r="AB31" s="32">
        <v>2.9736411905373075</v>
      </c>
      <c r="AC31" s="32">
        <v>2.4300471454687056</v>
      </c>
      <c r="AD31" s="32">
        <v>1.9501268944504631</v>
      </c>
      <c r="AE31" s="32">
        <v>-10.838947339325514</v>
      </c>
      <c r="AF31" s="33"/>
      <c r="BB31" s="13"/>
    </row>
    <row r="32" spans="1:54" x14ac:dyDescent="0.25">
      <c r="D32" s="14"/>
      <c r="E32" s="14"/>
      <c r="F32" s="16"/>
      <c r="G32" s="16"/>
      <c r="H32" s="16"/>
      <c r="I32" s="16"/>
      <c r="J32" s="16"/>
      <c r="K32" s="16"/>
      <c r="L32" s="16"/>
      <c r="M32" s="16"/>
      <c r="N32" s="16"/>
      <c r="O32" s="16"/>
      <c r="P32" s="16"/>
      <c r="Q32" s="16"/>
      <c r="R32" s="16"/>
      <c r="S32" s="16"/>
      <c r="T32" s="16"/>
      <c r="U32" s="16"/>
      <c r="V32" s="16"/>
      <c r="W32" s="17"/>
      <c r="BA32" s="13"/>
    </row>
    <row r="33" spans="1:53" x14ac:dyDescent="0.25">
      <c r="BA33" s="13"/>
    </row>
    <row r="34" spans="1:53" x14ac:dyDescent="0.25">
      <c r="A34" s="5">
        <v>5</v>
      </c>
      <c r="B34" s="6" t="s">
        <v>51</v>
      </c>
      <c r="C34" s="5"/>
      <c r="F34" s="10"/>
      <c r="G34" s="10"/>
      <c r="H34" s="10"/>
      <c r="I34" s="10"/>
      <c r="J34" s="10"/>
      <c r="K34" s="10"/>
      <c r="L34" s="10"/>
      <c r="M34" s="10"/>
      <c r="N34" s="10"/>
      <c r="O34" s="10"/>
      <c r="P34" s="10"/>
      <c r="Q34" s="10"/>
      <c r="R34" s="10"/>
      <c r="S34" s="10"/>
      <c r="AB34" s="34"/>
      <c r="BA34" s="13"/>
    </row>
    <row r="35" spans="1:53" x14ac:dyDescent="0.25">
      <c r="F35" s="10"/>
      <c r="G35" s="10"/>
      <c r="H35" s="10"/>
      <c r="I35" s="10"/>
      <c r="J35" s="10"/>
      <c r="K35" s="10"/>
      <c r="L35" s="10"/>
      <c r="M35" s="10"/>
      <c r="N35" s="10"/>
      <c r="O35" s="10"/>
      <c r="P35" s="10"/>
      <c r="Q35" s="10"/>
      <c r="R35" s="10"/>
      <c r="S35" s="10"/>
      <c r="BA35" s="13"/>
    </row>
    <row r="36" spans="1:53" x14ac:dyDescent="0.25">
      <c r="BA36" s="13"/>
    </row>
    <row r="37" spans="1:53" x14ac:dyDescent="0.25">
      <c r="F37" s="10"/>
      <c r="G37" s="10"/>
      <c r="H37" s="10"/>
      <c r="I37" s="10"/>
      <c r="J37" s="10"/>
      <c r="K37" s="10"/>
      <c r="L37" s="10"/>
      <c r="M37" s="10"/>
      <c r="N37" s="10"/>
      <c r="O37" s="10"/>
      <c r="P37" s="10"/>
      <c r="Q37" s="10"/>
      <c r="R37" s="10"/>
      <c r="S37" s="10"/>
      <c r="BA37" s="13"/>
    </row>
    <row r="38" spans="1:53" x14ac:dyDescent="0.25">
      <c r="F38" s="10"/>
      <c r="G38" s="10"/>
      <c r="H38" s="10"/>
      <c r="I38" s="10"/>
      <c r="J38" s="10"/>
      <c r="K38" s="10"/>
      <c r="L38" s="10"/>
      <c r="M38" s="10"/>
      <c r="N38" s="10"/>
      <c r="O38" s="35"/>
      <c r="Q38" s="10"/>
      <c r="R38" s="10"/>
      <c r="S38" s="10"/>
      <c r="BA38" s="13"/>
    </row>
    <row r="39" spans="1:53" x14ac:dyDescent="0.25">
      <c r="F39" s="10"/>
      <c r="G39" s="10"/>
      <c r="H39" s="10"/>
      <c r="I39" s="10"/>
      <c r="J39" s="10"/>
      <c r="K39" s="10"/>
      <c r="L39" s="10"/>
      <c r="M39" s="10"/>
      <c r="N39" s="10"/>
      <c r="O39" s="35"/>
      <c r="P39" s="10"/>
      <c r="Q39" s="10"/>
      <c r="R39" s="10"/>
      <c r="S39" s="10"/>
      <c r="BA39" s="13"/>
    </row>
    <row r="40" spans="1:53" x14ac:dyDescent="0.25">
      <c r="F40" s="10"/>
      <c r="G40" s="10"/>
      <c r="H40" s="10"/>
      <c r="I40" s="10"/>
      <c r="J40" s="10"/>
      <c r="K40" s="10"/>
      <c r="L40" s="10"/>
      <c r="M40" s="10"/>
      <c r="N40" s="10"/>
      <c r="O40" s="10"/>
      <c r="P40" s="10"/>
      <c r="Q40" s="10"/>
      <c r="R40" s="10"/>
      <c r="S40" s="10"/>
      <c r="BA40" s="13"/>
    </row>
    <row r="41" spans="1:53" x14ac:dyDescent="0.25">
      <c r="F41" s="10"/>
      <c r="G41" s="10"/>
      <c r="H41" s="10"/>
      <c r="I41" s="10"/>
      <c r="J41" s="10"/>
      <c r="K41" s="10"/>
      <c r="L41" s="10"/>
      <c r="M41" s="10"/>
      <c r="N41" s="10"/>
      <c r="O41" s="10"/>
      <c r="P41" s="10"/>
      <c r="Q41" s="10"/>
      <c r="R41" s="10"/>
      <c r="S41" s="10"/>
      <c r="BA41" s="13"/>
    </row>
    <row r="42" spans="1:53" x14ac:dyDescent="0.25">
      <c r="F42" s="10"/>
      <c r="G42" s="10"/>
      <c r="H42" s="10"/>
      <c r="I42" s="10"/>
      <c r="J42" s="10"/>
      <c r="K42" s="10"/>
      <c r="L42" s="10"/>
      <c r="M42" s="10"/>
      <c r="N42" s="10"/>
      <c r="O42" s="10"/>
      <c r="P42" s="10"/>
      <c r="Q42" s="10"/>
      <c r="R42" s="10"/>
      <c r="S42" s="10"/>
      <c r="BA42" s="13"/>
    </row>
    <row r="43" spans="1:53" x14ac:dyDescent="0.25">
      <c r="F43" s="10"/>
      <c r="G43" s="10"/>
      <c r="H43" s="10"/>
      <c r="I43" s="10"/>
      <c r="J43" s="10"/>
      <c r="K43" s="10"/>
      <c r="L43" s="10"/>
      <c r="M43" s="10"/>
      <c r="N43" s="10"/>
      <c r="O43" s="10"/>
      <c r="P43" s="10"/>
      <c r="Q43" s="10"/>
      <c r="R43" s="10"/>
      <c r="S43" s="10"/>
      <c r="BA43" s="13"/>
    </row>
    <row r="44" spans="1:53" x14ac:dyDescent="0.25">
      <c r="BA44" s="13"/>
    </row>
    <row r="45" spans="1:53" x14ac:dyDescent="0.25">
      <c r="BA45" s="13"/>
    </row>
    <row r="46" spans="1:53" x14ac:dyDescent="0.25">
      <c r="BA46" s="13"/>
    </row>
    <row r="47" spans="1:53" x14ac:dyDescent="0.25">
      <c r="X47" s="4" t="s">
        <v>351</v>
      </c>
      <c r="Y47" s="4" t="s">
        <v>351</v>
      </c>
    </row>
    <row r="52" spans="1:97" ht="10.5" customHeight="1" x14ac:dyDescent="0.25"/>
    <row r="53" spans="1:97" ht="15" customHeight="1" x14ac:dyDescent="0.25">
      <c r="A53" s="5">
        <v>6</v>
      </c>
      <c r="B53" s="6" t="s">
        <v>52</v>
      </c>
      <c r="C53" s="5"/>
      <c r="D53" s="4654" t="s">
        <v>352</v>
      </c>
      <c r="E53" s="4655"/>
      <c r="F53" s="4655"/>
      <c r="G53" s="4655"/>
      <c r="H53" s="4655"/>
      <c r="I53" s="4655"/>
      <c r="J53" s="4655"/>
      <c r="K53" s="4655"/>
      <c r="L53" s="4655"/>
      <c r="M53" s="4655"/>
      <c r="N53" s="4655"/>
      <c r="O53" s="4655"/>
      <c r="P53" s="4655"/>
      <c r="Q53" s="4655"/>
      <c r="R53" s="4655"/>
      <c r="S53" s="4655"/>
      <c r="T53" s="4655"/>
      <c r="U53" s="4655"/>
      <c r="V53" s="4655"/>
      <c r="W53" s="4655"/>
      <c r="X53" s="4655"/>
      <c r="Y53" s="4655"/>
      <c r="Z53" s="4655"/>
      <c r="AA53" s="4655"/>
      <c r="AB53" s="4655"/>
      <c r="AC53" s="4656"/>
      <c r="AD53" s="7"/>
      <c r="AE53" s="7"/>
      <c r="AF53" s="7"/>
      <c r="AG53" s="7"/>
      <c r="AH53" s="7"/>
      <c r="AI53" s="7"/>
      <c r="AJ53" s="7"/>
      <c r="AK53" s="7"/>
      <c r="AL53" s="7"/>
      <c r="AM53" s="7"/>
      <c r="AN53" s="7"/>
    </row>
    <row r="54" spans="1:97" ht="27.6" customHeight="1" x14ac:dyDescent="0.25">
      <c r="A54" s="36">
        <v>7</v>
      </c>
      <c r="B54" s="37" t="s">
        <v>54</v>
      </c>
      <c r="C54" s="36"/>
      <c r="D54" s="4654" t="s">
        <v>353</v>
      </c>
      <c r="E54" s="4655"/>
      <c r="F54" s="4655"/>
      <c r="G54" s="4655"/>
      <c r="H54" s="4655"/>
      <c r="I54" s="4655"/>
      <c r="J54" s="4655"/>
      <c r="K54" s="4655"/>
      <c r="L54" s="4655"/>
      <c r="M54" s="4655"/>
      <c r="N54" s="4655"/>
      <c r="O54" s="4655"/>
      <c r="P54" s="4655"/>
      <c r="Q54" s="4655"/>
      <c r="R54" s="4655"/>
      <c r="S54" s="4655"/>
      <c r="T54" s="4655"/>
      <c r="U54" s="4655"/>
      <c r="V54" s="4655"/>
      <c r="W54" s="4655"/>
      <c r="X54" s="4655"/>
      <c r="Y54" s="4655"/>
      <c r="Z54" s="4655"/>
      <c r="AA54" s="4655"/>
      <c r="AB54" s="4655"/>
      <c r="AC54" s="4656"/>
      <c r="AD54" s="7"/>
      <c r="AE54" s="7"/>
      <c r="AF54" s="7"/>
      <c r="AG54" s="38"/>
      <c r="AH54" s="38"/>
      <c r="AI54" s="38"/>
      <c r="AJ54" s="38"/>
      <c r="AK54" s="38"/>
      <c r="AL54" s="38"/>
      <c r="AM54" s="38"/>
      <c r="AN54" s="38"/>
    </row>
    <row r="55" spans="1:97" ht="31.7" customHeight="1" x14ac:dyDescent="0.25">
      <c r="A55" s="5">
        <v>8</v>
      </c>
      <c r="B55" s="6" t="s">
        <v>56</v>
      </c>
      <c r="C55" s="5"/>
      <c r="D55" s="4654" t="s">
        <v>354</v>
      </c>
      <c r="E55" s="4655"/>
      <c r="F55" s="4655"/>
      <c r="G55" s="4655"/>
      <c r="H55" s="4655"/>
      <c r="I55" s="4655"/>
      <c r="J55" s="4655"/>
      <c r="K55" s="4655"/>
      <c r="L55" s="4655"/>
      <c r="M55" s="4655"/>
      <c r="N55" s="4655"/>
      <c r="O55" s="4655"/>
      <c r="P55" s="4655"/>
      <c r="Q55" s="4655"/>
      <c r="R55" s="4655"/>
      <c r="S55" s="4655"/>
      <c r="T55" s="4655"/>
      <c r="U55" s="4655"/>
      <c r="V55" s="4655"/>
      <c r="W55" s="4655"/>
      <c r="X55" s="4655"/>
      <c r="Y55" s="4655"/>
      <c r="Z55" s="4655"/>
      <c r="AA55" s="4655"/>
      <c r="AB55" s="4655"/>
      <c r="AC55" s="4656"/>
      <c r="AD55" s="7"/>
      <c r="AE55" s="7"/>
      <c r="AF55" s="7"/>
      <c r="AG55" s="38"/>
      <c r="AH55" s="38"/>
      <c r="AI55" s="38"/>
      <c r="AJ55" s="38"/>
      <c r="AK55" s="38"/>
      <c r="AL55" s="38"/>
      <c r="AM55" s="38"/>
      <c r="AN55" s="38"/>
    </row>
    <row r="56" spans="1:97" ht="19.350000000000001" customHeight="1" x14ac:dyDescent="0.25">
      <c r="A56" s="5">
        <v>9</v>
      </c>
      <c r="B56" s="6" t="s">
        <v>355</v>
      </c>
      <c r="C56" s="5"/>
      <c r="D56" s="4654" t="s">
        <v>356</v>
      </c>
      <c r="E56" s="4655"/>
      <c r="F56" s="4655"/>
      <c r="G56" s="4655"/>
      <c r="H56" s="4655"/>
      <c r="I56" s="4655"/>
      <c r="J56" s="4655"/>
      <c r="K56" s="4655"/>
      <c r="L56" s="4655"/>
      <c r="M56" s="4655"/>
      <c r="N56" s="4655"/>
      <c r="O56" s="4655"/>
      <c r="P56" s="4655"/>
      <c r="Q56" s="4655"/>
      <c r="R56" s="4655"/>
      <c r="S56" s="4655"/>
      <c r="T56" s="4655"/>
      <c r="U56" s="4655"/>
      <c r="V56" s="4655"/>
      <c r="W56" s="4655"/>
      <c r="X56" s="4655"/>
      <c r="Y56" s="4655"/>
      <c r="Z56" s="4655"/>
      <c r="AA56" s="4655"/>
      <c r="AB56" s="4655"/>
      <c r="AC56" s="4656"/>
      <c r="AD56" s="7"/>
      <c r="AE56" s="7"/>
    </row>
    <row r="57" spans="1:97" ht="12.75" customHeight="1" x14ac:dyDescent="0.25">
      <c r="B57" s="6"/>
      <c r="C57" s="5"/>
      <c r="D57" s="7"/>
      <c r="E57" s="7"/>
      <c r="F57" s="7"/>
      <c r="G57" s="7"/>
      <c r="H57" s="7"/>
      <c r="I57" s="7"/>
      <c r="J57" s="7"/>
      <c r="K57" s="7"/>
      <c r="L57" s="7"/>
      <c r="M57" s="7"/>
      <c r="N57" s="7"/>
      <c r="O57" s="7"/>
      <c r="P57" s="7"/>
      <c r="Q57" s="7"/>
      <c r="R57" s="7"/>
      <c r="S57" s="7"/>
      <c r="T57" s="7"/>
      <c r="U57" s="7"/>
      <c r="V57" s="7"/>
    </row>
    <row r="58" spans="1:97" ht="12.75" customHeight="1" x14ac:dyDescent="0.25">
      <c r="B58" s="6"/>
      <c r="C58" s="5"/>
      <c r="D58" s="7"/>
      <c r="E58" s="7"/>
      <c r="F58" s="7"/>
      <c r="G58" s="7"/>
      <c r="H58" s="7"/>
      <c r="I58" s="7"/>
      <c r="J58" s="7"/>
      <c r="K58" s="7"/>
      <c r="L58" s="7"/>
      <c r="M58" s="7"/>
      <c r="N58" s="7"/>
      <c r="O58" s="7"/>
      <c r="P58" s="7"/>
      <c r="Q58" s="7"/>
      <c r="R58" s="7"/>
      <c r="S58" s="7"/>
      <c r="T58" s="7"/>
      <c r="U58" s="7"/>
      <c r="V58" s="7"/>
    </row>
    <row r="59" spans="1:97" ht="12.75" customHeight="1" x14ac:dyDescent="0.25">
      <c r="B59" s="39"/>
      <c r="C59" s="40"/>
      <c r="D59" s="4661">
        <v>1994</v>
      </c>
      <c r="E59" s="4662"/>
      <c r="F59" s="4662"/>
      <c r="G59" s="4663"/>
      <c r="H59" s="4661">
        <v>1995</v>
      </c>
      <c r="I59" s="4662"/>
      <c r="J59" s="4662"/>
      <c r="K59" s="4663"/>
      <c r="L59" s="4661">
        <v>1996</v>
      </c>
      <c r="M59" s="4662"/>
      <c r="N59" s="4662"/>
      <c r="O59" s="4663"/>
      <c r="P59" s="4661">
        <v>1997</v>
      </c>
      <c r="Q59" s="4662"/>
      <c r="R59" s="4662"/>
      <c r="S59" s="4663"/>
      <c r="T59" s="4661">
        <v>1998</v>
      </c>
      <c r="U59" s="4662"/>
      <c r="V59" s="4662"/>
      <c r="W59" s="4663"/>
      <c r="X59" s="4661">
        <v>1999</v>
      </c>
      <c r="Y59" s="4662"/>
      <c r="Z59" s="4662"/>
      <c r="AA59" s="4663"/>
      <c r="AB59" s="4661">
        <v>2000</v>
      </c>
      <c r="AC59" s="4662"/>
      <c r="AD59" s="4662"/>
      <c r="AE59" s="4662"/>
      <c r="AF59" s="4662"/>
      <c r="AG59" s="4663"/>
      <c r="AH59" s="4661">
        <v>2001</v>
      </c>
      <c r="AI59" s="4662"/>
      <c r="AJ59" s="4662"/>
      <c r="AK59" s="4663"/>
      <c r="AL59" s="4661">
        <v>2002</v>
      </c>
      <c r="AM59" s="4662"/>
      <c r="AN59" s="4662"/>
      <c r="AO59" s="4663"/>
      <c r="AP59" s="4661">
        <v>2003</v>
      </c>
      <c r="AQ59" s="4662"/>
      <c r="AR59" s="4662"/>
      <c r="AS59" s="4663"/>
      <c r="AT59" s="4661">
        <v>2004</v>
      </c>
      <c r="AU59" s="4662"/>
      <c r="AV59" s="4662"/>
      <c r="AW59" s="4663"/>
      <c r="AX59" s="4661">
        <v>2005</v>
      </c>
      <c r="AY59" s="4662"/>
      <c r="AZ59" s="4662"/>
      <c r="BA59" s="4663"/>
      <c r="BB59" s="4661">
        <v>2006</v>
      </c>
      <c r="BC59" s="4662"/>
      <c r="BD59" s="4662"/>
      <c r="BE59" s="4663"/>
      <c r="BF59" s="4661">
        <v>2007</v>
      </c>
      <c r="BG59" s="4662"/>
      <c r="BH59" s="4662"/>
      <c r="BI59" s="4663"/>
      <c r="BJ59" s="4661">
        <v>2008</v>
      </c>
      <c r="BK59" s="4662"/>
      <c r="BL59" s="4662"/>
      <c r="BM59" s="4663"/>
      <c r="BN59" s="4661">
        <v>2009</v>
      </c>
      <c r="BO59" s="4662"/>
      <c r="BP59" s="4662"/>
      <c r="BQ59" s="4663"/>
      <c r="BR59" s="4661">
        <v>2010</v>
      </c>
      <c r="BS59" s="4662"/>
      <c r="BT59" s="4662"/>
      <c r="BU59" s="4663"/>
      <c r="BV59" s="4661">
        <v>2011</v>
      </c>
      <c r="BW59" s="4662"/>
      <c r="BX59" s="4662"/>
      <c r="BY59" s="4663"/>
      <c r="BZ59" s="4661">
        <v>2012</v>
      </c>
      <c r="CA59" s="4662"/>
      <c r="CB59" s="4662"/>
      <c r="CC59" s="4663"/>
      <c r="CD59" s="4661">
        <v>2013</v>
      </c>
      <c r="CE59" s="4662"/>
      <c r="CF59" s="4662"/>
      <c r="CG59" s="4663"/>
      <c r="CH59" s="4661">
        <v>2014</v>
      </c>
      <c r="CI59" s="4662"/>
      <c r="CJ59" s="4662"/>
      <c r="CK59" s="4663"/>
      <c r="CL59" s="4661">
        <v>2015</v>
      </c>
      <c r="CM59" s="4662"/>
      <c r="CN59" s="4662"/>
      <c r="CO59" s="4663"/>
      <c r="CP59" s="4664">
        <v>2016</v>
      </c>
      <c r="CQ59" s="4665"/>
      <c r="CR59" s="4665"/>
      <c r="CS59" s="4666"/>
    </row>
    <row r="60" spans="1:97" ht="32.25" customHeight="1" x14ac:dyDescent="0.25">
      <c r="B60" s="4667" t="str">
        <f>+D2</f>
        <v xml:space="preserve">Gross Domestic Product (GDP) growth </v>
      </c>
      <c r="C60" s="4667"/>
      <c r="D60" s="41" t="s">
        <v>357</v>
      </c>
      <c r="E60" s="42" t="s">
        <v>358</v>
      </c>
      <c r="F60" s="42" t="s">
        <v>359</v>
      </c>
      <c r="G60" s="43" t="s">
        <v>360</v>
      </c>
      <c r="H60" s="41" t="s">
        <v>357</v>
      </c>
      <c r="I60" s="42" t="s">
        <v>358</v>
      </c>
      <c r="J60" s="42" t="s">
        <v>359</v>
      </c>
      <c r="K60" s="43" t="s">
        <v>360</v>
      </c>
      <c r="L60" s="41" t="s">
        <v>357</v>
      </c>
      <c r="M60" s="42" t="s">
        <v>358</v>
      </c>
      <c r="N60" s="42" t="s">
        <v>359</v>
      </c>
      <c r="O60" s="43" t="s">
        <v>360</v>
      </c>
      <c r="P60" s="41" t="s">
        <v>357</v>
      </c>
      <c r="Q60" s="42" t="s">
        <v>358</v>
      </c>
      <c r="R60" s="42" t="s">
        <v>359</v>
      </c>
      <c r="S60" s="43" t="s">
        <v>360</v>
      </c>
      <c r="T60" s="41" t="s">
        <v>357</v>
      </c>
      <c r="U60" s="42" t="s">
        <v>358</v>
      </c>
      <c r="V60" s="42" t="s">
        <v>359</v>
      </c>
      <c r="W60" s="43" t="s">
        <v>360</v>
      </c>
      <c r="X60" s="41" t="s">
        <v>357</v>
      </c>
      <c r="Y60" s="42" t="s">
        <v>358</v>
      </c>
      <c r="Z60" s="42" t="s">
        <v>359</v>
      </c>
      <c r="AA60" s="43" t="s">
        <v>360</v>
      </c>
      <c r="AB60" s="41" t="s">
        <v>357</v>
      </c>
      <c r="AC60" s="42" t="s">
        <v>358</v>
      </c>
      <c r="AD60" s="42"/>
      <c r="AE60" s="42"/>
      <c r="AF60" s="42" t="s">
        <v>359</v>
      </c>
      <c r="AG60" s="43" t="s">
        <v>360</v>
      </c>
      <c r="AH60" s="41" t="s">
        <v>357</v>
      </c>
      <c r="AI60" s="42" t="s">
        <v>358</v>
      </c>
      <c r="AJ60" s="42" t="s">
        <v>359</v>
      </c>
      <c r="AK60" s="43" t="s">
        <v>360</v>
      </c>
      <c r="AL60" s="41" t="s">
        <v>357</v>
      </c>
      <c r="AM60" s="42" t="s">
        <v>358</v>
      </c>
      <c r="AN60" s="42" t="s">
        <v>359</v>
      </c>
      <c r="AO60" s="43" t="s">
        <v>360</v>
      </c>
      <c r="AP60" s="41" t="s">
        <v>357</v>
      </c>
      <c r="AQ60" s="42" t="s">
        <v>358</v>
      </c>
      <c r="AR60" s="42" t="s">
        <v>359</v>
      </c>
      <c r="AS60" s="43" t="s">
        <v>360</v>
      </c>
      <c r="AT60" s="41" t="s">
        <v>357</v>
      </c>
      <c r="AU60" s="42" t="s">
        <v>358</v>
      </c>
      <c r="AV60" s="42" t="s">
        <v>359</v>
      </c>
      <c r="AW60" s="43" t="s">
        <v>360</v>
      </c>
      <c r="AX60" s="41" t="s">
        <v>357</v>
      </c>
      <c r="AY60" s="42" t="s">
        <v>358</v>
      </c>
      <c r="AZ60" s="42" t="s">
        <v>359</v>
      </c>
      <c r="BA60" s="43" t="s">
        <v>360</v>
      </c>
      <c r="BB60" s="41" t="s">
        <v>357</v>
      </c>
      <c r="BC60" s="42" t="s">
        <v>358</v>
      </c>
      <c r="BD60" s="42" t="s">
        <v>359</v>
      </c>
      <c r="BE60" s="43" t="s">
        <v>360</v>
      </c>
      <c r="BF60" s="41" t="s">
        <v>357</v>
      </c>
      <c r="BG60" s="42" t="s">
        <v>358</v>
      </c>
      <c r="BH60" s="42" t="s">
        <v>359</v>
      </c>
      <c r="BI60" s="43" t="s">
        <v>360</v>
      </c>
      <c r="BJ60" s="41" t="s">
        <v>357</v>
      </c>
      <c r="BK60" s="42" t="s">
        <v>358</v>
      </c>
      <c r="BL60" s="42" t="s">
        <v>359</v>
      </c>
      <c r="BM60" s="43" t="s">
        <v>360</v>
      </c>
      <c r="BN60" s="41" t="s">
        <v>357</v>
      </c>
      <c r="BO60" s="42" t="s">
        <v>358</v>
      </c>
      <c r="BP60" s="42" t="s">
        <v>359</v>
      </c>
      <c r="BQ60" s="43" t="s">
        <v>360</v>
      </c>
      <c r="BR60" s="41" t="s">
        <v>357</v>
      </c>
      <c r="BS60" s="42" t="s">
        <v>358</v>
      </c>
      <c r="BT60" s="42" t="s">
        <v>359</v>
      </c>
      <c r="BU60" s="43" t="s">
        <v>360</v>
      </c>
      <c r="BV60" s="41" t="s">
        <v>357</v>
      </c>
      <c r="BW60" s="42" t="s">
        <v>358</v>
      </c>
      <c r="BX60" s="42" t="s">
        <v>359</v>
      </c>
      <c r="BY60" s="43" t="s">
        <v>360</v>
      </c>
      <c r="BZ60" s="41" t="s">
        <v>357</v>
      </c>
      <c r="CA60" s="42" t="s">
        <v>358</v>
      </c>
      <c r="CB60" s="42" t="s">
        <v>359</v>
      </c>
      <c r="CC60" s="43" t="s">
        <v>360</v>
      </c>
      <c r="CD60" s="41" t="s">
        <v>357</v>
      </c>
      <c r="CE60" s="42" t="s">
        <v>358</v>
      </c>
      <c r="CF60" s="42" t="s">
        <v>359</v>
      </c>
      <c r="CG60" s="43" t="s">
        <v>360</v>
      </c>
      <c r="CH60" s="41" t="s">
        <v>357</v>
      </c>
      <c r="CI60" s="42" t="s">
        <v>358</v>
      </c>
      <c r="CJ60" s="42" t="s">
        <v>359</v>
      </c>
      <c r="CK60" s="43" t="s">
        <v>360</v>
      </c>
      <c r="CL60" s="41" t="s">
        <v>357</v>
      </c>
      <c r="CM60" s="42" t="s">
        <v>358</v>
      </c>
      <c r="CN60" s="42" t="s">
        <v>359</v>
      </c>
      <c r="CO60" s="43" t="s">
        <v>360</v>
      </c>
      <c r="CP60" s="44" t="s">
        <v>357</v>
      </c>
      <c r="CQ60" s="45" t="s">
        <v>358</v>
      </c>
      <c r="CR60" s="45" t="s">
        <v>359</v>
      </c>
      <c r="CS60" s="46" t="s">
        <v>360</v>
      </c>
    </row>
    <row r="61" spans="1:97" x14ac:dyDescent="0.25">
      <c r="B61" s="47"/>
      <c r="C61" s="48"/>
      <c r="D61" s="49">
        <v>-0.56882299978329165</v>
      </c>
      <c r="E61" s="50">
        <v>4.4104514770248127</v>
      </c>
      <c r="F61" s="50">
        <v>4.5755211153102104</v>
      </c>
      <c r="G61" s="51">
        <v>6.8455482249596855</v>
      </c>
      <c r="H61" s="49">
        <v>1.4526669020042515</v>
      </c>
      <c r="I61" s="50">
        <v>1.7879948352484298</v>
      </c>
      <c r="J61" s="50">
        <v>1.7378476026035594</v>
      </c>
      <c r="K61" s="51">
        <v>1.5880303373726701</v>
      </c>
      <c r="L61" s="49">
        <v>5.7321595371055745</v>
      </c>
      <c r="M61" s="50">
        <v>7.7052022605754944</v>
      </c>
      <c r="N61" s="50">
        <v>4.6170729815531164</v>
      </c>
      <c r="O61" s="51">
        <v>3.8480044584029871</v>
      </c>
      <c r="P61" s="49">
        <v>1.1541025640912084</v>
      </c>
      <c r="Q61" s="50">
        <v>2.469329522299879</v>
      </c>
      <c r="R61" s="50">
        <v>0.83825604314000657</v>
      </c>
      <c r="S61" s="51">
        <v>0.60528963769586053</v>
      </c>
      <c r="T61" s="49">
        <v>0.50652649384492765</v>
      </c>
      <c r="U61" s="50">
        <v>0.5667910380350305</v>
      </c>
      <c r="V61" s="50">
        <v>-0.87372637708889034</v>
      </c>
      <c r="W61" s="51">
        <v>0.38708722146880703</v>
      </c>
      <c r="X61" s="49">
        <v>3.7293234295857625</v>
      </c>
      <c r="Y61" s="50">
        <v>3.2216411057017558</v>
      </c>
      <c r="Z61" s="50">
        <v>4.4404269358685688</v>
      </c>
      <c r="AA61" s="51">
        <v>4.4718969599649272</v>
      </c>
      <c r="AB61" s="49">
        <v>4.5758022715120417</v>
      </c>
      <c r="AC61" s="50">
        <v>3.7315457274831543</v>
      </c>
      <c r="AD61" s="50"/>
      <c r="AE61" s="50"/>
      <c r="AF61" s="50">
        <v>4.0207206604008006</v>
      </c>
      <c r="AG61" s="51">
        <v>3.446709698974848</v>
      </c>
      <c r="AH61" s="49">
        <v>2.6230856866677144</v>
      </c>
      <c r="AI61" s="50">
        <v>2.0146632087566063</v>
      </c>
      <c r="AJ61" s="50">
        <v>1.0666361289954462</v>
      </c>
      <c r="AK61" s="51">
        <v>3.1110855135721316</v>
      </c>
      <c r="AL61" s="49">
        <v>5.2924284098060603</v>
      </c>
      <c r="AM61" s="50">
        <v>4.9325000418816378</v>
      </c>
      <c r="AN61" s="50">
        <v>3.3216503268672648</v>
      </c>
      <c r="AO61" s="51">
        <v>2.6991500495235021</v>
      </c>
      <c r="AP61" s="49">
        <v>3.7531764032818993</v>
      </c>
      <c r="AQ61" s="50">
        <v>1.9677572605739213</v>
      </c>
      <c r="AR61" s="50">
        <v>2.188320445632419</v>
      </c>
      <c r="AS61" s="51">
        <v>2.327483203645353</v>
      </c>
      <c r="AT61" s="49">
        <v>6.1944683527078492</v>
      </c>
      <c r="AU61" s="50">
        <v>5.7078837294311624</v>
      </c>
      <c r="AV61" s="50">
        <v>6.7026886167146138</v>
      </c>
      <c r="AW61" s="51">
        <v>4.3404056280374359</v>
      </c>
      <c r="AX61" s="49">
        <v>4.1289585309853605</v>
      </c>
      <c r="AY61" s="50">
        <v>7.3737951776069011</v>
      </c>
      <c r="AZ61" s="50">
        <v>5.5671463307113367</v>
      </c>
      <c r="BA61" s="51">
        <v>2.7053484122573801</v>
      </c>
      <c r="BB61" s="49">
        <v>7.2147199226530567</v>
      </c>
      <c r="BC61" s="50">
        <v>5.8033950109959154</v>
      </c>
      <c r="BD61" s="50">
        <v>5.6400423927502885</v>
      </c>
      <c r="BE61" s="51">
        <v>5.646861823647753</v>
      </c>
      <c r="BF61" s="49">
        <v>6.6550968043899372</v>
      </c>
      <c r="BG61" s="50">
        <v>3.3185540413170012</v>
      </c>
      <c r="BH61" s="50">
        <v>4.770772853431815</v>
      </c>
      <c r="BI61" s="51">
        <v>5.7889758122643853</v>
      </c>
      <c r="BJ61" s="49">
        <v>1.6914714233666972</v>
      </c>
      <c r="BK61" s="50">
        <v>4.9736319432639009</v>
      </c>
      <c r="BL61" s="50">
        <v>0.95933734197808374</v>
      </c>
      <c r="BM61" s="51">
        <v>-2.2579336248711779</v>
      </c>
      <c r="BN61" s="49">
        <v>-6.0782800497366622</v>
      </c>
      <c r="BO61" s="50">
        <v>-1.3656485490968429</v>
      </c>
      <c r="BP61" s="50">
        <v>0.93084880933691494</v>
      </c>
      <c r="BQ61" s="51">
        <v>2.6938677703393088</v>
      </c>
      <c r="BR61" s="49">
        <v>4.800123095448483</v>
      </c>
      <c r="BS61" s="50">
        <v>2.4730446755976132</v>
      </c>
      <c r="BT61" s="50">
        <v>4.5599305427149961</v>
      </c>
      <c r="BU61" s="51">
        <v>4.470945145674321</v>
      </c>
      <c r="BV61" s="49">
        <v>3.732716238755307</v>
      </c>
      <c r="BW61" s="50">
        <v>2.1349992664698503</v>
      </c>
      <c r="BX61" s="50">
        <v>1.0514533241010593</v>
      </c>
      <c r="BY61" s="51">
        <v>3.1354710753329629</v>
      </c>
      <c r="BZ61" s="49">
        <v>1.6642899696322599</v>
      </c>
      <c r="CA61" s="50">
        <v>3.6993530234988192</v>
      </c>
      <c r="CB61" s="50">
        <v>1.200714604255726</v>
      </c>
      <c r="CC61" s="51">
        <v>1.7879127297799391</v>
      </c>
      <c r="CD61" s="49">
        <v>1.5</v>
      </c>
      <c r="CE61" s="50">
        <v>4</v>
      </c>
      <c r="CF61" s="50">
        <v>1.6</v>
      </c>
      <c r="CG61" s="51">
        <v>4.9000000000000004</v>
      </c>
      <c r="CH61" s="49">
        <v>-1.5555437996301436</v>
      </c>
      <c r="CI61" s="50">
        <v>0.8</v>
      </c>
      <c r="CJ61" s="50">
        <v>2.2000000000000002</v>
      </c>
      <c r="CK61" s="51">
        <v>4.0999999999999996</v>
      </c>
      <c r="CL61" s="49">
        <v>2</v>
      </c>
      <c r="CM61" s="50">
        <v>-2</v>
      </c>
      <c r="CN61" s="50">
        <v>0.3</v>
      </c>
      <c r="CO61" s="51">
        <v>0.4</v>
      </c>
      <c r="CP61" s="52"/>
      <c r="CQ61" s="53"/>
      <c r="CR61" s="53"/>
      <c r="CS61" s="54"/>
    </row>
    <row r="62" spans="1:97" x14ac:dyDescent="0.25">
      <c r="D62" s="55"/>
      <c r="E62" s="55"/>
      <c r="F62" s="55"/>
      <c r="G62" s="55"/>
      <c r="H62" s="55"/>
      <c r="I62" s="55"/>
      <c r="J62" s="55"/>
      <c r="K62" s="55"/>
      <c r="L62" s="55"/>
      <c r="M62" s="55"/>
      <c r="N62" s="55"/>
      <c r="O62" s="55"/>
      <c r="P62" s="55"/>
      <c r="Q62" s="55"/>
      <c r="R62" s="55"/>
      <c r="S62" s="55"/>
      <c r="T62" s="55"/>
      <c r="U62" s="55"/>
      <c r="V62" s="55"/>
      <c r="W62" s="56"/>
      <c r="X62" s="57"/>
      <c r="Y62" s="56"/>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row>
    <row r="63" spans="1:97" x14ac:dyDescent="0.25">
      <c r="D63" s="55"/>
      <c r="E63" s="55"/>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row>
    <row r="64" spans="1:97" x14ac:dyDescent="0.25">
      <c r="Y64" s="58"/>
      <c r="Z64" s="59"/>
      <c r="AA64" s="58"/>
    </row>
    <row r="66" spans="2:22" x14ac:dyDescent="0.25">
      <c r="B66" s="6"/>
      <c r="C66" s="5"/>
      <c r="G66" s="10"/>
      <c r="H66" s="10"/>
      <c r="I66" s="10"/>
      <c r="J66" s="10"/>
      <c r="K66" s="10"/>
      <c r="L66" s="10"/>
      <c r="M66" s="10"/>
      <c r="N66" s="10"/>
      <c r="O66" s="10"/>
      <c r="P66" s="10"/>
      <c r="Q66" s="10"/>
      <c r="R66" s="10"/>
      <c r="S66" s="10"/>
      <c r="T66" s="10"/>
      <c r="U66" s="10"/>
      <c r="V66" s="10"/>
    </row>
    <row r="67" spans="2:22" x14ac:dyDescent="0.25">
      <c r="B67" s="6"/>
      <c r="C67" s="5"/>
      <c r="G67" s="10"/>
      <c r="H67" s="10"/>
      <c r="I67" s="10"/>
      <c r="J67" s="10"/>
      <c r="K67" s="10"/>
      <c r="L67" s="10"/>
      <c r="M67" s="10"/>
      <c r="N67" s="10"/>
      <c r="O67" s="10"/>
      <c r="P67" s="10"/>
      <c r="Q67" s="10"/>
      <c r="R67" s="10"/>
      <c r="S67" s="10"/>
      <c r="T67" s="10"/>
      <c r="U67" s="10"/>
      <c r="V67" s="10"/>
    </row>
    <row r="68" spans="2:22" x14ac:dyDescent="0.25">
      <c r="B68" s="6"/>
      <c r="C68" s="5"/>
      <c r="G68" s="10"/>
      <c r="H68" s="10"/>
      <c r="I68" s="10"/>
      <c r="J68" s="10"/>
      <c r="K68" s="10"/>
      <c r="L68" s="10"/>
      <c r="M68" s="10"/>
      <c r="N68" s="10"/>
      <c r="O68" s="10"/>
      <c r="P68" s="35"/>
      <c r="R68" s="10"/>
      <c r="S68" s="10"/>
      <c r="T68" s="10"/>
      <c r="U68" s="10"/>
      <c r="V68" s="10"/>
    </row>
    <row r="69" spans="2:22" x14ac:dyDescent="0.25">
      <c r="B69" s="6"/>
      <c r="C69" s="5"/>
      <c r="G69" s="10"/>
      <c r="H69" s="10"/>
      <c r="I69" s="10"/>
      <c r="J69" s="10"/>
      <c r="K69" s="10"/>
      <c r="L69" s="10"/>
      <c r="M69" s="10"/>
      <c r="N69" s="10"/>
      <c r="O69" s="10"/>
      <c r="P69" s="35"/>
      <c r="Q69" s="10"/>
      <c r="R69" s="10"/>
      <c r="S69" s="10"/>
      <c r="T69" s="10"/>
      <c r="U69" s="10"/>
      <c r="V69" s="10"/>
    </row>
    <row r="70" spans="2:22" x14ac:dyDescent="0.25">
      <c r="B70" s="6"/>
      <c r="C70" s="5"/>
      <c r="G70" s="10"/>
      <c r="H70" s="10"/>
      <c r="I70" s="10"/>
      <c r="J70" s="10"/>
      <c r="K70" s="10"/>
      <c r="L70" s="10"/>
      <c r="M70" s="10"/>
      <c r="N70" s="10"/>
      <c r="O70" s="10"/>
      <c r="P70" s="10"/>
      <c r="Q70" s="10"/>
      <c r="R70" s="10"/>
      <c r="S70" s="10"/>
      <c r="T70" s="10"/>
      <c r="U70" s="10"/>
      <c r="V70" s="10"/>
    </row>
    <row r="71" spans="2:22" x14ac:dyDescent="0.25">
      <c r="B71" s="6"/>
      <c r="C71" s="5"/>
      <c r="G71" s="10"/>
      <c r="H71" s="10"/>
      <c r="I71" s="10"/>
      <c r="J71" s="10"/>
      <c r="K71" s="10"/>
      <c r="L71" s="10"/>
      <c r="M71" s="10"/>
      <c r="N71" s="10"/>
      <c r="O71" s="10"/>
      <c r="P71" s="10"/>
      <c r="Q71" s="10"/>
      <c r="R71" s="10"/>
      <c r="S71" s="10"/>
      <c r="T71" s="10"/>
      <c r="U71" s="10"/>
      <c r="V71" s="10"/>
    </row>
    <row r="72" spans="2:22" x14ac:dyDescent="0.25">
      <c r="B72" s="6"/>
      <c r="C72" s="5"/>
      <c r="G72" s="10"/>
      <c r="H72" s="10"/>
      <c r="I72" s="10"/>
      <c r="J72" s="10"/>
      <c r="K72" s="10"/>
      <c r="L72" s="10"/>
      <c r="M72" s="10"/>
      <c r="N72" s="10"/>
      <c r="O72" s="10"/>
      <c r="P72" s="10"/>
      <c r="Q72" s="10"/>
      <c r="R72" s="10"/>
      <c r="S72" s="10"/>
      <c r="T72" s="10"/>
      <c r="U72" s="10"/>
      <c r="V72" s="10"/>
    </row>
    <row r="73" spans="2:22" x14ac:dyDescent="0.25">
      <c r="B73" s="6"/>
      <c r="C73" s="5"/>
      <c r="G73" s="10"/>
      <c r="H73" s="10"/>
      <c r="I73" s="10"/>
      <c r="J73" s="10"/>
      <c r="K73" s="10"/>
      <c r="L73" s="10"/>
      <c r="M73" s="10"/>
      <c r="N73" s="10"/>
      <c r="O73" s="10"/>
      <c r="P73" s="10"/>
      <c r="Q73" s="10"/>
      <c r="R73" s="10"/>
      <c r="S73" s="10"/>
      <c r="T73" s="10"/>
      <c r="U73" s="10"/>
      <c r="V73" s="10"/>
    </row>
    <row r="74" spans="2:22" x14ac:dyDescent="0.25">
      <c r="B74" s="6"/>
      <c r="C74" s="5"/>
    </row>
    <row r="75" spans="2:22" x14ac:dyDescent="0.25">
      <c r="B75" s="6"/>
      <c r="C75" s="5"/>
    </row>
    <row r="76" spans="2:22" x14ac:dyDescent="0.25">
      <c r="B76" s="6"/>
      <c r="C76" s="5"/>
    </row>
    <row r="77" spans="2:22" x14ac:dyDescent="0.25">
      <c r="B77" s="6"/>
      <c r="C77" s="5"/>
    </row>
    <row r="78" spans="2:22" x14ac:dyDescent="0.25">
      <c r="B78" s="6"/>
      <c r="C78" s="5"/>
    </row>
    <row r="79" spans="2:22" x14ac:dyDescent="0.25">
      <c r="B79" s="6"/>
      <c r="C79" s="5"/>
    </row>
    <row r="80" spans="2:22" x14ac:dyDescent="0.25">
      <c r="B80" s="6"/>
      <c r="C80" s="5"/>
    </row>
    <row r="81" spans="2:40" x14ac:dyDescent="0.25">
      <c r="B81" s="6"/>
      <c r="C81" s="5"/>
    </row>
    <row r="82" spans="2:40" x14ac:dyDescent="0.25">
      <c r="B82" s="6"/>
      <c r="C82" s="5"/>
    </row>
    <row r="83" spans="2:40" x14ac:dyDescent="0.25">
      <c r="B83" s="6"/>
      <c r="C83" s="5"/>
      <c r="E83" s="58"/>
      <c r="F83" s="4668"/>
      <c r="G83" s="4669"/>
      <c r="H83" s="4669"/>
      <c r="I83" s="4669"/>
      <c r="J83" s="4669"/>
      <c r="K83" s="4669"/>
      <c r="L83" s="4669"/>
      <c r="M83" s="4669"/>
      <c r="N83" s="4669"/>
      <c r="O83" s="4669"/>
      <c r="P83" s="4669"/>
      <c r="Q83" s="4669"/>
      <c r="R83" s="4669"/>
      <c r="S83" s="4669"/>
      <c r="T83" s="4669"/>
      <c r="U83" s="4669"/>
      <c r="V83" s="4669"/>
      <c r="W83" s="4669"/>
      <c r="X83" s="4669"/>
      <c r="Y83" s="4669"/>
      <c r="Z83" s="4669"/>
      <c r="AA83" s="4669"/>
      <c r="AB83" s="4669"/>
      <c r="AC83" s="4669"/>
      <c r="AD83" s="4669"/>
      <c r="AE83" s="4669"/>
      <c r="AF83" s="4669"/>
      <c r="AG83" s="4669"/>
      <c r="AH83" s="4669"/>
      <c r="AI83" s="4669"/>
      <c r="AJ83" s="4669"/>
      <c r="AK83" s="4669"/>
      <c r="AL83" s="4669"/>
      <c r="AM83" s="4669"/>
      <c r="AN83" s="4670"/>
    </row>
    <row r="84" spans="2:40" x14ac:dyDescent="0.25">
      <c r="B84" s="60"/>
      <c r="C84" s="61"/>
      <c r="D84" s="58"/>
      <c r="E84" s="59"/>
      <c r="F84" s="4668"/>
      <c r="G84" s="4669"/>
      <c r="H84" s="4669"/>
      <c r="I84" s="4669"/>
      <c r="J84" s="4669"/>
      <c r="K84" s="4669"/>
      <c r="L84" s="4669"/>
      <c r="M84" s="4669"/>
      <c r="N84" s="4669"/>
      <c r="O84" s="4669"/>
      <c r="P84" s="4669"/>
      <c r="Q84" s="4669"/>
      <c r="R84" s="4669"/>
      <c r="S84" s="4669"/>
      <c r="T84" s="4669"/>
      <c r="U84" s="4669"/>
      <c r="V84" s="4669"/>
      <c r="W84" s="4669"/>
      <c r="X84" s="4669"/>
      <c r="Y84" s="4669"/>
      <c r="Z84" s="4669"/>
      <c r="AA84" s="4669"/>
      <c r="AB84" s="4669"/>
      <c r="AC84" s="4669"/>
      <c r="AD84" s="4669"/>
      <c r="AE84" s="4669"/>
      <c r="AF84" s="4669"/>
      <c r="AG84" s="3702"/>
      <c r="AH84" s="3702"/>
      <c r="AI84" s="3702"/>
      <c r="AJ84" s="3702"/>
      <c r="AK84" s="3702"/>
      <c r="AL84" s="3702"/>
      <c r="AM84" s="3702"/>
      <c r="AN84" s="3703"/>
    </row>
    <row r="85" spans="2:40" x14ac:dyDescent="0.25">
      <c r="B85" s="62"/>
      <c r="C85" s="63"/>
      <c r="D85" s="59"/>
      <c r="E85" s="58"/>
      <c r="F85" s="4668"/>
      <c r="G85" s="4669"/>
      <c r="H85" s="4669"/>
      <c r="I85" s="4669"/>
      <c r="J85" s="4669"/>
      <c r="K85" s="4669"/>
      <c r="L85" s="4669"/>
      <c r="M85" s="4669"/>
      <c r="N85" s="4669"/>
      <c r="O85" s="4669"/>
      <c r="P85" s="4669"/>
      <c r="Q85" s="4669"/>
      <c r="R85" s="4669"/>
      <c r="S85" s="4669"/>
      <c r="T85" s="4669"/>
      <c r="U85" s="4669"/>
      <c r="V85" s="4669"/>
      <c r="W85" s="4669"/>
      <c r="X85" s="4669"/>
      <c r="Y85" s="4669"/>
      <c r="Z85" s="4669"/>
      <c r="AA85" s="4669"/>
      <c r="AB85" s="4669"/>
      <c r="AC85" s="4669"/>
      <c r="AD85" s="4669"/>
      <c r="AE85" s="4669"/>
      <c r="AF85" s="4669"/>
      <c r="AG85" s="3702"/>
      <c r="AH85" s="3702"/>
      <c r="AI85" s="3702"/>
      <c r="AJ85" s="3702"/>
      <c r="AK85" s="3702"/>
      <c r="AL85" s="3702"/>
      <c r="AM85" s="3702"/>
      <c r="AN85" s="3703"/>
    </row>
    <row r="86" spans="2:40" x14ac:dyDescent="0.25">
      <c r="D86" s="58"/>
    </row>
    <row r="91" spans="2:40" x14ac:dyDescent="0.25">
      <c r="E91" s="4" t="s">
        <v>319</v>
      </c>
      <c r="F91" s="4" t="s">
        <v>320</v>
      </c>
      <c r="G91" s="4" t="s">
        <v>321</v>
      </c>
      <c r="H91" s="4" t="s">
        <v>322</v>
      </c>
      <c r="I91" s="4" t="s">
        <v>323</v>
      </c>
      <c r="J91" s="4" t="s">
        <v>324</v>
      </c>
      <c r="K91" s="4" t="s">
        <v>325</v>
      </c>
      <c r="L91" s="4" t="s">
        <v>326</v>
      </c>
      <c r="M91" s="4" t="s">
        <v>327</v>
      </c>
      <c r="N91" s="4" t="s">
        <v>328</v>
      </c>
      <c r="O91" s="4" t="s">
        <v>329</v>
      </c>
      <c r="P91" s="4" t="s">
        <v>330</v>
      </c>
      <c r="Q91" s="4" t="s">
        <v>331</v>
      </c>
      <c r="R91" s="4" t="s">
        <v>332</v>
      </c>
      <c r="S91" s="4" t="s">
        <v>333</v>
      </c>
      <c r="T91" s="4" t="s">
        <v>334</v>
      </c>
      <c r="U91" s="4" t="s">
        <v>335</v>
      </c>
      <c r="V91" s="4" t="s">
        <v>336</v>
      </c>
      <c r="W91" s="4" t="s">
        <v>337</v>
      </c>
      <c r="X91" s="4">
        <v>2014</v>
      </c>
      <c r="Y91" s="4">
        <v>2015</v>
      </c>
      <c r="Z91" s="4">
        <v>2016</v>
      </c>
      <c r="AA91" s="12" t="s">
        <v>342</v>
      </c>
      <c r="AB91" s="12" t="s">
        <v>343</v>
      </c>
      <c r="AC91" s="12" t="s">
        <v>344</v>
      </c>
      <c r="AD91" s="2805" t="s">
        <v>345</v>
      </c>
      <c r="AE91" s="2805" t="s">
        <v>2173</v>
      </c>
    </row>
    <row r="92" spans="2:40" x14ac:dyDescent="0.25">
      <c r="E92" s="55">
        <v>3.1156957193492651</v>
      </c>
      <c r="F92" s="55">
        <v>4.3066962105868072</v>
      </c>
      <c r="G92" s="55">
        <v>2.646764319423383</v>
      </c>
      <c r="H92" s="55">
        <v>0.51738274304229037</v>
      </c>
      <c r="I92" s="55">
        <v>2.3581285988405085</v>
      </c>
      <c r="J92" s="55">
        <v>4.1545885216350342</v>
      </c>
      <c r="K92" s="55">
        <v>2.7354231498118367</v>
      </c>
      <c r="L92" s="55">
        <v>3.6678376110939013</v>
      </c>
      <c r="M92" s="55">
        <v>2.9490744246935492</v>
      </c>
      <c r="N92" s="55">
        <v>4.5545699205685519</v>
      </c>
      <c r="O92" s="55">
        <v>5.2771117349823538</v>
      </c>
      <c r="P92" s="55">
        <v>5.6036647889724067</v>
      </c>
      <c r="Q92" s="55">
        <v>5.360465139616144</v>
      </c>
      <c r="R92" s="55">
        <v>3.1910516450526449</v>
      </c>
      <c r="S92" s="55">
        <v>-1.5381008639149374</v>
      </c>
      <c r="T92" s="55">
        <v>3.039777062767457</v>
      </c>
      <c r="U92" s="55">
        <v>3.3</v>
      </c>
      <c r="V92" s="55">
        <v>2.21987486452353</v>
      </c>
      <c r="W92" s="55">
        <v>2.5</v>
      </c>
      <c r="X92" s="55">
        <v>1.7</v>
      </c>
      <c r="Y92" s="55">
        <v>1.3</v>
      </c>
      <c r="Z92" s="55">
        <v>0.3</v>
      </c>
      <c r="AA92" s="84">
        <v>1.4876173726830189</v>
      </c>
      <c r="AB92" s="84">
        <v>0.11305369753380035</v>
      </c>
      <c r="AC92" s="84">
        <v>-6.3</v>
      </c>
      <c r="AD92" s="86">
        <v>4.9000000000000004</v>
      </c>
      <c r="AE92" s="84">
        <v>2</v>
      </c>
    </row>
  </sheetData>
  <mergeCells count="35">
    <mergeCell ref="F84:AF84"/>
    <mergeCell ref="F85:AF85"/>
    <mergeCell ref="CD59:CG59"/>
    <mergeCell ref="CH59:CK59"/>
    <mergeCell ref="CL59:CO59"/>
    <mergeCell ref="CP59:CS59"/>
    <mergeCell ref="B60:C60"/>
    <mergeCell ref="F83:AN83"/>
    <mergeCell ref="BF59:BI59"/>
    <mergeCell ref="BJ59:BM59"/>
    <mergeCell ref="BN59:BQ59"/>
    <mergeCell ref="BR59:BU59"/>
    <mergeCell ref="BV59:BY59"/>
    <mergeCell ref="BZ59:CC59"/>
    <mergeCell ref="AH59:AK59"/>
    <mergeCell ref="AL59:AO59"/>
    <mergeCell ref="AP59:AS59"/>
    <mergeCell ref="AT59:AW59"/>
    <mergeCell ref="AX59:BA59"/>
    <mergeCell ref="BB59:BE59"/>
    <mergeCell ref="D55:AC55"/>
    <mergeCell ref="D56:AC56"/>
    <mergeCell ref="D59:G59"/>
    <mergeCell ref="H59:K59"/>
    <mergeCell ref="L59:O59"/>
    <mergeCell ref="P59:S59"/>
    <mergeCell ref="T59:W59"/>
    <mergeCell ref="X59:AA59"/>
    <mergeCell ref="AB59:AG59"/>
    <mergeCell ref="D54:AC54"/>
    <mergeCell ref="D2:AC2"/>
    <mergeCell ref="D3:AC3"/>
    <mergeCell ref="D4:AC4"/>
    <mergeCell ref="D5:AC5"/>
    <mergeCell ref="D53:AC53"/>
  </mergeCells>
  <pageMargins left="0.74803149606299213" right="0.74803149606299213" top="0.98425196850393704" bottom="0.98425196850393704" header="0.51181102362204722" footer="0.51181102362204722"/>
  <pageSetup paperSize="9" scale="56"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A4215-32F2-416D-A33D-4BA2533EDFF7}">
  <sheetPr>
    <tabColor rgb="FFFF0000"/>
    <pageSetUpPr fitToPage="1"/>
  </sheetPr>
  <dimension ref="A1:AE46"/>
  <sheetViews>
    <sheetView showGridLines="0" view="pageBreakPreview" zoomScaleNormal="100" zoomScaleSheetLayoutView="100" workbookViewId="0">
      <selection activeCell="X19" sqref="X19"/>
    </sheetView>
  </sheetViews>
  <sheetFormatPr defaultColWidth="9.140625" defaultRowHeight="15" x14ac:dyDescent="0.25"/>
  <cols>
    <col min="1" max="1" width="3.85546875" style="821" customWidth="1"/>
    <col min="2" max="2" width="13.85546875" style="1640" customWidth="1"/>
    <col min="3" max="3" width="3.85546875" style="1640" customWidth="1"/>
    <col min="4" max="4" width="45.140625" style="38" customWidth="1"/>
    <col min="5" max="6" width="11.42578125" style="38" customWidth="1"/>
    <col min="7" max="10" width="11.42578125" style="2327" customWidth="1"/>
    <col min="11" max="11" width="46.140625" style="2327" customWidth="1"/>
    <col min="12" max="12" width="16" style="2327" customWidth="1"/>
    <col min="13" max="19" width="10.140625" style="2327" customWidth="1"/>
    <col min="20" max="20" width="10.140625" style="2032" customWidth="1"/>
    <col min="21" max="21" width="11" style="2032" customWidth="1"/>
    <col min="22" max="23" width="10.140625" style="2032" customWidth="1"/>
    <col min="24" max="24" width="9" style="113" customWidth="1"/>
    <col min="25" max="25" width="9.85546875" style="113" customWidth="1"/>
    <col min="26" max="26" width="10" style="113" customWidth="1"/>
    <col min="27" max="27" width="9.140625" style="113"/>
    <col min="28" max="28" width="10.85546875" style="113" customWidth="1"/>
    <col min="29" max="29" width="10.140625" style="113" customWidth="1"/>
    <col min="30" max="30" width="9.140625" style="113"/>
    <col min="31" max="31" width="10.140625" style="113" customWidth="1"/>
    <col min="32" max="32" width="10.42578125" style="113" customWidth="1"/>
    <col min="33" max="256" width="9.140625" style="113"/>
    <col min="257" max="257" width="3.85546875" style="113" customWidth="1"/>
    <col min="258" max="258" width="13.85546875" style="113" customWidth="1"/>
    <col min="259" max="259" width="3.85546875" style="113" customWidth="1"/>
    <col min="260" max="260" width="11.85546875" style="113" customWidth="1"/>
    <col min="261" max="261" width="30.42578125" style="113" customWidth="1"/>
    <col min="262" max="262" width="21.140625" style="113" customWidth="1"/>
    <col min="263" max="265" width="10.140625" style="113" customWidth="1"/>
    <col min="266" max="266" width="11.42578125" style="113" customWidth="1"/>
    <col min="267" max="276" width="10.140625" style="113" customWidth="1"/>
    <col min="277" max="277" width="11" style="113" customWidth="1"/>
    <col min="278" max="279" width="10.140625" style="113" customWidth="1"/>
    <col min="280" max="280" width="9" style="113" customWidth="1"/>
    <col min="281" max="281" width="9.85546875" style="113" customWidth="1"/>
    <col min="282" max="282" width="10" style="113" customWidth="1"/>
    <col min="283" max="283" width="9.140625" style="113"/>
    <col min="284" max="284" width="10.85546875" style="113" customWidth="1"/>
    <col min="285" max="285" width="10.140625" style="113" customWidth="1"/>
    <col min="286" max="286" width="9.140625" style="113"/>
    <col min="287" max="287" width="10.140625" style="113" customWidth="1"/>
    <col min="288" max="288" width="10.42578125" style="113" customWidth="1"/>
    <col min="289" max="512" width="9.140625" style="113"/>
    <col min="513" max="513" width="3.85546875" style="113" customWidth="1"/>
    <col min="514" max="514" width="13.85546875" style="113" customWidth="1"/>
    <col min="515" max="515" width="3.85546875" style="113" customWidth="1"/>
    <col min="516" max="516" width="11.85546875" style="113" customWidth="1"/>
    <col min="517" max="517" width="30.42578125" style="113" customWidth="1"/>
    <col min="518" max="518" width="21.140625" style="113" customWidth="1"/>
    <col min="519" max="521" width="10.140625" style="113" customWidth="1"/>
    <col min="522" max="522" width="11.42578125" style="113" customWidth="1"/>
    <col min="523" max="532" width="10.140625" style="113" customWidth="1"/>
    <col min="533" max="533" width="11" style="113" customWidth="1"/>
    <col min="534" max="535" width="10.140625" style="113" customWidth="1"/>
    <col min="536" max="536" width="9" style="113" customWidth="1"/>
    <col min="537" max="537" width="9.85546875" style="113" customWidth="1"/>
    <col min="538" max="538" width="10" style="113" customWidth="1"/>
    <col min="539" max="539" width="9.140625" style="113"/>
    <col min="540" max="540" width="10.85546875" style="113" customWidth="1"/>
    <col min="541" max="541" width="10.140625" style="113" customWidth="1"/>
    <col min="542" max="542" width="9.140625" style="113"/>
    <col min="543" max="543" width="10.140625" style="113" customWidth="1"/>
    <col min="544" max="544" width="10.42578125" style="113" customWidth="1"/>
    <col min="545" max="768" width="9.140625" style="113"/>
    <col min="769" max="769" width="3.85546875" style="113" customWidth="1"/>
    <col min="770" max="770" width="13.85546875" style="113" customWidth="1"/>
    <col min="771" max="771" width="3.85546875" style="113" customWidth="1"/>
    <col min="772" max="772" width="11.85546875" style="113" customWidth="1"/>
    <col min="773" max="773" width="30.42578125" style="113" customWidth="1"/>
    <col min="774" max="774" width="21.140625" style="113" customWidth="1"/>
    <col min="775" max="777" width="10.140625" style="113" customWidth="1"/>
    <col min="778" max="778" width="11.42578125" style="113" customWidth="1"/>
    <col min="779" max="788" width="10.140625" style="113" customWidth="1"/>
    <col min="789" max="789" width="11" style="113" customWidth="1"/>
    <col min="790" max="791" width="10.140625" style="113" customWidth="1"/>
    <col min="792" max="792" width="9" style="113" customWidth="1"/>
    <col min="793" max="793" width="9.85546875" style="113" customWidth="1"/>
    <col min="794" max="794" width="10" style="113" customWidth="1"/>
    <col min="795" max="795" width="9.140625" style="113"/>
    <col min="796" max="796" width="10.85546875" style="113" customWidth="1"/>
    <col min="797" max="797" width="10.140625" style="113" customWidth="1"/>
    <col min="798" max="798" width="9.140625" style="113"/>
    <col min="799" max="799" width="10.140625" style="113" customWidth="1"/>
    <col min="800" max="800" width="10.42578125" style="113" customWidth="1"/>
    <col min="801" max="1024" width="9.140625" style="113"/>
    <col min="1025" max="1025" width="3.85546875" style="113" customWidth="1"/>
    <col min="1026" max="1026" width="13.85546875" style="113" customWidth="1"/>
    <col min="1027" max="1027" width="3.85546875" style="113" customWidth="1"/>
    <col min="1028" max="1028" width="11.85546875" style="113" customWidth="1"/>
    <col min="1029" max="1029" width="30.42578125" style="113" customWidth="1"/>
    <col min="1030" max="1030" width="21.140625" style="113" customWidth="1"/>
    <col min="1031" max="1033" width="10.140625" style="113" customWidth="1"/>
    <col min="1034" max="1034" width="11.42578125" style="113" customWidth="1"/>
    <col min="1035" max="1044" width="10.140625" style="113" customWidth="1"/>
    <col min="1045" max="1045" width="11" style="113" customWidth="1"/>
    <col min="1046" max="1047" width="10.140625" style="113" customWidth="1"/>
    <col min="1048" max="1048" width="9" style="113" customWidth="1"/>
    <col min="1049" max="1049" width="9.85546875" style="113" customWidth="1"/>
    <col min="1050" max="1050" width="10" style="113" customWidth="1"/>
    <col min="1051" max="1051" width="9.140625" style="113"/>
    <col min="1052" max="1052" width="10.85546875" style="113" customWidth="1"/>
    <col min="1053" max="1053" width="10.140625" style="113" customWidth="1"/>
    <col min="1054" max="1054" width="9.140625" style="113"/>
    <col min="1055" max="1055" width="10.140625" style="113" customWidth="1"/>
    <col min="1056" max="1056" width="10.42578125" style="113" customWidth="1"/>
    <col min="1057" max="1280" width="9.140625" style="113"/>
    <col min="1281" max="1281" width="3.85546875" style="113" customWidth="1"/>
    <col min="1282" max="1282" width="13.85546875" style="113" customWidth="1"/>
    <col min="1283" max="1283" width="3.85546875" style="113" customWidth="1"/>
    <col min="1284" max="1284" width="11.85546875" style="113" customWidth="1"/>
    <col min="1285" max="1285" width="30.42578125" style="113" customWidth="1"/>
    <col min="1286" max="1286" width="21.140625" style="113" customWidth="1"/>
    <col min="1287" max="1289" width="10.140625" style="113" customWidth="1"/>
    <col min="1290" max="1290" width="11.42578125" style="113" customWidth="1"/>
    <col min="1291" max="1300" width="10.140625" style="113" customWidth="1"/>
    <col min="1301" max="1301" width="11" style="113" customWidth="1"/>
    <col min="1302" max="1303" width="10.140625" style="113" customWidth="1"/>
    <col min="1304" max="1304" width="9" style="113" customWidth="1"/>
    <col min="1305" max="1305" width="9.85546875" style="113" customWidth="1"/>
    <col min="1306" max="1306" width="10" style="113" customWidth="1"/>
    <col min="1307" max="1307" width="9.140625" style="113"/>
    <col min="1308" max="1308" width="10.85546875" style="113" customWidth="1"/>
    <col min="1309" max="1309" width="10.140625" style="113" customWidth="1"/>
    <col min="1310" max="1310" width="9.140625" style="113"/>
    <col min="1311" max="1311" width="10.140625" style="113" customWidth="1"/>
    <col min="1312" max="1312" width="10.42578125" style="113" customWidth="1"/>
    <col min="1313" max="1536" width="9.140625" style="113"/>
    <col min="1537" max="1537" width="3.85546875" style="113" customWidth="1"/>
    <col min="1538" max="1538" width="13.85546875" style="113" customWidth="1"/>
    <col min="1539" max="1539" width="3.85546875" style="113" customWidth="1"/>
    <col min="1540" max="1540" width="11.85546875" style="113" customWidth="1"/>
    <col min="1541" max="1541" width="30.42578125" style="113" customWidth="1"/>
    <col min="1542" max="1542" width="21.140625" style="113" customWidth="1"/>
    <col min="1543" max="1545" width="10.140625" style="113" customWidth="1"/>
    <col min="1546" max="1546" width="11.42578125" style="113" customWidth="1"/>
    <col min="1547" max="1556" width="10.140625" style="113" customWidth="1"/>
    <col min="1557" max="1557" width="11" style="113" customWidth="1"/>
    <col min="1558" max="1559" width="10.140625" style="113" customWidth="1"/>
    <col min="1560" max="1560" width="9" style="113" customWidth="1"/>
    <col min="1561" max="1561" width="9.85546875" style="113" customWidth="1"/>
    <col min="1562" max="1562" width="10" style="113" customWidth="1"/>
    <col min="1563" max="1563" width="9.140625" style="113"/>
    <col min="1564" max="1564" width="10.85546875" style="113" customWidth="1"/>
    <col min="1565" max="1565" width="10.140625" style="113" customWidth="1"/>
    <col min="1566" max="1566" width="9.140625" style="113"/>
    <col min="1567" max="1567" width="10.140625" style="113" customWidth="1"/>
    <col min="1568" max="1568" width="10.42578125" style="113" customWidth="1"/>
    <col min="1569" max="1792" width="9.140625" style="113"/>
    <col min="1793" max="1793" width="3.85546875" style="113" customWidth="1"/>
    <col min="1794" max="1794" width="13.85546875" style="113" customWidth="1"/>
    <col min="1795" max="1795" width="3.85546875" style="113" customWidth="1"/>
    <col min="1796" max="1796" width="11.85546875" style="113" customWidth="1"/>
    <col min="1797" max="1797" width="30.42578125" style="113" customWidth="1"/>
    <col min="1798" max="1798" width="21.140625" style="113" customWidth="1"/>
    <col min="1799" max="1801" width="10.140625" style="113" customWidth="1"/>
    <col min="1802" max="1802" width="11.42578125" style="113" customWidth="1"/>
    <col min="1803" max="1812" width="10.140625" style="113" customWidth="1"/>
    <col min="1813" max="1813" width="11" style="113" customWidth="1"/>
    <col min="1814" max="1815" width="10.140625" style="113" customWidth="1"/>
    <col min="1816" max="1816" width="9" style="113" customWidth="1"/>
    <col min="1817" max="1817" width="9.85546875" style="113" customWidth="1"/>
    <col min="1818" max="1818" width="10" style="113" customWidth="1"/>
    <col min="1819" max="1819" width="9.140625" style="113"/>
    <col min="1820" max="1820" width="10.85546875" style="113" customWidth="1"/>
    <col min="1821" max="1821" width="10.140625" style="113" customWidth="1"/>
    <col min="1822" max="1822" width="9.140625" style="113"/>
    <col min="1823" max="1823" width="10.140625" style="113" customWidth="1"/>
    <col min="1824" max="1824" width="10.42578125" style="113" customWidth="1"/>
    <col min="1825" max="2048" width="9.140625" style="113"/>
    <col min="2049" max="2049" width="3.85546875" style="113" customWidth="1"/>
    <col min="2050" max="2050" width="13.85546875" style="113" customWidth="1"/>
    <col min="2051" max="2051" width="3.85546875" style="113" customWidth="1"/>
    <col min="2052" max="2052" width="11.85546875" style="113" customWidth="1"/>
    <col min="2053" max="2053" width="30.42578125" style="113" customWidth="1"/>
    <col min="2054" max="2054" width="21.140625" style="113" customWidth="1"/>
    <col min="2055" max="2057" width="10.140625" style="113" customWidth="1"/>
    <col min="2058" max="2058" width="11.42578125" style="113" customWidth="1"/>
    <col min="2059" max="2068" width="10.140625" style="113" customWidth="1"/>
    <col min="2069" max="2069" width="11" style="113" customWidth="1"/>
    <col min="2070" max="2071" width="10.140625" style="113" customWidth="1"/>
    <col min="2072" max="2072" width="9" style="113" customWidth="1"/>
    <col min="2073" max="2073" width="9.85546875" style="113" customWidth="1"/>
    <col min="2074" max="2074" width="10" style="113" customWidth="1"/>
    <col min="2075" max="2075" width="9.140625" style="113"/>
    <col min="2076" max="2076" width="10.85546875" style="113" customWidth="1"/>
    <col min="2077" max="2077" width="10.140625" style="113" customWidth="1"/>
    <col min="2078" max="2078" width="9.140625" style="113"/>
    <col min="2079" max="2079" width="10.140625" style="113" customWidth="1"/>
    <col min="2080" max="2080" width="10.42578125" style="113" customWidth="1"/>
    <col min="2081" max="2304" width="9.140625" style="113"/>
    <col min="2305" max="2305" width="3.85546875" style="113" customWidth="1"/>
    <col min="2306" max="2306" width="13.85546875" style="113" customWidth="1"/>
    <col min="2307" max="2307" width="3.85546875" style="113" customWidth="1"/>
    <col min="2308" max="2308" width="11.85546875" style="113" customWidth="1"/>
    <col min="2309" max="2309" width="30.42578125" style="113" customWidth="1"/>
    <col min="2310" max="2310" width="21.140625" style="113" customWidth="1"/>
    <col min="2311" max="2313" width="10.140625" style="113" customWidth="1"/>
    <col min="2314" max="2314" width="11.42578125" style="113" customWidth="1"/>
    <col min="2315" max="2324" width="10.140625" style="113" customWidth="1"/>
    <col min="2325" max="2325" width="11" style="113" customWidth="1"/>
    <col min="2326" max="2327" width="10.140625" style="113" customWidth="1"/>
    <col min="2328" max="2328" width="9" style="113" customWidth="1"/>
    <col min="2329" max="2329" width="9.85546875" style="113" customWidth="1"/>
    <col min="2330" max="2330" width="10" style="113" customWidth="1"/>
    <col min="2331" max="2331" width="9.140625" style="113"/>
    <col min="2332" max="2332" width="10.85546875" style="113" customWidth="1"/>
    <col min="2333" max="2333" width="10.140625" style="113" customWidth="1"/>
    <col min="2334" max="2334" width="9.140625" style="113"/>
    <col min="2335" max="2335" width="10.140625" style="113" customWidth="1"/>
    <col min="2336" max="2336" width="10.42578125" style="113" customWidth="1"/>
    <col min="2337" max="2560" width="9.140625" style="113"/>
    <col min="2561" max="2561" width="3.85546875" style="113" customWidth="1"/>
    <col min="2562" max="2562" width="13.85546875" style="113" customWidth="1"/>
    <col min="2563" max="2563" width="3.85546875" style="113" customWidth="1"/>
    <col min="2564" max="2564" width="11.85546875" style="113" customWidth="1"/>
    <col min="2565" max="2565" width="30.42578125" style="113" customWidth="1"/>
    <col min="2566" max="2566" width="21.140625" style="113" customWidth="1"/>
    <col min="2567" max="2569" width="10.140625" style="113" customWidth="1"/>
    <col min="2570" max="2570" width="11.42578125" style="113" customWidth="1"/>
    <col min="2571" max="2580" width="10.140625" style="113" customWidth="1"/>
    <col min="2581" max="2581" width="11" style="113" customWidth="1"/>
    <col min="2582" max="2583" width="10.140625" style="113" customWidth="1"/>
    <col min="2584" max="2584" width="9" style="113" customWidth="1"/>
    <col min="2585" max="2585" width="9.85546875" style="113" customWidth="1"/>
    <col min="2586" max="2586" width="10" style="113" customWidth="1"/>
    <col min="2587" max="2587" width="9.140625" style="113"/>
    <col min="2588" max="2588" width="10.85546875" style="113" customWidth="1"/>
    <col min="2589" max="2589" width="10.140625" style="113" customWidth="1"/>
    <col min="2590" max="2590" width="9.140625" style="113"/>
    <col min="2591" max="2591" width="10.140625" style="113" customWidth="1"/>
    <col min="2592" max="2592" width="10.42578125" style="113" customWidth="1"/>
    <col min="2593" max="2816" width="9.140625" style="113"/>
    <col min="2817" max="2817" width="3.85546875" style="113" customWidth="1"/>
    <col min="2818" max="2818" width="13.85546875" style="113" customWidth="1"/>
    <col min="2819" max="2819" width="3.85546875" style="113" customWidth="1"/>
    <col min="2820" max="2820" width="11.85546875" style="113" customWidth="1"/>
    <col min="2821" max="2821" width="30.42578125" style="113" customWidth="1"/>
    <col min="2822" max="2822" width="21.140625" style="113" customWidth="1"/>
    <col min="2823" max="2825" width="10.140625" style="113" customWidth="1"/>
    <col min="2826" max="2826" width="11.42578125" style="113" customWidth="1"/>
    <col min="2827" max="2836" width="10.140625" style="113" customWidth="1"/>
    <col min="2837" max="2837" width="11" style="113" customWidth="1"/>
    <col min="2838" max="2839" width="10.140625" style="113" customWidth="1"/>
    <col min="2840" max="2840" width="9" style="113" customWidth="1"/>
    <col min="2841" max="2841" width="9.85546875" style="113" customWidth="1"/>
    <col min="2842" max="2842" width="10" style="113" customWidth="1"/>
    <col min="2843" max="2843" width="9.140625" style="113"/>
    <col min="2844" max="2844" width="10.85546875" style="113" customWidth="1"/>
    <col min="2845" max="2845" width="10.140625" style="113" customWidth="1"/>
    <col min="2846" max="2846" width="9.140625" style="113"/>
    <col min="2847" max="2847" width="10.140625" style="113" customWidth="1"/>
    <col min="2848" max="2848" width="10.42578125" style="113" customWidth="1"/>
    <col min="2849" max="3072" width="9.140625" style="113"/>
    <col min="3073" max="3073" width="3.85546875" style="113" customWidth="1"/>
    <col min="3074" max="3074" width="13.85546875" style="113" customWidth="1"/>
    <col min="3075" max="3075" width="3.85546875" style="113" customWidth="1"/>
    <col min="3076" max="3076" width="11.85546875" style="113" customWidth="1"/>
    <col min="3077" max="3077" width="30.42578125" style="113" customWidth="1"/>
    <col min="3078" max="3078" width="21.140625" style="113" customWidth="1"/>
    <col min="3079" max="3081" width="10.140625" style="113" customWidth="1"/>
    <col min="3082" max="3082" width="11.42578125" style="113" customWidth="1"/>
    <col min="3083" max="3092" width="10.140625" style="113" customWidth="1"/>
    <col min="3093" max="3093" width="11" style="113" customWidth="1"/>
    <col min="3094" max="3095" width="10.140625" style="113" customWidth="1"/>
    <col min="3096" max="3096" width="9" style="113" customWidth="1"/>
    <col min="3097" max="3097" width="9.85546875" style="113" customWidth="1"/>
    <col min="3098" max="3098" width="10" style="113" customWidth="1"/>
    <col min="3099" max="3099" width="9.140625" style="113"/>
    <col min="3100" max="3100" width="10.85546875" style="113" customWidth="1"/>
    <col min="3101" max="3101" width="10.140625" style="113" customWidth="1"/>
    <col min="3102" max="3102" width="9.140625" style="113"/>
    <col min="3103" max="3103" width="10.140625" style="113" customWidth="1"/>
    <col min="3104" max="3104" width="10.42578125" style="113" customWidth="1"/>
    <col min="3105" max="3328" width="9.140625" style="113"/>
    <col min="3329" max="3329" width="3.85546875" style="113" customWidth="1"/>
    <col min="3330" max="3330" width="13.85546875" style="113" customWidth="1"/>
    <col min="3331" max="3331" width="3.85546875" style="113" customWidth="1"/>
    <col min="3332" max="3332" width="11.85546875" style="113" customWidth="1"/>
    <col min="3333" max="3333" width="30.42578125" style="113" customWidth="1"/>
    <col min="3334" max="3334" width="21.140625" style="113" customWidth="1"/>
    <col min="3335" max="3337" width="10.140625" style="113" customWidth="1"/>
    <col min="3338" max="3338" width="11.42578125" style="113" customWidth="1"/>
    <col min="3339" max="3348" width="10.140625" style="113" customWidth="1"/>
    <col min="3349" max="3349" width="11" style="113" customWidth="1"/>
    <col min="3350" max="3351" width="10.140625" style="113" customWidth="1"/>
    <col min="3352" max="3352" width="9" style="113" customWidth="1"/>
    <col min="3353" max="3353" width="9.85546875" style="113" customWidth="1"/>
    <col min="3354" max="3354" width="10" style="113" customWidth="1"/>
    <col min="3355" max="3355" width="9.140625" style="113"/>
    <col min="3356" max="3356" width="10.85546875" style="113" customWidth="1"/>
    <col min="3357" max="3357" width="10.140625" style="113" customWidth="1"/>
    <col min="3358" max="3358" width="9.140625" style="113"/>
    <col min="3359" max="3359" width="10.140625" style="113" customWidth="1"/>
    <col min="3360" max="3360" width="10.42578125" style="113" customWidth="1"/>
    <col min="3361" max="3584" width="9.140625" style="113"/>
    <col min="3585" max="3585" width="3.85546875" style="113" customWidth="1"/>
    <col min="3586" max="3586" width="13.85546875" style="113" customWidth="1"/>
    <col min="3587" max="3587" width="3.85546875" style="113" customWidth="1"/>
    <col min="3588" max="3588" width="11.85546875" style="113" customWidth="1"/>
    <col min="3589" max="3589" width="30.42578125" style="113" customWidth="1"/>
    <col min="3590" max="3590" width="21.140625" style="113" customWidth="1"/>
    <col min="3591" max="3593" width="10.140625" style="113" customWidth="1"/>
    <col min="3594" max="3594" width="11.42578125" style="113" customWidth="1"/>
    <col min="3595" max="3604" width="10.140625" style="113" customWidth="1"/>
    <col min="3605" max="3605" width="11" style="113" customWidth="1"/>
    <col min="3606" max="3607" width="10.140625" style="113" customWidth="1"/>
    <col min="3608" max="3608" width="9" style="113" customWidth="1"/>
    <col min="3609" max="3609" width="9.85546875" style="113" customWidth="1"/>
    <col min="3610" max="3610" width="10" style="113" customWidth="1"/>
    <col min="3611" max="3611" width="9.140625" style="113"/>
    <col min="3612" max="3612" width="10.85546875" style="113" customWidth="1"/>
    <col min="3613" max="3613" width="10.140625" style="113" customWidth="1"/>
    <col min="3614" max="3614" width="9.140625" style="113"/>
    <col min="3615" max="3615" width="10.140625" style="113" customWidth="1"/>
    <col min="3616" max="3616" width="10.42578125" style="113" customWidth="1"/>
    <col min="3617" max="3840" width="9.140625" style="113"/>
    <col min="3841" max="3841" width="3.85546875" style="113" customWidth="1"/>
    <col min="3842" max="3842" width="13.85546875" style="113" customWidth="1"/>
    <col min="3843" max="3843" width="3.85546875" style="113" customWidth="1"/>
    <col min="3844" max="3844" width="11.85546875" style="113" customWidth="1"/>
    <col min="3845" max="3845" width="30.42578125" style="113" customWidth="1"/>
    <col min="3846" max="3846" width="21.140625" style="113" customWidth="1"/>
    <col min="3847" max="3849" width="10.140625" style="113" customWidth="1"/>
    <col min="3850" max="3850" width="11.42578125" style="113" customWidth="1"/>
    <col min="3851" max="3860" width="10.140625" style="113" customWidth="1"/>
    <col min="3861" max="3861" width="11" style="113" customWidth="1"/>
    <col min="3862" max="3863" width="10.140625" style="113" customWidth="1"/>
    <col min="3864" max="3864" width="9" style="113" customWidth="1"/>
    <col min="3865" max="3865" width="9.85546875" style="113" customWidth="1"/>
    <col min="3866" max="3866" width="10" style="113" customWidth="1"/>
    <col min="3867" max="3867" width="9.140625" style="113"/>
    <col min="3868" max="3868" width="10.85546875" style="113" customWidth="1"/>
    <col min="3869" max="3869" width="10.140625" style="113" customWidth="1"/>
    <col min="3870" max="3870" width="9.140625" style="113"/>
    <col min="3871" max="3871" width="10.140625" style="113" customWidth="1"/>
    <col min="3872" max="3872" width="10.42578125" style="113" customWidth="1"/>
    <col min="3873" max="4096" width="9.140625" style="113"/>
    <col min="4097" max="4097" width="3.85546875" style="113" customWidth="1"/>
    <col min="4098" max="4098" width="13.85546875" style="113" customWidth="1"/>
    <col min="4099" max="4099" width="3.85546875" style="113" customWidth="1"/>
    <col min="4100" max="4100" width="11.85546875" style="113" customWidth="1"/>
    <col min="4101" max="4101" width="30.42578125" style="113" customWidth="1"/>
    <col min="4102" max="4102" width="21.140625" style="113" customWidth="1"/>
    <col min="4103" max="4105" width="10.140625" style="113" customWidth="1"/>
    <col min="4106" max="4106" width="11.42578125" style="113" customWidth="1"/>
    <col min="4107" max="4116" width="10.140625" style="113" customWidth="1"/>
    <col min="4117" max="4117" width="11" style="113" customWidth="1"/>
    <col min="4118" max="4119" width="10.140625" style="113" customWidth="1"/>
    <col min="4120" max="4120" width="9" style="113" customWidth="1"/>
    <col min="4121" max="4121" width="9.85546875" style="113" customWidth="1"/>
    <col min="4122" max="4122" width="10" style="113" customWidth="1"/>
    <col min="4123" max="4123" width="9.140625" style="113"/>
    <col min="4124" max="4124" width="10.85546875" style="113" customWidth="1"/>
    <col min="4125" max="4125" width="10.140625" style="113" customWidth="1"/>
    <col min="4126" max="4126" width="9.140625" style="113"/>
    <col min="4127" max="4127" width="10.140625" style="113" customWidth="1"/>
    <col min="4128" max="4128" width="10.42578125" style="113" customWidth="1"/>
    <col min="4129" max="4352" width="9.140625" style="113"/>
    <col min="4353" max="4353" width="3.85546875" style="113" customWidth="1"/>
    <col min="4354" max="4354" width="13.85546875" style="113" customWidth="1"/>
    <col min="4355" max="4355" width="3.85546875" style="113" customWidth="1"/>
    <col min="4356" max="4356" width="11.85546875" style="113" customWidth="1"/>
    <col min="4357" max="4357" width="30.42578125" style="113" customWidth="1"/>
    <col min="4358" max="4358" width="21.140625" style="113" customWidth="1"/>
    <col min="4359" max="4361" width="10.140625" style="113" customWidth="1"/>
    <col min="4362" max="4362" width="11.42578125" style="113" customWidth="1"/>
    <col min="4363" max="4372" width="10.140625" style="113" customWidth="1"/>
    <col min="4373" max="4373" width="11" style="113" customWidth="1"/>
    <col min="4374" max="4375" width="10.140625" style="113" customWidth="1"/>
    <col min="4376" max="4376" width="9" style="113" customWidth="1"/>
    <col min="4377" max="4377" width="9.85546875" style="113" customWidth="1"/>
    <col min="4378" max="4378" width="10" style="113" customWidth="1"/>
    <col min="4379" max="4379" width="9.140625" style="113"/>
    <col min="4380" max="4380" width="10.85546875" style="113" customWidth="1"/>
    <col min="4381" max="4381" width="10.140625" style="113" customWidth="1"/>
    <col min="4382" max="4382" width="9.140625" style="113"/>
    <col min="4383" max="4383" width="10.140625" style="113" customWidth="1"/>
    <col min="4384" max="4384" width="10.42578125" style="113" customWidth="1"/>
    <col min="4385" max="4608" width="9.140625" style="113"/>
    <col min="4609" max="4609" width="3.85546875" style="113" customWidth="1"/>
    <col min="4610" max="4610" width="13.85546875" style="113" customWidth="1"/>
    <col min="4611" max="4611" width="3.85546875" style="113" customWidth="1"/>
    <col min="4612" max="4612" width="11.85546875" style="113" customWidth="1"/>
    <col min="4613" max="4613" width="30.42578125" style="113" customWidth="1"/>
    <col min="4614" max="4614" width="21.140625" style="113" customWidth="1"/>
    <col min="4615" max="4617" width="10.140625" style="113" customWidth="1"/>
    <col min="4618" max="4618" width="11.42578125" style="113" customWidth="1"/>
    <col min="4619" max="4628" width="10.140625" style="113" customWidth="1"/>
    <col min="4629" max="4629" width="11" style="113" customWidth="1"/>
    <col min="4630" max="4631" width="10.140625" style="113" customWidth="1"/>
    <col min="4632" max="4632" width="9" style="113" customWidth="1"/>
    <col min="4633" max="4633" width="9.85546875" style="113" customWidth="1"/>
    <col min="4634" max="4634" width="10" style="113" customWidth="1"/>
    <col min="4635" max="4635" width="9.140625" style="113"/>
    <col min="4636" max="4636" width="10.85546875" style="113" customWidth="1"/>
    <col min="4637" max="4637" width="10.140625" style="113" customWidth="1"/>
    <col min="4638" max="4638" width="9.140625" style="113"/>
    <col min="4639" max="4639" width="10.140625" style="113" customWidth="1"/>
    <col min="4640" max="4640" width="10.42578125" style="113" customWidth="1"/>
    <col min="4641" max="4864" width="9.140625" style="113"/>
    <col min="4865" max="4865" width="3.85546875" style="113" customWidth="1"/>
    <col min="4866" max="4866" width="13.85546875" style="113" customWidth="1"/>
    <col min="4867" max="4867" width="3.85546875" style="113" customWidth="1"/>
    <col min="4868" max="4868" width="11.85546875" style="113" customWidth="1"/>
    <col min="4869" max="4869" width="30.42578125" style="113" customWidth="1"/>
    <col min="4870" max="4870" width="21.140625" style="113" customWidth="1"/>
    <col min="4871" max="4873" width="10.140625" style="113" customWidth="1"/>
    <col min="4874" max="4874" width="11.42578125" style="113" customWidth="1"/>
    <col min="4875" max="4884" width="10.140625" style="113" customWidth="1"/>
    <col min="4885" max="4885" width="11" style="113" customWidth="1"/>
    <col min="4886" max="4887" width="10.140625" style="113" customWidth="1"/>
    <col min="4888" max="4888" width="9" style="113" customWidth="1"/>
    <col min="4889" max="4889" width="9.85546875" style="113" customWidth="1"/>
    <col min="4890" max="4890" width="10" style="113" customWidth="1"/>
    <col min="4891" max="4891" width="9.140625" style="113"/>
    <col min="4892" max="4892" width="10.85546875" style="113" customWidth="1"/>
    <col min="4893" max="4893" width="10.140625" style="113" customWidth="1"/>
    <col min="4894" max="4894" width="9.140625" style="113"/>
    <col min="4895" max="4895" width="10.140625" style="113" customWidth="1"/>
    <col min="4896" max="4896" width="10.42578125" style="113" customWidth="1"/>
    <col min="4897" max="5120" width="9.140625" style="113"/>
    <col min="5121" max="5121" width="3.85546875" style="113" customWidth="1"/>
    <col min="5122" max="5122" width="13.85546875" style="113" customWidth="1"/>
    <col min="5123" max="5123" width="3.85546875" style="113" customWidth="1"/>
    <col min="5124" max="5124" width="11.85546875" style="113" customWidth="1"/>
    <col min="5125" max="5125" width="30.42578125" style="113" customWidth="1"/>
    <col min="5126" max="5126" width="21.140625" style="113" customWidth="1"/>
    <col min="5127" max="5129" width="10.140625" style="113" customWidth="1"/>
    <col min="5130" max="5130" width="11.42578125" style="113" customWidth="1"/>
    <col min="5131" max="5140" width="10.140625" style="113" customWidth="1"/>
    <col min="5141" max="5141" width="11" style="113" customWidth="1"/>
    <col min="5142" max="5143" width="10.140625" style="113" customWidth="1"/>
    <col min="5144" max="5144" width="9" style="113" customWidth="1"/>
    <col min="5145" max="5145" width="9.85546875" style="113" customWidth="1"/>
    <col min="5146" max="5146" width="10" style="113" customWidth="1"/>
    <col min="5147" max="5147" width="9.140625" style="113"/>
    <col min="5148" max="5148" width="10.85546875" style="113" customWidth="1"/>
    <col min="5149" max="5149" width="10.140625" style="113" customWidth="1"/>
    <col min="5150" max="5150" width="9.140625" style="113"/>
    <col min="5151" max="5151" width="10.140625" style="113" customWidth="1"/>
    <col min="5152" max="5152" width="10.42578125" style="113" customWidth="1"/>
    <col min="5153" max="5376" width="9.140625" style="113"/>
    <col min="5377" max="5377" width="3.85546875" style="113" customWidth="1"/>
    <col min="5378" max="5378" width="13.85546875" style="113" customWidth="1"/>
    <col min="5379" max="5379" width="3.85546875" style="113" customWidth="1"/>
    <col min="5380" max="5380" width="11.85546875" style="113" customWidth="1"/>
    <col min="5381" max="5381" width="30.42578125" style="113" customWidth="1"/>
    <col min="5382" max="5382" width="21.140625" style="113" customWidth="1"/>
    <col min="5383" max="5385" width="10.140625" style="113" customWidth="1"/>
    <col min="5386" max="5386" width="11.42578125" style="113" customWidth="1"/>
    <col min="5387" max="5396" width="10.140625" style="113" customWidth="1"/>
    <col min="5397" max="5397" width="11" style="113" customWidth="1"/>
    <col min="5398" max="5399" width="10.140625" style="113" customWidth="1"/>
    <col min="5400" max="5400" width="9" style="113" customWidth="1"/>
    <col min="5401" max="5401" width="9.85546875" style="113" customWidth="1"/>
    <col min="5402" max="5402" width="10" style="113" customWidth="1"/>
    <col min="5403" max="5403" width="9.140625" style="113"/>
    <col min="5404" max="5404" width="10.85546875" style="113" customWidth="1"/>
    <col min="5405" max="5405" width="10.140625" style="113" customWidth="1"/>
    <col min="5406" max="5406" width="9.140625" style="113"/>
    <col min="5407" max="5407" width="10.140625" style="113" customWidth="1"/>
    <col min="5408" max="5408" width="10.42578125" style="113" customWidth="1"/>
    <col min="5409" max="5632" width="9.140625" style="113"/>
    <col min="5633" max="5633" width="3.85546875" style="113" customWidth="1"/>
    <col min="5634" max="5634" width="13.85546875" style="113" customWidth="1"/>
    <col min="5635" max="5635" width="3.85546875" style="113" customWidth="1"/>
    <col min="5636" max="5636" width="11.85546875" style="113" customWidth="1"/>
    <col min="5637" max="5637" width="30.42578125" style="113" customWidth="1"/>
    <col min="5638" max="5638" width="21.140625" style="113" customWidth="1"/>
    <col min="5639" max="5641" width="10.140625" style="113" customWidth="1"/>
    <col min="5642" max="5642" width="11.42578125" style="113" customWidth="1"/>
    <col min="5643" max="5652" width="10.140625" style="113" customWidth="1"/>
    <col min="5653" max="5653" width="11" style="113" customWidth="1"/>
    <col min="5654" max="5655" width="10.140625" style="113" customWidth="1"/>
    <col min="5656" max="5656" width="9" style="113" customWidth="1"/>
    <col min="5657" max="5657" width="9.85546875" style="113" customWidth="1"/>
    <col min="5658" max="5658" width="10" style="113" customWidth="1"/>
    <col min="5659" max="5659" width="9.140625" style="113"/>
    <col min="5660" max="5660" width="10.85546875" style="113" customWidth="1"/>
    <col min="5661" max="5661" width="10.140625" style="113" customWidth="1"/>
    <col min="5662" max="5662" width="9.140625" style="113"/>
    <col min="5663" max="5663" width="10.140625" style="113" customWidth="1"/>
    <col min="5664" max="5664" width="10.42578125" style="113" customWidth="1"/>
    <col min="5665" max="5888" width="9.140625" style="113"/>
    <col min="5889" max="5889" width="3.85546875" style="113" customWidth="1"/>
    <col min="5890" max="5890" width="13.85546875" style="113" customWidth="1"/>
    <col min="5891" max="5891" width="3.85546875" style="113" customWidth="1"/>
    <col min="5892" max="5892" width="11.85546875" style="113" customWidth="1"/>
    <col min="5893" max="5893" width="30.42578125" style="113" customWidth="1"/>
    <col min="5894" max="5894" width="21.140625" style="113" customWidth="1"/>
    <col min="5895" max="5897" width="10.140625" style="113" customWidth="1"/>
    <col min="5898" max="5898" width="11.42578125" style="113" customWidth="1"/>
    <col min="5899" max="5908" width="10.140625" style="113" customWidth="1"/>
    <col min="5909" max="5909" width="11" style="113" customWidth="1"/>
    <col min="5910" max="5911" width="10.140625" style="113" customWidth="1"/>
    <col min="5912" max="5912" width="9" style="113" customWidth="1"/>
    <col min="5913" max="5913" width="9.85546875" style="113" customWidth="1"/>
    <col min="5914" max="5914" width="10" style="113" customWidth="1"/>
    <col min="5915" max="5915" width="9.140625" style="113"/>
    <col min="5916" max="5916" width="10.85546875" style="113" customWidth="1"/>
    <col min="5917" max="5917" width="10.140625" style="113" customWidth="1"/>
    <col min="5918" max="5918" width="9.140625" style="113"/>
    <col min="5919" max="5919" width="10.140625" style="113" customWidth="1"/>
    <col min="5920" max="5920" width="10.42578125" style="113" customWidth="1"/>
    <col min="5921" max="6144" width="9.140625" style="113"/>
    <col min="6145" max="6145" width="3.85546875" style="113" customWidth="1"/>
    <col min="6146" max="6146" width="13.85546875" style="113" customWidth="1"/>
    <col min="6147" max="6147" width="3.85546875" style="113" customWidth="1"/>
    <col min="6148" max="6148" width="11.85546875" style="113" customWidth="1"/>
    <col min="6149" max="6149" width="30.42578125" style="113" customWidth="1"/>
    <col min="6150" max="6150" width="21.140625" style="113" customWidth="1"/>
    <col min="6151" max="6153" width="10.140625" style="113" customWidth="1"/>
    <col min="6154" max="6154" width="11.42578125" style="113" customWidth="1"/>
    <col min="6155" max="6164" width="10.140625" style="113" customWidth="1"/>
    <col min="6165" max="6165" width="11" style="113" customWidth="1"/>
    <col min="6166" max="6167" width="10.140625" style="113" customWidth="1"/>
    <col min="6168" max="6168" width="9" style="113" customWidth="1"/>
    <col min="6169" max="6169" width="9.85546875" style="113" customWidth="1"/>
    <col min="6170" max="6170" width="10" style="113" customWidth="1"/>
    <col min="6171" max="6171" width="9.140625" style="113"/>
    <col min="6172" max="6172" width="10.85546875" style="113" customWidth="1"/>
    <col min="6173" max="6173" width="10.140625" style="113" customWidth="1"/>
    <col min="6174" max="6174" width="9.140625" style="113"/>
    <col min="6175" max="6175" width="10.140625" style="113" customWidth="1"/>
    <col min="6176" max="6176" width="10.42578125" style="113" customWidth="1"/>
    <col min="6177" max="6400" width="9.140625" style="113"/>
    <col min="6401" max="6401" width="3.85546875" style="113" customWidth="1"/>
    <col min="6402" max="6402" width="13.85546875" style="113" customWidth="1"/>
    <col min="6403" max="6403" width="3.85546875" style="113" customWidth="1"/>
    <col min="6404" max="6404" width="11.85546875" style="113" customWidth="1"/>
    <col min="6405" max="6405" width="30.42578125" style="113" customWidth="1"/>
    <col min="6406" max="6406" width="21.140625" style="113" customWidth="1"/>
    <col min="6407" max="6409" width="10.140625" style="113" customWidth="1"/>
    <col min="6410" max="6410" width="11.42578125" style="113" customWidth="1"/>
    <col min="6411" max="6420" width="10.140625" style="113" customWidth="1"/>
    <col min="6421" max="6421" width="11" style="113" customWidth="1"/>
    <col min="6422" max="6423" width="10.140625" style="113" customWidth="1"/>
    <col min="6424" max="6424" width="9" style="113" customWidth="1"/>
    <col min="6425" max="6425" width="9.85546875" style="113" customWidth="1"/>
    <col min="6426" max="6426" width="10" style="113" customWidth="1"/>
    <col min="6427" max="6427" width="9.140625" style="113"/>
    <col min="6428" max="6428" width="10.85546875" style="113" customWidth="1"/>
    <col min="6429" max="6429" width="10.140625" style="113" customWidth="1"/>
    <col min="6430" max="6430" width="9.140625" style="113"/>
    <col min="6431" max="6431" width="10.140625" style="113" customWidth="1"/>
    <col min="6432" max="6432" width="10.42578125" style="113" customWidth="1"/>
    <col min="6433" max="6656" width="9.140625" style="113"/>
    <col min="6657" max="6657" width="3.85546875" style="113" customWidth="1"/>
    <col min="6658" max="6658" width="13.85546875" style="113" customWidth="1"/>
    <col min="6659" max="6659" width="3.85546875" style="113" customWidth="1"/>
    <col min="6660" max="6660" width="11.85546875" style="113" customWidth="1"/>
    <col min="6661" max="6661" width="30.42578125" style="113" customWidth="1"/>
    <col min="6662" max="6662" width="21.140625" style="113" customWidth="1"/>
    <col min="6663" max="6665" width="10.140625" style="113" customWidth="1"/>
    <col min="6666" max="6666" width="11.42578125" style="113" customWidth="1"/>
    <col min="6667" max="6676" width="10.140625" style="113" customWidth="1"/>
    <col min="6677" max="6677" width="11" style="113" customWidth="1"/>
    <col min="6678" max="6679" width="10.140625" style="113" customWidth="1"/>
    <col min="6680" max="6680" width="9" style="113" customWidth="1"/>
    <col min="6681" max="6681" width="9.85546875" style="113" customWidth="1"/>
    <col min="6682" max="6682" width="10" style="113" customWidth="1"/>
    <col min="6683" max="6683" width="9.140625" style="113"/>
    <col min="6684" max="6684" width="10.85546875" style="113" customWidth="1"/>
    <col min="6685" max="6685" width="10.140625" style="113" customWidth="1"/>
    <col min="6686" max="6686" width="9.140625" style="113"/>
    <col min="6687" max="6687" width="10.140625" style="113" customWidth="1"/>
    <col min="6688" max="6688" width="10.42578125" style="113" customWidth="1"/>
    <col min="6689" max="6912" width="9.140625" style="113"/>
    <col min="6913" max="6913" width="3.85546875" style="113" customWidth="1"/>
    <col min="6914" max="6914" width="13.85546875" style="113" customWidth="1"/>
    <col min="6915" max="6915" width="3.85546875" style="113" customWidth="1"/>
    <col min="6916" max="6916" width="11.85546875" style="113" customWidth="1"/>
    <col min="6917" max="6917" width="30.42578125" style="113" customWidth="1"/>
    <col min="6918" max="6918" width="21.140625" style="113" customWidth="1"/>
    <col min="6919" max="6921" width="10.140625" style="113" customWidth="1"/>
    <col min="6922" max="6922" width="11.42578125" style="113" customWidth="1"/>
    <col min="6923" max="6932" width="10.140625" style="113" customWidth="1"/>
    <col min="6933" max="6933" width="11" style="113" customWidth="1"/>
    <col min="6934" max="6935" width="10.140625" style="113" customWidth="1"/>
    <col min="6936" max="6936" width="9" style="113" customWidth="1"/>
    <col min="6937" max="6937" width="9.85546875" style="113" customWidth="1"/>
    <col min="6938" max="6938" width="10" style="113" customWidth="1"/>
    <col min="6939" max="6939" width="9.140625" style="113"/>
    <col min="6940" max="6940" width="10.85546875" style="113" customWidth="1"/>
    <col min="6941" max="6941" width="10.140625" style="113" customWidth="1"/>
    <col min="6942" max="6942" width="9.140625" style="113"/>
    <col min="6943" max="6943" width="10.140625" style="113" customWidth="1"/>
    <col min="6944" max="6944" width="10.42578125" style="113" customWidth="1"/>
    <col min="6945" max="7168" width="9.140625" style="113"/>
    <col min="7169" max="7169" width="3.85546875" style="113" customWidth="1"/>
    <col min="7170" max="7170" width="13.85546875" style="113" customWidth="1"/>
    <col min="7171" max="7171" width="3.85546875" style="113" customWidth="1"/>
    <col min="7172" max="7172" width="11.85546875" style="113" customWidth="1"/>
    <col min="7173" max="7173" width="30.42578125" style="113" customWidth="1"/>
    <col min="7174" max="7174" width="21.140625" style="113" customWidth="1"/>
    <col min="7175" max="7177" width="10.140625" style="113" customWidth="1"/>
    <col min="7178" max="7178" width="11.42578125" style="113" customWidth="1"/>
    <col min="7179" max="7188" width="10.140625" style="113" customWidth="1"/>
    <col min="7189" max="7189" width="11" style="113" customWidth="1"/>
    <col min="7190" max="7191" width="10.140625" style="113" customWidth="1"/>
    <col min="7192" max="7192" width="9" style="113" customWidth="1"/>
    <col min="7193" max="7193" width="9.85546875" style="113" customWidth="1"/>
    <col min="7194" max="7194" width="10" style="113" customWidth="1"/>
    <col min="7195" max="7195" width="9.140625" style="113"/>
    <col min="7196" max="7196" width="10.85546875" style="113" customWidth="1"/>
    <col min="7197" max="7197" width="10.140625" style="113" customWidth="1"/>
    <col min="7198" max="7198" width="9.140625" style="113"/>
    <col min="7199" max="7199" width="10.140625" style="113" customWidth="1"/>
    <col min="7200" max="7200" width="10.42578125" style="113" customWidth="1"/>
    <col min="7201" max="7424" width="9.140625" style="113"/>
    <col min="7425" max="7425" width="3.85546875" style="113" customWidth="1"/>
    <col min="7426" max="7426" width="13.85546875" style="113" customWidth="1"/>
    <col min="7427" max="7427" width="3.85546875" style="113" customWidth="1"/>
    <col min="7428" max="7428" width="11.85546875" style="113" customWidth="1"/>
    <col min="7429" max="7429" width="30.42578125" style="113" customWidth="1"/>
    <col min="7430" max="7430" width="21.140625" style="113" customWidth="1"/>
    <col min="7431" max="7433" width="10.140625" style="113" customWidth="1"/>
    <col min="7434" max="7434" width="11.42578125" style="113" customWidth="1"/>
    <col min="7435" max="7444" width="10.140625" style="113" customWidth="1"/>
    <col min="7445" max="7445" width="11" style="113" customWidth="1"/>
    <col min="7446" max="7447" width="10.140625" style="113" customWidth="1"/>
    <col min="7448" max="7448" width="9" style="113" customWidth="1"/>
    <col min="7449" max="7449" width="9.85546875" style="113" customWidth="1"/>
    <col min="7450" max="7450" width="10" style="113" customWidth="1"/>
    <col min="7451" max="7451" width="9.140625" style="113"/>
    <col min="7452" max="7452" width="10.85546875" style="113" customWidth="1"/>
    <col min="7453" max="7453" width="10.140625" style="113" customWidth="1"/>
    <col min="7454" max="7454" width="9.140625" style="113"/>
    <col min="7455" max="7455" width="10.140625" style="113" customWidth="1"/>
    <col min="7456" max="7456" width="10.42578125" style="113" customWidth="1"/>
    <col min="7457" max="7680" width="9.140625" style="113"/>
    <col min="7681" max="7681" width="3.85546875" style="113" customWidth="1"/>
    <col min="7682" max="7682" width="13.85546875" style="113" customWidth="1"/>
    <col min="7683" max="7683" width="3.85546875" style="113" customWidth="1"/>
    <col min="7684" max="7684" width="11.85546875" style="113" customWidth="1"/>
    <col min="7685" max="7685" width="30.42578125" style="113" customWidth="1"/>
    <col min="7686" max="7686" width="21.140625" style="113" customWidth="1"/>
    <col min="7687" max="7689" width="10.140625" style="113" customWidth="1"/>
    <col min="7690" max="7690" width="11.42578125" style="113" customWidth="1"/>
    <col min="7691" max="7700" width="10.140625" style="113" customWidth="1"/>
    <col min="7701" max="7701" width="11" style="113" customWidth="1"/>
    <col min="7702" max="7703" width="10.140625" style="113" customWidth="1"/>
    <col min="7704" max="7704" width="9" style="113" customWidth="1"/>
    <col min="7705" max="7705" width="9.85546875" style="113" customWidth="1"/>
    <col min="7706" max="7706" width="10" style="113" customWidth="1"/>
    <col min="7707" max="7707" width="9.140625" style="113"/>
    <col min="7708" max="7708" width="10.85546875" style="113" customWidth="1"/>
    <col min="7709" max="7709" width="10.140625" style="113" customWidth="1"/>
    <col min="7710" max="7710" width="9.140625" style="113"/>
    <col min="7711" max="7711" width="10.140625" style="113" customWidth="1"/>
    <col min="7712" max="7712" width="10.42578125" style="113" customWidth="1"/>
    <col min="7713" max="7936" width="9.140625" style="113"/>
    <col min="7937" max="7937" width="3.85546875" style="113" customWidth="1"/>
    <col min="7938" max="7938" width="13.85546875" style="113" customWidth="1"/>
    <col min="7939" max="7939" width="3.85546875" style="113" customWidth="1"/>
    <col min="7940" max="7940" width="11.85546875" style="113" customWidth="1"/>
    <col min="7941" max="7941" width="30.42578125" style="113" customWidth="1"/>
    <col min="7942" max="7942" width="21.140625" style="113" customWidth="1"/>
    <col min="7943" max="7945" width="10.140625" style="113" customWidth="1"/>
    <col min="7946" max="7946" width="11.42578125" style="113" customWidth="1"/>
    <col min="7947" max="7956" width="10.140625" style="113" customWidth="1"/>
    <col min="7957" max="7957" width="11" style="113" customWidth="1"/>
    <col min="7958" max="7959" width="10.140625" style="113" customWidth="1"/>
    <col min="7960" max="7960" width="9" style="113" customWidth="1"/>
    <col min="7961" max="7961" width="9.85546875" style="113" customWidth="1"/>
    <col min="7962" max="7962" width="10" style="113" customWidth="1"/>
    <col min="7963" max="7963" width="9.140625" style="113"/>
    <col min="7964" max="7964" width="10.85546875" style="113" customWidth="1"/>
    <col min="7965" max="7965" width="10.140625" style="113" customWidth="1"/>
    <col min="7966" max="7966" width="9.140625" style="113"/>
    <col min="7967" max="7967" width="10.140625" style="113" customWidth="1"/>
    <col min="7968" max="7968" width="10.42578125" style="113" customWidth="1"/>
    <col min="7969" max="8192" width="9.140625" style="113"/>
    <col min="8193" max="8193" width="3.85546875" style="113" customWidth="1"/>
    <col min="8194" max="8194" width="13.85546875" style="113" customWidth="1"/>
    <col min="8195" max="8195" width="3.85546875" style="113" customWidth="1"/>
    <col min="8196" max="8196" width="11.85546875" style="113" customWidth="1"/>
    <col min="8197" max="8197" width="30.42578125" style="113" customWidth="1"/>
    <col min="8198" max="8198" width="21.140625" style="113" customWidth="1"/>
    <col min="8199" max="8201" width="10.140625" style="113" customWidth="1"/>
    <col min="8202" max="8202" width="11.42578125" style="113" customWidth="1"/>
    <col min="8203" max="8212" width="10.140625" style="113" customWidth="1"/>
    <col min="8213" max="8213" width="11" style="113" customWidth="1"/>
    <col min="8214" max="8215" width="10.140625" style="113" customWidth="1"/>
    <col min="8216" max="8216" width="9" style="113" customWidth="1"/>
    <col min="8217" max="8217" width="9.85546875" style="113" customWidth="1"/>
    <col min="8218" max="8218" width="10" style="113" customWidth="1"/>
    <col min="8219" max="8219" width="9.140625" style="113"/>
    <col min="8220" max="8220" width="10.85546875" style="113" customWidth="1"/>
    <col min="8221" max="8221" width="10.140625" style="113" customWidth="1"/>
    <col min="8222" max="8222" width="9.140625" style="113"/>
    <col min="8223" max="8223" width="10.140625" style="113" customWidth="1"/>
    <col min="8224" max="8224" width="10.42578125" style="113" customWidth="1"/>
    <col min="8225" max="8448" width="9.140625" style="113"/>
    <col min="8449" max="8449" width="3.85546875" style="113" customWidth="1"/>
    <col min="8450" max="8450" width="13.85546875" style="113" customWidth="1"/>
    <col min="8451" max="8451" width="3.85546875" style="113" customWidth="1"/>
    <col min="8452" max="8452" width="11.85546875" style="113" customWidth="1"/>
    <col min="8453" max="8453" width="30.42578125" style="113" customWidth="1"/>
    <col min="8454" max="8454" width="21.140625" style="113" customWidth="1"/>
    <col min="8455" max="8457" width="10.140625" style="113" customWidth="1"/>
    <col min="8458" max="8458" width="11.42578125" style="113" customWidth="1"/>
    <col min="8459" max="8468" width="10.140625" style="113" customWidth="1"/>
    <col min="8469" max="8469" width="11" style="113" customWidth="1"/>
    <col min="8470" max="8471" width="10.140625" style="113" customWidth="1"/>
    <col min="8472" max="8472" width="9" style="113" customWidth="1"/>
    <col min="8473" max="8473" width="9.85546875" style="113" customWidth="1"/>
    <col min="8474" max="8474" width="10" style="113" customWidth="1"/>
    <col min="8475" max="8475" width="9.140625" style="113"/>
    <col min="8476" max="8476" width="10.85546875" style="113" customWidth="1"/>
    <col min="8477" max="8477" width="10.140625" style="113" customWidth="1"/>
    <col min="8478" max="8478" width="9.140625" style="113"/>
    <col min="8479" max="8479" width="10.140625" style="113" customWidth="1"/>
    <col min="8480" max="8480" width="10.42578125" style="113" customWidth="1"/>
    <col min="8481" max="8704" width="9.140625" style="113"/>
    <col min="8705" max="8705" width="3.85546875" style="113" customWidth="1"/>
    <col min="8706" max="8706" width="13.85546875" style="113" customWidth="1"/>
    <col min="8707" max="8707" width="3.85546875" style="113" customWidth="1"/>
    <col min="8708" max="8708" width="11.85546875" style="113" customWidth="1"/>
    <col min="8709" max="8709" width="30.42578125" style="113" customWidth="1"/>
    <col min="8710" max="8710" width="21.140625" style="113" customWidth="1"/>
    <col min="8711" max="8713" width="10.140625" style="113" customWidth="1"/>
    <col min="8714" max="8714" width="11.42578125" style="113" customWidth="1"/>
    <col min="8715" max="8724" width="10.140625" style="113" customWidth="1"/>
    <col min="8725" max="8725" width="11" style="113" customWidth="1"/>
    <col min="8726" max="8727" width="10.140625" style="113" customWidth="1"/>
    <col min="8728" max="8728" width="9" style="113" customWidth="1"/>
    <col min="8729" max="8729" width="9.85546875" style="113" customWidth="1"/>
    <col min="8730" max="8730" width="10" style="113" customWidth="1"/>
    <col min="8731" max="8731" width="9.140625" style="113"/>
    <col min="8732" max="8732" width="10.85546875" style="113" customWidth="1"/>
    <col min="8733" max="8733" width="10.140625" style="113" customWidth="1"/>
    <col min="8734" max="8734" width="9.140625" style="113"/>
    <col min="8735" max="8735" width="10.140625" style="113" customWidth="1"/>
    <col min="8736" max="8736" width="10.42578125" style="113" customWidth="1"/>
    <col min="8737" max="8960" width="9.140625" style="113"/>
    <col min="8961" max="8961" width="3.85546875" style="113" customWidth="1"/>
    <col min="8962" max="8962" width="13.85546875" style="113" customWidth="1"/>
    <col min="8963" max="8963" width="3.85546875" style="113" customWidth="1"/>
    <col min="8964" max="8964" width="11.85546875" style="113" customWidth="1"/>
    <col min="8965" max="8965" width="30.42578125" style="113" customWidth="1"/>
    <col min="8966" max="8966" width="21.140625" style="113" customWidth="1"/>
    <col min="8967" max="8969" width="10.140625" style="113" customWidth="1"/>
    <col min="8970" max="8970" width="11.42578125" style="113" customWidth="1"/>
    <col min="8971" max="8980" width="10.140625" style="113" customWidth="1"/>
    <col min="8981" max="8981" width="11" style="113" customWidth="1"/>
    <col min="8982" max="8983" width="10.140625" style="113" customWidth="1"/>
    <col min="8984" max="8984" width="9" style="113" customWidth="1"/>
    <col min="8985" max="8985" width="9.85546875" style="113" customWidth="1"/>
    <col min="8986" max="8986" width="10" style="113" customWidth="1"/>
    <col min="8987" max="8987" width="9.140625" style="113"/>
    <col min="8988" max="8988" width="10.85546875" style="113" customWidth="1"/>
    <col min="8989" max="8989" width="10.140625" style="113" customWidth="1"/>
    <col min="8990" max="8990" width="9.140625" style="113"/>
    <col min="8991" max="8991" width="10.140625" style="113" customWidth="1"/>
    <col min="8992" max="8992" width="10.42578125" style="113" customWidth="1"/>
    <col min="8993" max="9216" width="9.140625" style="113"/>
    <col min="9217" max="9217" width="3.85546875" style="113" customWidth="1"/>
    <col min="9218" max="9218" width="13.85546875" style="113" customWidth="1"/>
    <col min="9219" max="9219" width="3.85546875" style="113" customWidth="1"/>
    <col min="9220" max="9220" width="11.85546875" style="113" customWidth="1"/>
    <col min="9221" max="9221" width="30.42578125" style="113" customWidth="1"/>
    <col min="9222" max="9222" width="21.140625" style="113" customWidth="1"/>
    <col min="9223" max="9225" width="10.140625" style="113" customWidth="1"/>
    <col min="9226" max="9226" width="11.42578125" style="113" customWidth="1"/>
    <col min="9227" max="9236" width="10.140625" style="113" customWidth="1"/>
    <col min="9237" max="9237" width="11" style="113" customWidth="1"/>
    <col min="9238" max="9239" width="10.140625" style="113" customWidth="1"/>
    <col min="9240" max="9240" width="9" style="113" customWidth="1"/>
    <col min="9241" max="9241" width="9.85546875" style="113" customWidth="1"/>
    <col min="9242" max="9242" width="10" style="113" customWidth="1"/>
    <col min="9243" max="9243" width="9.140625" style="113"/>
    <col min="9244" max="9244" width="10.85546875" style="113" customWidth="1"/>
    <col min="9245" max="9245" width="10.140625" style="113" customWidth="1"/>
    <col min="9246" max="9246" width="9.140625" style="113"/>
    <col min="9247" max="9247" width="10.140625" style="113" customWidth="1"/>
    <col min="9248" max="9248" width="10.42578125" style="113" customWidth="1"/>
    <col min="9249" max="9472" width="9.140625" style="113"/>
    <col min="9473" max="9473" width="3.85546875" style="113" customWidth="1"/>
    <col min="9474" max="9474" width="13.85546875" style="113" customWidth="1"/>
    <col min="9475" max="9475" width="3.85546875" style="113" customWidth="1"/>
    <col min="9476" max="9476" width="11.85546875" style="113" customWidth="1"/>
    <col min="9477" max="9477" width="30.42578125" style="113" customWidth="1"/>
    <col min="9478" max="9478" width="21.140625" style="113" customWidth="1"/>
    <col min="9479" max="9481" width="10.140625" style="113" customWidth="1"/>
    <col min="9482" max="9482" width="11.42578125" style="113" customWidth="1"/>
    <col min="9483" max="9492" width="10.140625" style="113" customWidth="1"/>
    <col min="9493" max="9493" width="11" style="113" customWidth="1"/>
    <col min="9494" max="9495" width="10.140625" style="113" customWidth="1"/>
    <col min="9496" max="9496" width="9" style="113" customWidth="1"/>
    <col min="9497" max="9497" width="9.85546875" style="113" customWidth="1"/>
    <col min="9498" max="9498" width="10" style="113" customWidth="1"/>
    <col min="9499" max="9499" width="9.140625" style="113"/>
    <col min="9500" max="9500" width="10.85546875" style="113" customWidth="1"/>
    <col min="9501" max="9501" width="10.140625" style="113" customWidth="1"/>
    <col min="9502" max="9502" width="9.140625" style="113"/>
    <col min="9503" max="9503" width="10.140625" style="113" customWidth="1"/>
    <col min="9504" max="9504" width="10.42578125" style="113" customWidth="1"/>
    <col min="9505" max="9728" width="9.140625" style="113"/>
    <col min="9729" max="9729" width="3.85546875" style="113" customWidth="1"/>
    <col min="9730" max="9730" width="13.85546875" style="113" customWidth="1"/>
    <col min="9731" max="9731" width="3.85546875" style="113" customWidth="1"/>
    <col min="9732" max="9732" width="11.85546875" style="113" customWidth="1"/>
    <col min="9733" max="9733" width="30.42578125" style="113" customWidth="1"/>
    <col min="9734" max="9734" width="21.140625" style="113" customWidth="1"/>
    <col min="9735" max="9737" width="10.140625" style="113" customWidth="1"/>
    <col min="9738" max="9738" width="11.42578125" style="113" customWidth="1"/>
    <col min="9739" max="9748" width="10.140625" style="113" customWidth="1"/>
    <col min="9749" max="9749" width="11" style="113" customWidth="1"/>
    <col min="9750" max="9751" width="10.140625" style="113" customWidth="1"/>
    <col min="9752" max="9752" width="9" style="113" customWidth="1"/>
    <col min="9753" max="9753" width="9.85546875" style="113" customWidth="1"/>
    <col min="9754" max="9754" width="10" style="113" customWidth="1"/>
    <col min="9755" max="9755" width="9.140625" style="113"/>
    <col min="9756" max="9756" width="10.85546875" style="113" customWidth="1"/>
    <col min="9757" max="9757" width="10.140625" style="113" customWidth="1"/>
    <col min="9758" max="9758" width="9.140625" style="113"/>
    <col min="9759" max="9759" width="10.140625" style="113" customWidth="1"/>
    <col min="9760" max="9760" width="10.42578125" style="113" customWidth="1"/>
    <col min="9761" max="9984" width="9.140625" style="113"/>
    <col min="9985" max="9985" width="3.85546875" style="113" customWidth="1"/>
    <col min="9986" max="9986" width="13.85546875" style="113" customWidth="1"/>
    <col min="9987" max="9987" width="3.85546875" style="113" customWidth="1"/>
    <col min="9988" max="9988" width="11.85546875" style="113" customWidth="1"/>
    <col min="9989" max="9989" width="30.42578125" style="113" customWidth="1"/>
    <col min="9990" max="9990" width="21.140625" style="113" customWidth="1"/>
    <col min="9991" max="9993" width="10.140625" style="113" customWidth="1"/>
    <col min="9994" max="9994" width="11.42578125" style="113" customWidth="1"/>
    <col min="9995" max="10004" width="10.140625" style="113" customWidth="1"/>
    <col min="10005" max="10005" width="11" style="113" customWidth="1"/>
    <col min="10006" max="10007" width="10.140625" style="113" customWidth="1"/>
    <col min="10008" max="10008" width="9" style="113" customWidth="1"/>
    <col min="10009" max="10009" width="9.85546875" style="113" customWidth="1"/>
    <col min="10010" max="10010" width="10" style="113" customWidth="1"/>
    <col min="10011" max="10011" width="9.140625" style="113"/>
    <col min="10012" max="10012" width="10.85546875" style="113" customWidth="1"/>
    <col min="10013" max="10013" width="10.140625" style="113" customWidth="1"/>
    <col min="10014" max="10014" width="9.140625" style="113"/>
    <col min="10015" max="10015" width="10.140625" style="113" customWidth="1"/>
    <col min="10016" max="10016" width="10.42578125" style="113" customWidth="1"/>
    <col min="10017" max="10240" width="9.140625" style="113"/>
    <col min="10241" max="10241" width="3.85546875" style="113" customWidth="1"/>
    <col min="10242" max="10242" width="13.85546875" style="113" customWidth="1"/>
    <col min="10243" max="10243" width="3.85546875" style="113" customWidth="1"/>
    <col min="10244" max="10244" width="11.85546875" style="113" customWidth="1"/>
    <col min="10245" max="10245" width="30.42578125" style="113" customWidth="1"/>
    <col min="10246" max="10246" width="21.140625" style="113" customWidth="1"/>
    <col min="10247" max="10249" width="10.140625" style="113" customWidth="1"/>
    <col min="10250" max="10250" width="11.42578125" style="113" customWidth="1"/>
    <col min="10251" max="10260" width="10.140625" style="113" customWidth="1"/>
    <col min="10261" max="10261" width="11" style="113" customWidth="1"/>
    <col min="10262" max="10263" width="10.140625" style="113" customWidth="1"/>
    <col min="10264" max="10264" width="9" style="113" customWidth="1"/>
    <col min="10265" max="10265" width="9.85546875" style="113" customWidth="1"/>
    <col min="10266" max="10266" width="10" style="113" customWidth="1"/>
    <col min="10267" max="10267" width="9.140625" style="113"/>
    <col min="10268" max="10268" width="10.85546875" style="113" customWidth="1"/>
    <col min="10269" max="10269" width="10.140625" style="113" customWidth="1"/>
    <col min="10270" max="10270" width="9.140625" style="113"/>
    <col min="10271" max="10271" width="10.140625" style="113" customWidth="1"/>
    <col min="10272" max="10272" width="10.42578125" style="113" customWidth="1"/>
    <col min="10273" max="10496" width="9.140625" style="113"/>
    <col min="10497" max="10497" width="3.85546875" style="113" customWidth="1"/>
    <col min="10498" max="10498" width="13.85546875" style="113" customWidth="1"/>
    <col min="10499" max="10499" width="3.85546875" style="113" customWidth="1"/>
    <col min="10500" max="10500" width="11.85546875" style="113" customWidth="1"/>
    <col min="10501" max="10501" width="30.42578125" style="113" customWidth="1"/>
    <col min="10502" max="10502" width="21.140625" style="113" customWidth="1"/>
    <col min="10503" max="10505" width="10.140625" style="113" customWidth="1"/>
    <col min="10506" max="10506" width="11.42578125" style="113" customWidth="1"/>
    <col min="10507" max="10516" width="10.140625" style="113" customWidth="1"/>
    <col min="10517" max="10517" width="11" style="113" customWidth="1"/>
    <col min="10518" max="10519" width="10.140625" style="113" customWidth="1"/>
    <col min="10520" max="10520" width="9" style="113" customWidth="1"/>
    <col min="10521" max="10521" width="9.85546875" style="113" customWidth="1"/>
    <col min="10522" max="10522" width="10" style="113" customWidth="1"/>
    <col min="10523" max="10523" width="9.140625" style="113"/>
    <col min="10524" max="10524" width="10.85546875" style="113" customWidth="1"/>
    <col min="10525" max="10525" width="10.140625" style="113" customWidth="1"/>
    <col min="10526" max="10526" width="9.140625" style="113"/>
    <col min="10527" max="10527" width="10.140625" style="113" customWidth="1"/>
    <col min="10528" max="10528" width="10.42578125" style="113" customWidth="1"/>
    <col min="10529" max="10752" width="9.140625" style="113"/>
    <col min="10753" max="10753" width="3.85546875" style="113" customWidth="1"/>
    <col min="10754" max="10754" width="13.85546875" style="113" customWidth="1"/>
    <col min="10755" max="10755" width="3.85546875" style="113" customWidth="1"/>
    <col min="10756" max="10756" width="11.85546875" style="113" customWidth="1"/>
    <col min="10757" max="10757" width="30.42578125" style="113" customWidth="1"/>
    <col min="10758" max="10758" width="21.140625" style="113" customWidth="1"/>
    <col min="10759" max="10761" width="10.140625" style="113" customWidth="1"/>
    <col min="10762" max="10762" width="11.42578125" style="113" customWidth="1"/>
    <col min="10763" max="10772" width="10.140625" style="113" customWidth="1"/>
    <col min="10773" max="10773" width="11" style="113" customWidth="1"/>
    <col min="10774" max="10775" width="10.140625" style="113" customWidth="1"/>
    <col min="10776" max="10776" width="9" style="113" customWidth="1"/>
    <col min="10777" max="10777" width="9.85546875" style="113" customWidth="1"/>
    <col min="10778" max="10778" width="10" style="113" customWidth="1"/>
    <col min="10779" max="10779" width="9.140625" style="113"/>
    <col min="10780" max="10780" width="10.85546875" style="113" customWidth="1"/>
    <col min="10781" max="10781" width="10.140625" style="113" customWidth="1"/>
    <col min="10782" max="10782" width="9.140625" style="113"/>
    <col min="10783" max="10783" width="10.140625" style="113" customWidth="1"/>
    <col min="10784" max="10784" width="10.42578125" style="113" customWidth="1"/>
    <col min="10785" max="11008" width="9.140625" style="113"/>
    <col min="11009" max="11009" width="3.85546875" style="113" customWidth="1"/>
    <col min="11010" max="11010" width="13.85546875" style="113" customWidth="1"/>
    <col min="11011" max="11011" width="3.85546875" style="113" customWidth="1"/>
    <col min="11012" max="11012" width="11.85546875" style="113" customWidth="1"/>
    <col min="11013" max="11013" width="30.42578125" style="113" customWidth="1"/>
    <col min="11014" max="11014" width="21.140625" style="113" customWidth="1"/>
    <col min="11015" max="11017" width="10.140625" style="113" customWidth="1"/>
    <col min="11018" max="11018" width="11.42578125" style="113" customWidth="1"/>
    <col min="11019" max="11028" width="10.140625" style="113" customWidth="1"/>
    <col min="11029" max="11029" width="11" style="113" customWidth="1"/>
    <col min="11030" max="11031" width="10.140625" style="113" customWidth="1"/>
    <col min="11032" max="11032" width="9" style="113" customWidth="1"/>
    <col min="11033" max="11033" width="9.85546875" style="113" customWidth="1"/>
    <col min="11034" max="11034" width="10" style="113" customWidth="1"/>
    <col min="11035" max="11035" width="9.140625" style="113"/>
    <col min="11036" max="11036" width="10.85546875" style="113" customWidth="1"/>
    <col min="11037" max="11037" width="10.140625" style="113" customWidth="1"/>
    <col min="11038" max="11038" width="9.140625" style="113"/>
    <col min="11039" max="11039" width="10.140625" style="113" customWidth="1"/>
    <col min="11040" max="11040" width="10.42578125" style="113" customWidth="1"/>
    <col min="11041" max="11264" width="9.140625" style="113"/>
    <col min="11265" max="11265" width="3.85546875" style="113" customWidth="1"/>
    <col min="11266" max="11266" width="13.85546875" style="113" customWidth="1"/>
    <col min="11267" max="11267" width="3.85546875" style="113" customWidth="1"/>
    <col min="11268" max="11268" width="11.85546875" style="113" customWidth="1"/>
    <col min="11269" max="11269" width="30.42578125" style="113" customWidth="1"/>
    <col min="11270" max="11270" width="21.140625" style="113" customWidth="1"/>
    <col min="11271" max="11273" width="10.140625" style="113" customWidth="1"/>
    <col min="11274" max="11274" width="11.42578125" style="113" customWidth="1"/>
    <col min="11275" max="11284" width="10.140625" style="113" customWidth="1"/>
    <col min="11285" max="11285" width="11" style="113" customWidth="1"/>
    <col min="11286" max="11287" width="10.140625" style="113" customWidth="1"/>
    <col min="11288" max="11288" width="9" style="113" customWidth="1"/>
    <col min="11289" max="11289" width="9.85546875" style="113" customWidth="1"/>
    <col min="11290" max="11290" width="10" style="113" customWidth="1"/>
    <col min="11291" max="11291" width="9.140625" style="113"/>
    <col min="11292" max="11292" width="10.85546875" style="113" customWidth="1"/>
    <col min="11293" max="11293" width="10.140625" style="113" customWidth="1"/>
    <col min="11294" max="11294" width="9.140625" style="113"/>
    <col min="11295" max="11295" width="10.140625" style="113" customWidth="1"/>
    <col min="11296" max="11296" width="10.42578125" style="113" customWidth="1"/>
    <col min="11297" max="11520" width="9.140625" style="113"/>
    <col min="11521" max="11521" width="3.85546875" style="113" customWidth="1"/>
    <col min="11522" max="11522" width="13.85546875" style="113" customWidth="1"/>
    <col min="11523" max="11523" width="3.85546875" style="113" customWidth="1"/>
    <col min="11524" max="11524" width="11.85546875" style="113" customWidth="1"/>
    <col min="11525" max="11525" width="30.42578125" style="113" customWidth="1"/>
    <col min="11526" max="11526" width="21.140625" style="113" customWidth="1"/>
    <col min="11527" max="11529" width="10.140625" style="113" customWidth="1"/>
    <col min="11530" max="11530" width="11.42578125" style="113" customWidth="1"/>
    <col min="11531" max="11540" width="10.140625" style="113" customWidth="1"/>
    <col min="11541" max="11541" width="11" style="113" customWidth="1"/>
    <col min="11542" max="11543" width="10.140625" style="113" customWidth="1"/>
    <col min="11544" max="11544" width="9" style="113" customWidth="1"/>
    <col min="11545" max="11545" width="9.85546875" style="113" customWidth="1"/>
    <col min="11546" max="11546" width="10" style="113" customWidth="1"/>
    <col min="11547" max="11547" width="9.140625" style="113"/>
    <col min="11548" max="11548" width="10.85546875" style="113" customWidth="1"/>
    <col min="11549" max="11549" width="10.140625" style="113" customWidth="1"/>
    <col min="11550" max="11550" width="9.140625" style="113"/>
    <col min="11551" max="11551" width="10.140625" style="113" customWidth="1"/>
    <col min="11552" max="11552" width="10.42578125" style="113" customWidth="1"/>
    <col min="11553" max="11776" width="9.140625" style="113"/>
    <col min="11777" max="11777" width="3.85546875" style="113" customWidth="1"/>
    <col min="11778" max="11778" width="13.85546875" style="113" customWidth="1"/>
    <col min="11779" max="11779" width="3.85546875" style="113" customWidth="1"/>
    <col min="11780" max="11780" width="11.85546875" style="113" customWidth="1"/>
    <col min="11781" max="11781" width="30.42578125" style="113" customWidth="1"/>
    <col min="11782" max="11782" width="21.140625" style="113" customWidth="1"/>
    <col min="11783" max="11785" width="10.140625" style="113" customWidth="1"/>
    <col min="11786" max="11786" width="11.42578125" style="113" customWidth="1"/>
    <col min="11787" max="11796" width="10.140625" style="113" customWidth="1"/>
    <col min="11797" max="11797" width="11" style="113" customWidth="1"/>
    <col min="11798" max="11799" width="10.140625" style="113" customWidth="1"/>
    <col min="11800" max="11800" width="9" style="113" customWidth="1"/>
    <col min="11801" max="11801" width="9.85546875" style="113" customWidth="1"/>
    <col min="11802" max="11802" width="10" style="113" customWidth="1"/>
    <col min="11803" max="11803" width="9.140625" style="113"/>
    <col min="11804" max="11804" width="10.85546875" style="113" customWidth="1"/>
    <col min="11805" max="11805" width="10.140625" style="113" customWidth="1"/>
    <col min="11806" max="11806" width="9.140625" style="113"/>
    <col min="11807" max="11807" width="10.140625" style="113" customWidth="1"/>
    <col min="11808" max="11808" width="10.42578125" style="113" customWidth="1"/>
    <col min="11809" max="12032" width="9.140625" style="113"/>
    <col min="12033" max="12033" width="3.85546875" style="113" customWidth="1"/>
    <col min="12034" max="12034" width="13.85546875" style="113" customWidth="1"/>
    <col min="12035" max="12035" width="3.85546875" style="113" customWidth="1"/>
    <col min="12036" max="12036" width="11.85546875" style="113" customWidth="1"/>
    <col min="12037" max="12037" width="30.42578125" style="113" customWidth="1"/>
    <col min="12038" max="12038" width="21.140625" style="113" customWidth="1"/>
    <col min="12039" max="12041" width="10.140625" style="113" customWidth="1"/>
    <col min="12042" max="12042" width="11.42578125" style="113" customWidth="1"/>
    <col min="12043" max="12052" width="10.140625" style="113" customWidth="1"/>
    <col min="12053" max="12053" width="11" style="113" customWidth="1"/>
    <col min="12054" max="12055" width="10.140625" style="113" customWidth="1"/>
    <col min="12056" max="12056" width="9" style="113" customWidth="1"/>
    <col min="12057" max="12057" width="9.85546875" style="113" customWidth="1"/>
    <col min="12058" max="12058" width="10" style="113" customWidth="1"/>
    <col min="12059" max="12059" width="9.140625" style="113"/>
    <col min="12060" max="12060" width="10.85546875" style="113" customWidth="1"/>
    <col min="12061" max="12061" width="10.140625" style="113" customWidth="1"/>
    <col min="12062" max="12062" width="9.140625" style="113"/>
    <col min="12063" max="12063" width="10.140625" style="113" customWidth="1"/>
    <col min="12064" max="12064" width="10.42578125" style="113" customWidth="1"/>
    <col min="12065" max="12288" width="9.140625" style="113"/>
    <col min="12289" max="12289" width="3.85546875" style="113" customWidth="1"/>
    <col min="12290" max="12290" width="13.85546875" style="113" customWidth="1"/>
    <col min="12291" max="12291" width="3.85546875" style="113" customWidth="1"/>
    <col min="12292" max="12292" width="11.85546875" style="113" customWidth="1"/>
    <col min="12293" max="12293" width="30.42578125" style="113" customWidth="1"/>
    <col min="12294" max="12294" width="21.140625" style="113" customWidth="1"/>
    <col min="12295" max="12297" width="10.140625" style="113" customWidth="1"/>
    <col min="12298" max="12298" width="11.42578125" style="113" customWidth="1"/>
    <col min="12299" max="12308" width="10.140625" style="113" customWidth="1"/>
    <col min="12309" max="12309" width="11" style="113" customWidth="1"/>
    <col min="12310" max="12311" width="10.140625" style="113" customWidth="1"/>
    <col min="12312" max="12312" width="9" style="113" customWidth="1"/>
    <col min="12313" max="12313" width="9.85546875" style="113" customWidth="1"/>
    <col min="12314" max="12314" width="10" style="113" customWidth="1"/>
    <col min="12315" max="12315" width="9.140625" style="113"/>
    <col min="12316" max="12316" width="10.85546875" style="113" customWidth="1"/>
    <col min="12317" max="12317" width="10.140625" style="113" customWidth="1"/>
    <col min="12318" max="12318" width="9.140625" style="113"/>
    <col min="12319" max="12319" width="10.140625" style="113" customWidth="1"/>
    <col min="12320" max="12320" width="10.42578125" style="113" customWidth="1"/>
    <col min="12321" max="12544" width="9.140625" style="113"/>
    <col min="12545" max="12545" width="3.85546875" style="113" customWidth="1"/>
    <col min="12546" max="12546" width="13.85546875" style="113" customWidth="1"/>
    <col min="12547" max="12547" width="3.85546875" style="113" customWidth="1"/>
    <col min="12548" max="12548" width="11.85546875" style="113" customWidth="1"/>
    <col min="12549" max="12549" width="30.42578125" style="113" customWidth="1"/>
    <col min="12550" max="12550" width="21.140625" style="113" customWidth="1"/>
    <col min="12551" max="12553" width="10.140625" style="113" customWidth="1"/>
    <col min="12554" max="12554" width="11.42578125" style="113" customWidth="1"/>
    <col min="12555" max="12564" width="10.140625" style="113" customWidth="1"/>
    <col min="12565" max="12565" width="11" style="113" customWidth="1"/>
    <col min="12566" max="12567" width="10.140625" style="113" customWidth="1"/>
    <col min="12568" max="12568" width="9" style="113" customWidth="1"/>
    <col min="12569" max="12569" width="9.85546875" style="113" customWidth="1"/>
    <col min="12570" max="12570" width="10" style="113" customWidth="1"/>
    <col min="12571" max="12571" width="9.140625" style="113"/>
    <col min="12572" max="12572" width="10.85546875" style="113" customWidth="1"/>
    <col min="12573" max="12573" width="10.140625" style="113" customWidth="1"/>
    <col min="12574" max="12574" width="9.140625" style="113"/>
    <col min="12575" max="12575" width="10.140625" style="113" customWidth="1"/>
    <col min="12576" max="12576" width="10.42578125" style="113" customWidth="1"/>
    <col min="12577" max="12800" width="9.140625" style="113"/>
    <col min="12801" max="12801" width="3.85546875" style="113" customWidth="1"/>
    <col min="12802" max="12802" width="13.85546875" style="113" customWidth="1"/>
    <col min="12803" max="12803" width="3.85546875" style="113" customWidth="1"/>
    <col min="12804" max="12804" width="11.85546875" style="113" customWidth="1"/>
    <col min="12805" max="12805" width="30.42578125" style="113" customWidth="1"/>
    <col min="12806" max="12806" width="21.140625" style="113" customWidth="1"/>
    <col min="12807" max="12809" width="10.140625" style="113" customWidth="1"/>
    <col min="12810" max="12810" width="11.42578125" style="113" customWidth="1"/>
    <col min="12811" max="12820" width="10.140625" style="113" customWidth="1"/>
    <col min="12821" max="12821" width="11" style="113" customWidth="1"/>
    <col min="12822" max="12823" width="10.140625" style="113" customWidth="1"/>
    <col min="12824" max="12824" width="9" style="113" customWidth="1"/>
    <col min="12825" max="12825" width="9.85546875" style="113" customWidth="1"/>
    <col min="12826" max="12826" width="10" style="113" customWidth="1"/>
    <col min="12827" max="12827" width="9.140625" style="113"/>
    <col min="12828" max="12828" width="10.85546875" style="113" customWidth="1"/>
    <col min="12829" max="12829" width="10.140625" style="113" customWidth="1"/>
    <col min="12830" max="12830" width="9.140625" style="113"/>
    <col min="12831" max="12831" width="10.140625" style="113" customWidth="1"/>
    <col min="12832" max="12832" width="10.42578125" style="113" customWidth="1"/>
    <col min="12833" max="13056" width="9.140625" style="113"/>
    <col min="13057" max="13057" width="3.85546875" style="113" customWidth="1"/>
    <col min="13058" max="13058" width="13.85546875" style="113" customWidth="1"/>
    <col min="13059" max="13059" width="3.85546875" style="113" customWidth="1"/>
    <col min="13060" max="13060" width="11.85546875" style="113" customWidth="1"/>
    <col min="13061" max="13061" width="30.42578125" style="113" customWidth="1"/>
    <col min="13062" max="13062" width="21.140625" style="113" customWidth="1"/>
    <col min="13063" max="13065" width="10.140625" style="113" customWidth="1"/>
    <col min="13066" max="13066" width="11.42578125" style="113" customWidth="1"/>
    <col min="13067" max="13076" width="10.140625" style="113" customWidth="1"/>
    <col min="13077" max="13077" width="11" style="113" customWidth="1"/>
    <col min="13078" max="13079" width="10.140625" style="113" customWidth="1"/>
    <col min="13080" max="13080" width="9" style="113" customWidth="1"/>
    <col min="13081" max="13081" width="9.85546875" style="113" customWidth="1"/>
    <col min="13082" max="13082" width="10" style="113" customWidth="1"/>
    <col min="13083" max="13083" width="9.140625" style="113"/>
    <col min="13084" max="13084" width="10.85546875" style="113" customWidth="1"/>
    <col min="13085" max="13085" width="10.140625" style="113" customWidth="1"/>
    <col min="13086" max="13086" width="9.140625" style="113"/>
    <col min="13087" max="13087" width="10.140625" style="113" customWidth="1"/>
    <col min="13088" max="13088" width="10.42578125" style="113" customWidth="1"/>
    <col min="13089" max="13312" width="9.140625" style="113"/>
    <col min="13313" max="13313" width="3.85546875" style="113" customWidth="1"/>
    <col min="13314" max="13314" width="13.85546875" style="113" customWidth="1"/>
    <col min="13315" max="13315" width="3.85546875" style="113" customWidth="1"/>
    <col min="13316" max="13316" width="11.85546875" style="113" customWidth="1"/>
    <col min="13317" max="13317" width="30.42578125" style="113" customWidth="1"/>
    <col min="13318" max="13318" width="21.140625" style="113" customWidth="1"/>
    <col min="13319" max="13321" width="10.140625" style="113" customWidth="1"/>
    <col min="13322" max="13322" width="11.42578125" style="113" customWidth="1"/>
    <col min="13323" max="13332" width="10.140625" style="113" customWidth="1"/>
    <col min="13333" max="13333" width="11" style="113" customWidth="1"/>
    <col min="13334" max="13335" width="10.140625" style="113" customWidth="1"/>
    <col min="13336" max="13336" width="9" style="113" customWidth="1"/>
    <col min="13337" max="13337" width="9.85546875" style="113" customWidth="1"/>
    <col min="13338" max="13338" width="10" style="113" customWidth="1"/>
    <col min="13339" max="13339" width="9.140625" style="113"/>
    <col min="13340" max="13340" width="10.85546875" style="113" customWidth="1"/>
    <col min="13341" max="13341" width="10.140625" style="113" customWidth="1"/>
    <col min="13342" max="13342" width="9.140625" style="113"/>
    <col min="13343" max="13343" width="10.140625" style="113" customWidth="1"/>
    <col min="13344" max="13344" width="10.42578125" style="113" customWidth="1"/>
    <col min="13345" max="13568" width="9.140625" style="113"/>
    <col min="13569" max="13569" width="3.85546875" style="113" customWidth="1"/>
    <col min="13570" max="13570" width="13.85546875" style="113" customWidth="1"/>
    <col min="13571" max="13571" width="3.85546875" style="113" customWidth="1"/>
    <col min="13572" max="13572" width="11.85546875" style="113" customWidth="1"/>
    <col min="13573" max="13573" width="30.42578125" style="113" customWidth="1"/>
    <col min="13574" max="13574" width="21.140625" style="113" customWidth="1"/>
    <col min="13575" max="13577" width="10.140625" style="113" customWidth="1"/>
    <col min="13578" max="13578" width="11.42578125" style="113" customWidth="1"/>
    <col min="13579" max="13588" width="10.140625" style="113" customWidth="1"/>
    <col min="13589" max="13589" width="11" style="113" customWidth="1"/>
    <col min="13590" max="13591" width="10.140625" style="113" customWidth="1"/>
    <col min="13592" max="13592" width="9" style="113" customWidth="1"/>
    <col min="13593" max="13593" width="9.85546875" style="113" customWidth="1"/>
    <col min="13594" max="13594" width="10" style="113" customWidth="1"/>
    <col min="13595" max="13595" width="9.140625" style="113"/>
    <col min="13596" max="13596" width="10.85546875" style="113" customWidth="1"/>
    <col min="13597" max="13597" width="10.140625" style="113" customWidth="1"/>
    <col min="13598" max="13598" width="9.140625" style="113"/>
    <col min="13599" max="13599" width="10.140625" style="113" customWidth="1"/>
    <col min="13600" max="13600" width="10.42578125" style="113" customWidth="1"/>
    <col min="13601" max="13824" width="9.140625" style="113"/>
    <col min="13825" max="13825" width="3.85546875" style="113" customWidth="1"/>
    <col min="13826" max="13826" width="13.85546875" style="113" customWidth="1"/>
    <col min="13827" max="13827" width="3.85546875" style="113" customWidth="1"/>
    <col min="13828" max="13828" width="11.85546875" style="113" customWidth="1"/>
    <col min="13829" max="13829" width="30.42578125" style="113" customWidth="1"/>
    <col min="13830" max="13830" width="21.140625" style="113" customWidth="1"/>
    <col min="13831" max="13833" width="10.140625" style="113" customWidth="1"/>
    <col min="13834" max="13834" width="11.42578125" style="113" customWidth="1"/>
    <col min="13835" max="13844" width="10.140625" style="113" customWidth="1"/>
    <col min="13845" max="13845" width="11" style="113" customWidth="1"/>
    <col min="13846" max="13847" width="10.140625" style="113" customWidth="1"/>
    <col min="13848" max="13848" width="9" style="113" customWidth="1"/>
    <col min="13849" max="13849" width="9.85546875" style="113" customWidth="1"/>
    <col min="13850" max="13850" width="10" style="113" customWidth="1"/>
    <col min="13851" max="13851" width="9.140625" style="113"/>
    <col min="13852" max="13852" width="10.85546875" style="113" customWidth="1"/>
    <col min="13853" max="13853" width="10.140625" style="113" customWidth="1"/>
    <col min="13854" max="13854" width="9.140625" style="113"/>
    <col min="13855" max="13855" width="10.140625" style="113" customWidth="1"/>
    <col min="13856" max="13856" width="10.42578125" style="113" customWidth="1"/>
    <col min="13857" max="14080" width="9.140625" style="113"/>
    <col min="14081" max="14081" width="3.85546875" style="113" customWidth="1"/>
    <col min="14082" max="14082" width="13.85546875" style="113" customWidth="1"/>
    <col min="14083" max="14083" width="3.85546875" style="113" customWidth="1"/>
    <col min="14084" max="14084" width="11.85546875" style="113" customWidth="1"/>
    <col min="14085" max="14085" width="30.42578125" style="113" customWidth="1"/>
    <col min="14086" max="14086" width="21.140625" style="113" customWidth="1"/>
    <col min="14087" max="14089" width="10.140625" style="113" customWidth="1"/>
    <col min="14090" max="14090" width="11.42578125" style="113" customWidth="1"/>
    <col min="14091" max="14100" width="10.140625" style="113" customWidth="1"/>
    <col min="14101" max="14101" width="11" style="113" customWidth="1"/>
    <col min="14102" max="14103" width="10.140625" style="113" customWidth="1"/>
    <col min="14104" max="14104" width="9" style="113" customWidth="1"/>
    <col min="14105" max="14105" width="9.85546875" style="113" customWidth="1"/>
    <col min="14106" max="14106" width="10" style="113" customWidth="1"/>
    <col min="14107" max="14107" width="9.140625" style="113"/>
    <col min="14108" max="14108" width="10.85546875" style="113" customWidth="1"/>
    <col min="14109" max="14109" width="10.140625" style="113" customWidth="1"/>
    <col min="14110" max="14110" width="9.140625" style="113"/>
    <col min="14111" max="14111" width="10.140625" style="113" customWidth="1"/>
    <col min="14112" max="14112" width="10.42578125" style="113" customWidth="1"/>
    <col min="14113" max="14336" width="9.140625" style="113"/>
    <col min="14337" max="14337" width="3.85546875" style="113" customWidth="1"/>
    <col min="14338" max="14338" width="13.85546875" style="113" customWidth="1"/>
    <col min="14339" max="14339" width="3.85546875" style="113" customWidth="1"/>
    <col min="14340" max="14340" width="11.85546875" style="113" customWidth="1"/>
    <col min="14341" max="14341" width="30.42578125" style="113" customWidth="1"/>
    <col min="14342" max="14342" width="21.140625" style="113" customWidth="1"/>
    <col min="14343" max="14345" width="10.140625" style="113" customWidth="1"/>
    <col min="14346" max="14346" width="11.42578125" style="113" customWidth="1"/>
    <col min="14347" max="14356" width="10.140625" style="113" customWidth="1"/>
    <col min="14357" max="14357" width="11" style="113" customWidth="1"/>
    <col min="14358" max="14359" width="10.140625" style="113" customWidth="1"/>
    <col min="14360" max="14360" width="9" style="113" customWidth="1"/>
    <col min="14361" max="14361" width="9.85546875" style="113" customWidth="1"/>
    <col min="14362" max="14362" width="10" style="113" customWidth="1"/>
    <col min="14363" max="14363" width="9.140625" style="113"/>
    <col min="14364" max="14364" width="10.85546875" style="113" customWidth="1"/>
    <col min="14365" max="14365" width="10.140625" style="113" customWidth="1"/>
    <col min="14366" max="14366" width="9.140625" style="113"/>
    <col min="14367" max="14367" width="10.140625" style="113" customWidth="1"/>
    <col min="14368" max="14368" width="10.42578125" style="113" customWidth="1"/>
    <col min="14369" max="14592" width="9.140625" style="113"/>
    <col min="14593" max="14593" width="3.85546875" style="113" customWidth="1"/>
    <col min="14594" max="14594" width="13.85546875" style="113" customWidth="1"/>
    <col min="14595" max="14595" width="3.85546875" style="113" customWidth="1"/>
    <col min="14596" max="14596" width="11.85546875" style="113" customWidth="1"/>
    <col min="14597" max="14597" width="30.42578125" style="113" customWidth="1"/>
    <col min="14598" max="14598" width="21.140625" style="113" customWidth="1"/>
    <col min="14599" max="14601" width="10.140625" style="113" customWidth="1"/>
    <col min="14602" max="14602" width="11.42578125" style="113" customWidth="1"/>
    <col min="14603" max="14612" width="10.140625" style="113" customWidth="1"/>
    <col min="14613" max="14613" width="11" style="113" customWidth="1"/>
    <col min="14614" max="14615" width="10.140625" style="113" customWidth="1"/>
    <col min="14616" max="14616" width="9" style="113" customWidth="1"/>
    <col min="14617" max="14617" width="9.85546875" style="113" customWidth="1"/>
    <col min="14618" max="14618" width="10" style="113" customWidth="1"/>
    <col min="14619" max="14619" width="9.140625" style="113"/>
    <col min="14620" max="14620" width="10.85546875" style="113" customWidth="1"/>
    <col min="14621" max="14621" width="10.140625" style="113" customWidth="1"/>
    <col min="14622" max="14622" width="9.140625" style="113"/>
    <col min="14623" max="14623" width="10.140625" style="113" customWidth="1"/>
    <col min="14624" max="14624" width="10.42578125" style="113" customWidth="1"/>
    <col min="14625" max="14848" width="9.140625" style="113"/>
    <col min="14849" max="14849" width="3.85546875" style="113" customWidth="1"/>
    <col min="14850" max="14850" width="13.85546875" style="113" customWidth="1"/>
    <col min="14851" max="14851" width="3.85546875" style="113" customWidth="1"/>
    <col min="14852" max="14852" width="11.85546875" style="113" customWidth="1"/>
    <col min="14853" max="14853" width="30.42578125" style="113" customWidth="1"/>
    <col min="14854" max="14854" width="21.140625" style="113" customWidth="1"/>
    <col min="14855" max="14857" width="10.140625" style="113" customWidth="1"/>
    <col min="14858" max="14858" width="11.42578125" style="113" customWidth="1"/>
    <col min="14859" max="14868" width="10.140625" style="113" customWidth="1"/>
    <col min="14869" max="14869" width="11" style="113" customWidth="1"/>
    <col min="14870" max="14871" width="10.140625" style="113" customWidth="1"/>
    <col min="14872" max="14872" width="9" style="113" customWidth="1"/>
    <col min="14873" max="14873" width="9.85546875" style="113" customWidth="1"/>
    <col min="14874" max="14874" width="10" style="113" customWidth="1"/>
    <col min="14875" max="14875" width="9.140625" style="113"/>
    <col min="14876" max="14876" width="10.85546875" style="113" customWidth="1"/>
    <col min="14877" max="14877" width="10.140625" style="113" customWidth="1"/>
    <col min="14878" max="14878" width="9.140625" style="113"/>
    <col min="14879" max="14879" width="10.140625" style="113" customWidth="1"/>
    <col min="14880" max="14880" width="10.42578125" style="113" customWidth="1"/>
    <col min="14881" max="15104" width="9.140625" style="113"/>
    <col min="15105" max="15105" width="3.85546875" style="113" customWidth="1"/>
    <col min="15106" max="15106" width="13.85546875" style="113" customWidth="1"/>
    <col min="15107" max="15107" width="3.85546875" style="113" customWidth="1"/>
    <col min="15108" max="15108" width="11.85546875" style="113" customWidth="1"/>
    <col min="15109" max="15109" width="30.42578125" style="113" customWidth="1"/>
    <col min="15110" max="15110" width="21.140625" style="113" customWidth="1"/>
    <col min="15111" max="15113" width="10.140625" style="113" customWidth="1"/>
    <col min="15114" max="15114" width="11.42578125" style="113" customWidth="1"/>
    <col min="15115" max="15124" width="10.140625" style="113" customWidth="1"/>
    <col min="15125" max="15125" width="11" style="113" customWidth="1"/>
    <col min="15126" max="15127" width="10.140625" style="113" customWidth="1"/>
    <col min="15128" max="15128" width="9" style="113" customWidth="1"/>
    <col min="15129" max="15129" width="9.85546875" style="113" customWidth="1"/>
    <col min="15130" max="15130" width="10" style="113" customWidth="1"/>
    <col min="15131" max="15131" width="9.140625" style="113"/>
    <col min="15132" max="15132" width="10.85546875" style="113" customWidth="1"/>
    <col min="15133" max="15133" width="10.140625" style="113" customWidth="1"/>
    <col min="15134" max="15134" width="9.140625" style="113"/>
    <col min="15135" max="15135" width="10.140625" style="113" customWidth="1"/>
    <col min="15136" max="15136" width="10.42578125" style="113" customWidth="1"/>
    <col min="15137" max="15360" width="9.140625" style="113"/>
    <col min="15361" max="15361" width="3.85546875" style="113" customWidth="1"/>
    <col min="15362" max="15362" width="13.85546875" style="113" customWidth="1"/>
    <col min="15363" max="15363" width="3.85546875" style="113" customWidth="1"/>
    <col min="15364" max="15364" width="11.85546875" style="113" customWidth="1"/>
    <col min="15365" max="15365" width="30.42578125" style="113" customWidth="1"/>
    <col min="15366" max="15366" width="21.140625" style="113" customWidth="1"/>
    <col min="15367" max="15369" width="10.140625" style="113" customWidth="1"/>
    <col min="15370" max="15370" width="11.42578125" style="113" customWidth="1"/>
    <col min="15371" max="15380" width="10.140625" style="113" customWidth="1"/>
    <col min="15381" max="15381" width="11" style="113" customWidth="1"/>
    <col min="15382" max="15383" width="10.140625" style="113" customWidth="1"/>
    <col min="15384" max="15384" width="9" style="113" customWidth="1"/>
    <col min="15385" max="15385" width="9.85546875" style="113" customWidth="1"/>
    <col min="15386" max="15386" width="10" style="113" customWidth="1"/>
    <col min="15387" max="15387" width="9.140625" style="113"/>
    <col min="15388" max="15388" width="10.85546875" style="113" customWidth="1"/>
    <col min="15389" max="15389" width="10.140625" style="113" customWidth="1"/>
    <col min="15390" max="15390" width="9.140625" style="113"/>
    <col min="15391" max="15391" width="10.140625" style="113" customWidth="1"/>
    <col min="15392" max="15392" width="10.42578125" style="113" customWidth="1"/>
    <col min="15393" max="15616" width="9.140625" style="113"/>
    <col min="15617" max="15617" width="3.85546875" style="113" customWidth="1"/>
    <col min="15618" max="15618" width="13.85546875" style="113" customWidth="1"/>
    <col min="15619" max="15619" width="3.85546875" style="113" customWidth="1"/>
    <col min="15620" max="15620" width="11.85546875" style="113" customWidth="1"/>
    <col min="15621" max="15621" width="30.42578125" style="113" customWidth="1"/>
    <col min="15622" max="15622" width="21.140625" style="113" customWidth="1"/>
    <col min="15623" max="15625" width="10.140625" style="113" customWidth="1"/>
    <col min="15626" max="15626" width="11.42578125" style="113" customWidth="1"/>
    <col min="15627" max="15636" width="10.140625" style="113" customWidth="1"/>
    <col min="15637" max="15637" width="11" style="113" customWidth="1"/>
    <col min="15638" max="15639" width="10.140625" style="113" customWidth="1"/>
    <col min="15640" max="15640" width="9" style="113" customWidth="1"/>
    <col min="15641" max="15641" width="9.85546875" style="113" customWidth="1"/>
    <col min="15642" max="15642" width="10" style="113" customWidth="1"/>
    <col min="15643" max="15643" width="9.140625" style="113"/>
    <col min="15644" max="15644" width="10.85546875" style="113" customWidth="1"/>
    <col min="15645" max="15645" width="10.140625" style="113" customWidth="1"/>
    <col min="15646" max="15646" width="9.140625" style="113"/>
    <col min="15647" max="15647" width="10.140625" style="113" customWidth="1"/>
    <col min="15648" max="15648" width="10.42578125" style="113" customWidth="1"/>
    <col min="15649" max="15872" width="9.140625" style="113"/>
    <col min="15873" max="15873" width="3.85546875" style="113" customWidth="1"/>
    <col min="15874" max="15874" width="13.85546875" style="113" customWidth="1"/>
    <col min="15875" max="15875" width="3.85546875" style="113" customWidth="1"/>
    <col min="15876" max="15876" width="11.85546875" style="113" customWidth="1"/>
    <col min="15877" max="15877" width="30.42578125" style="113" customWidth="1"/>
    <col min="15878" max="15878" width="21.140625" style="113" customWidth="1"/>
    <col min="15879" max="15881" width="10.140625" style="113" customWidth="1"/>
    <col min="15882" max="15882" width="11.42578125" style="113" customWidth="1"/>
    <col min="15883" max="15892" width="10.140625" style="113" customWidth="1"/>
    <col min="15893" max="15893" width="11" style="113" customWidth="1"/>
    <col min="15894" max="15895" width="10.140625" style="113" customWidth="1"/>
    <col min="15896" max="15896" width="9" style="113" customWidth="1"/>
    <col min="15897" max="15897" width="9.85546875" style="113" customWidth="1"/>
    <col min="15898" max="15898" width="10" style="113" customWidth="1"/>
    <col min="15899" max="15899" width="9.140625" style="113"/>
    <col min="15900" max="15900" width="10.85546875" style="113" customWidth="1"/>
    <col min="15901" max="15901" width="10.140625" style="113" customWidth="1"/>
    <col min="15902" max="15902" width="9.140625" style="113"/>
    <col min="15903" max="15903" width="10.140625" style="113" customWidth="1"/>
    <col min="15904" max="15904" width="10.42578125" style="113" customWidth="1"/>
    <col min="15905" max="16128" width="9.140625" style="113"/>
    <col min="16129" max="16129" width="3.85546875" style="113" customWidth="1"/>
    <col min="16130" max="16130" width="13.85546875" style="113" customWidth="1"/>
    <col min="16131" max="16131" width="3.85546875" style="113" customWidth="1"/>
    <col min="16132" max="16132" width="11.85546875" style="113" customWidth="1"/>
    <col min="16133" max="16133" width="30.42578125" style="113" customWidth="1"/>
    <col min="16134" max="16134" width="21.140625" style="113" customWidth="1"/>
    <col min="16135" max="16137" width="10.140625" style="113" customWidth="1"/>
    <col min="16138" max="16138" width="11.42578125" style="113" customWidth="1"/>
    <col min="16139" max="16148" width="10.140625" style="113" customWidth="1"/>
    <col min="16149" max="16149" width="11" style="113" customWidth="1"/>
    <col min="16150" max="16151" width="10.140625" style="113" customWidth="1"/>
    <col min="16152" max="16152" width="9" style="113" customWidth="1"/>
    <col min="16153" max="16153" width="9.85546875" style="113" customWidth="1"/>
    <col min="16154" max="16154" width="10" style="113" customWidth="1"/>
    <col min="16155" max="16155" width="9.140625" style="113"/>
    <col min="16156" max="16156" width="10.85546875" style="113" customWidth="1"/>
    <col min="16157" max="16157" width="10.140625" style="113" customWidth="1"/>
    <col min="16158" max="16158" width="9.140625" style="113"/>
    <col min="16159" max="16159" width="10.140625" style="113" customWidth="1"/>
    <col min="16160" max="16160" width="10.42578125" style="113" customWidth="1"/>
    <col min="16161" max="16384" width="9.140625" style="113"/>
  </cols>
  <sheetData>
    <row r="1" spans="1:28" x14ac:dyDescent="0.25">
      <c r="A1" s="509"/>
      <c r="B1" s="1119"/>
      <c r="C1" s="1119"/>
      <c r="D1" s="510"/>
      <c r="E1" s="510"/>
      <c r="F1" s="510"/>
      <c r="G1" s="859"/>
      <c r="H1" s="859"/>
      <c r="I1" s="859"/>
      <c r="J1" s="859"/>
      <c r="K1" s="859"/>
      <c r="L1" s="859"/>
      <c r="M1" s="859"/>
      <c r="N1" s="859"/>
      <c r="O1" s="859"/>
      <c r="P1" s="859"/>
      <c r="Q1" s="859"/>
      <c r="R1" s="859"/>
      <c r="S1" s="2311"/>
      <c r="T1" s="1896"/>
      <c r="W1" s="2312"/>
    </row>
    <row r="2" spans="1:28" ht="15" customHeight="1" x14ac:dyDescent="0.25">
      <c r="A2" s="509">
        <v>1</v>
      </c>
      <c r="B2" s="509" t="s">
        <v>0</v>
      </c>
      <c r="C2" s="509">
        <v>22</v>
      </c>
      <c r="D2" s="4740" t="s">
        <v>1721</v>
      </c>
      <c r="E2" s="4741"/>
      <c r="F2" s="4741"/>
      <c r="G2" s="4741"/>
      <c r="H2" s="4756"/>
      <c r="I2" s="991"/>
      <c r="J2" s="991"/>
      <c r="K2" s="991"/>
      <c r="L2" s="991"/>
      <c r="M2" s="991"/>
      <c r="N2" s="991"/>
      <c r="O2" s="991"/>
      <c r="P2" s="991"/>
      <c r="Q2" s="991"/>
      <c r="R2" s="991"/>
      <c r="S2" s="991"/>
      <c r="T2" s="991"/>
      <c r="U2" s="991"/>
      <c r="V2" s="991"/>
      <c r="W2" s="991"/>
    </row>
    <row r="3" spans="1:28" ht="12.75" customHeight="1" x14ac:dyDescent="0.25">
      <c r="A3" s="509">
        <v>2</v>
      </c>
      <c r="B3" s="509" t="s">
        <v>2</v>
      </c>
      <c r="C3" s="509"/>
      <c r="D3" s="4740" t="s">
        <v>1722</v>
      </c>
      <c r="E3" s="4741"/>
      <c r="F3" s="4741"/>
      <c r="G3" s="4741"/>
      <c r="H3" s="4756"/>
      <c r="I3" s="991"/>
      <c r="J3" s="991"/>
      <c r="K3" s="991"/>
      <c r="L3" s="991"/>
      <c r="M3" s="991"/>
      <c r="N3" s="991"/>
      <c r="O3" s="991"/>
      <c r="P3" s="991"/>
      <c r="Q3" s="991"/>
      <c r="R3" s="991"/>
      <c r="S3" s="991"/>
      <c r="T3" s="991"/>
      <c r="U3" s="991"/>
      <c r="V3" s="991"/>
      <c r="W3" s="991"/>
      <c r="X3" s="10"/>
      <c r="Y3" s="10"/>
    </row>
    <row r="4" spans="1:28" ht="15" customHeight="1" x14ac:dyDescent="0.25">
      <c r="A4" s="509">
        <v>3</v>
      </c>
      <c r="B4" s="509" t="s">
        <v>4</v>
      </c>
      <c r="C4" s="509"/>
      <c r="D4" s="4740" t="s">
        <v>1723</v>
      </c>
      <c r="E4" s="4741"/>
      <c r="F4" s="4741"/>
      <c r="G4" s="4741"/>
      <c r="H4" s="4756"/>
      <c r="I4" s="991"/>
      <c r="J4" s="991"/>
      <c r="K4" s="991"/>
      <c r="L4" s="991"/>
      <c r="M4" s="991"/>
      <c r="N4" s="991"/>
      <c r="O4" s="991"/>
      <c r="P4" s="991"/>
      <c r="Q4" s="991"/>
      <c r="R4" s="991"/>
      <c r="S4" s="991"/>
      <c r="T4" s="991"/>
      <c r="U4" s="991"/>
      <c r="V4" s="991"/>
      <c r="W4" s="991"/>
      <c r="X4" s="991"/>
      <c r="Y4" s="10"/>
    </row>
    <row r="5" spans="1:28" ht="15" customHeight="1" x14ac:dyDescent="0.25">
      <c r="A5" s="509"/>
      <c r="B5" s="509"/>
      <c r="C5" s="509"/>
      <c r="D5" s="880"/>
      <c r="E5" s="880"/>
      <c r="F5" s="880"/>
      <c r="G5" s="880"/>
      <c r="H5" s="880"/>
      <c r="I5" s="880"/>
      <c r="J5" s="880"/>
      <c r="K5" s="880"/>
      <c r="L5" s="880"/>
      <c r="M5" s="880"/>
      <c r="N5" s="880"/>
      <c r="O5" s="880"/>
      <c r="P5" s="880"/>
      <c r="Q5" s="880"/>
      <c r="R5" s="880"/>
      <c r="S5" s="880"/>
      <c r="T5" s="880"/>
      <c r="U5" s="880"/>
      <c r="V5" s="880"/>
      <c r="W5" s="880"/>
      <c r="X5" s="991"/>
      <c r="Y5" s="10"/>
    </row>
    <row r="6" spans="1:28" s="835" customFormat="1" ht="21.6" customHeight="1" x14ac:dyDescent="0.25">
      <c r="A6" s="509">
        <v>4</v>
      </c>
      <c r="B6" s="509" t="s">
        <v>6</v>
      </c>
      <c r="C6" s="836"/>
      <c r="D6" s="113" t="s">
        <v>1724</v>
      </c>
      <c r="E6" s="113"/>
      <c r="F6" s="113"/>
      <c r="G6" s="113"/>
      <c r="H6" s="113"/>
      <c r="K6" s="113"/>
      <c r="L6" s="2220"/>
      <c r="R6" s="10"/>
      <c r="S6" s="2313"/>
    </row>
    <row r="7" spans="1:28" s="835" customFormat="1" ht="17.100000000000001" customHeight="1" x14ac:dyDescent="0.2">
      <c r="A7" s="860"/>
      <c r="B7" s="836"/>
      <c r="C7" s="836"/>
      <c r="D7" s="2314"/>
      <c r="E7" s="2315">
        <v>2006</v>
      </c>
      <c r="F7" s="2315">
        <v>2009</v>
      </c>
      <c r="G7" s="2315">
        <v>2011</v>
      </c>
      <c r="H7" s="2315">
        <v>2015</v>
      </c>
      <c r="K7" s="991"/>
      <c r="L7" s="991"/>
      <c r="M7" s="2220"/>
      <c r="S7" s="10"/>
      <c r="T7" s="2313"/>
    </row>
    <row r="8" spans="1:28" s="835" customFormat="1" ht="30.75" customHeight="1" x14ac:dyDescent="0.2">
      <c r="A8" s="860"/>
      <c r="B8" s="836"/>
      <c r="C8" s="836"/>
      <c r="D8" s="2316" t="s">
        <v>1725</v>
      </c>
      <c r="E8" s="2317">
        <v>0.66600000000000004</v>
      </c>
      <c r="F8" s="2318">
        <v>0.621</v>
      </c>
      <c r="G8" s="2317">
        <v>0.53200000000000003</v>
      </c>
      <c r="H8" s="2317">
        <v>0.55500000000000005</v>
      </c>
      <c r="K8" s="991"/>
      <c r="L8" s="991"/>
      <c r="M8" s="2220"/>
      <c r="S8" s="10"/>
      <c r="T8" s="2313"/>
    </row>
    <row r="9" spans="1:28" s="835" customFormat="1" ht="17.100000000000001" customHeight="1" x14ac:dyDescent="0.2">
      <c r="A9" s="860"/>
      <c r="B9" s="836"/>
      <c r="C9" s="836"/>
      <c r="D9" s="2316" t="s">
        <v>1726</v>
      </c>
      <c r="E9" s="2319">
        <v>31.6</v>
      </c>
      <c r="F9" s="2320">
        <v>30.9</v>
      </c>
      <c r="G9" s="2319">
        <v>27.3</v>
      </c>
      <c r="H9" s="2319">
        <v>30.4</v>
      </c>
      <c r="K9" s="991"/>
      <c r="L9" s="991"/>
      <c r="M9" s="2220"/>
      <c r="S9" s="10"/>
      <c r="T9" s="2313"/>
    </row>
    <row r="10" spans="1:28" s="835" customFormat="1" ht="17.100000000000001" customHeight="1" x14ac:dyDescent="0.2">
      <c r="A10" s="860"/>
      <c r="B10" s="836"/>
      <c r="C10" s="836"/>
      <c r="D10" s="2316" t="s">
        <v>1727</v>
      </c>
      <c r="E10" s="2317">
        <v>0.51</v>
      </c>
      <c r="F10" s="2318">
        <v>0.47599999999999998</v>
      </c>
      <c r="G10" s="2317">
        <v>0.36399999999999999</v>
      </c>
      <c r="H10" s="2317">
        <v>0.4</v>
      </c>
      <c r="K10" s="991"/>
      <c r="L10" s="991"/>
      <c r="M10" s="2220"/>
      <c r="S10" s="10"/>
      <c r="T10" s="2313"/>
    </row>
    <row r="11" spans="1:28" s="835" customFormat="1" ht="26.25" customHeight="1" x14ac:dyDescent="0.2">
      <c r="A11" s="860"/>
      <c r="B11" s="836"/>
      <c r="C11" s="836"/>
      <c r="D11" s="2316" t="s">
        <v>1728</v>
      </c>
      <c r="E11" s="2319">
        <v>24.2</v>
      </c>
      <c r="F11" s="2320">
        <v>23.7</v>
      </c>
      <c r="G11" s="2319">
        <v>18.7</v>
      </c>
      <c r="H11" s="2319">
        <v>21.9</v>
      </c>
      <c r="K11" s="991"/>
      <c r="L11" s="991"/>
      <c r="M11" s="2220"/>
      <c r="S11" s="10"/>
      <c r="T11" s="2313"/>
    </row>
    <row r="12" spans="1:28" s="10" customFormat="1" ht="27" customHeight="1" x14ac:dyDescent="0.2">
      <c r="A12" s="860"/>
      <c r="B12" s="836"/>
      <c r="C12" s="836"/>
      <c r="D12" s="2316" t="s">
        <v>1729</v>
      </c>
      <c r="E12" s="2317">
        <v>0.28399999999999997</v>
      </c>
      <c r="F12" s="2318">
        <v>0.33500000000000002</v>
      </c>
      <c r="G12" s="2317">
        <v>0.214</v>
      </c>
      <c r="H12" s="2317">
        <v>0.252</v>
      </c>
      <c r="I12" s="835"/>
      <c r="K12" s="2321"/>
      <c r="L12" s="2322"/>
      <c r="M12" s="2323"/>
      <c r="T12" s="2313"/>
    </row>
    <row r="13" spans="1:28" s="10" customFormat="1" ht="24" customHeight="1" x14ac:dyDescent="0.2">
      <c r="A13" s="860"/>
      <c r="B13" s="836"/>
      <c r="C13" s="836"/>
      <c r="D13" s="2324" t="s">
        <v>1730</v>
      </c>
      <c r="E13" s="2325">
        <v>13.4</v>
      </c>
      <c r="F13" s="2326">
        <v>16.7</v>
      </c>
      <c r="G13" s="2325">
        <v>11</v>
      </c>
      <c r="H13" s="2325">
        <v>13.8</v>
      </c>
      <c r="I13" s="835"/>
      <c r="K13" s="2321"/>
      <c r="L13" s="2322"/>
      <c r="M13" s="2323"/>
      <c r="T13" s="2313"/>
    </row>
    <row r="14" spans="1:28" ht="15.75" x14ac:dyDescent="0.25">
      <c r="A14" s="509"/>
      <c r="B14" s="1119"/>
      <c r="C14" s="1119"/>
      <c r="D14" s="510"/>
      <c r="E14" s="510"/>
      <c r="F14" s="859"/>
      <c r="G14" s="859"/>
      <c r="H14" s="859"/>
      <c r="I14" s="835"/>
      <c r="J14" s="113"/>
      <c r="P14" s="113"/>
      <c r="Q14" s="113"/>
      <c r="R14" s="113"/>
      <c r="S14" s="1896"/>
      <c r="T14" s="1896"/>
      <c r="U14" s="1896"/>
      <c r="V14" s="1896"/>
      <c r="W14" s="113"/>
      <c r="Z14" s="2328"/>
      <c r="AA14" s="2329"/>
      <c r="AB14" s="2328"/>
    </row>
    <row r="15" spans="1:28" ht="15.75" x14ac:dyDescent="0.25">
      <c r="A15" s="509">
        <v>5</v>
      </c>
      <c r="B15" s="509" t="s">
        <v>51</v>
      </c>
      <c r="C15" s="1119"/>
      <c r="D15" s="510"/>
      <c r="E15" s="510"/>
      <c r="F15" s="859"/>
      <c r="G15" s="859"/>
      <c r="H15" s="859"/>
      <c r="I15" s="835"/>
      <c r="J15" s="113"/>
      <c r="P15" s="113"/>
      <c r="Q15" s="113"/>
      <c r="R15" s="113"/>
      <c r="S15" s="1896"/>
      <c r="T15" s="1896"/>
      <c r="U15" s="1896"/>
      <c r="V15" s="1896"/>
      <c r="W15" s="113"/>
      <c r="Z15" s="2328"/>
      <c r="AA15" s="2329"/>
      <c r="AB15" s="2328"/>
    </row>
    <row r="16" spans="1:28" ht="15.75" x14ac:dyDescent="0.25">
      <c r="A16" s="509"/>
      <c r="B16" s="1119"/>
      <c r="C16" s="1119"/>
      <c r="D16" s="510"/>
      <c r="E16" s="510"/>
      <c r="F16" s="859"/>
      <c r="G16" s="859"/>
      <c r="H16" s="859"/>
      <c r="I16" s="113"/>
      <c r="J16" s="113"/>
      <c r="P16" s="113"/>
      <c r="Q16" s="113"/>
      <c r="R16" s="113"/>
      <c r="S16" s="1896"/>
      <c r="T16" s="1896"/>
      <c r="U16" s="1896"/>
      <c r="V16" s="1896"/>
      <c r="W16" s="113"/>
      <c r="Z16" s="2328"/>
      <c r="AA16" s="2329"/>
      <c r="AB16" s="2328"/>
    </row>
    <row r="17" spans="1:31" ht="15.75" x14ac:dyDescent="0.25">
      <c r="A17" s="509"/>
      <c r="B17" s="1119"/>
      <c r="C17" s="1119"/>
      <c r="D17" s="510"/>
      <c r="E17" s="510"/>
      <c r="F17" s="859"/>
      <c r="G17" s="859"/>
      <c r="H17" s="859"/>
      <c r="I17" s="113"/>
      <c r="J17" s="113"/>
      <c r="K17" s="113"/>
      <c r="L17" s="113"/>
      <c r="M17" s="113"/>
      <c r="N17" s="113"/>
      <c r="O17" s="113"/>
      <c r="P17" s="113"/>
      <c r="Q17" s="113"/>
      <c r="R17" s="113"/>
      <c r="S17" s="1896"/>
      <c r="T17" s="1896"/>
      <c r="U17" s="1896"/>
      <c r="V17" s="1896"/>
      <c r="W17" s="113"/>
      <c r="Z17" s="2328"/>
      <c r="AA17" s="2329"/>
      <c r="AB17" s="2328"/>
    </row>
    <row r="18" spans="1:31" ht="15.75" x14ac:dyDescent="0.25">
      <c r="A18" s="509"/>
      <c r="B18" s="1119"/>
      <c r="C18" s="1119"/>
      <c r="D18" s="510"/>
      <c r="E18" s="510"/>
      <c r="F18" s="859"/>
      <c r="G18" s="859"/>
      <c r="H18" s="859"/>
      <c r="I18" s="113"/>
      <c r="J18" s="113"/>
      <c r="K18" s="113"/>
      <c r="L18" s="113"/>
      <c r="M18" s="113"/>
      <c r="N18" s="113"/>
      <c r="O18" s="113"/>
      <c r="P18" s="113"/>
      <c r="Q18" s="113"/>
      <c r="R18" s="113"/>
      <c r="S18" s="1896"/>
      <c r="T18" s="1896"/>
      <c r="U18" s="1896"/>
      <c r="V18" s="1896"/>
      <c r="W18" s="113"/>
      <c r="Z18" s="2328"/>
      <c r="AA18" s="2329"/>
      <c r="AB18" s="2328"/>
    </row>
    <row r="19" spans="1:31" ht="15.75" x14ac:dyDescent="0.25">
      <c r="A19" s="509"/>
      <c r="B19" s="1119"/>
      <c r="C19" s="1119"/>
      <c r="D19" s="510"/>
      <c r="E19" s="510"/>
      <c r="F19" s="859"/>
      <c r="G19" s="859"/>
      <c r="H19" s="859"/>
      <c r="I19" s="113"/>
      <c r="J19" s="113"/>
      <c r="K19" s="113"/>
      <c r="L19" s="113"/>
      <c r="M19" s="113"/>
      <c r="N19" s="113"/>
      <c r="O19" s="113"/>
      <c r="P19" s="113"/>
      <c r="Q19" s="113"/>
      <c r="R19" s="113"/>
      <c r="S19" s="1896"/>
      <c r="T19" s="1896"/>
      <c r="U19" s="1896"/>
      <c r="V19" s="1896"/>
      <c r="W19" s="113"/>
      <c r="Z19" s="2328"/>
      <c r="AA19" s="2329"/>
      <c r="AB19" s="2328"/>
    </row>
    <row r="20" spans="1:31" ht="15.75" x14ac:dyDescent="0.25">
      <c r="A20" s="509"/>
      <c r="B20" s="1119"/>
      <c r="C20" s="1119"/>
      <c r="D20" s="510"/>
      <c r="E20" s="510"/>
      <c r="F20" s="859"/>
      <c r="G20" s="859"/>
      <c r="H20" s="859"/>
      <c r="I20" s="113"/>
      <c r="J20" s="113"/>
      <c r="K20" s="113"/>
      <c r="L20" s="113"/>
      <c r="M20" s="113"/>
      <c r="N20" s="113"/>
      <c r="O20" s="113"/>
      <c r="P20" s="113"/>
      <c r="Q20" s="113"/>
      <c r="R20" s="113"/>
      <c r="S20" s="1896"/>
      <c r="T20" s="1896"/>
      <c r="U20" s="1896"/>
      <c r="V20" s="1896"/>
      <c r="W20" s="113"/>
      <c r="Z20" s="2328"/>
      <c r="AA20" s="2329"/>
      <c r="AB20" s="2328"/>
    </row>
    <row r="21" spans="1:31" ht="15.75" x14ac:dyDescent="0.25">
      <c r="A21" s="509"/>
      <c r="B21" s="1119"/>
      <c r="C21" s="1119"/>
      <c r="D21" s="510"/>
      <c r="E21" s="510"/>
      <c r="F21" s="859"/>
      <c r="G21" s="859"/>
      <c r="H21" s="859"/>
      <c r="I21" s="113"/>
      <c r="J21" s="113"/>
      <c r="K21" s="113"/>
      <c r="L21" s="113"/>
      <c r="M21" s="113"/>
      <c r="N21" s="113"/>
      <c r="O21" s="113"/>
      <c r="P21" s="113"/>
      <c r="Q21" s="113"/>
      <c r="R21" s="113"/>
      <c r="S21" s="1896"/>
      <c r="T21" s="1896"/>
      <c r="U21" s="1896"/>
      <c r="V21" s="1896"/>
      <c r="W21" s="113"/>
      <c r="Z21" s="2328"/>
      <c r="AA21" s="2329"/>
      <c r="AB21" s="2328"/>
    </row>
    <row r="22" spans="1:31" ht="15.75" x14ac:dyDescent="0.25">
      <c r="A22" s="509"/>
      <c r="B22" s="1119"/>
      <c r="C22" s="1119"/>
      <c r="D22" s="510"/>
      <c r="E22" s="510"/>
      <c r="F22" s="859"/>
      <c r="G22" s="859"/>
      <c r="H22" s="859"/>
      <c r="I22" s="113"/>
      <c r="J22" s="113"/>
      <c r="K22" s="113"/>
      <c r="L22" s="113"/>
      <c r="M22" s="113"/>
      <c r="N22" s="113"/>
      <c r="O22" s="113"/>
      <c r="P22" s="113"/>
      <c r="Q22" s="113"/>
      <c r="R22" s="113"/>
      <c r="S22" s="1896"/>
      <c r="T22" s="1896"/>
      <c r="U22" s="1896"/>
      <c r="V22" s="1896"/>
      <c r="W22" s="113"/>
      <c r="Z22" s="2328"/>
      <c r="AA22" s="2329"/>
      <c r="AB22" s="2328"/>
    </row>
    <row r="23" spans="1:31" ht="15.75" x14ac:dyDescent="0.25">
      <c r="A23" s="509"/>
      <c r="B23" s="1119"/>
      <c r="C23" s="1119"/>
      <c r="D23" s="510"/>
      <c r="E23" s="510"/>
      <c r="F23" s="859"/>
      <c r="G23" s="859"/>
      <c r="H23" s="859"/>
      <c r="I23" s="113"/>
      <c r="J23" s="113"/>
      <c r="K23" s="113"/>
      <c r="L23" s="113"/>
      <c r="M23" s="113"/>
      <c r="N23" s="113"/>
      <c r="O23" s="113"/>
      <c r="P23" s="113"/>
      <c r="Q23" s="113"/>
      <c r="R23" s="113"/>
      <c r="S23" s="1896"/>
      <c r="T23" s="1896"/>
      <c r="U23" s="1896"/>
      <c r="V23" s="1896"/>
      <c r="W23" s="113"/>
      <c r="Z23" s="2328"/>
      <c r="AA23" s="2329"/>
      <c r="AB23" s="2328"/>
    </row>
    <row r="24" spans="1:31" ht="15.75" x14ac:dyDescent="0.25">
      <c r="A24" s="509"/>
      <c r="B24" s="1119"/>
      <c r="C24" s="1119"/>
      <c r="D24" s="510"/>
      <c r="E24" s="510"/>
      <c r="F24" s="859"/>
      <c r="G24" s="859"/>
      <c r="H24" s="859"/>
      <c r="I24" s="113"/>
      <c r="J24" s="113"/>
      <c r="K24" s="113"/>
      <c r="L24" s="113"/>
      <c r="M24" s="113"/>
      <c r="N24" s="113"/>
      <c r="O24" s="113"/>
      <c r="P24" s="113"/>
      <c r="Q24" s="113"/>
      <c r="R24" s="113"/>
      <c r="S24" s="1896"/>
      <c r="T24" s="1896"/>
      <c r="U24" s="1896"/>
      <c r="V24" s="1896"/>
      <c r="W24" s="113"/>
      <c r="Z24" s="2328"/>
      <c r="AA24" s="2329"/>
      <c r="AB24" s="2328"/>
    </row>
    <row r="25" spans="1:31" ht="15.75" x14ac:dyDescent="0.25">
      <c r="A25" s="509"/>
      <c r="B25" s="1119"/>
      <c r="C25" s="1119"/>
      <c r="D25" s="510"/>
      <c r="E25" s="510"/>
      <c r="F25" s="859"/>
      <c r="G25" s="859"/>
      <c r="H25" s="859"/>
      <c r="I25" s="113"/>
      <c r="J25" s="113"/>
      <c r="K25" s="113"/>
      <c r="L25" s="113"/>
      <c r="M25" s="113"/>
      <c r="N25" s="113"/>
      <c r="O25" s="113"/>
      <c r="P25" s="113"/>
      <c r="Q25" s="113"/>
      <c r="R25" s="113"/>
      <c r="S25" s="1896"/>
      <c r="T25" s="1896"/>
      <c r="U25" s="1896"/>
      <c r="V25" s="1896"/>
      <c r="W25" s="113"/>
      <c r="Z25" s="2328"/>
      <c r="AA25" s="2329"/>
      <c r="AB25" s="2328"/>
    </row>
    <row r="26" spans="1:31" ht="15.75" x14ac:dyDescent="0.25">
      <c r="A26" s="509"/>
      <c r="B26" s="1119"/>
      <c r="C26" s="1119"/>
      <c r="D26" s="510"/>
      <c r="E26" s="510"/>
      <c r="F26" s="859"/>
      <c r="G26" s="859"/>
      <c r="H26" s="859"/>
      <c r="I26" s="113"/>
      <c r="J26" s="113"/>
      <c r="K26" s="113"/>
      <c r="L26" s="113"/>
      <c r="M26" s="113"/>
      <c r="N26" s="113"/>
      <c r="O26" s="113"/>
      <c r="P26" s="113"/>
      <c r="Q26" s="113"/>
      <c r="R26" s="113"/>
      <c r="S26" s="1896"/>
      <c r="T26" s="1896"/>
      <c r="U26" s="1896"/>
      <c r="V26" s="1896"/>
      <c r="W26" s="113"/>
      <c r="Z26" s="2328"/>
      <c r="AA26" s="2329"/>
      <c r="AB26" s="2328"/>
    </row>
    <row r="27" spans="1:31" s="10" customFormat="1" ht="16.5" customHeight="1" x14ac:dyDescent="0.25">
      <c r="A27" s="860"/>
      <c r="B27" s="836"/>
      <c r="C27" s="836"/>
      <c r="D27" s="544"/>
      <c r="E27" s="2330"/>
      <c r="F27" s="2331"/>
      <c r="G27" s="2330"/>
      <c r="H27" s="2330"/>
      <c r="I27" s="2330"/>
      <c r="J27" s="2331"/>
      <c r="K27" s="2332"/>
      <c r="L27" s="2333"/>
      <c r="M27" s="2332"/>
      <c r="N27" s="2333"/>
      <c r="O27" s="2332"/>
      <c r="P27" s="2333"/>
      <c r="Q27" s="2323"/>
      <c r="W27" s="113"/>
      <c r="X27" s="113"/>
    </row>
    <row r="28" spans="1:31" s="10" customFormat="1" ht="16.5" customHeight="1" x14ac:dyDescent="0.25">
      <c r="A28" s="860"/>
      <c r="B28" s="836"/>
      <c r="C28" s="836"/>
      <c r="D28" s="544"/>
      <c r="E28" s="2321"/>
      <c r="F28" s="2334"/>
      <c r="G28" s="2321"/>
      <c r="H28" s="2321"/>
      <c r="I28" s="2334"/>
      <c r="J28" s="2321"/>
      <c r="K28" s="2335"/>
      <c r="L28" s="2336"/>
      <c r="M28" s="2337"/>
      <c r="N28" s="2338"/>
      <c r="O28" s="2336"/>
      <c r="P28" s="2335"/>
      <c r="Q28" s="2323"/>
      <c r="W28" s="113"/>
      <c r="X28" s="113"/>
    </row>
    <row r="29" spans="1:31" ht="12" customHeight="1" x14ac:dyDescent="0.25">
      <c r="D29" s="544"/>
      <c r="E29" s="2339"/>
      <c r="F29" s="2340"/>
      <c r="G29" s="2339"/>
      <c r="H29" s="2339"/>
      <c r="I29" s="113"/>
      <c r="J29" s="113"/>
      <c r="K29" s="113"/>
      <c r="L29" s="113"/>
      <c r="M29" s="113"/>
      <c r="N29" s="113"/>
      <c r="O29" s="113"/>
      <c r="P29" s="113"/>
      <c r="Q29" s="113"/>
      <c r="R29" s="113"/>
      <c r="S29" s="113"/>
      <c r="T29" s="113"/>
      <c r="U29" s="113"/>
      <c r="V29" s="2337"/>
      <c r="W29" s="38"/>
      <c r="X29" s="1752"/>
      <c r="Y29" s="2337"/>
      <c r="Z29" s="2335"/>
      <c r="AA29" s="2341"/>
      <c r="AB29" s="2337"/>
      <c r="AC29" s="2335"/>
      <c r="AD29" s="2341"/>
      <c r="AE29" s="2337"/>
    </row>
    <row r="30" spans="1:31" ht="15.75" customHeight="1" x14ac:dyDescent="0.25">
      <c r="A30" s="509">
        <v>6</v>
      </c>
      <c r="B30" s="509" t="s">
        <v>52</v>
      </c>
      <c r="C30" s="546"/>
      <c r="D30" s="4740" t="s">
        <v>1731</v>
      </c>
      <c r="E30" s="4741"/>
      <c r="F30" s="4741"/>
      <c r="G30" s="4741"/>
      <c r="H30" s="4756"/>
      <c r="I30" s="113"/>
      <c r="J30" s="113"/>
      <c r="K30" s="113"/>
      <c r="L30" s="113"/>
      <c r="M30" s="113"/>
      <c r="N30" s="113"/>
      <c r="O30" s="113"/>
      <c r="P30" s="113"/>
      <c r="Q30" s="113"/>
      <c r="R30" s="113"/>
      <c r="S30" s="113"/>
      <c r="T30" s="113"/>
      <c r="U30" s="113"/>
      <c r="V30" s="2342"/>
      <c r="W30" s="2342"/>
      <c r="X30" s="38"/>
      <c r="Y30" s="1752"/>
      <c r="AA30" s="2328"/>
      <c r="AB30" s="2329"/>
      <c r="AC30" s="2328"/>
    </row>
    <row r="31" spans="1:31" ht="30.6" customHeight="1" x14ac:dyDescent="0.25">
      <c r="A31" s="546">
        <v>7</v>
      </c>
      <c r="B31" s="546" t="s">
        <v>54</v>
      </c>
      <c r="C31" s="509"/>
      <c r="D31" s="4603" t="s">
        <v>1732</v>
      </c>
      <c r="E31" s="4604"/>
      <c r="F31" s="4604"/>
      <c r="G31" s="4604"/>
      <c r="H31" s="4605"/>
      <c r="I31" s="113"/>
      <c r="J31" s="113"/>
      <c r="K31" s="113"/>
      <c r="L31" s="113"/>
      <c r="M31" s="113"/>
      <c r="N31" s="113"/>
      <c r="O31" s="113"/>
      <c r="P31" s="113"/>
      <c r="Q31" s="113"/>
      <c r="R31" s="113"/>
      <c r="S31" s="113"/>
      <c r="T31" s="113"/>
      <c r="U31" s="113"/>
      <c r="V31" s="2342"/>
      <c r="W31" s="2342"/>
      <c r="Y31" s="1752"/>
      <c r="AA31" s="2328"/>
      <c r="AB31" s="2329"/>
      <c r="AC31" s="2328"/>
    </row>
    <row r="32" spans="1:31" ht="30.6" customHeight="1" x14ac:dyDescent="0.25">
      <c r="A32" s="509">
        <v>8</v>
      </c>
      <c r="B32" s="509" t="s">
        <v>56</v>
      </c>
      <c r="C32" s="506"/>
      <c r="D32" s="4603" t="s">
        <v>1733</v>
      </c>
      <c r="E32" s="4604"/>
      <c r="F32" s="4604"/>
      <c r="G32" s="4604"/>
      <c r="H32" s="4605"/>
      <c r="I32" s="113"/>
      <c r="J32" s="113"/>
      <c r="K32" s="113"/>
      <c r="L32" s="113"/>
      <c r="M32" s="113"/>
      <c r="N32" s="113"/>
      <c r="O32" s="113"/>
      <c r="P32" s="113"/>
      <c r="Q32" s="113"/>
      <c r="R32" s="113"/>
      <c r="S32" s="113"/>
      <c r="T32" s="113"/>
      <c r="U32" s="113"/>
      <c r="V32" s="2343"/>
      <c r="W32" s="2343"/>
      <c r="AA32" s="2328"/>
      <c r="AB32" s="2329"/>
      <c r="AC32" s="2328"/>
      <c r="AD32" s="10"/>
    </row>
    <row r="33" spans="1:29" ht="96" customHeight="1" x14ac:dyDescent="0.25">
      <c r="A33" s="509">
        <v>9</v>
      </c>
      <c r="B33" s="91" t="s">
        <v>949</v>
      </c>
      <c r="C33" s="506"/>
      <c r="D33" s="4603" t="s">
        <v>1734</v>
      </c>
      <c r="E33" s="4604"/>
      <c r="F33" s="4604"/>
      <c r="G33" s="4604"/>
      <c r="H33" s="4605"/>
      <c r="I33" s="113"/>
      <c r="J33" s="113"/>
      <c r="K33" s="113"/>
      <c r="L33" s="113"/>
      <c r="M33" s="113"/>
      <c r="N33" s="113"/>
      <c r="O33" s="113"/>
      <c r="P33" s="113"/>
      <c r="Q33" s="113"/>
      <c r="R33" s="113"/>
      <c r="S33" s="113"/>
      <c r="T33" s="113"/>
      <c r="U33" s="113"/>
      <c r="V33" s="2342"/>
      <c r="W33" s="2342"/>
      <c r="AA33" s="2328"/>
      <c r="AB33" s="2329"/>
      <c r="AC33" s="2328"/>
    </row>
    <row r="34" spans="1:29" ht="15.75" x14ac:dyDescent="0.25">
      <c r="A34" s="507"/>
      <c r="B34" s="507"/>
      <c r="C34" s="507"/>
      <c r="D34" s="880"/>
      <c r="E34" s="880"/>
      <c r="F34" s="880"/>
      <c r="G34" s="880"/>
      <c r="H34" s="880"/>
      <c r="I34" s="880"/>
      <c r="J34" s="880"/>
      <c r="K34" s="880"/>
      <c r="L34" s="880"/>
      <c r="M34" s="880"/>
      <c r="N34" s="880"/>
      <c r="O34" s="880"/>
      <c r="P34" s="880"/>
      <c r="Q34" s="880"/>
      <c r="R34" s="880"/>
      <c r="S34" s="880"/>
      <c r="T34" s="880"/>
      <c r="U34" s="880"/>
      <c r="V34" s="880"/>
      <c r="W34" s="880"/>
      <c r="AA34" s="2328"/>
      <c r="AB34" s="2329"/>
      <c r="AC34" s="2328"/>
    </row>
    <row r="35" spans="1:29" ht="15.75" x14ac:dyDescent="0.25">
      <c r="A35" s="509"/>
      <c r="B35" s="507"/>
      <c r="C35" s="507"/>
      <c r="D35" s="880"/>
      <c r="E35" s="880"/>
      <c r="F35" s="880"/>
      <c r="G35" s="880"/>
      <c r="H35" s="880"/>
      <c r="I35" s="880"/>
      <c r="J35" s="880"/>
      <c r="K35" s="880"/>
      <c r="L35" s="880"/>
      <c r="M35" s="880"/>
      <c r="N35" s="880"/>
      <c r="O35" s="880"/>
      <c r="P35" s="880"/>
      <c r="Q35" s="880"/>
      <c r="R35" s="880"/>
      <c r="S35" s="880"/>
      <c r="T35" s="880"/>
      <c r="U35" s="880"/>
      <c r="V35" s="880"/>
      <c r="W35" s="880"/>
      <c r="Z35" s="1752"/>
      <c r="AA35" s="2328"/>
      <c r="AB35" s="2329"/>
      <c r="AC35" s="2328"/>
    </row>
    <row r="42" spans="1:29" x14ac:dyDescent="0.25">
      <c r="B42" s="113" t="s">
        <v>1735</v>
      </c>
      <c r="C42" s="2321"/>
      <c r="D42" s="2322"/>
      <c r="E42" s="2321"/>
      <c r="F42" s="2322"/>
    </row>
    <row r="43" spans="1:29" x14ac:dyDescent="0.25">
      <c r="B43" s="2344"/>
      <c r="C43" s="1308">
        <v>2006</v>
      </c>
      <c r="D43" s="1308">
        <v>2009</v>
      </c>
      <c r="E43" s="1308">
        <v>2011</v>
      </c>
      <c r="F43" s="1309">
        <v>2015</v>
      </c>
    </row>
    <row r="44" spans="1:29" x14ac:dyDescent="0.25">
      <c r="B44" s="2345" t="s">
        <v>1725</v>
      </c>
      <c r="C44" s="2346">
        <v>0.66600000000000004</v>
      </c>
      <c r="D44" s="2347">
        <v>0.621</v>
      </c>
      <c r="E44" s="2346">
        <v>0.53200000000000003</v>
      </c>
      <c r="F44" s="2348">
        <v>0.55500000000000005</v>
      </c>
    </row>
    <row r="45" spans="1:29" x14ac:dyDescent="0.25">
      <c r="B45" s="2349" t="s">
        <v>1727</v>
      </c>
      <c r="C45" s="2350">
        <v>0.51</v>
      </c>
      <c r="D45" s="2351">
        <v>0.47599999999999998</v>
      </c>
      <c r="E45" s="2350">
        <v>0.36399999999999999</v>
      </c>
      <c r="F45" s="2352">
        <v>0.4</v>
      </c>
    </row>
    <row r="46" spans="1:29" x14ac:dyDescent="0.25">
      <c r="B46" s="2353" t="s">
        <v>1729</v>
      </c>
      <c r="C46" s="2354">
        <v>0.28399999999999997</v>
      </c>
      <c r="D46" s="2355">
        <v>0.33500000000000002</v>
      </c>
      <c r="E46" s="2354">
        <v>0.214</v>
      </c>
      <c r="F46" s="2356">
        <v>0.252</v>
      </c>
    </row>
  </sheetData>
  <mergeCells count="7">
    <mergeCell ref="D33:H33"/>
    <mergeCell ref="D2:H2"/>
    <mergeCell ref="D3:H3"/>
    <mergeCell ref="D4:H4"/>
    <mergeCell ref="D30:H30"/>
    <mergeCell ref="D31:H31"/>
    <mergeCell ref="D32:H32"/>
  </mergeCells>
  <pageMargins left="0.74803149606299202" right="0.74803149606299202" top="0.98425196850393704" bottom="0.98425196850393704" header="0.511811023622047" footer="0.511811023622047"/>
  <pageSetup paperSize="9" scale="66"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DA33A-86D0-4C17-9552-2F57D2C4F351}">
  <sheetPr>
    <tabColor rgb="FFFF0000"/>
    <pageSetUpPr fitToPage="1"/>
  </sheetPr>
  <dimension ref="A1:U108"/>
  <sheetViews>
    <sheetView showGridLines="0" view="pageBreakPreview" zoomScale="115" zoomScaleNormal="100" zoomScaleSheetLayoutView="115" workbookViewId="0">
      <selection activeCell="X19" sqref="X19"/>
    </sheetView>
  </sheetViews>
  <sheetFormatPr defaultColWidth="6" defaultRowHeight="15" x14ac:dyDescent="0.25"/>
  <cols>
    <col min="1" max="1" width="3.85546875" style="821" customWidth="1"/>
    <col min="2" max="2" width="13.42578125" style="820" customWidth="1"/>
    <col min="3" max="3" width="8.42578125" style="820" customWidth="1"/>
    <col min="4" max="5" width="11.140625" style="4" customWidth="1"/>
    <col min="6" max="6" width="7.42578125" style="4" customWidth="1"/>
    <col min="7" max="7" width="8.42578125" style="4" bestFit="1" customWidth="1"/>
    <col min="8" max="18" width="6" style="4" customWidth="1"/>
    <col min="19" max="19" width="6.85546875" style="4" customWidth="1"/>
    <col min="20" max="247" width="9.140625" style="4" customWidth="1"/>
    <col min="248" max="248" width="3.85546875" style="4" customWidth="1"/>
    <col min="249" max="249" width="17" style="4" customWidth="1"/>
    <col min="250" max="250" width="3.85546875" style="4" customWidth="1"/>
    <col min="251" max="251" width="13.42578125" style="4" customWidth="1"/>
    <col min="252" max="252" width="5.42578125" style="4" customWidth="1"/>
    <col min="253" max="16384" width="6" style="4"/>
  </cols>
  <sheetData>
    <row r="1" spans="1:19" x14ac:dyDescent="0.25">
      <c r="A1" s="509"/>
      <c r="B1" s="568"/>
      <c r="C1" s="568"/>
      <c r="D1" s="68"/>
      <c r="E1" s="68"/>
      <c r="F1" s="68"/>
      <c r="G1" s="68"/>
      <c r="H1" s="68"/>
      <c r="I1" s="68"/>
      <c r="J1" s="68"/>
      <c r="K1" s="68"/>
      <c r="L1" s="68"/>
      <c r="M1" s="68"/>
      <c r="N1" s="68"/>
      <c r="O1" s="68"/>
      <c r="P1" s="68"/>
      <c r="Q1" s="68"/>
      <c r="R1" s="68"/>
      <c r="S1" s="68"/>
    </row>
    <row r="2" spans="1:19" ht="12.75" customHeight="1" x14ac:dyDescent="0.25">
      <c r="A2" s="509">
        <v>1</v>
      </c>
      <c r="B2" s="509" t="s">
        <v>0</v>
      </c>
      <c r="C2" s="509">
        <v>21</v>
      </c>
      <c r="D2" s="4603" t="s">
        <v>1736</v>
      </c>
      <c r="E2" s="5061"/>
      <c r="F2" s="5061"/>
      <c r="G2" s="5061"/>
      <c r="H2" s="5061"/>
      <c r="I2" s="5061"/>
      <c r="J2" s="5061"/>
      <c r="K2" s="5061"/>
      <c r="L2" s="5061"/>
      <c r="M2" s="5061"/>
      <c r="N2" s="5061"/>
      <c r="O2" s="5061"/>
      <c r="P2" s="5061"/>
      <c r="Q2" s="5061"/>
      <c r="R2" s="5061"/>
      <c r="S2" s="5062"/>
    </row>
    <row r="3" spans="1:19" ht="12.75" customHeight="1" x14ac:dyDescent="0.25">
      <c r="A3" s="509">
        <v>2</v>
      </c>
      <c r="B3" s="509" t="s">
        <v>2</v>
      </c>
      <c r="C3" s="509"/>
      <c r="D3" s="4603" t="s">
        <v>1722</v>
      </c>
      <c r="E3" s="5061"/>
      <c r="F3" s="5061"/>
      <c r="G3" s="5061"/>
      <c r="H3" s="5061"/>
      <c r="I3" s="5061"/>
      <c r="J3" s="5061"/>
      <c r="K3" s="5061"/>
      <c r="L3" s="5061"/>
      <c r="M3" s="5061"/>
      <c r="N3" s="5061"/>
      <c r="O3" s="5061"/>
      <c r="P3" s="5061"/>
      <c r="Q3" s="5061"/>
      <c r="R3" s="5061"/>
      <c r="S3" s="5062"/>
    </row>
    <row r="4" spans="1:19" ht="15.75" customHeight="1" x14ac:dyDescent="0.25">
      <c r="A4" s="509">
        <v>3</v>
      </c>
      <c r="B4" s="509" t="s">
        <v>4</v>
      </c>
      <c r="C4" s="509"/>
      <c r="D4" s="4603" t="s">
        <v>1737</v>
      </c>
      <c r="E4" s="4838"/>
      <c r="F4" s="4838"/>
      <c r="G4" s="4838"/>
      <c r="H4" s="4838"/>
      <c r="I4" s="4838"/>
      <c r="J4" s="4838"/>
      <c r="K4" s="4838"/>
      <c r="L4" s="4838"/>
      <c r="M4" s="4838"/>
      <c r="N4" s="4838"/>
      <c r="O4" s="4838"/>
      <c r="P4" s="4838"/>
      <c r="Q4" s="4838"/>
      <c r="R4" s="4838"/>
      <c r="S4" s="4839"/>
    </row>
    <row r="5" spans="1:19" x14ac:dyDescent="0.25">
      <c r="A5" s="509">
        <v>4</v>
      </c>
      <c r="B5" s="509" t="s">
        <v>6</v>
      </c>
      <c r="C5" s="506"/>
      <c r="D5" s="68"/>
      <c r="E5" s="68"/>
      <c r="F5" s="68"/>
      <c r="G5" s="68"/>
      <c r="H5" s="68"/>
      <c r="I5" s="68"/>
      <c r="J5" s="68"/>
      <c r="K5" s="68"/>
      <c r="L5" s="68"/>
      <c r="M5" s="68"/>
      <c r="N5" s="68"/>
      <c r="O5" s="68"/>
      <c r="P5" s="68"/>
      <c r="Q5" s="68"/>
      <c r="R5" s="68"/>
      <c r="S5" s="68"/>
    </row>
    <row r="6" spans="1:19" hidden="1" x14ac:dyDescent="0.25">
      <c r="A6" s="509"/>
      <c r="B6" s="568"/>
      <c r="C6" s="568"/>
      <c r="D6" s="71" t="s">
        <v>80</v>
      </c>
      <c r="E6" s="71"/>
      <c r="F6" s="71" t="s">
        <v>1736</v>
      </c>
      <c r="G6" s="71"/>
      <c r="H6" s="71"/>
      <c r="I6" s="71"/>
      <c r="J6" s="71"/>
      <c r="K6" s="2234" t="s">
        <v>1738</v>
      </c>
      <c r="L6" s="71"/>
      <c r="M6" s="71"/>
      <c r="N6" s="71"/>
      <c r="O6" s="68"/>
      <c r="P6" s="68"/>
      <c r="Q6" s="68"/>
      <c r="R6" s="68"/>
      <c r="S6" s="68"/>
    </row>
    <row r="7" spans="1:19" hidden="1" x14ac:dyDescent="0.25">
      <c r="A7" s="509"/>
      <c r="B7" s="568"/>
      <c r="C7" s="568"/>
      <c r="D7" s="2186"/>
      <c r="E7" s="2003"/>
      <c r="F7" s="1852"/>
      <c r="G7" s="1852">
        <v>2000</v>
      </c>
      <c r="H7" s="1852">
        <v>2001</v>
      </c>
      <c r="I7" s="1852"/>
      <c r="J7" s="1852">
        <v>2002</v>
      </c>
      <c r="K7" s="1852">
        <v>2003</v>
      </c>
      <c r="L7" s="1852">
        <v>2004</v>
      </c>
      <c r="M7" s="1852">
        <v>2005</v>
      </c>
      <c r="N7" s="1852">
        <v>2006</v>
      </c>
      <c r="O7" s="1852">
        <v>2007</v>
      </c>
      <c r="P7" s="1852">
        <v>2008</v>
      </c>
      <c r="Q7" s="1852">
        <v>2009</v>
      </c>
      <c r="R7" s="1852">
        <v>2010</v>
      </c>
      <c r="S7" s="991"/>
    </row>
    <row r="8" spans="1:19" ht="14.25" hidden="1" customHeight="1" x14ac:dyDescent="0.25">
      <c r="A8" s="509"/>
      <c r="B8" s="568"/>
      <c r="C8" s="568"/>
      <c r="D8" s="71" t="s">
        <v>1739</v>
      </c>
      <c r="E8" s="71" t="s">
        <v>1740</v>
      </c>
      <c r="F8" s="2235"/>
      <c r="G8" s="2235"/>
      <c r="H8" s="2235"/>
      <c r="I8" s="2235"/>
      <c r="J8" s="2235"/>
      <c r="K8" s="2235"/>
      <c r="L8" s="2235"/>
      <c r="M8" s="2235"/>
      <c r="N8" s="2235"/>
      <c r="O8" s="2235"/>
      <c r="P8" s="2235">
        <v>0.7</v>
      </c>
      <c r="Q8" s="2235"/>
      <c r="R8" s="2235">
        <v>0.68</v>
      </c>
      <c r="S8" s="2236"/>
    </row>
    <row r="9" spans="1:19" ht="14.25" hidden="1" customHeight="1" x14ac:dyDescent="0.25">
      <c r="A9" s="509"/>
      <c r="B9" s="568"/>
      <c r="C9" s="568"/>
      <c r="D9" s="87"/>
      <c r="E9" s="1919" t="s">
        <v>937</v>
      </c>
      <c r="P9" s="1481">
        <v>0.62</v>
      </c>
      <c r="Q9" s="1481"/>
      <c r="R9" s="1481">
        <v>0.62</v>
      </c>
    </row>
    <row r="10" spans="1:19" ht="14.25" hidden="1" customHeight="1" x14ac:dyDescent="0.25">
      <c r="A10" s="509"/>
      <c r="B10" s="568"/>
      <c r="C10" s="568"/>
      <c r="D10" s="87"/>
      <c r="E10" s="88" t="s">
        <v>940</v>
      </c>
      <c r="F10" s="1481"/>
      <c r="G10" s="1481"/>
      <c r="H10" s="1481"/>
      <c r="I10" s="1481"/>
      <c r="J10" s="1481"/>
      <c r="K10" s="1481"/>
      <c r="L10" s="1481"/>
      <c r="M10" s="1481"/>
      <c r="N10" s="1481"/>
      <c r="O10" s="1481"/>
      <c r="P10" s="1481">
        <v>0.54</v>
      </c>
      <c r="Q10" s="1481"/>
      <c r="R10" s="1481">
        <v>0.57999999999999996</v>
      </c>
      <c r="S10" s="2236"/>
    </row>
    <row r="11" spans="1:19" ht="14.25" hidden="1" customHeight="1" x14ac:dyDescent="0.25">
      <c r="A11" s="509"/>
      <c r="B11" s="568"/>
      <c r="C11" s="568"/>
      <c r="D11" s="87"/>
      <c r="E11" s="88" t="s">
        <v>1741</v>
      </c>
      <c r="F11" s="1481"/>
      <c r="G11" s="1481"/>
      <c r="H11" s="1481"/>
      <c r="I11" s="1481"/>
      <c r="J11" s="1481"/>
      <c r="K11" s="1481"/>
      <c r="L11" s="1481"/>
      <c r="M11" s="1481"/>
      <c r="N11" s="1481"/>
      <c r="O11" s="1481"/>
      <c r="P11" s="1481">
        <v>0.6</v>
      </c>
      <c r="Q11" s="1481"/>
      <c r="R11" s="1481">
        <v>0.56000000000000005</v>
      </c>
      <c r="S11" s="2236"/>
    </row>
    <row r="12" spans="1:19" ht="14.25" hidden="1" customHeight="1" x14ac:dyDescent="0.25">
      <c r="A12" s="509"/>
      <c r="B12" s="568"/>
      <c r="C12" s="568"/>
      <c r="D12" s="87"/>
      <c r="E12" s="3435" t="s">
        <v>938</v>
      </c>
      <c r="F12" s="3512"/>
      <c r="G12" s="3512"/>
      <c r="H12" s="3512"/>
      <c r="I12" s="3512"/>
      <c r="J12" s="3512"/>
      <c r="K12" s="3512"/>
      <c r="L12" s="3512"/>
      <c r="M12" s="3512"/>
      <c r="N12" s="3512"/>
      <c r="O12" s="3512"/>
      <c r="P12" s="3512">
        <v>0.5</v>
      </c>
      <c r="Q12" s="3512"/>
      <c r="R12" s="3512">
        <v>0.44</v>
      </c>
      <c r="S12" s="2236"/>
    </row>
    <row r="13" spans="1:19" ht="14.25" hidden="1" customHeight="1" x14ac:dyDescent="0.25">
      <c r="A13" s="509"/>
      <c r="B13" s="568"/>
      <c r="C13" s="568"/>
      <c r="D13" s="87"/>
      <c r="E13" s="71" t="s">
        <v>1742</v>
      </c>
      <c r="F13" s="2235"/>
      <c r="G13" s="2235"/>
      <c r="H13" s="2235"/>
      <c r="I13" s="2235"/>
      <c r="J13" s="2235"/>
      <c r="K13" s="2235"/>
      <c r="L13" s="2235"/>
      <c r="M13" s="2235"/>
      <c r="N13" s="2235"/>
      <c r="O13" s="2235"/>
      <c r="P13" s="2235">
        <v>0.7</v>
      </c>
      <c r="Q13" s="2235"/>
      <c r="R13" s="2235">
        <v>0.71</v>
      </c>
      <c r="S13" s="2236"/>
    </row>
    <row r="14" spans="1:19" ht="14.25" hidden="1" customHeight="1" x14ac:dyDescent="0.25">
      <c r="A14" s="509"/>
      <c r="B14" s="568"/>
      <c r="C14" s="568"/>
      <c r="D14" s="87"/>
      <c r="E14" s="1919" t="s">
        <v>937</v>
      </c>
      <c r="F14" s="1481"/>
      <c r="G14" s="1481"/>
      <c r="H14" s="1481"/>
      <c r="I14" s="1481"/>
      <c r="J14" s="1481"/>
      <c r="K14" s="1481"/>
      <c r="L14" s="1481"/>
      <c r="M14" s="1481"/>
      <c r="N14" s="1481"/>
      <c r="O14" s="1481"/>
      <c r="P14" s="1481">
        <v>0.62</v>
      </c>
      <c r="Q14" s="1481"/>
      <c r="R14" s="1481">
        <v>0.63</v>
      </c>
      <c r="S14" s="2236"/>
    </row>
    <row r="15" spans="1:19" ht="14.25" hidden="1" customHeight="1" x14ac:dyDescent="0.25">
      <c r="A15" s="509"/>
      <c r="B15" s="568"/>
      <c r="C15" s="568"/>
      <c r="D15" s="87"/>
      <c r="E15" s="88" t="s">
        <v>940</v>
      </c>
      <c r="F15" s="1481"/>
      <c r="G15" s="1481"/>
      <c r="H15" s="1481"/>
      <c r="I15" s="1481"/>
      <c r="J15" s="1481"/>
      <c r="K15" s="1481"/>
      <c r="L15" s="1481"/>
      <c r="M15" s="1481"/>
      <c r="N15" s="1481"/>
      <c r="O15" s="1481"/>
      <c r="P15" s="1481">
        <v>0.57999999999999996</v>
      </c>
      <c r="Q15" s="1481"/>
      <c r="R15" s="1481">
        <v>0.63</v>
      </c>
      <c r="S15" s="2236"/>
    </row>
    <row r="16" spans="1:19" ht="14.25" hidden="1" customHeight="1" x14ac:dyDescent="0.25">
      <c r="A16" s="509"/>
      <c r="B16" s="568"/>
      <c r="C16" s="568"/>
      <c r="D16" s="87"/>
      <c r="E16" s="88" t="s">
        <v>1741</v>
      </c>
      <c r="F16" s="1481"/>
      <c r="G16" s="1481"/>
      <c r="H16" s="1481"/>
      <c r="I16" s="1481"/>
      <c r="J16" s="1481"/>
      <c r="K16" s="1481"/>
      <c r="L16" s="1481"/>
      <c r="M16" s="1481"/>
      <c r="N16" s="1481"/>
      <c r="O16" s="1481"/>
      <c r="P16" s="1481">
        <v>0.54</v>
      </c>
      <c r="Q16" s="1481"/>
      <c r="R16" s="1481">
        <v>0.45</v>
      </c>
      <c r="S16" s="2236"/>
    </row>
    <row r="17" spans="1:19" ht="14.25" hidden="1" customHeight="1" x14ac:dyDescent="0.25">
      <c r="A17" s="509"/>
      <c r="B17" s="568"/>
      <c r="C17" s="568"/>
      <c r="D17" s="621"/>
      <c r="E17" s="95" t="s">
        <v>938</v>
      </c>
      <c r="F17" s="1484"/>
      <c r="G17" s="1484"/>
      <c r="H17" s="1484"/>
      <c r="I17" s="1484"/>
      <c r="J17" s="1484"/>
      <c r="K17" s="1484"/>
      <c r="L17" s="1484"/>
      <c r="M17" s="1484"/>
      <c r="N17" s="1484"/>
      <c r="O17" s="1484"/>
      <c r="P17" s="1484">
        <v>0.48</v>
      </c>
      <c r="Q17" s="1484"/>
      <c r="R17" s="1484">
        <v>0.49</v>
      </c>
      <c r="S17" s="2236"/>
    </row>
    <row r="18" spans="1:19" ht="18" hidden="1" customHeight="1" x14ac:dyDescent="0.25">
      <c r="A18" s="509"/>
      <c r="B18" s="568"/>
      <c r="C18" s="568"/>
      <c r="D18" s="2237" t="s">
        <v>1743</v>
      </c>
      <c r="E18" s="2237"/>
      <c r="F18" s="2238"/>
      <c r="G18" s="2238"/>
      <c r="H18" s="2238"/>
      <c r="I18" s="2238"/>
      <c r="J18" s="2238"/>
      <c r="K18" s="2238"/>
      <c r="L18" s="2238"/>
      <c r="M18" s="2238"/>
      <c r="N18" s="2238"/>
      <c r="O18" s="2238"/>
      <c r="P18" s="2238"/>
      <c r="Q18" s="2238"/>
      <c r="R18" s="2238"/>
      <c r="S18" s="2239"/>
    </row>
    <row r="19" spans="1:19" ht="15" hidden="1" customHeight="1" x14ac:dyDescent="0.25">
      <c r="A19" s="509"/>
      <c r="B19" s="568"/>
      <c r="C19" s="568"/>
      <c r="D19" s="88" t="s">
        <v>1744</v>
      </c>
      <c r="E19" s="462" t="s">
        <v>1740</v>
      </c>
      <c r="F19" s="1481"/>
      <c r="G19" s="1481"/>
      <c r="H19" s="2240"/>
      <c r="I19" s="2240"/>
      <c r="J19" s="1481"/>
      <c r="K19" s="1481"/>
      <c r="L19" s="1481"/>
      <c r="M19" s="1481"/>
      <c r="N19" s="2240"/>
      <c r="O19" s="1481"/>
      <c r="P19" s="1481">
        <v>0.69</v>
      </c>
      <c r="Q19" s="1481"/>
      <c r="R19" s="1481">
        <v>0.69</v>
      </c>
      <c r="S19" s="2239"/>
    </row>
    <row r="20" spans="1:19" hidden="1" x14ac:dyDescent="0.25">
      <c r="A20" s="509"/>
      <c r="B20" s="568"/>
      <c r="C20" s="568"/>
      <c r="D20" s="88"/>
      <c r="E20" s="3513" t="s">
        <v>1745</v>
      </c>
      <c r="F20" s="3512"/>
      <c r="G20" s="3512"/>
      <c r="H20" s="3514"/>
      <c r="I20" s="3514"/>
      <c r="J20" s="3512"/>
      <c r="K20" s="3512"/>
      <c r="L20" s="3512"/>
      <c r="M20" s="3512"/>
      <c r="N20" s="3514"/>
      <c r="O20" s="3512"/>
      <c r="P20" s="3512">
        <v>0.66</v>
      </c>
      <c r="Q20" s="3512"/>
      <c r="R20" s="3512">
        <v>0.7</v>
      </c>
      <c r="S20" s="2239"/>
    </row>
    <row r="21" spans="1:19" hidden="1" x14ac:dyDescent="0.25">
      <c r="A21" s="509"/>
      <c r="B21" s="568"/>
      <c r="C21" s="568"/>
      <c r="D21" s="88" t="s">
        <v>1746</v>
      </c>
      <c r="E21" s="462" t="s">
        <v>1747</v>
      </c>
      <c r="F21" s="1481"/>
      <c r="G21" s="1481"/>
      <c r="H21" s="2240"/>
      <c r="I21" s="2240"/>
      <c r="J21" s="1481"/>
      <c r="K21" s="1481"/>
      <c r="L21" s="1481"/>
      <c r="M21" s="1481"/>
      <c r="N21" s="2240"/>
      <c r="O21" s="1481"/>
      <c r="P21" s="1481">
        <v>0.31</v>
      </c>
      <c r="Q21" s="1481"/>
      <c r="R21" s="1481">
        <v>0.27</v>
      </c>
      <c r="S21" s="2239"/>
    </row>
    <row r="22" spans="1:19" hidden="1" x14ac:dyDescent="0.25">
      <c r="A22" s="509"/>
      <c r="B22" s="568"/>
      <c r="C22" s="568"/>
      <c r="D22" s="88"/>
      <c r="E22" s="3513" t="s">
        <v>1745</v>
      </c>
      <c r="F22" s="3512"/>
      <c r="G22" s="3512"/>
      <c r="H22" s="3514"/>
      <c r="I22" s="3514"/>
      <c r="J22" s="3512"/>
      <c r="K22" s="3512"/>
      <c r="L22" s="3512"/>
      <c r="M22" s="3512"/>
      <c r="N22" s="3514"/>
      <c r="O22" s="3512"/>
      <c r="P22" s="3512">
        <v>0.33</v>
      </c>
      <c r="Q22" s="3512"/>
      <c r="R22" s="3512">
        <v>0.32</v>
      </c>
      <c r="S22" s="2239"/>
    </row>
    <row r="23" spans="1:19" hidden="1" x14ac:dyDescent="0.25">
      <c r="A23" s="509"/>
      <c r="B23" s="568"/>
      <c r="C23" s="568"/>
      <c r="D23" s="88" t="s">
        <v>1748</v>
      </c>
      <c r="E23" s="462" t="s">
        <v>1747</v>
      </c>
      <c r="F23" s="1481"/>
      <c r="G23" s="1481"/>
      <c r="H23" s="2240"/>
      <c r="I23" s="2240"/>
      <c r="J23" s="1481"/>
      <c r="K23" s="1481"/>
      <c r="L23" s="1481"/>
      <c r="M23" s="1481"/>
      <c r="N23" s="2240"/>
      <c r="O23" s="1481"/>
      <c r="P23" s="1481">
        <v>0.31</v>
      </c>
      <c r="Q23" s="1481"/>
      <c r="R23" s="1481">
        <v>0.25</v>
      </c>
      <c r="S23" s="2236"/>
    </row>
    <row r="24" spans="1:19" hidden="1" x14ac:dyDescent="0.25">
      <c r="A24" s="509"/>
      <c r="B24" s="568"/>
      <c r="C24" s="568"/>
      <c r="D24" s="95"/>
      <c r="E24" s="461" t="s">
        <v>1742</v>
      </c>
      <c r="F24" s="1484"/>
      <c r="G24" s="1484"/>
      <c r="H24" s="1484"/>
      <c r="I24" s="1484"/>
      <c r="J24" s="1484"/>
      <c r="K24" s="1484"/>
      <c r="L24" s="1484"/>
      <c r="M24" s="1484"/>
      <c r="N24" s="1484"/>
      <c r="O24" s="1484"/>
      <c r="P24" s="1484">
        <v>0.33</v>
      </c>
      <c r="Q24" s="1484"/>
      <c r="R24" s="1484">
        <v>0.33</v>
      </c>
      <c r="S24" s="2236"/>
    </row>
    <row r="25" spans="1:19" ht="15" hidden="1" customHeight="1" x14ac:dyDescent="0.25">
      <c r="A25" s="509"/>
      <c r="B25" s="568"/>
      <c r="C25" s="568"/>
      <c r="D25" s="131" t="s">
        <v>1749</v>
      </c>
      <c r="E25" s="131"/>
      <c r="F25" s="1481"/>
      <c r="G25" s="1481"/>
      <c r="H25" s="1481"/>
      <c r="I25" s="1481"/>
      <c r="J25" s="1481"/>
      <c r="K25" s="1481"/>
      <c r="L25" s="1481"/>
      <c r="M25" s="1481"/>
      <c r="N25" s="1481"/>
      <c r="O25" s="1481"/>
      <c r="P25" s="1481"/>
      <c r="Q25" s="1481"/>
      <c r="R25" s="1481"/>
      <c r="S25" s="2239"/>
    </row>
    <row r="26" spans="1:19" ht="15" hidden="1" customHeight="1" x14ac:dyDescent="0.25">
      <c r="A26" s="509"/>
      <c r="B26" s="568"/>
      <c r="C26" s="568"/>
      <c r="D26" s="88" t="s">
        <v>1744</v>
      </c>
      <c r="E26" s="462" t="s">
        <v>1740</v>
      </c>
      <c r="F26" s="1481"/>
      <c r="G26" s="1481"/>
      <c r="H26" s="2240"/>
      <c r="I26" s="2240"/>
      <c r="J26" s="1481"/>
      <c r="K26" s="1481"/>
      <c r="L26" s="1481"/>
      <c r="M26" s="1481"/>
      <c r="N26" s="2240"/>
      <c r="O26" s="1481"/>
      <c r="P26" s="1481">
        <v>0.63</v>
      </c>
      <c r="Q26" s="1481"/>
      <c r="R26" s="1481">
        <v>0.61</v>
      </c>
      <c r="S26" s="2239"/>
    </row>
    <row r="27" spans="1:19" hidden="1" x14ac:dyDescent="0.25">
      <c r="A27" s="509"/>
      <c r="B27" s="568"/>
      <c r="C27" s="568"/>
      <c r="D27" s="88"/>
      <c r="E27" s="3513" t="s">
        <v>1745</v>
      </c>
      <c r="F27" s="3512"/>
      <c r="G27" s="3512"/>
      <c r="H27" s="3514"/>
      <c r="I27" s="3514"/>
      <c r="J27" s="3512"/>
      <c r="K27" s="3512"/>
      <c r="L27" s="3512"/>
      <c r="M27" s="3512"/>
      <c r="N27" s="3514"/>
      <c r="O27" s="3512"/>
      <c r="P27" s="3512">
        <v>0.6</v>
      </c>
      <c r="Q27" s="3512"/>
      <c r="R27" s="3512">
        <v>0.66</v>
      </c>
      <c r="S27" s="2239"/>
    </row>
    <row r="28" spans="1:19" hidden="1" x14ac:dyDescent="0.25">
      <c r="A28" s="509"/>
      <c r="B28" s="568"/>
      <c r="C28" s="568"/>
      <c r="D28" s="88" t="s">
        <v>1746</v>
      </c>
      <c r="E28" s="462" t="s">
        <v>1747</v>
      </c>
      <c r="F28" s="1481"/>
      <c r="G28" s="1481"/>
      <c r="H28" s="2240"/>
      <c r="I28" s="2240"/>
      <c r="J28" s="1481"/>
      <c r="K28" s="1481"/>
      <c r="L28" s="1481"/>
      <c r="M28" s="1481"/>
      <c r="N28" s="2240"/>
      <c r="O28" s="1481"/>
      <c r="P28" s="1481">
        <v>0.39</v>
      </c>
      <c r="Q28" s="1481"/>
      <c r="R28" s="1481">
        <v>0.34</v>
      </c>
      <c r="S28" s="2239"/>
    </row>
    <row r="29" spans="1:19" hidden="1" x14ac:dyDescent="0.25">
      <c r="A29" s="509"/>
      <c r="B29" s="568"/>
      <c r="C29" s="568"/>
      <c r="D29" s="88"/>
      <c r="E29" s="3513" t="s">
        <v>1745</v>
      </c>
      <c r="F29" s="3512"/>
      <c r="G29" s="3512"/>
      <c r="H29" s="3514"/>
      <c r="I29" s="3514"/>
      <c r="J29" s="3512"/>
      <c r="K29" s="3512"/>
      <c r="L29" s="3512"/>
      <c r="M29" s="3512"/>
      <c r="N29" s="3514"/>
      <c r="O29" s="3512"/>
      <c r="P29" s="3512">
        <v>0.41</v>
      </c>
      <c r="Q29" s="3512"/>
      <c r="R29" s="3512">
        <v>0.39</v>
      </c>
      <c r="S29" s="2239"/>
    </row>
    <row r="30" spans="1:19" hidden="1" x14ac:dyDescent="0.25">
      <c r="A30" s="509"/>
      <c r="B30" s="568"/>
      <c r="C30" s="568"/>
      <c r="D30" s="88" t="s">
        <v>1748</v>
      </c>
      <c r="E30" s="462" t="s">
        <v>1747</v>
      </c>
      <c r="F30" s="1481"/>
      <c r="G30" s="1481"/>
      <c r="H30" s="2240"/>
      <c r="I30" s="2240"/>
      <c r="J30" s="1481"/>
      <c r="K30" s="1481"/>
      <c r="L30" s="1481"/>
      <c r="M30" s="1481"/>
      <c r="N30" s="2240"/>
      <c r="O30" s="1481"/>
      <c r="P30" s="1481">
        <v>0.63</v>
      </c>
      <c r="Q30" s="1481"/>
      <c r="R30" s="1481">
        <v>0.61</v>
      </c>
      <c r="S30" s="2236"/>
    </row>
    <row r="31" spans="1:19" hidden="1" x14ac:dyDescent="0.25">
      <c r="A31" s="509"/>
      <c r="B31" s="568"/>
      <c r="C31" s="568"/>
      <c r="D31" s="95"/>
      <c r="E31" s="461" t="s">
        <v>1742</v>
      </c>
      <c r="F31" s="1484"/>
      <c r="G31" s="1484"/>
      <c r="H31" s="1484"/>
      <c r="I31" s="1484"/>
      <c r="J31" s="1484"/>
      <c r="K31" s="1484"/>
      <c r="L31" s="1484"/>
      <c r="M31" s="1484"/>
      <c r="N31" s="1484"/>
      <c r="O31" s="1484"/>
      <c r="P31" s="1484">
        <v>0.6</v>
      </c>
      <c r="Q31" s="1484"/>
      <c r="R31" s="1484">
        <v>0.66</v>
      </c>
      <c r="S31" s="2236"/>
    </row>
    <row r="32" spans="1:19" hidden="1" x14ac:dyDescent="0.25">
      <c r="A32" s="509"/>
      <c r="B32" s="568"/>
      <c r="C32" s="568"/>
      <c r="D32" s="88"/>
      <c r="E32" s="462"/>
      <c r="F32" s="1481"/>
      <c r="G32" s="1481"/>
      <c r="H32" s="1481"/>
      <c r="I32" s="1481"/>
      <c r="J32" s="1481"/>
      <c r="K32" s="1481"/>
      <c r="L32" s="1481"/>
      <c r="M32" s="1481"/>
      <c r="N32" s="1481"/>
      <c r="O32" s="1481"/>
      <c r="P32" s="1481"/>
      <c r="Q32" s="1481"/>
      <c r="R32" s="1481"/>
      <c r="S32" s="2236"/>
    </row>
    <row r="33" spans="1:21" hidden="1" x14ac:dyDescent="0.25">
      <c r="A33" s="509"/>
      <c r="B33" s="568"/>
      <c r="C33" s="568"/>
      <c r="D33" s="460" t="s">
        <v>862</v>
      </c>
      <c r="E33" s="2241" t="s">
        <v>1750</v>
      </c>
      <c r="F33" s="460"/>
      <c r="G33" s="460"/>
      <c r="J33" s="460"/>
      <c r="L33" s="2234" t="s">
        <v>1738</v>
      </c>
      <c r="M33" s="2242"/>
    </row>
    <row r="34" spans="1:21" ht="15.6" hidden="1" customHeight="1" x14ac:dyDescent="0.25">
      <c r="A34" s="509"/>
      <c r="B34" s="568"/>
      <c r="C34" s="568"/>
      <c r="D34" s="2243" t="s">
        <v>944</v>
      </c>
      <c r="E34" s="5063" t="s">
        <v>1747</v>
      </c>
      <c r="F34" s="5063"/>
      <c r="G34" s="5063"/>
      <c r="H34" s="5063"/>
      <c r="I34" s="5063"/>
      <c r="J34" s="5064"/>
      <c r="K34" s="5065" t="s">
        <v>1745</v>
      </c>
      <c r="L34" s="5063"/>
      <c r="M34" s="5063"/>
      <c r="N34" s="5063"/>
      <c r="O34" s="5063"/>
      <c r="P34" s="474"/>
      <c r="Q34" s="474"/>
      <c r="R34" s="474"/>
      <c r="T34" s="2239"/>
    </row>
    <row r="35" spans="1:21" hidden="1" x14ac:dyDescent="0.25">
      <c r="A35" s="509"/>
      <c r="B35" s="568"/>
      <c r="C35" s="568"/>
      <c r="D35" s="474"/>
      <c r="E35" s="2030">
        <v>2000</v>
      </c>
      <c r="F35" s="2030">
        <v>2005</v>
      </c>
      <c r="G35" s="2030">
        <v>2008</v>
      </c>
      <c r="H35" s="2030">
        <v>2009</v>
      </c>
      <c r="I35" s="2030"/>
      <c r="J35" s="2244">
        <v>2010</v>
      </c>
      <c r="K35" s="2030">
        <v>2000</v>
      </c>
      <c r="L35" s="2030">
        <v>2005</v>
      </c>
      <c r="M35" s="2030">
        <v>2008</v>
      </c>
      <c r="N35" s="2030">
        <v>2009</v>
      </c>
      <c r="O35" s="2030">
        <v>2010</v>
      </c>
      <c r="P35" s="1605"/>
      <c r="Q35" s="1605"/>
      <c r="R35" s="1605"/>
      <c r="T35" s="2239"/>
    </row>
    <row r="36" spans="1:21" hidden="1" x14ac:dyDescent="0.25">
      <c r="A36" s="509"/>
      <c r="B36" s="568"/>
      <c r="C36" s="568"/>
      <c r="D36" s="1613" t="s">
        <v>276</v>
      </c>
      <c r="E36" s="2245"/>
      <c r="F36" s="2245"/>
      <c r="G36" s="2245">
        <v>0.67</v>
      </c>
      <c r="H36" s="2245"/>
      <c r="I36" s="2245"/>
      <c r="J36" s="2246">
        <v>0.69</v>
      </c>
      <c r="K36" s="2247"/>
      <c r="L36" s="2245"/>
      <c r="M36" s="2245">
        <v>0.7</v>
      </c>
      <c r="N36" s="2245"/>
      <c r="O36" s="2245">
        <v>0.7</v>
      </c>
      <c r="P36" s="2248"/>
      <c r="Q36" s="5060"/>
      <c r="R36" s="5060"/>
      <c r="T36" s="2239"/>
    </row>
    <row r="37" spans="1:21" hidden="1" x14ac:dyDescent="0.25">
      <c r="A37" s="509"/>
      <c r="B37" s="568"/>
      <c r="C37" s="568"/>
      <c r="D37" s="1613" t="s">
        <v>277</v>
      </c>
      <c r="E37" s="2245"/>
      <c r="F37" s="2245"/>
      <c r="G37" s="2245">
        <v>0.68</v>
      </c>
      <c r="H37" s="2245"/>
      <c r="I37" s="2245"/>
      <c r="J37" s="2246">
        <v>0.69</v>
      </c>
      <c r="K37" s="2247"/>
      <c r="L37" s="2245"/>
      <c r="M37" s="2245">
        <v>0.64</v>
      </c>
      <c r="N37" s="2245"/>
      <c r="O37" s="2245">
        <v>0.72</v>
      </c>
      <c r="P37" s="478"/>
      <c r="Q37" s="2249"/>
      <c r="R37" s="2249"/>
      <c r="T37" s="2239"/>
    </row>
    <row r="38" spans="1:21" hidden="1" x14ac:dyDescent="0.25">
      <c r="A38" s="509"/>
      <c r="B38" s="568"/>
      <c r="C38" s="568"/>
      <c r="D38" s="1613" t="s">
        <v>1751</v>
      </c>
      <c r="E38" s="2245"/>
      <c r="F38" s="2245"/>
      <c r="G38" s="2245">
        <v>0.67</v>
      </c>
      <c r="H38" s="2245"/>
      <c r="I38" s="2245"/>
      <c r="J38" s="2246">
        <v>0.61</v>
      </c>
      <c r="K38" s="2247"/>
      <c r="L38" s="2245"/>
      <c r="M38" s="2245">
        <v>0.61</v>
      </c>
      <c r="N38" s="2245"/>
      <c r="O38" s="2245">
        <v>0.7</v>
      </c>
      <c r="P38" s="478"/>
      <c r="Q38" s="2250"/>
      <c r="R38" s="2250"/>
      <c r="T38" s="2251"/>
    </row>
    <row r="39" spans="1:21" hidden="1" x14ac:dyDescent="0.25">
      <c r="A39" s="509"/>
      <c r="B39" s="568"/>
      <c r="C39" s="568"/>
      <c r="D39" s="1613" t="s">
        <v>641</v>
      </c>
      <c r="E39" s="2245"/>
      <c r="F39" s="2245"/>
      <c r="G39" s="2245">
        <v>0.72</v>
      </c>
      <c r="H39" s="2245"/>
      <c r="I39" s="2245"/>
      <c r="J39" s="2246">
        <v>0.72</v>
      </c>
      <c r="K39" s="2247"/>
      <c r="L39" s="2245"/>
      <c r="M39" s="2245">
        <v>0.78</v>
      </c>
      <c r="N39" s="2245"/>
      <c r="O39" s="2245">
        <v>0.69</v>
      </c>
      <c r="P39" s="478"/>
      <c r="Q39" s="2250"/>
      <c r="R39" s="2250"/>
    </row>
    <row r="40" spans="1:21" hidden="1" x14ac:dyDescent="0.25">
      <c r="A40" s="509"/>
      <c r="B40" s="568"/>
      <c r="C40" s="568"/>
      <c r="D40" s="1613" t="s">
        <v>280</v>
      </c>
      <c r="E40" s="2245"/>
      <c r="F40" s="2245"/>
      <c r="G40" s="2245">
        <v>0.71</v>
      </c>
      <c r="H40" s="2245"/>
      <c r="I40" s="2245"/>
      <c r="J40" s="2246">
        <v>0.67</v>
      </c>
      <c r="K40" s="2247"/>
      <c r="L40" s="2245"/>
      <c r="M40" s="2245">
        <v>0.69</v>
      </c>
      <c r="N40" s="2245"/>
      <c r="O40" s="2245">
        <v>0.66</v>
      </c>
      <c r="P40" s="478"/>
      <c r="Q40" s="2250"/>
      <c r="R40" s="2250"/>
      <c r="U40" s="2251"/>
    </row>
    <row r="41" spans="1:21" hidden="1" x14ac:dyDescent="0.25">
      <c r="A41" s="509"/>
      <c r="B41" s="568"/>
      <c r="C41" s="568"/>
      <c r="D41" s="1613" t="s">
        <v>281</v>
      </c>
      <c r="E41" s="2245"/>
      <c r="F41" s="2245"/>
      <c r="G41" s="2245">
        <v>0.68</v>
      </c>
      <c r="H41" s="2245"/>
      <c r="I41" s="2245"/>
      <c r="J41" s="2246">
        <v>0.7</v>
      </c>
      <c r="K41" s="2247"/>
      <c r="L41" s="2245"/>
      <c r="M41" s="2245">
        <v>0.66</v>
      </c>
      <c r="N41" s="2245"/>
      <c r="O41" s="2245">
        <v>0.73</v>
      </c>
      <c r="P41" s="478"/>
      <c r="Q41" s="2250"/>
      <c r="R41" s="2250"/>
    </row>
    <row r="42" spans="1:21" ht="12.75" hidden="1" customHeight="1" x14ac:dyDescent="0.25">
      <c r="A42" s="509"/>
      <c r="B42" s="568"/>
      <c r="C42" s="568"/>
      <c r="D42" s="1613" t="s">
        <v>283</v>
      </c>
      <c r="E42" s="2245"/>
      <c r="F42" s="2245"/>
      <c r="G42" s="2245">
        <v>0.6</v>
      </c>
      <c r="H42" s="2245"/>
      <c r="I42" s="2245"/>
      <c r="J42" s="2246">
        <v>0.63</v>
      </c>
      <c r="K42" s="2247"/>
      <c r="L42" s="2245"/>
      <c r="M42" s="2245">
        <v>0.57999999999999996</v>
      </c>
      <c r="N42" s="2245"/>
      <c r="O42" s="2245">
        <v>0.61</v>
      </c>
      <c r="P42" s="478"/>
      <c r="Q42" s="2250"/>
      <c r="R42" s="2250"/>
    </row>
    <row r="43" spans="1:21" hidden="1" x14ac:dyDescent="0.25">
      <c r="A43" s="509"/>
      <c r="B43" s="568"/>
      <c r="C43" s="568"/>
      <c r="D43" s="1613" t="s">
        <v>282</v>
      </c>
      <c r="E43" s="2245"/>
      <c r="F43" s="2245"/>
      <c r="G43" s="2245">
        <v>0.65</v>
      </c>
      <c r="H43" s="2245"/>
      <c r="I43" s="2245"/>
      <c r="J43" s="2246">
        <v>0.6</v>
      </c>
      <c r="K43" s="2247"/>
      <c r="L43" s="2245"/>
      <c r="M43" s="2245">
        <v>0.66</v>
      </c>
      <c r="N43" s="2245"/>
      <c r="O43" s="2245">
        <v>0.63</v>
      </c>
      <c r="P43" s="478"/>
      <c r="Q43" s="2250"/>
      <c r="R43" s="2250"/>
    </row>
    <row r="44" spans="1:21" hidden="1" x14ac:dyDescent="0.25">
      <c r="A44" s="509"/>
      <c r="B44" s="568"/>
      <c r="C44" s="568"/>
      <c r="D44" s="1613" t="s">
        <v>284</v>
      </c>
      <c r="E44" s="2245"/>
      <c r="F44" s="2245"/>
      <c r="G44" s="2245">
        <v>0.6</v>
      </c>
      <c r="H44" s="2245"/>
      <c r="I44" s="2245"/>
      <c r="J44" s="2246">
        <v>0.62</v>
      </c>
      <c r="K44" s="2247"/>
      <c r="L44" s="2245"/>
      <c r="M44" s="2245">
        <v>0.65</v>
      </c>
      <c r="N44" s="2245"/>
      <c r="O44" s="2245">
        <v>0.64</v>
      </c>
      <c r="P44" s="478"/>
      <c r="Q44" s="2250"/>
      <c r="R44" s="2250"/>
    </row>
    <row r="45" spans="1:21" hidden="1" x14ac:dyDescent="0.25">
      <c r="A45" s="509"/>
      <c r="B45" s="568"/>
      <c r="C45" s="568"/>
      <c r="D45" s="2252" t="s">
        <v>103</v>
      </c>
      <c r="E45" s="2253"/>
      <c r="F45" s="2253"/>
      <c r="G45" s="2253">
        <v>0.7</v>
      </c>
      <c r="H45" s="2253"/>
      <c r="I45" s="2253"/>
      <c r="J45" s="2254">
        <v>0.68</v>
      </c>
      <c r="K45" s="2255"/>
      <c r="L45" s="2253"/>
      <c r="M45" s="2253">
        <v>0.7</v>
      </c>
      <c r="N45" s="2253"/>
      <c r="O45" s="2253">
        <v>0.71</v>
      </c>
      <c r="P45" s="478"/>
      <c r="Q45" s="2250"/>
      <c r="R45" s="2250"/>
    </row>
    <row r="46" spans="1:21" hidden="1" x14ac:dyDescent="0.25">
      <c r="A46" s="509"/>
      <c r="B46" s="568"/>
      <c r="C46" s="568"/>
      <c r="D46" s="1609"/>
      <c r="E46" s="2256"/>
      <c r="F46" s="2256"/>
      <c r="G46" s="2256"/>
      <c r="H46" s="2256"/>
      <c r="I46" s="2256"/>
      <c r="J46" s="2256"/>
      <c r="K46" s="2247"/>
      <c r="L46" s="2256"/>
      <c r="M46" s="2256"/>
      <c r="N46" s="2256"/>
      <c r="O46" s="2256"/>
      <c r="P46" s="478"/>
      <c r="Q46" s="2250"/>
      <c r="R46" s="2250"/>
    </row>
    <row r="47" spans="1:21" hidden="1" x14ac:dyDescent="0.25">
      <c r="A47" s="509"/>
      <c r="B47" s="568"/>
      <c r="C47" s="568"/>
      <c r="D47" s="1609"/>
      <c r="E47" s="2256"/>
      <c r="F47" s="2256"/>
      <c r="G47" s="2256"/>
      <c r="H47" s="2256"/>
      <c r="I47" s="2256"/>
      <c r="J47" s="2256"/>
      <c r="K47" s="2247"/>
      <c r="L47" s="2256"/>
      <c r="M47" s="2256"/>
      <c r="N47" s="2256"/>
      <c r="O47" s="2256"/>
      <c r="P47" s="478"/>
      <c r="Q47" s="2250"/>
      <c r="R47" s="2250"/>
    </row>
    <row r="48" spans="1:21" x14ac:dyDescent="0.25">
      <c r="A48" s="509"/>
      <c r="B48" s="568"/>
      <c r="C48" s="568"/>
      <c r="D48" s="2257" t="s">
        <v>7</v>
      </c>
      <c r="E48" s="2257" t="s">
        <v>1736</v>
      </c>
      <c r="F48" s="72"/>
      <c r="G48" s="72"/>
      <c r="H48" s="72"/>
      <c r="I48" s="72" t="s">
        <v>1137</v>
      </c>
      <c r="J48" s="72"/>
      <c r="K48" s="71"/>
      <c r="L48" s="71"/>
      <c r="M48" s="68"/>
      <c r="N48" s="68"/>
      <c r="O48" s="68"/>
      <c r="R48" s="68"/>
      <c r="S48" s="68"/>
    </row>
    <row r="49" spans="1:20" x14ac:dyDescent="0.25">
      <c r="A49" s="509"/>
      <c r="B49" s="568"/>
      <c r="C49" s="568"/>
      <c r="D49" s="71"/>
      <c r="F49" s="5057" t="s">
        <v>1740</v>
      </c>
      <c r="G49" s="5057"/>
      <c r="H49" s="5057"/>
      <c r="I49" s="5057"/>
      <c r="J49" s="5058"/>
      <c r="K49" s="5059" t="s">
        <v>1745</v>
      </c>
      <c r="L49" s="5057"/>
      <c r="M49" s="5057"/>
      <c r="N49" s="5057"/>
      <c r="O49" s="5057"/>
    </row>
    <row r="50" spans="1:20" x14ac:dyDescent="0.25">
      <c r="A50" s="509"/>
      <c r="B50" s="568"/>
      <c r="C50" s="568"/>
      <c r="D50" s="2003"/>
      <c r="E50" s="1852"/>
      <c r="F50" s="2258">
        <v>2008</v>
      </c>
      <c r="G50" s="2258">
        <v>2010</v>
      </c>
      <c r="H50" s="2258">
        <v>2012</v>
      </c>
      <c r="I50" s="2258" t="s">
        <v>27</v>
      </c>
      <c r="J50" s="2259">
        <v>2017</v>
      </c>
      <c r="K50" s="2260">
        <v>2008</v>
      </c>
      <c r="L50" s="2258">
        <v>2010</v>
      </c>
      <c r="M50" s="2258">
        <v>2012</v>
      </c>
      <c r="N50" s="2258" t="s">
        <v>27</v>
      </c>
      <c r="O50" s="2261">
        <v>2017</v>
      </c>
    </row>
    <row r="51" spans="1:20" ht="14.25" customHeight="1" x14ac:dyDescent="0.25">
      <c r="A51" s="509"/>
      <c r="B51" s="568"/>
      <c r="C51" s="568"/>
      <c r="D51" s="71" t="s">
        <v>1739</v>
      </c>
      <c r="E51" s="2262" t="s">
        <v>103</v>
      </c>
      <c r="F51" s="2263" t="s">
        <v>1752</v>
      </c>
      <c r="G51" s="2263" t="s">
        <v>1753</v>
      </c>
      <c r="H51" s="2263" t="s">
        <v>1754</v>
      </c>
      <c r="I51" s="2263" t="s">
        <v>1755</v>
      </c>
      <c r="J51" s="3614" t="s">
        <v>1754</v>
      </c>
      <c r="K51" s="2264" t="s">
        <v>1752</v>
      </c>
      <c r="L51" s="2263" t="s">
        <v>1756</v>
      </c>
      <c r="M51" s="2263" t="s">
        <v>1754</v>
      </c>
      <c r="N51" s="2263" t="s">
        <v>1754</v>
      </c>
      <c r="O51" s="2263" t="s">
        <v>1753</v>
      </c>
    </row>
    <row r="52" spans="1:20" ht="14.25" customHeight="1" x14ac:dyDescent="0.25">
      <c r="A52" s="509"/>
      <c r="B52" s="568"/>
      <c r="C52" s="568"/>
      <c r="E52" s="2265" t="s">
        <v>937</v>
      </c>
      <c r="F52" s="2266" t="s">
        <v>1757</v>
      </c>
      <c r="G52" s="2266" t="s">
        <v>1757</v>
      </c>
      <c r="H52" s="2266" t="s">
        <v>1758</v>
      </c>
      <c r="I52" s="2266" t="s">
        <v>1759</v>
      </c>
      <c r="J52" s="2267" t="s">
        <v>1760</v>
      </c>
      <c r="K52" s="2268" t="s">
        <v>1757</v>
      </c>
      <c r="L52" s="2266" t="s">
        <v>1760</v>
      </c>
      <c r="M52" s="2266" t="s">
        <v>1758</v>
      </c>
      <c r="N52" s="2266" t="s">
        <v>1758</v>
      </c>
      <c r="O52" s="2266" t="s">
        <v>1758</v>
      </c>
    </row>
    <row r="53" spans="1:20" ht="14.25" customHeight="1" x14ac:dyDescent="0.25">
      <c r="A53" s="509"/>
      <c r="B53" s="568"/>
      <c r="C53" s="568"/>
      <c r="E53" s="2269" t="s">
        <v>1307</v>
      </c>
      <c r="F53" s="2266" t="s">
        <v>1761</v>
      </c>
      <c r="G53" s="2266" t="s">
        <v>1762</v>
      </c>
      <c r="H53" s="2266" t="s">
        <v>1763</v>
      </c>
      <c r="I53" s="2266" t="s">
        <v>1763</v>
      </c>
      <c r="J53" s="2267" t="s">
        <v>1763</v>
      </c>
      <c r="K53" s="2268" t="s">
        <v>1762</v>
      </c>
      <c r="L53" s="2266" t="s">
        <v>1760</v>
      </c>
      <c r="M53" s="2266" t="s">
        <v>1764</v>
      </c>
      <c r="N53" s="2266" t="s">
        <v>1765</v>
      </c>
      <c r="O53" s="2266" t="s">
        <v>1761</v>
      </c>
    </row>
    <row r="54" spans="1:20" ht="14.25" customHeight="1" x14ac:dyDescent="0.25">
      <c r="A54" s="509"/>
      <c r="B54" s="568"/>
      <c r="C54" s="568"/>
      <c r="E54" s="2269" t="s">
        <v>1741</v>
      </c>
      <c r="F54" s="2266" t="s">
        <v>1759</v>
      </c>
      <c r="G54" s="2266" t="s">
        <v>1763</v>
      </c>
      <c r="H54" s="2266" t="s">
        <v>1766</v>
      </c>
      <c r="I54" s="2266" t="s">
        <v>1762</v>
      </c>
      <c r="J54" s="2267" t="s">
        <v>1763</v>
      </c>
      <c r="K54" s="2268" t="s">
        <v>1761</v>
      </c>
      <c r="L54" s="2266" t="s">
        <v>1767</v>
      </c>
      <c r="M54" s="2266" t="s">
        <v>1761</v>
      </c>
      <c r="N54" s="2266" t="s">
        <v>1765</v>
      </c>
      <c r="O54" s="2266" t="s">
        <v>1754</v>
      </c>
    </row>
    <row r="55" spans="1:20" ht="14.25" customHeight="1" x14ac:dyDescent="0.25">
      <c r="A55" s="509"/>
      <c r="B55" s="568"/>
      <c r="C55" s="568"/>
      <c r="D55" s="141"/>
      <c r="E55" s="2270" t="s">
        <v>938</v>
      </c>
      <c r="F55" s="2271" t="s">
        <v>1768</v>
      </c>
      <c r="G55" s="2271" t="s">
        <v>1769</v>
      </c>
      <c r="H55" s="2271" t="s">
        <v>1768</v>
      </c>
      <c r="I55" s="2271" t="s">
        <v>1770</v>
      </c>
      <c r="J55" s="2272" t="s">
        <v>1771</v>
      </c>
      <c r="K55" s="2273" t="s">
        <v>1772</v>
      </c>
      <c r="L55" s="2271" t="s">
        <v>1771</v>
      </c>
      <c r="M55" s="2271" t="s">
        <v>1767</v>
      </c>
      <c r="N55" s="2271" t="s">
        <v>1773</v>
      </c>
      <c r="O55" s="2271" t="s">
        <v>1774</v>
      </c>
    </row>
    <row r="56" spans="1:20" ht="14.25" customHeight="1" x14ac:dyDescent="0.25">
      <c r="A56" s="509"/>
      <c r="B56" s="568"/>
      <c r="C56" s="568"/>
      <c r="D56" s="87"/>
      <c r="E56" s="71"/>
      <c r="F56" s="2235"/>
      <c r="L56" s="2236"/>
    </row>
    <row r="57" spans="1:20" s="351" customFormat="1" x14ac:dyDescent="0.25">
      <c r="A57" s="2274"/>
      <c r="B57" s="2275"/>
      <c r="C57" s="2275"/>
      <c r="D57" s="2276" t="s">
        <v>663</v>
      </c>
      <c r="E57" s="2277" t="s">
        <v>1750</v>
      </c>
      <c r="F57" s="2276"/>
      <c r="G57" s="2278"/>
      <c r="J57" s="2278"/>
      <c r="K57" s="2278" t="s">
        <v>1137</v>
      </c>
      <c r="L57" s="2279"/>
      <c r="M57" s="2242"/>
    </row>
    <row r="58" spans="1:20" s="351" customFormat="1" ht="15.6" customHeight="1" x14ac:dyDescent="0.25">
      <c r="A58" s="2274"/>
      <c r="B58" s="2275"/>
      <c r="C58" s="2275"/>
      <c r="D58" s="2280" t="s">
        <v>944</v>
      </c>
      <c r="E58" s="5057" t="s">
        <v>1775</v>
      </c>
      <c r="F58" s="5057"/>
      <c r="G58" s="5057"/>
      <c r="H58" s="5057"/>
      <c r="I58" s="5057"/>
      <c r="J58" s="5058"/>
      <c r="K58" s="5057" t="s">
        <v>1776</v>
      </c>
      <c r="L58" s="5057"/>
      <c r="M58" s="5057"/>
      <c r="N58" s="5057"/>
      <c r="O58" s="5057"/>
      <c r="P58" s="5057"/>
      <c r="Q58" s="2276"/>
      <c r="R58" s="2276"/>
      <c r="T58" s="2279"/>
    </row>
    <row r="59" spans="1:20" s="351" customFormat="1" x14ac:dyDescent="0.25">
      <c r="A59" s="2274"/>
      <c r="B59" s="2275"/>
      <c r="C59" s="2275"/>
      <c r="D59" s="2281"/>
      <c r="E59" s="2282">
        <v>2008</v>
      </c>
      <c r="F59" s="2282">
        <v>2010</v>
      </c>
      <c r="G59" s="2282">
        <v>2012</v>
      </c>
      <c r="H59" s="2282" t="s">
        <v>27</v>
      </c>
      <c r="I59" s="2283">
        <v>2017</v>
      </c>
      <c r="J59" s="2284">
        <v>2018</v>
      </c>
      <c r="K59" s="2282">
        <v>2008</v>
      </c>
      <c r="L59" s="2282">
        <v>2010</v>
      </c>
      <c r="M59" s="2282">
        <v>2012</v>
      </c>
      <c r="N59" s="2282" t="s">
        <v>27</v>
      </c>
      <c r="O59" s="2283">
        <v>2017</v>
      </c>
      <c r="P59" s="2284">
        <v>2018</v>
      </c>
      <c r="Q59" s="2285"/>
      <c r="R59" s="2285"/>
      <c r="T59" s="2279"/>
    </row>
    <row r="60" spans="1:20" s="351" customFormat="1" x14ac:dyDescent="0.25">
      <c r="A60" s="2274"/>
      <c r="B60" s="2275"/>
      <c r="C60" s="2275"/>
      <c r="D60" s="2286" t="s">
        <v>103</v>
      </c>
      <c r="E60" s="2287">
        <v>0.7</v>
      </c>
      <c r="F60" s="2287">
        <v>0.68</v>
      </c>
      <c r="G60" s="2287">
        <v>0.67</v>
      </c>
      <c r="H60" s="2287">
        <v>0.65</v>
      </c>
      <c r="I60" s="2288">
        <v>0.67</v>
      </c>
      <c r="J60" s="2289"/>
      <c r="K60" s="2287">
        <v>0.7</v>
      </c>
      <c r="L60" s="2287">
        <v>0.71</v>
      </c>
      <c r="M60" s="2287">
        <v>0.67</v>
      </c>
      <c r="N60" s="2287">
        <v>0.67</v>
      </c>
      <c r="O60" s="2288">
        <v>0.68</v>
      </c>
      <c r="P60" s="2289">
        <v>0.68</v>
      </c>
      <c r="Q60" s="2290"/>
      <c r="R60" s="2290"/>
    </row>
    <row r="61" spans="1:20" s="351" customFormat="1" x14ac:dyDescent="0.25">
      <c r="A61" s="2274"/>
      <c r="B61" s="2275"/>
      <c r="C61" s="2275"/>
      <c r="D61" s="2291"/>
      <c r="E61" s="2292"/>
      <c r="F61" s="2292"/>
      <c r="G61" s="2292"/>
      <c r="H61" s="2292"/>
      <c r="I61" s="2292"/>
      <c r="J61" s="2292"/>
      <c r="K61" s="2292"/>
      <c r="L61" s="2292"/>
      <c r="M61" s="2292"/>
      <c r="N61" s="2293"/>
      <c r="O61" s="2294"/>
      <c r="P61" s="2295"/>
      <c r="Q61" s="2290"/>
      <c r="R61" s="2290"/>
    </row>
    <row r="62" spans="1:20" s="351" customFormat="1" x14ac:dyDescent="0.25">
      <c r="A62" s="2274"/>
      <c r="B62" s="2275"/>
      <c r="C62" s="2275"/>
      <c r="D62" s="2296" t="s">
        <v>103</v>
      </c>
      <c r="E62" s="2287">
        <v>0.7</v>
      </c>
      <c r="F62" s="2287">
        <v>0.72</v>
      </c>
      <c r="G62" s="2287">
        <v>0.7</v>
      </c>
      <c r="H62" s="2288">
        <v>0.69</v>
      </c>
      <c r="I62" s="2287"/>
      <c r="J62" s="2287">
        <v>0.64</v>
      </c>
      <c r="K62" s="2287">
        <v>0.67</v>
      </c>
      <c r="L62" s="2287">
        <v>0.63</v>
      </c>
      <c r="M62" s="2287">
        <v>0.65</v>
      </c>
      <c r="N62" s="2293"/>
      <c r="O62" s="2294"/>
      <c r="P62" s="2295"/>
      <c r="Q62" s="2290"/>
      <c r="R62" s="2290"/>
    </row>
    <row r="76" spans="1:20" x14ac:dyDescent="0.25">
      <c r="A76" s="509"/>
      <c r="B76" s="568"/>
      <c r="C76" s="568"/>
      <c r="D76" s="1613"/>
      <c r="E76" s="2297"/>
      <c r="F76" s="2298"/>
      <c r="G76" s="2299"/>
      <c r="H76" s="2300"/>
      <c r="I76" s="2300"/>
      <c r="J76" s="2301"/>
      <c r="K76" s="2302"/>
      <c r="L76" s="88"/>
      <c r="M76" s="1609"/>
      <c r="N76" s="2303"/>
      <c r="O76" s="2304"/>
      <c r="P76" s="2305"/>
      <c r="Q76" s="2306"/>
      <c r="R76" s="2307"/>
      <c r="S76" s="2239"/>
    </row>
    <row r="77" spans="1:20" x14ac:dyDescent="0.25">
      <c r="A77" s="509"/>
      <c r="B77" s="568"/>
      <c r="C77" s="568"/>
      <c r="D77" s="1613"/>
      <c r="E77" s="2297"/>
      <c r="F77" s="2298"/>
      <c r="G77" s="2299"/>
      <c r="H77" s="2300"/>
      <c r="I77" s="2300"/>
      <c r="J77" s="2301"/>
      <c r="K77" s="2302"/>
      <c r="L77" s="88"/>
      <c r="M77" s="1609"/>
      <c r="N77" s="2303"/>
      <c r="O77" s="2304"/>
      <c r="P77" s="2305"/>
      <c r="Q77" s="2306"/>
      <c r="R77" s="2307"/>
      <c r="S77" s="2239"/>
    </row>
    <row r="78" spans="1:20" x14ac:dyDescent="0.25">
      <c r="A78" s="509">
        <v>5</v>
      </c>
      <c r="B78" s="509" t="s">
        <v>52</v>
      </c>
      <c r="C78" s="2308"/>
      <c r="D78" s="5056" t="s">
        <v>1059</v>
      </c>
      <c r="E78" s="4604"/>
      <c r="F78" s="4604"/>
      <c r="G78" s="4604"/>
      <c r="H78" s="4604"/>
      <c r="I78" s="4604"/>
      <c r="J78" s="4604"/>
      <c r="K78" s="4604"/>
      <c r="L78" s="4604"/>
      <c r="M78" s="4604"/>
      <c r="N78" s="4604"/>
      <c r="O78" s="4604"/>
      <c r="P78" s="4604"/>
      <c r="Q78" s="4604"/>
      <c r="R78" s="4604"/>
      <c r="S78" s="4605"/>
    </row>
    <row r="79" spans="1:20" ht="32.1" customHeight="1" x14ac:dyDescent="0.25">
      <c r="A79" s="546">
        <v>6</v>
      </c>
      <c r="B79" s="546" t="s">
        <v>54</v>
      </c>
      <c r="C79" s="2308"/>
      <c r="D79" s="5056" t="s">
        <v>1777</v>
      </c>
      <c r="E79" s="4604"/>
      <c r="F79" s="4604"/>
      <c r="G79" s="4604"/>
      <c r="H79" s="4604"/>
      <c r="I79" s="4604"/>
      <c r="J79" s="4604"/>
      <c r="K79" s="4604"/>
      <c r="L79" s="4604"/>
      <c r="M79" s="4604"/>
      <c r="N79" s="4604"/>
      <c r="O79" s="4604"/>
      <c r="P79" s="4604"/>
      <c r="Q79" s="4604"/>
      <c r="R79" s="4604"/>
      <c r="S79" s="4605"/>
    </row>
    <row r="80" spans="1:20" ht="16.5" customHeight="1" x14ac:dyDescent="0.25">
      <c r="A80" s="509">
        <v>7</v>
      </c>
      <c r="B80" s="509" t="s">
        <v>56</v>
      </c>
      <c r="C80" s="2308"/>
      <c r="D80" s="5056" t="s">
        <v>1778</v>
      </c>
      <c r="E80" s="4604"/>
      <c r="F80" s="4604"/>
      <c r="G80" s="4604"/>
      <c r="H80" s="4604"/>
      <c r="I80" s="4604"/>
      <c r="J80" s="4604"/>
      <c r="K80" s="4604"/>
      <c r="L80" s="4604"/>
      <c r="M80" s="4604"/>
      <c r="N80" s="4604"/>
      <c r="O80" s="4604"/>
      <c r="P80" s="4604"/>
      <c r="Q80" s="4604"/>
      <c r="R80" s="4604"/>
      <c r="S80" s="4605"/>
      <c r="T80" s="2309"/>
    </row>
    <row r="81" spans="1:20" ht="128.1" customHeight="1" x14ac:dyDescent="0.25">
      <c r="A81" s="509">
        <v>8</v>
      </c>
      <c r="B81" s="509" t="s">
        <v>1719</v>
      </c>
      <c r="C81" s="2308"/>
      <c r="D81" s="5056" t="s">
        <v>1779</v>
      </c>
      <c r="E81" s="4604"/>
      <c r="F81" s="4604"/>
      <c r="G81" s="4604"/>
      <c r="H81" s="4604"/>
      <c r="I81" s="4604"/>
      <c r="J81" s="4604"/>
      <c r="K81" s="4604"/>
      <c r="L81" s="4604"/>
      <c r="M81" s="4604"/>
      <c r="N81" s="4604"/>
      <c r="O81" s="4604"/>
      <c r="P81" s="4604"/>
      <c r="Q81" s="4604"/>
      <c r="R81" s="4604"/>
      <c r="S81" s="4605"/>
      <c r="T81" s="2310"/>
    </row>
    <row r="82" spans="1:20" x14ac:dyDescent="0.25">
      <c r="A82" s="4"/>
      <c r="B82" s="4"/>
      <c r="C82" s="509"/>
    </row>
    <row r="83" spans="1:20" ht="29.25" customHeight="1" x14ac:dyDescent="0.25">
      <c r="A83" s="4"/>
      <c r="B83" s="4"/>
      <c r="C83" s="546"/>
    </row>
    <row r="84" spans="1:20" ht="12.75" customHeight="1" x14ac:dyDescent="0.25">
      <c r="A84" s="4"/>
      <c r="B84" s="4"/>
      <c r="C84" s="546"/>
    </row>
    <row r="85" spans="1:20" ht="40.5" customHeight="1" x14ac:dyDescent="0.25">
      <c r="A85" s="4"/>
      <c r="B85" s="4"/>
      <c r="C85" s="4"/>
    </row>
    <row r="86" spans="1:20" x14ac:dyDescent="0.25">
      <c r="B86" s="4"/>
      <c r="C86" s="4"/>
    </row>
    <row r="87" spans="1:20" x14ac:dyDescent="0.25">
      <c r="B87" s="4"/>
      <c r="C87" s="4"/>
    </row>
    <row r="88" spans="1:20" x14ac:dyDescent="0.25">
      <c r="A88" s="509"/>
      <c r="B88" s="4"/>
      <c r="C88" s="4"/>
    </row>
    <row r="89" spans="1:20" ht="15.6" customHeight="1" x14ac:dyDescent="0.25">
      <c r="A89" s="509"/>
      <c r="B89" s="4"/>
      <c r="C89" s="4"/>
    </row>
    <row r="90" spans="1:20" x14ac:dyDescent="0.25">
      <c r="A90" s="509"/>
      <c r="B90" s="4"/>
      <c r="C90" s="4"/>
    </row>
    <row r="91" spans="1:20" x14ac:dyDescent="0.25">
      <c r="A91" s="509"/>
      <c r="B91" s="4"/>
      <c r="C91" s="4"/>
    </row>
    <row r="92" spans="1:20" x14ac:dyDescent="0.25">
      <c r="A92" s="509"/>
      <c r="B92" s="4"/>
      <c r="C92" s="4"/>
    </row>
    <row r="93" spans="1:20" x14ac:dyDescent="0.25">
      <c r="A93" s="509"/>
      <c r="B93" s="4"/>
      <c r="C93" s="4"/>
    </row>
    <row r="94" spans="1:20" x14ac:dyDescent="0.25">
      <c r="A94" s="509"/>
      <c r="B94" s="4"/>
      <c r="C94" s="4"/>
    </row>
    <row r="95" spans="1:20" x14ac:dyDescent="0.25">
      <c r="A95" s="509"/>
      <c r="B95" s="4"/>
      <c r="C95" s="4"/>
    </row>
    <row r="96" spans="1:20" x14ac:dyDescent="0.25">
      <c r="A96" s="509"/>
      <c r="B96" s="4"/>
      <c r="C96" s="4"/>
    </row>
    <row r="97" spans="1:3" ht="12.75" customHeight="1" x14ac:dyDescent="0.25">
      <c r="A97" s="509"/>
      <c r="B97" s="4"/>
      <c r="C97" s="4"/>
    </row>
    <row r="98" spans="1:3" x14ac:dyDescent="0.25">
      <c r="A98" s="509"/>
      <c r="B98" s="4"/>
      <c r="C98" s="4"/>
    </row>
    <row r="99" spans="1:3" x14ac:dyDescent="0.25">
      <c r="A99" s="509"/>
      <c r="B99" s="4"/>
      <c r="C99" s="4"/>
    </row>
    <row r="100" spans="1:3" x14ac:dyDescent="0.25">
      <c r="A100" s="509"/>
      <c r="B100" s="4"/>
      <c r="C100" s="4"/>
    </row>
    <row r="101" spans="1:3" x14ac:dyDescent="0.25">
      <c r="B101" s="4"/>
      <c r="C101" s="4"/>
    </row>
    <row r="102" spans="1:3" x14ac:dyDescent="0.25">
      <c r="B102" s="4"/>
      <c r="C102" s="4"/>
    </row>
    <row r="103" spans="1:3" x14ac:dyDescent="0.25">
      <c r="B103" s="4"/>
      <c r="C103" s="4"/>
    </row>
    <row r="104" spans="1:3" x14ac:dyDescent="0.25">
      <c r="B104" s="4"/>
      <c r="C104" s="4"/>
    </row>
    <row r="105" spans="1:3" x14ac:dyDescent="0.25">
      <c r="B105" s="4"/>
      <c r="C105" s="4"/>
    </row>
    <row r="106" spans="1:3" x14ac:dyDescent="0.25">
      <c r="B106" s="4"/>
      <c r="C106" s="4"/>
    </row>
    <row r="107" spans="1:3" x14ac:dyDescent="0.25">
      <c r="B107" s="4"/>
      <c r="C107" s="4"/>
    </row>
    <row r="108" spans="1:3" x14ac:dyDescent="0.25">
      <c r="B108" s="4"/>
      <c r="C108" s="4"/>
    </row>
  </sheetData>
  <mergeCells count="14">
    <mergeCell ref="Q36:R36"/>
    <mergeCell ref="D2:S2"/>
    <mergeCell ref="D3:S3"/>
    <mergeCell ref="D4:S4"/>
    <mergeCell ref="E34:J34"/>
    <mergeCell ref="K34:O34"/>
    <mergeCell ref="D80:S80"/>
    <mergeCell ref="D81:S81"/>
    <mergeCell ref="F49:J49"/>
    <mergeCell ref="K49:O49"/>
    <mergeCell ref="E58:J58"/>
    <mergeCell ref="K58:P58"/>
    <mergeCell ref="D78:S78"/>
    <mergeCell ref="D79:S79"/>
  </mergeCells>
  <pageMargins left="0.74803149606299202" right="0.74803149606299202" top="0.98425196850393704" bottom="0.98425196850393704" header="0.511811023622047" footer="0.511811023622047"/>
  <pageSetup paperSize="9" scale="62"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E117A-AEBC-407B-BACD-0A771522DF22}">
  <sheetPr>
    <tabColor rgb="FFFF0000"/>
    <pageSetUpPr fitToPage="1"/>
  </sheetPr>
  <dimension ref="A1:Q43"/>
  <sheetViews>
    <sheetView showGridLines="0" view="pageBreakPreview" zoomScaleNormal="100" zoomScaleSheetLayoutView="100" workbookViewId="0">
      <selection activeCell="X19" sqref="X19"/>
    </sheetView>
  </sheetViews>
  <sheetFormatPr defaultColWidth="9.140625" defaultRowHeight="15" x14ac:dyDescent="0.25"/>
  <cols>
    <col min="1" max="1" width="3.85546875" style="821" customWidth="1"/>
    <col min="2" max="2" width="14.42578125" style="1640" customWidth="1"/>
    <col min="3" max="3" width="3.42578125" style="1640" customWidth="1"/>
    <col min="4" max="4" width="14.140625" style="113" customWidth="1"/>
    <col min="5" max="5" width="10.42578125" style="113" customWidth="1"/>
    <col min="6" max="6" width="9.140625" style="113" customWidth="1"/>
    <col min="7" max="12" width="9.42578125" style="113" customWidth="1"/>
    <col min="13" max="239" width="9.140625" style="113"/>
    <col min="240" max="240" width="3.85546875" style="113" customWidth="1"/>
    <col min="241" max="241" width="14.42578125" style="113" customWidth="1"/>
    <col min="242" max="242" width="6.42578125" style="113" customWidth="1"/>
    <col min="243" max="243" width="23.85546875" style="113" customWidth="1"/>
    <col min="244" max="244" width="6.140625" style="113" customWidth="1"/>
    <col min="245" max="257" width="5.42578125" style="113" customWidth="1"/>
    <col min="258" max="258" width="6.42578125" style="113" customWidth="1"/>
    <col min="259" max="259" width="6.140625" style="113" customWidth="1"/>
    <col min="260" max="260" width="12.85546875" style="113" bestFit="1" customWidth="1"/>
    <col min="261" max="261" width="13.42578125" style="113" bestFit="1" customWidth="1"/>
    <col min="262" max="262" width="6.85546875" style="113" customWidth="1"/>
    <col min="263" max="263" width="10.42578125" style="113" customWidth="1"/>
    <col min="264" max="264" width="10.140625" style="113" customWidth="1"/>
    <col min="265" max="495" width="9.140625" style="113"/>
    <col min="496" max="496" width="3.85546875" style="113" customWidth="1"/>
    <col min="497" max="497" width="14.42578125" style="113" customWidth="1"/>
    <col min="498" max="498" width="6.42578125" style="113" customWidth="1"/>
    <col min="499" max="499" width="23.85546875" style="113" customWidth="1"/>
    <col min="500" max="500" width="6.140625" style="113" customWidth="1"/>
    <col min="501" max="513" width="5.42578125" style="113" customWidth="1"/>
    <col min="514" max="514" width="6.42578125" style="113" customWidth="1"/>
    <col min="515" max="515" width="6.140625" style="113" customWidth="1"/>
    <col min="516" max="516" width="12.85546875" style="113" bestFit="1" customWidth="1"/>
    <col min="517" max="517" width="13.42578125" style="113" bestFit="1" customWidth="1"/>
    <col min="518" max="518" width="6.85546875" style="113" customWidth="1"/>
    <col min="519" max="519" width="10.42578125" style="113" customWidth="1"/>
    <col min="520" max="520" width="10.140625" style="113" customWidth="1"/>
    <col min="521" max="751" width="9.140625" style="113"/>
    <col min="752" max="752" width="3.85546875" style="113" customWidth="1"/>
    <col min="753" max="753" width="14.42578125" style="113" customWidth="1"/>
    <col min="754" max="754" width="6.42578125" style="113" customWidth="1"/>
    <col min="755" max="755" width="23.85546875" style="113" customWidth="1"/>
    <col min="756" max="756" width="6.140625" style="113" customWidth="1"/>
    <col min="757" max="769" width="5.42578125" style="113" customWidth="1"/>
    <col min="770" max="770" width="6.42578125" style="113" customWidth="1"/>
    <col min="771" max="771" width="6.140625" style="113" customWidth="1"/>
    <col min="772" max="772" width="12.85546875" style="113" bestFit="1" customWidth="1"/>
    <col min="773" max="773" width="13.42578125" style="113" bestFit="1" customWidth="1"/>
    <col min="774" max="774" width="6.85546875" style="113" customWidth="1"/>
    <col min="775" max="775" width="10.42578125" style="113" customWidth="1"/>
    <col min="776" max="776" width="10.140625" style="113" customWidth="1"/>
    <col min="777" max="1007" width="9.140625" style="113"/>
    <col min="1008" max="1008" width="3.85546875" style="113" customWidth="1"/>
    <col min="1009" max="1009" width="14.42578125" style="113" customWidth="1"/>
    <col min="1010" max="1010" width="6.42578125" style="113" customWidth="1"/>
    <col min="1011" max="1011" width="23.85546875" style="113" customWidth="1"/>
    <col min="1012" max="1012" width="6.140625" style="113" customWidth="1"/>
    <col min="1013" max="1025" width="5.42578125" style="113" customWidth="1"/>
    <col min="1026" max="1026" width="6.42578125" style="113" customWidth="1"/>
    <col min="1027" max="1027" width="6.140625" style="113" customWidth="1"/>
    <col min="1028" max="1028" width="12.85546875" style="113" bestFit="1" customWidth="1"/>
    <col min="1029" max="1029" width="13.42578125" style="113" bestFit="1" customWidth="1"/>
    <col min="1030" max="1030" width="6.85546875" style="113" customWidth="1"/>
    <col min="1031" max="1031" width="10.42578125" style="113" customWidth="1"/>
    <col min="1032" max="1032" width="10.140625" style="113" customWidth="1"/>
    <col min="1033" max="1263" width="9.140625" style="113"/>
    <col min="1264" max="1264" width="3.85546875" style="113" customWidth="1"/>
    <col min="1265" max="1265" width="14.42578125" style="113" customWidth="1"/>
    <col min="1266" max="1266" width="6.42578125" style="113" customWidth="1"/>
    <col min="1267" max="1267" width="23.85546875" style="113" customWidth="1"/>
    <col min="1268" max="1268" width="6.140625" style="113" customWidth="1"/>
    <col min="1269" max="1281" width="5.42578125" style="113" customWidth="1"/>
    <col min="1282" max="1282" width="6.42578125" style="113" customWidth="1"/>
    <col min="1283" max="1283" width="6.140625" style="113" customWidth="1"/>
    <col min="1284" max="1284" width="12.85546875" style="113" bestFit="1" customWidth="1"/>
    <col min="1285" max="1285" width="13.42578125" style="113" bestFit="1" customWidth="1"/>
    <col min="1286" max="1286" width="6.85546875" style="113" customWidth="1"/>
    <col min="1287" max="1287" width="10.42578125" style="113" customWidth="1"/>
    <col min="1288" max="1288" width="10.140625" style="113" customWidth="1"/>
    <col min="1289" max="1519" width="9.140625" style="113"/>
    <col min="1520" max="1520" width="3.85546875" style="113" customWidth="1"/>
    <col min="1521" max="1521" width="14.42578125" style="113" customWidth="1"/>
    <col min="1522" max="1522" width="6.42578125" style="113" customWidth="1"/>
    <col min="1523" max="1523" width="23.85546875" style="113" customWidth="1"/>
    <col min="1524" max="1524" width="6.140625" style="113" customWidth="1"/>
    <col min="1525" max="1537" width="5.42578125" style="113" customWidth="1"/>
    <col min="1538" max="1538" width="6.42578125" style="113" customWidth="1"/>
    <col min="1539" max="1539" width="6.140625" style="113" customWidth="1"/>
    <col min="1540" max="1540" width="12.85546875" style="113" bestFit="1" customWidth="1"/>
    <col min="1541" max="1541" width="13.42578125" style="113" bestFit="1" customWidth="1"/>
    <col min="1542" max="1542" width="6.85546875" style="113" customWidth="1"/>
    <col min="1543" max="1543" width="10.42578125" style="113" customWidth="1"/>
    <col min="1544" max="1544" width="10.140625" style="113" customWidth="1"/>
    <col min="1545" max="1775" width="9.140625" style="113"/>
    <col min="1776" max="1776" width="3.85546875" style="113" customWidth="1"/>
    <col min="1777" max="1777" width="14.42578125" style="113" customWidth="1"/>
    <col min="1778" max="1778" width="6.42578125" style="113" customWidth="1"/>
    <col min="1779" max="1779" width="23.85546875" style="113" customWidth="1"/>
    <col min="1780" max="1780" width="6.140625" style="113" customWidth="1"/>
    <col min="1781" max="1793" width="5.42578125" style="113" customWidth="1"/>
    <col min="1794" max="1794" width="6.42578125" style="113" customWidth="1"/>
    <col min="1795" max="1795" width="6.140625" style="113" customWidth="1"/>
    <col min="1796" max="1796" width="12.85546875" style="113" bestFit="1" customWidth="1"/>
    <col min="1797" max="1797" width="13.42578125" style="113" bestFit="1" customWidth="1"/>
    <col min="1798" max="1798" width="6.85546875" style="113" customWidth="1"/>
    <col min="1799" max="1799" width="10.42578125" style="113" customWidth="1"/>
    <col min="1800" max="1800" width="10.140625" style="113" customWidth="1"/>
    <col min="1801" max="2031" width="9.140625" style="113"/>
    <col min="2032" max="2032" width="3.85546875" style="113" customWidth="1"/>
    <col min="2033" max="2033" width="14.42578125" style="113" customWidth="1"/>
    <col min="2034" max="2034" width="6.42578125" style="113" customWidth="1"/>
    <col min="2035" max="2035" width="23.85546875" style="113" customWidth="1"/>
    <col min="2036" max="2036" width="6.140625" style="113" customWidth="1"/>
    <col min="2037" max="2049" width="5.42578125" style="113" customWidth="1"/>
    <col min="2050" max="2050" width="6.42578125" style="113" customWidth="1"/>
    <col min="2051" max="2051" width="6.140625" style="113" customWidth="1"/>
    <col min="2052" max="2052" width="12.85546875" style="113" bestFit="1" customWidth="1"/>
    <col min="2053" max="2053" width="13.42578125" style="113" bestFit="1" customWidth="1"/>
    <col min="2054" max="2054" width="6.85546875" style="113" customWidth="1"/>
    <col min="2055" max="2055" width="10.42578125" style="113" customWidth="1"/>
    <col min="2056" max="2056" width="10.140625" style="113" customWidth="1"/>
    <col min="2057" max="2287" width="9.140625" style="113"/>
    <col min="2288" max="2288" width="3.85546875" style="113" customWidth="1"/>
    <col min="2289" max="2289" width="14.42578125" style="113" customWidth="1"/>
    <col min="2290" max="2290" width="6.42578125" style="113" customWidth="1"/>
    <col min="2291" max="2291" width="23.85546875" style="113" customWidth="1"/>
    <col min="2292" max="2292" width="6.140625" style="113" customWidth="1"/>
    <col min="2293" max="2305" width="5.42578125" style="113" customWidth="1"/>
    <col min="2306" max="2306" width="6.42578125" style="113" customWidth="1"/>
    <col min="2307" max="2307" width="6.140625" style="113" customWidth="1"/>
    <col min="2308" max="2308" width="12.85546875" style="113" bestFit="1" customWidth="1"/>
    <col min="2309" max="2309" width="13.42578125" style="113" bestFit="1" customWidth="1"/>
    <col min="2310" max="2310" width="6.85546875" style="113" customWidth="1"/>
    <col min="2311" max="2311" width="10.42578125" style="113" customWidth="1"/>
    <col min="2312" max="2312" width="10.140625" style="113" customWidth="1"/>
    <col min="2313" max="2543" width="9.140625" style="113"/>
    <col min="2544" max="2544" width="3.85546875" style="113" customWidth="1"/>
    <col min="2545" max="2545" width="14.42578125" style="113" customWidth="1"/>
    <col min="2546" max="2546" width="6.42578125" style="113" customWidth="1"/>
    <col min="2547" max="2547" width="23.85546875" style="113" customWidth="1"/>
    <col min="2548" max="2548" width="6.140625" style="113" customWidth="1"/>
    <col min="2549" max="2561" width="5.42578125" style="113" customWidth="1"/>
    <col min="2562" max="2562" width="6.42578125" style="113" customWidth="1"/>
    <col min="2563" max="2563" width="6.140625" style="113" customWidth="1"/>
    <col min="2564" max="2564" width="12.85546875" style="113" bestFit="1" customWidth="1"/>
    <col min="2565" max="2565" width="13.42578125" style="113" bestFit="1" customWidth="1"/>
    <col min="2566" max="2566" width="6.85546875" style="113" customWidth="1"/>
    <col min="2567" max="2567" width="10.42578125" style="113" customWidth="1"/>
    <col min="2568" max="2568" width="10.140625" style="113" customWidth="1"/>
    <col min="2569" max="2799" width="9.140625" style="113"/>
    <col min="2800" max="2800" width="3.85546875" style="113" customWidth="1"/>
    <col min="2801" max="2801" width="14.42578125" style="113" customWidth="1"/>
    <col min="2802" max="2802" width="6.42578125" style="113" customWidth="1"/>
    <col min="2803" max="2803" width="23.85546875" style="113" customWidth="1"/>
    <col min="2804" max="2804" width="6.140625" style="113" customWidth="1"/>
    <col min="2805" max="2817" width="5.42578125" style="113" customWidth="1"/>
    <col min="2818" max="2818" width="6.42578125" style="113" customWidth="1"/>
    <col min="2819" max="2819" width="6.140625" style="113" customWidth="1"/>
    <col min="2820" max="2820" width="12.85546875" style="113" bestFit="1" customWidth="1"/>
    <col min="2821" max="2821" width="13.42578125" style="113" bestFit="1" customWidth="1"/>
    <col min="2822" max="2822" width="6.85546875" style="113" customWidth="1"/>
    <col min="2823" max="2823" width="10.42578125" style="113" customWidth="1"/>
    <col min="2824" max="2824" width="10.140625" style="113" customWidth="1"/>
    <col min="2825" max="3055" width="9.140625" style="113"/>
    <col min="3056" max="3056" width="3.85546875" style="113" customWidth="1"/>
    <col min="3057" max="3057" width="14.42578125" style="113" customWidth="1"/>
    <col min="3058" max="3058" width="6.42578125" style="113" customWidth="1"/>
    <col min="3059" max="3059" width="23.85546875" style="113" customWidth="1"/>
    <col min="3060" max="3060" width="6.140625" style="113" customWidth="1"/>
    <col min="3061" max="3073" width="5.42578125" style="113" customWidth="1"/>
    <col min="3074" max="3074" width="6.42578125" style="113" customWidth="1"/>
    <col min="3075" max="3075" width="6.140625" style="113" customWidth="1"/>
    <col min="3076" max="3076" width="12.85546875" style="113" bestFit="1" customWidth="1"/>
    <col min="3077" max="3077" width="13.42578125" style="113" bestFit="1" customWidth="1"/>
    <col min="3078" max="3078" width="6.85546875" style="113" customWidth="1"/>
    <col min="3079" max="3079" width="10.42578125" style="113" customWidth="1"/>
    <col min="3080" max="3080" width="10.140625" style="113" customWidth="1"/>
    <col min="3081" max="3311" width="9.140625" style="113"/>
    <col min="3312" max="3312" width="3.85546875" style="113" customWidth="1"/>
    <col min="3313" max="3313" width="14.42578125" style="113" customWidth="1"/>
    <col min="3314" max="3314" width="6.42578125" style="113" customWidth="1"/>
    <col min="3315" max="3315" width="23.85546875" style="113" customWidth="1"/>
    <col min="3316" max="3316" width="6.140625" style="113" customWidth="1"/>
    <col min="3317" max="3329" width="5.42578125" style="113" customWidth="1"/>
    <col min="3330" max="3330" width="6.42578125" style="113" customWidth="1"/>
    <col min="3331" max="3331" width="6.140625" style="113" customWidth="1"/>
    <col min="3332" max="3332" width="12.85546875" style="113" bestFit="1" customWidth="1"/>
    <col min="3333" max="3333" width="13.42578125" style="113" bestFit="1" customWidth="1"/>
    <col min="3334" max="3334" width="6.85546875" style="113" customWidth="1"/>
    <col min="3335" max="3335" width="10.42578125" style="113" customWidth="1"/>
    <col min="3336" max="3336" width="10.140625" style="113" customWidth="1"/>
    <col min="3337" max="3567" width="9.140625" style="113"/>
    <col min="3568" max="3568" width="3.85546875" style="113" customWidth="1"/>
    <col min="3569" max="3569" width="14.42578125" style="113" customWidth="1"/>
    <col min="3570" max="3570" width="6.42578125" style="113" customWidth="1"/>
    <col min="3571" max="3571" width="23.85546875" style="113" customWidth="1"/>
    <col min="3572" max="3572" width="6.140625" style="113" customWidth="1"/>
    <col min="3573" max="3585" width="5.42578125" style="113" customWidth="1"/>
    <col min="3586" max="3586" width="6.42578125" style="113" customWidth="1"/>
    <col min="3587" max="3587" width="6.140625" style="113" customWidth="1"/>
    <col min="3588" max="3588" width="12.85546875" style="113" bestFit="1" customWidth="1"/>
    <col min="3589" max="3589" width="13.42578125" style="113" bestFit="1" customWidth="1"/>
    <col min="3590" max="3590" width="6.85546875" style="113" customWidth="1"/>
    <col min="3591" max="3591" width="10.42578125" style="113" customWidth="1"/>
    <col min="3592" max="3592" width="10.140625" style="113" customWidth="1"/>
    <col min="3593" max="3823" width="9.140625" style="113"/>
    <col min="3824" max="3824" width="3.85546875" style="113" customWidth="1"/>
    <col min="3825" max="3825" width="14.42578125" style="113" customWidth="1"/>
    <col min="3826" max="3826" width="6.42578125" style="113" customWidth="1"/>
    <col min="3827" max="3827" width="23.85546875" style="113" customWidth="1"/>
    <col min="3828" max="3828" width="6.140625" style="113" customWidth="1"/>
    <col min="3829" max="3841" width="5.42578125" style="113" customWidth="1"/>
    <col min="3842" max="3842" width="6.42578125" style="113" customWidth="1"/>
    <col min="3843" max="3843" width="6.140625" style="113" customWidth="1"/>
    <col min="3844" max="3844" width="12.85546875" style="113" bestFit="1" customWidth="1"/>
    <col min="3845" max="3845" width="13.42578125" style="113" bestFit="1" customWidth="1"/>
    <col min="3846" max="3846" width="6.85546875" style="113" customWidth="1"/>
    <col min="3847" max="3847" width="10.42578125" style="113" customWidth="1"/>
    <col min="3848" max="3848" width="10.140625" style="113" customWidth="1"/>
    <col min="3849" max="4079" width="9.140625" style="113"/>
    <col min="4080" max="4080" width="3.85546875" style="113" customWidth="1"/>
    <col min="4081" max="4081" width="14.42578125" style="113" customWidth="1"/>
    <col min="4082" max="4082" width="6.42578125" style="113" customWidth="1"/>
    <col min="4083" max="4083" width="23.85546875" style="113" customWidth="1"/>
    <col min="4084" max="4084" width="6.140625" style="113" customWidth="1"/>
    <col min="4085" max="4097" width="5.42578125" style="113" customWidth="1"/>
    <col min="4098" max="4098" width="6.42578125" style="113" customWidth="1"/>
    <col min="4099" max="4099" width="6.140625" style="113" customWidth="1"/>
    <col min="4100" max="4100" width="12.85546875" style="113" bestFit="1" customWidth="1"/>
    <col min="4101" max="4101" width="13.42578125" style="113" bestFit="1" customWidth="1"/>
    <col min="4102" max="4102" width="6.85546875" style="113" customWidth="1"/>
    <col min="4103" max="4103" width="10.42578125" style="113" customWidth="1"/>
    <col min="4104" max="4104" width="10.140625" style="113" customWidth="1"/>
    <col min="4105" max="4335" width="9.140625" style="113"/>
    <col min="4336" max="4336" width="3.85546875" style="113" customWidth="1"/>
    <col min="4337" max="4337" width="14.42578125" style="113" customWidth="1"/>
    <col min="4338" max="4338" width="6.42578125" style="113" customWidth="1"/>
    <col min="4339" max="4339" width="23.85546875" style="113" customWidth="1"/>
    <col min="4340" max="4340" width="6.140625" style="113" customWidth="1"/>
    <col min="4341" max="4353" width="5.42578125" style="113" customWidth="1"/>
    <col min="4354" max="4354" width="6.42578125" style="113" customWidth="1"/>
    <col min="4355" max="4355" width="6.140625" style="113" customWidth="1"/>
    <col min="4356" max="4356" width="12.85546875" style="113" bestFit="1" customWidth="1"/>
    <col min="4357" max="4357" width="13.42578125" style="113" bestFit="1" customWidth="1"/>
    <col min="4358" max="4358" width="6.85546875" style="113" customWidth="1"/>
    <col min="4359" max="4359" width="10.42578125" style="113" customWidth="1"/>
    <col min="4360" max="4360" width="10.140625" style="113" customWidth="1"/>
    <col min="4361" max="4591" width="9.140625" style="113"/>
    <col min="4592" max="4592" width="3.85546875" style="113" customWidth="1"/>
    <col min="4593" max="4593" width="14.42578125" style="113" customWidth="1"/>
    <col min="4594" max="4594" width="6.42578125" style="113" customWidth="1"/>
    <col min="4595" max="4595" width="23.85546875" style="113" customWidth="1"/>
    <col min="4596" max="4596" width="6.140625" style="113" customWidth="1"/>
    <col min="4597" max="4609" width="5.42578125" style="113" customWidth="1"/>
    <col min="4610" max="4610" width="6.42578125" style="113" customWidth="1"/>
    <col min="4611" max="4611" width="6.140625" style="113" customWidth="1"/>
    <col min="4612" max="4612" width="12.85546875" style="113" bestFit="1" customWidth="1"/>
    <col min="4613" max="4613" width="13.42578125" style="113" bestFit="1" customWidth="1"/>
    <col min="4614" max="4614" width="6.85546875" style="113" customWidth="1"/>
    <col min="4615" max="4615" width="10.42578125" style="113" customWidth="1"/>
    <col min="4616" max="4616" width="10.140625" style="113" customWidth="1"/>
    <col min="4617" max="4847" width="9.140625" style="113"/>
    <col min="4848" max="4848" width="3.85546875" style="113" customWidth="1"/>
    <col min="4849" max="4849" width="14.42578125" style="113" customWidth="1"/>
    <col min="4850" max="4850" width="6.42578125" style="113" customWidth="1"/>
    <col min="4851" max="4851" width="23.85546875" style="113" customWidth="1"/>
    <col min="4852" max="4852" width="6.140625" style="113" customWidth="1"/>
    <col min="4853" max="4865" width="5.42578125" style="113" customWidth="1"/>
    <col min="4866" max="4866" width="6.42578125" style="113" customWidth="1"/>
    <col min="4867" max="4867" width="6.140625" style="113" customWidth="1"/>
    <col min="4868" max="4868" width="12.85546875" style="113" bestFit="1" customWidth="1"/>
    <col min="4869" max="4869" width="13.42578125" style="113" bestFit="1" customWidth="1"/>
    <col min="4870" max="4870" width="6.85546875" style="113" customWidth="1"/>
    <col min="4871" max="4871" width="10.42578125" style="113" customWidth="1"/>
    <col min="4872" max="4872" width="10.140625" style="113" customWidth="1"/>
    <col min="4873" max="5103" width="9.140625" style="113"/>
    <col min="5104" max="5104" width="3.85546875" style="113" customWidth="1"/>
    <col min="5105" max="5105" width="14.42578125" style="113" customWidth="1"/>
    <col min="5106" max="5106" width="6.42578125" style="113" customWidth="1"/>
    <col min="5107" max="5107" width="23.85546875" style="113" customWidth="1"/>
    <col min="5108" max="5108" width="6.140625" style="113" customWidth="1"/>
    <col min="5109" max="5121" width="5.42578125" style="113" customWidth="1"/>
    <col min="5122" max="5122" width="6.42578125" style="113" customWidth="1"/>
    <col min="5123" max="5123" width="6.140625" style="113" customWidth="1"/>
    <col min="5124" max="5124" width="12.85546875" style="113" bestFit="1" customWidth="1"/>
    <col min="5125" max="5125" width="13.42578125" style="113" bestFit="1" customWidth="1"/>
    <col min="5126" max="5126" width="6.85546875" style="113" customWidth="1"/>
    <col min="5127" max="5127" width="10.42578125" style="113" customWidth="1"/>
    <col min="5128" max="5128" width="10.140625" style="113" customWidth="1"/>
    <col min="5129" max="5359" width="9.140625" style="113"/>
    <col min="5360" max="5360" width="3.85546875" style="113" customWidth="1"/>
    <col min="5361" max="5361" width="14.42578125" style="113" customWidth="1"/>
    <col min="5362" max="5362" width="6.42578125" style="113" customWidth="1"/>
    <col min="5363" max="5363" width="23.85546875" style="113" customWidth="1"/>
    <col min="5364" max="5364" width="6.140625" style="113" customWidth="1"/>
    <col min="5365" max="5377" width="5.42578125" style="113" customWidth="1"/>
    <col min="5378" max="5378" width="6.42578125" style="113" customWidth="1"/>
    <col min="5379" max="5379" width="6.140625" style="113" customWidth="1"/>
    <col min="5380" max="5380" width="12.85546875" style="113" bestFit="1" customWidth="1"/>
    <col min="5381" max="5381" width="13.42578125" style="113" bestFit="1" customWidth="1"/>
    <col min="5382" max="5382" width="6.85546875" style="113" customWidth="1"/>
    <col min="5383" max="5383" width="10.42578125" style="113" customWidth="1"/>
    <col min="5384" max="5384" width="10.140625" style="113" customWidth="1"/>
    <col min="5385" max="5615" width="9.140625" style="113"/>
    <col min="5616" max="5616" width="3.85546875" style="113" customWidth="1"/>
    <col min="5617" max="5617" width="14.42578125" style="113" customWidth="1"/>
    <col min="5618" max="5618" width="6.42578125" style="113" customWidth="1"/>
    <col min="5619" max="5619" width="23.85546875" style="113" customWidth="1"/>
    <col min="5620" max="5620" width="6.140625" style="113" customWidth="1"/>
    <col min="5621" max="5633" width="5.42578125" style="113" customWidth="1"/>
    <col min="5634" max="5634" width="6.42578125" style="113" customWidth="1"/>
    <col min="5635" max="5635" width="6.140625" style="113" customWidth="1"/>
    <col min="5636" max="5636" width="12.85546875" style="113" bestFit="1" customWidth="1"/>
    <col min="5637" max="5637" width="13.42578125" style="113" bestFit="1" customWidth="1"/>
    <col min="5638" max="5638" width="6.85546875" style="113" customWidth="1"/>
    <col min="5639" max="5639" width="10.42578125" style="113" customWidth="1"/>
    <col min="5640" max="5640" width="10.140625" style="113" customWidth="1"/>
    <col min="5641" max="5871" width="9.140625" style="113"/>
    <col min="5872" max="5872" width="3.85546875" style="113" customWidth="1"/>
    <col min="5873" max="5873" width="14.42578125" style="113" customWidth="1"/>
    <col min="5874" max="5874" width="6.42578125" style="113" customWidth="1"/>
    <col min="5875" max="5875" width="23.85546875" style="113" customWidth="1"/>
    <col min="5876" max="5876" width="6.140625" style="113" customWidth="1"/>
    <col min="5877" max="5889" width="5.42578125" style="113" customWidth="1"/>
    <col min="5890" max="5890" width="6.42578125" style="113" customWidth="1"/>
    <col min="5891" max="5891" width="6.140625" style="113" customWidth="1"/>
    <col min="5892" max="5892" width="12.85546875" style="113" bestFit="1" customWidth="1"/>
    <col min="5893" max="5893" width="13.42578125" style="113" bestFit="1" customWidth="1"/>
    <col min="5894" max="5894" width="6.85546875" style="113" customWidth="1"/>
    <col min="5895" max="5895" width="10.42578125" style="113" customWidth="1"/>
    <col min="5896" max="5896" width="10.140625" style="113" customWidth="1"/>
    <col min="5897" max="6127" width="9.140625" style="113"/>
    <col min="6128" max="6128" width="3.85546875" style="113" customWidth="1"/>
    <col min="6129" max="6129" width="14.42578125" style="113" customWidth="1"/>
    <col min="6130" max="6130" width="6.42578125" style="113" customWidth="1"/>
    <col min="6131" max="6131" width="23.85546875" style="113" customWidth="1"/>
    <col min="6132" max="6132" width="6.140625" style="113" customWidth="1"/>
    <col min="6133" max="6145" width="5.42578125" style="113" customWidth="1"/>
    <col min="6146" max="6146" width="6.42578125" style="113" customWidth="1"/>
    <col min="6147" max="6147" width="6.140625" style="113" customWidth="1"/>
    <col min="6148" max="6148" width="12.85546875" style="113" bestFit="1" customWidth="1"/>
    <col min="6149" max="6149" width="13.42578125" style="113" bestFit="1" customWidth="1"/>
    <col min="6150" max="6150" width="6.85546875" style="113" customWidth="1"/>
    <col min="6151" max="6151" width="10.42578125" style="113" customWidth="1"/>
    <col min="6152" max="6152" width="10.140625" style="113" customWidth="1"/>
    <col min="6153" max="6383" width="9.140625" style="113"/>
    <col min="6384" max="6384" width="3.85546875" style="113" customWidth="1"/>
    <col min="6385" max="6385" width="14.42578125" style="113" customWidth="1"/>
    <col min="6386" max="6386" width="6.42578125" style="113" customWidth="1"/>
    <col min="6387" max="6387" width="23.85546875" style="113" customWidth="1"/>
    <col min="6388" max="6388" width="6.140625" style="113" customWidth="1"/>
    <col min="6389" max="6401" width="5.42578125" style="113" customWidth="1"/>
    <col min="6402" max="6402" width="6.42578125" style="113" customWidth="1"/>
    <col min="6403" max="6403" width="6.140625" style="113" customWidth="1"/>
    <col min="6404" max="6404" width="12.85546875" style="113" bestFit="1" customWidth="1"/>
    <col min="6405" max="6405" width="13.42578125" style="113" bestFit="1" customWidth="1"/>
    <col min="6406" max="6406" width="6.85546875" style="113" customWidth="1"/>
    <col min="6407" max="6407" width="10.42578125" style="113" customWidth="1"/>
    <col min="6408" max="6408" width="10.140625" style="113" customWidth="1"/>
    <col min="6409" max="6639" width="9.140625" style="113"/>
    <col min="6640" max="6640" width="3.85546875" style="113" customWidth="1"/>
    <col min="6641" max="6641" width="14.42578125" style="113" customWidth="1"/>
    <col min="6642" max="6642" width="6.42578125" style="113" customWidth="1"/>
    <col min="6643" max="6643" width="23.85546875" style="113" customWidth="1"/>
    <col min="6644" max="6644" width="6.140625" style="113" customWidth="1"/>
    <col min="6645" max="6657" width="5.42578125" style="113" customWidth="1"/>
    <col min="6658" max="6658" width="6.42578125" style="113" customWidth="1"/>
    <col min="6659" max="6659" width="6.140625" style="113" customWidth="1"/>
    <col min="6660" max="6660" width="12.85546875" style="113" bestFit="1" customWidth="1"/>
    <col min="6661" max="6661" width="13.42578125" style="113" bestFit="1" customWidth="1"/>
    <col min="6662" max="6662" width="6.85546875" style="113" customWidth="1"/>
    <col min="6663" max="6663" width="10.42578125" style="113" customWidth="1"/>
    <col min="6664" max="6664" width="10.140625" style="113" customWidth="1"/>
    <col min="6665" max="6895" width="9.140625" style="113"/>
    <col min="6896" max="6896" width="3.85546875" style="113" customWidth="1"/>
    <col min="6897" max="6897" width="14.42578125" style="113" customWidth="1"/>
    <col min="6898" max="6898" width="6.42578125" style="113" customWidth="1"/>
    <col min="6899" max="6899" width="23.85546875" style="113" customWidth="1"/>
    <col min="6900" max="6900" width="6.140625" style="113" customWidth="1"/>
    <col min="6901" max="6913" width="5.42578125" style="113" customWidth="1"/>
    <col min="6914" max="6914" width="6.42578125" style="113" customWidth="1"/>
    <col min="6915" max="6915" width="6.140625" style="113" customWidth="1"/>
    <col min="6916" max="6916" width="12.85546875" style="113" bestFit="1" customWidth="1"/>
    <col min="6917" max="6917" width="13.42578125" style="113" bestFit="1" customWidth="1"/>
    <col min="6918" max="6918" width="6.85546875" style="113" customWidth="1"/>
    <col min="6919" max="6919" width="10.42578125" style="113" customWidth="1"/>
    <col min="6920" max="6920" width="10.140625" style="113" customWidth="1"/>
    <col min="6921" max="7151" width="9.140625" style="113"/>
    <col min="7152" max="7152" width="3.85546875" style="113" customWidth="1"/>
    <col min="7153" max="7153" width="14.42578125" style="113" customWidth="1"/>
    <col min="7154" max="7154" width="6.42578125" style="113" customWidth="1"/>
    <col min="7155" max="7155" width="23.85546875" style="113" customWidth="1"/>
    <col min="7156" max="7156" width="6.140625" style="113" customWidth="1"/>
    <col min="7157" max="7169" width="5.42578125" style="113" customWidth="1"/>
    <col min="7170" max="7170" width="6.42578125" style="113" customWidth="1"/>
    <col min="7171" max="7171" width="6.140625" style="113" customWidth="1"/>
    <col min="7172" max="7172" width="12.85546875" style="113" bestFit="1" customWidth="1"/>
    <col min="7173" max="7173" width="13.42578125" style="113" bestFit="1" customWidth="1"/>
    <col min="7174" max="7174" width="6.85546875" style="113" customWidth="1"/>
    <col min="7175" max="7175" width="10.42578125" style="113" customWidth="1"/>
    <col min="7176" max="7176" width="10.140625" style="113" customWidth="1"/>
    <col min="7177" max="7407" width="9.140625" style="113"/>
    <col min="7408" max="7408" width="3.85546875" style="113" customWidth="1"/>
    <col min="7409" max="7409" width="14.42578125" style="113" customWidth="1"/>
    <col min="7410" max="7410" width="6.42578125" style="113" customWidth="1"/>
    <col min="7411" max="7411" width="23.85546875" style="113" customWidth="1"/>
    <col min="7412" max="7412" width="6.140625" style="113" customWidth="1"/>
    <col min="7413" max="7425" width="5.42578125" style="113" customWidth="1"/>
    <col min="7426" max="7426" width="6.42578125" style="113" customWidth="1"/>
    <col min="7427" max="7427" width="6.140625" style="113" customWidth="1"/>
    <col min="7428" max="7428" width="12.85546875" style="113" bestFit="1" customWidth="1"/>
    <col min="7429" max="7429" width="13.42578125" style="113" bestFit="1" customWidth="1"/>
    <col min="7430" max="7430" width="6.85546875" style="113" customWidth="1"/>
    <col min="7431" max="7431" width="10.42578125" style="113" customWidth="1"/>
    <col min="7432" max="7432" width="10.140625" style="113" customWidth="1"/>
    <col min="7433" max="7663" width="9.140625" style="113"/>
    <col min="7664" max="7664" width="3.85546875" style="113" customWidth="1"/>
    <col min="7665" max="7665" width="14.42578125" style="113" customWidth="1"/>
    <col min="7666" max="7666" width="6.42578125" style="113" customWidth="1"/>
    <col min="7667" max="7667" width="23.85546875" style="113" customWidth="1"/>
    <col min="7668" max="7668" width="6.140625" style="113" customWidth="1"/>
    <col min="7669" max="7681" width="5.42578125" style="113" customWidth="1"/>
    <col min="7682" max="7682" width="6.42578125" style="113" customWidth="1"/>
    <col min="7683" max="7683" width="6.140625" style="113" customWidth="1"/>
    <col min="7684" max="7684" width="12.85546875" style="113" bestFit="1" customWidth="1"/>
    <col min="7685" max="7685" width="13.42578125" style="113" bestFit="1" customWidth="1"/>
    <col min="7686" max="7686" width="6.85546875" style="113" customWidth="1"/>
    <col min="7687" max="7687" width="10.42578125" style="113" customWidth="1"/>
    <col min="7688" max="7688" width="10.140625" style="113" customWidth="1"/>
    <col min="7689" max="7919" width="9.140625" style="113"/>
    <col min="7920" max="7920" width="3.85546875" style="113" customWidth="1"/>
    <col min="7921" max="7921" width="14.42578125" style="113" customWidth="1"/>
    <col min="7922" max="7922" width="6.42578125" style="113" customWidth="1"/>
    <col min="7923" max="7923" width="23.85546875" style="113" customWidth="1"/>
    <col min="7924" max="7924" width="6.140625" style="113" customWidth="1"/>
    <col min="7925" max="7937" width="5.42578125" style="113" customWidth="1"/>
    <col min="7938" max="7938" width="6.42578125" style="113" customWidth="1"/>
    <col min="7939" max="7939" width="6.140625" style="113" customWidth="1"/>
    <col min="7940" max="7940" width="12.85546875" style="113" bestFit="1" customWidth="1"/>
    <col min="7941" max="7941" width="13.42578125" style="113" bestFit="1" customWidth="1"/>
    <col min="7942" max="7942" width="6.85546875" style="113" customWidth="1"/>
    <col min="7943" max="7943" width="10.42578125" style="113" customWidth="1"/>
    <col min="7944" max="7944" width="10.140625" style="113" customWidth="1"/>
    <col min="7945" max="8175" width="9.140625" style="113"/>
    <col min="8176" max="8176" width="3.85546875" style="113" customWidth="1"/>
    <col min="8177" max="8177" width="14.42578125" style="113" customWidth="1"/>
    <col min="8178" max="8178" width="6.42578125" style="113" customWidth="1"/>
    <col min="8179" max="8179" width="23.85546875" style="113" customWidth="1"/>
    <col min="8180" max="8180" width="6.140625" style="113" customWidth="1"/>
    <col min="8181" max="8193" width="5.42578125" style="113" customWidth="1"/>
    <col min="8194" max="8194" width="6.42578125" style="113" customWidth="1"/>
    <col min="8195" max="8195" width="6.140625" style="113" customWidth="1"/>
    <col min="8196" max="8196" width="12.85546875" style="113" bestFit="1" customWidth="1"/>
    <col min="8197" max="8197" width="13.42578125" style="113" bestFit="1" customWidth="1"/>
    <col min="8198" max="8198" width="6.85546875" style="113" customWidth="1"/>
    <col min="8199" max="8199" width="10.42578125" style="113" customWidth="1"/>
    <col min="8200" max="8200" width="10.140625" style="113" customWidth="1"/>
    <col min="8201" max="8431" width="9.140625" style="113"/>
    <col min="8432" max="8432" width="3.85546875" style="113" customWidth="1"/>
    <col min="8433" max="8433" width="14.42578125" style="113" customWidth="1"/>
    <col min="8434" max="8434" width="6.42578125" style="113" customWidth="1"/>
    <col min="8435" max="8435" width="23.85546875" style="113" customWidth="1"/>
    <col min="8436" max="8436" width="6.140625" style="113" customWidth="1"/>
    <col min="8437" max="8449" width="5.42578125" style="113" customWidth="1"/>
    <col min="8450" max="8450" width="6.42578125" style="113" customWidth="1"/>
    <col min="8451" max="8451" width="6.140625" style="113" customWidth="1"/>
    <col min="8452" max="8452" width="12.85546875" style="113" bestFit="1" customWidth="1"/>
    <col min="8453" max="8453" width="13.42578125" style="113" bestFit="1" customWidth="1"/>
    <col min="8454" max="8454" width="6.85546875" style="113" customWidth="1"/>
    <col min="8455" max="8455" width="10.42578125" style="113" customWidth="1"/>
    <col min="8456" max="8456" width="10.140625" style="113" customWidth="1"/>
    <col min="8457" max="8687" width="9.140625" style="113"/>
    <col min="8688" max="8688" width="3.85546875" style="113" customWidth="1"/>
    <col min="8689" max="8689" width="14.42578125" style="113" customWidth="1"/>
    <col min="8690" max="8690" width="6.42578125" style="113" customWidth="1"/>
    <col min="8691" max="8691" width="23.85546875" style="113" customWidth="1"/>
    <col min="8692" max="8692" width="6.140625" style="113" customWidth="1"/>
    <col min="8693" max="8705" width="5.42578125" style="113" customWidth="1"/>
    <col min="8706" max="8706" width="6.42578125" style="113" customWidth="1"/>
    <col min="8707" max="8707" width="6.140625" style="113" customWidth="1"/>
    <col min="8708" max="8708" width="12.85546875" style="113" bestFit="1" customWidth="1"/>
    <col min="8709" max="8709" width="13.42578125" style="113" bestFit="1" customWidth="1"/>
    <col min="8710" max="8710" width="6.85546875" style="113" customWidth="1"/>
    <col min="8711" max="8711" width="10.42578125" style="113" customWidth="1"/>
    <col min="8712" max="8712" width="10.140625" style="113" customWidth="1"/>
    <col min="8713" max="8943" width="9.140625" style="113"/>
    <col min="8944" max="8944" width="3.85546875" style="113" customWidth="1"/>
    <col min="8945" max="8945" width="14.42578125" style="113" customWidth="1"/>
    <col min="8946" max="8946" width="6.42578125" style="113" customWidth="1"/>
    <col min="8947" max="8947" width="23.85546875" style="113" customWidth="1"/>
    <col min="8948" max="8948" width="6.140625" style="113" customWidth="1"/>
    <col min="8949" max="8961" width="5.42578125" style="113" customWidth="1"/>
    <col min="8962" max="8962" width="6.42578125" style="113" customWidth="1"/>
    <col min="8963" max="8963" width="6.140625" style="113" customWidth="1"/>
    <col min="8964" max="8964" width="12.85546875" style="113" bestFit="1" customWidth="1"/>
    <col min="8965" max="8965" width="13.42578125" style="113" bestFit="1" customWidth="1"/>
    <col min="8966" max="8966" width="6.85546875" style="113" customWidth="1"/>
    <col min="8967" max="8967" width="10.42578125" style="113" customWidth="1"/>
    <col min="8968" max="8968" width="10.140625" style="113" customWidth="1"/>
    <col min="8969" max="9199" width="9.140625" style="113"/>
    <col min="9200" max="9200" width="3.85546875" style="113" customWidth="1"/>
    <col min="9201" max="9201" width="14.42578125" style="113" customWidth="1"/>
    <col min="9202" max="9202" width="6.42578125" style="113" customWidth="1"/>
    <col min="9203" max="9203" width="23.85546875" style="113" customWidth="1"/>
    <col min="9204" max="9204" width="6.140625" style="113" customWidth="1"/>
    <col min="9205" max="9217" width="5.42578125" style="113" customWidth="1"/>
    <col min="9218" max="9218" width="6.42578125" style="113" customWidth="1"/>
    <col min="9219" max="9219" width="6.140625" style="113" customWidth="1"/>
    <col min="9220" max="9220" width="12.85546875" style="113" bestFit="1" customWidth="1"/>
    <col min="9221" max="9221" width="13.42578125" style="113" bestFit="1" customWidth="1"/>
    <col min="9222" max="9222" width="6.85546875" style="113" customWidth="1"/>
    <col min="9223" max="9223" width="10.42578125" style="113" customWidth="1"/>
    <col min="9224" max="9224" width="10.140625" style="113" customWidth="1"/>
    <col min="9225" max="9455" width="9.140625" style="113"/>
    <col min="9456" max="9456" width="3.85546875" style="113" customWidth="1"/>
    <col min="9457" max="9457" width="14.42578125" style="113" customWidth="1"/>
    <col min="9458" max="9458" width="6.42578125" style="113" customWidth="1"/>
    <col min="9459" max="9459" width="23.85546875" style="113" customWidth="1"/>
    <col min="9460" max="9460" width="6.140625" style="113" customWidth="1"/>
    <col min="9461" max="9473" width="5.42578125" style="113" customWidth="1"/>
    <col min="9474" max="9474" width="6.42578125" style="113" customWidth="1"/>
    <col min="9475" max="9475" width="6.140625" style="113" customWidth="1"/>
    <col min="9476" max="9476" width="12.85546875" style="113" bestFit="1" customWidth="1"/>
    <col min="9477" max="9477" width="13.42578125" style="113" bestFit="1" customWidth="1"/>
    <col min="9478" max="9478" width="6.85546875" style="113" customWidth="1"/>
    <col min="9479" max="9479" width="10.42578125" style="113" customWidth="1"/>
    <col min="9480" max="9480" width="10.140625" style="113" customWidth="1"/>
    <col min="9481" max="9711" width="9.140625" style="113"/>
    <col min="9712" max="9712" width="3.85546875" style="113" customWidth="1"/>
    <col min="9713" max="9713" width="14.42578125" style="113" customWidth="1"/>
    <col min="9714" max="9714" width="6.42578125" style="113" customWidth="1"/>
    <col min="9715" max="9715" width="23.85546875" style="113" customWidth="1"/>
    <col min="9716" max="9716" width="6.140625" style="113" customWidth="1"/>
    <col min="9717" max="9729" width="5.42578125" style="113" customWidth="1"/>
    <col min="9730" max="9730" width="6.42578125" style="113" customWidth="1"/>
    <col min="9731" max="9731" width="6.140625" style="113" customWidth="1"/>
    <col min="9732" max="9732" width="12.85546875" style="113" bestFit="1" customWidth="1"/>
    <col min="9733" max="9733" width="13.42578125" style="113" bestFit="1" customWidth="1"/>
    <col min="9734" max="9734" width="6.85546875" style="113" customWidth="1"/>
    <col min="9735" max="9735" width="10.42578125" style="113" customWidth="1"/>
    <col min="9736" max="9736" width="10.140625" style="113" customWidth="1"/>
    <col min="9737" max="9967" width="9.140625" style="113"/>
    <col min="9968" max="9968" width="3.85546875" style="113" customWidth="1"/>
    <col min="9969" max="9969" width="14.42578125" style="113" customWidth="1"/>
    <col min="9970" max="9970" width="6.42578125" style="113" customWidth="1"/>
    <col min="9971" max="9971" width="23.85546875" style="113" customWidth="1"/>
    <col min="9972" max="9972" width="6.140625" style="113" customWidth="1"/>
    <col min="9973" max="9985" width="5.42578125" style="113" customWidth="1"/>
    <col min="9986" max="9986" width="6.42578125" style="113" customWidth="1"/>
    <col min="9987" max="9987" width="6.140625" style="113" customWidth="1"/>
    <col min="9988" max="9988" width="12.85546875" style="113" bestFit="1" customWidth="1"/>
    <col min="9989" max="9989" width="13.42578125" style="113" bestFit="1" customWidth="1"/>
    <col min="9990" max="9990" width="6.85546875" style="113" customWidth="1"/>
    <col min="9991" max="9991" width="10.42578125" style="113" customWidth="1"/>
    <col min="9992" max="9992" width="10.140625" style="113" customWidth="1"/>
    <col min="9993" max="10223" width="9.140625" style="113"/>
    <col min="10224" max="10224" width="3.85546875" style="113" customWidth="1"/>
    <col min="10225" max="10225" width="14.42578125" style="113" customWidth="1"/>
    <col min="10226" max="10226" width="6.42578125" style="113" customWidth="1"/>
    <col min="10227" max="10227" width="23.85546875" style="113" customWidth="1"/>
    <col min="10228" max="10228" width="6.140625" style="113" customWidth="1"/>
    <col min="10229" max="10241" width="5.42578125" style="113" customWidth="1"/>
    <col min="10242" max="10242" width="6.42578125" style="113" customWidth="1"/>
    <col min="10243" max="10243" width="6.140625" style="113" customWidth="1"/>
    <col min="10244" max="10244" width="12.85546875" style="113" bestFit="1" customWidth="1"/>
    <col min="10245" max="10245" width="13.42578125" style="113" bestFit="1" customWidth="1"/>
    <col min="10246" max="10246" width="6.85546875" style="113" customWidth="1"/>
    <col min="10247" max="10247" width="10.42578125" style="113" customWidth="1"/>
    <col min="10248" max="10248" width="10.140625" style="113" customWidth="1"/>
    <col min="10249" max="10479" width="9.140625" style="113"/>
    <col min="10480" max="10480" width="3.85546875" style="113" customWidth="1"/>
    <col min="10481" max="10481" width="14.42578125" style="113" customWidth="1"/>
    <col min="10482" max="10482" width="6.42578125" style="113" customWidth="1"/>
    <col min="10483" max="10483" width="23.85546875" style="113" customWidth="1"/>
    <col min="10484" max="10484" width="6.140625" style="113" customWidth="1"/>
    <col min="10485" max="10497" width="5.42578125" style="113" customWidth="1"/>
    <col min="10498" max="10498" width="6.42578125" style="113" customWidth="1"/>
    <col min="10499" max="10499" width="6.140625" style="113" customWidth="1"/>
    <col min="10500" max="10500" width="12.85546875" style="113" bestFit="1" customWidth="1"/>
    <col min="10501" max="10501" width="13.42578125" style="113" bestFit="1" customWidth="1"/>
    <col min="10502" max="10502" width="6.85546875" style="113" customWidth="1"/>
    <col min="10503" max="10503" width="10.42578125" style="113" customWidth="1"/>
    <col min="10504" max="10504" width="10.140625" style="113" customWidth="1"/>
    <col min="10505" max="10735" width="9.140625" style="113"/>
    <col min="10736" max="10736" width="3.85546875" style="113" customWidth="1"/>
    <col min="10737" max="10737" width="14.42578125" style="113" customWidth="1"/>
    <col min="10738" max="10738" width="6.42578125" style="113" customWidth="1"/>
    <col min="10739" max="10739" width="23.85546875" style="113" customWidth="1"/>
    <col min="10740" max="10740" width="6.140625" style="113" customWidth="1"/>
    <col min="10741" max="10753" width="5.42578125" style="113" customWidth="1"/>
    <col min="10754" max="10754" width="6.42578125" style="113" customWidth="1"/>
    <col min="10755" max="10755" width="6.140625" style="113" customWidth="1"/>
    <col min="10756" max="10756" width="12.85546875" style="113" bestFit="1" customWidth="1"/>
    <col min="10757" max="10757" width="13.42578125" style="113" bestFit="1" customWidth="1"/>
    <col min="10758" max="10758" width="6.85546875" style="113" customWidth="1"/>
    <col min="10759" max="10759" width="10.42578125" style="113" customWidth="1"/>
    <col min="10760" max="10760" width="10.140625" style="113" customWidth="1"/>
    <col min="10761" max="10991" width="9.140625" style="113"/>
    <col min="10992" max="10992" width="3.85546875" style="113" customWidth="1"/>
    <col min="10993" max="10993" width="14.42578125" style="113" customWidth="1"/>
    <col min="10994" max="10994" width="6.42578125" style="113" customWidth="1"/>
    <col min="10995" max="10995" width="23.85546875" style="113" customWidth="1"/>
    <col min="10996" max="10996" width="6.140625" style="113" customWidth="1"/>
    <col min="10997" max="11009" width="5.42578125" style="113" customWidth="1"/>
    <col min="11010" max="11010" width="6.42578125" style="113" customWidth="1"/>
    <col min="11011" max="11011" width="6.140625" style="113" customWidth="1"/>
    <col min="11012" max="11012" width="12.85546875" style="113" bestFit="1" customWidth="1"/>
    <col min="11013" max="11013" width="13.42578125" style="113" bestFit="1" customWidth="1"/>
    <col min="11014" max="11014" width="6.85546875" style="113" customWidth="1"/>
    <col min="11015" max="11015" width="10.42578125" style="113" customWidth="1"/>
    <col min="11016" max="11016" width="10.140625" style="113" customWidth="1"/>
    <col min="11017" max="11247" width="9.140625" style="113"/>
    <col min="11248" max="11248" width="3.85546875" style="113" customWidth="1"/>
    <col min="11249" max="11249" width="14.42578125" style="113" customWidth="1"/>
    <col min="11250" max="11250" width="6.42578125" style="113" customWidth="1"/>
    <col min="11251" max="11251" width="23.85546875" style="113" customWidth="1"/>
    <col min="11252" max="11252" width="6.140625" style="113" customWidth="1"/>
    <col min="11253" max="11265" width="5.42578125" style="113" customWidth="1"/>
    <col min="11266" max="11266" width="6.42578125" style="113" customWidth="1"/>
    <col min="11267" max="11267" width="6.140625" style="113" customWidth="1"/>
    <col min="11268" max="11268" width="12.85546875" style="113" bestFit="1" customWidth="1"/>
    <col min="11269" max="11269" width="13.42578125" style="113" bestFit="1" customWidth="1"/>
    <col min="11270" max="11270" width="6.85546875" style="113" customWidth="1"/>
    <col min="11271" max="11271" width="10.42578125" style="113" customWidth="1"/>
    <col min="11272" max="11272" width="10.140625" style="113" customWidth="1"/>
    <col min="11273" max="11503" width="9.140625" style="113"/>
    <col min="11504" max="11504" width="3.85546875" style="113" customWidth="1"/>
    <col min="11505" max="11505" width="14.42578125" style="113" customWidth="1"/>
    <col min="11506" max="11506" width="6.42578125" style="113" customWidth="1"/>
    <col min="11507" max="11507" width="23.85546875" style="113" customWidth="1"/>
    <col min="11508" max="11508" width="6.140625" style="113" customWidth="1"/>
    <col min="11509" max="11521" width="5.42578125" style="113" customWidth="1"/>
    <col min="11522" max="11522" width="6.42578125" style="113" customWidth="1"/>
    <col min="11523" max="11523" width="6.140625" style="113" customWidth="1"/>
    <col min="11524" max="11524" width="12.85546875" style="113" bestFit="1" customWidth="1"/>
    <col min="11525" max="11525" width="13.42578125" style="113" bestFit="1" customWidth="1"/>
    <col min="11526" max="11526" width="6.85546875" style="113" customWidth="1"/>
    <col min="11527" max="11527" width="10.42578125" style="113" customWidth="1"/>
    <col min="11528" max="11528" width="10.140625" style="113" customWidth="1"/>
    <col min="11529" max="11759" width="9.140625" style="113"/>
    <col min="11760" max="11760" width="3.85546875" style="113" customWidth="1"/>
    <col min="11761" max="11761" width="14.42578125" style="113" customWidth="1"/>
    <col min="11762" max="11762" width="6.42578125" style="113" customWidth="1"/>
    <col min="11763" max="11763" width="23.85546875" style="113" customWidth="1"/>
    <col min="11764" max="11764" width="6.140625" style="113" customWidth="1"/>
    <col min="11765" max="11777" width="5.42578125" style="113" customWidth="1"/>
    <col min="11778" max="11778" width="6.42578125" style="113" customWidth="1"/>
    <col min="11779" max="11779" width="6.140625" style="113" customWidth="1"/>
    <col min="11780" max="11780" width="12.85546875" style="113" bestFit="1" customWidth="1"/>
    <col min="11781" max="11781" width="13.42578125" style="113" bestFit="1" customWidth="1"/>
    <col min="11782" max="11782" width="6.85546875" style="113" customWidth="1"/>
    <col min="11783" max="11783" width="10.42578125" style="113" customWidth="1"/>
    <col min="11784" max="11784" width="10.140625" style="113" customWidth="1"/>
    <col min="11785" max="12015" width="9.140625" style="113"/>
    <col min="12016" max="12016" width="3.85546875" style="113" customWidth="1"/>
    <col min="12017" max="12017" width="14.42578125" style="113" customWidth="1"/>
    <col min="12018" max="12018" width="6.42578125" style="113" customWidth="1"/>
    <col min="12019" max="12019" width="23.85546875" style="113" customWidth="1"/>
    <col min="12020" max="12020" width="6.140625" style="113" customWidth="1"/>
    <col min="12021" max="12033" width="5.42578125" style="113" customWidth="1"/>
    <col min="12034" max="12034" width="6.42578125" style="113" customWidth="1"/>
    <col min="12035" max="12035" width="6.140625" style="113" customWidth="1"/>
    <col min="12036" max="12036" width="12.85546875" style="113" bestFit="1" customWidth="1"/>
    <col min="12037" max="12037" width="13.42578125" style="113" bestFit="1" customWidth="1"/>
    <col min="12038" max="12038" width="6.85546875" style="113" customWidth="1"/>
    <col min="12039" max="12039" width="10.42578125" style="113" customWidth="1"/>
    <col min="12040" max="12040" width="10.140625" style="113" customWidth="1"/>
    <col min="12041" max="12271" width="9.140625" style="113"/>
    <col min="12272" max="12272" width="3.85546875" style="113" customWidth="1"/>
    <col min="12273" max="12273" width="14.42578125" style="113" customWidth="1"/>
    <col min="12274" max="12274" width="6.42578125" style="113" customWidth="1"/>
    <col min="12275" max="12275" width="23.85546875" style="113" customWidth="1"/>
    <col min="12276" max="12276" width="6.140625" style="113" customWidth="1"/>
    <col min="12277" max="12289" width="5.42578125" style="113" customWidth="1"/>
    <col min="12290" max="12290" width="6.42578125" style="113" customWidth="1"/>
    <col min="12291" max="12291" width="6.140625" style="113" customWidth="1"/>
    <col min="12292" max="12292" width="12.85546875" style="113" bestFit="1" customWidth="1"/>
    <col min="12293" max="12293" width="13.42578125" style="113" bestFit="1" customWidth="1"/>
    <col min="12294" max="12294" width="6.85546875" style="113" customWidth="1"/>
    <col min="12295" max="12295" width="10.42578125" style="113" customWidth="1"/>
    <col min="12296" max="12296" width="10.140625" style="113" customWidth="1"/>
    <col min="12297" max="12527" width="9.140625" style="113"/>
    <col min="12528" max="12528" width="3.85546875" style="113" customWidth="1"/>
    <col min="12529" max="12529" width="14.42578125" style="113" customWidth="1"/>
    <col min="12530" max="12530" width="6.42578125" style="113" customWidth="1"/>
    <col min="12531" max="12531" width="23.85546875" style="113" customWidth="1"/>
    <col min="12532" max="12532" width="6.140625" style="113" customWidth="1"/>
    <col min="12533" max="12545" width="5.42578125" style="113" customWidth="1"/>
    <col min="12546" max="12546" width="6.42578125" style="113" customWidth="1"/>
    <col min="12547" max="12547" width="6.140625" style="113" customWidth="1"/>
    <col min="12548" max="12548" width="12.85546875" style="113" bestFit="1" customWidth="1"/>
    <col min="12549" max="12549" width="13.42578125" style="113" bestFit="1" customWidth="1"/>
    <col min="12550" max="12550" width="6.85546875" style="113" customWidth="1"/>
    <col min="12551" max="12551" width="10.42578125" style="113" customWidth="1"/>
    <col min="12552" max="12552" width="10.140625" style="113" customWidth="1"/>
    <col min="12553" max="12783" width="9.140625" style="113"/>
    <col min="12784" max="12784" width="3.85546875" style="113" customWidth="1"/>
    <col min="12785" max="12785" width="14.42578125" style="113" customWidth="1"/>
    <col min="12786" max="12786" width="6.42578125" style="113" customWidth="1"/>
    <col min="12787" max="12787" width="23.85546875" style="113" customWidth="1"/>
    <col min="12788" max="12788" width="6.140625" style="113" customWidth="1"/>
    <col min="12789" max="12801" width="5.42578125" style="113" customWidth="1"/>
    <col min="12802" max="12802" width="6.42578125" style="113" customWidth="1"/>
    <col min="12803" max="12803" width="6.140625" style="113" customWidth="1"/>
    <col min="12804" max="12804" width="12.85546875" style="113" bestFit="1" customWidth="1"/>
    <col min="12805" max="12805" width="13.42578125" style="113" bestFit="1" customWidth="1"/>
    <col min="12806" max="12806" width="6.85546875" style="113" customWidth="1"/>
    <col min="12807" max="12807" width="10.42578125" style="113" customWidth="1"/>
    <col min="12808" max="12808" width="10.140625" style="113" customWidth="1"/>
    <col min="12809" max="13039" width="9.140625" style="113"/>
    <col min="13040" max="13040" width="3.85546875" style="113" customWidth="1"/>
    <col min="13041" max="13041" width="14.42578125" style="113" customWidth="1"/>
    <col min="13042" max="13042" width="6.42578125" style="113" customWidth="1"/>
    <col min="13043" max="13043" width="23.85546875" style="113" customWidth="1"/>
    <col min="13044" max="13044" width="6.140625" style="113" customWidth="1"/>
    <col min="13045" max="13057" width="5.42578125" style="113" customWidth="1"/>
    <col min="13058" max="13058" width="6.42578125" style="113" customWidth="1"/>
    <col min="13059" max="13059" width="6.140625" style="113" customWidth="1"/>
    <col min="13060" max="13060" width="12.85546875" style="113" bestFit="1" customWidth="1"/>
    <col min="13061" max="13061" width="13.42578125" style="113" bestFit="1" customWidth="1"/>
    <col min="13062" max="13062" width="6.85546875" style="113" customWidth="1"/>
    <col min="13063" max="13063" width="10.42578125" style="113" customWidth="1"/>
    <col min="13064" max="13064" width="10.140625" style="113" customWidth="1"/>
    <col min="13065" max="13295" width="9.140625" style="113"/>
    <col min="13296" max="13296" width="3.85546875" style="113" customWidth="1"/>
    <col min="13297" max="13297" width="14.42578125" style="113" customWidth="1"/>
    <col min="13298" max="13298" width="6.42578125" style="113" customWidth="1"/>
    <col min="13299" max="13299" width="23.85546875" style="113" customWidth="1"/>
    <col min="13300" max="13300" width="6.140625" style="113" customWidth="1"/>
    <col min="13301" max="13313" width="5.42578125" style="113" customWidth="1"/>
    <col min="13314" max="13314" width="6.42578125" style="113" customWidth="1"/>
    <col min="13315" max="13315" width="6.140625" style="113" customWidth="1"/>
    <col min="13316" max="13316" width="12.85546875" style="113" bestFit="1" customWidth="1"/>
    <col min="13317" max="13317" width="13.42578125" style="113" bestFit="1" customWidth="1"/>
    <col min="13318" max="13318" width="6.85546875" style="113" customWidth="1"/>
    <col min="13319" max="13319" width="10.42578125" style="113" customWidth="1"/>
    <col min="13320" max="13320" width="10.140625" style="113" customWidth="1"/>
    <col min="13321" max="13551" width="9.140625" style="113"/>
    <col min="13552" max="13552" width="3.85546875" style="113" customWidth="1"/>
    <col min="13553" max="13553" width="14.42578125" style="113" customWidth="1"/>
    <col min="13554" max="13554" width="6.42578125" style="113" customWidth="1"/>
    <col min="13555" max="13555" width="23.85546875" style="113" customWidth="1"/>
    <col min="13556" max="13556" width="6.140625" style="113" customWidth="1"/>
    <col min="13557" max="13569" width="5.42578125" style="113" customWidth="1"/>
    <col min="13570" max="13570" width="6.42578125" style="113" customWidth="1"/>
    <col min="13571" max="13571" width="6.140625" style="113" customWidth="1"/>
    <col min="13572" max="13572" width="12.85546875" style="113" bestFit="1" customWidth="1"/>
    <col min="13573" max="13573" width="13.42578125" style="113" bestFit="1" customWidth="1"/>
    <col min="13574" max="13574" width="6.85546875" style="113" customWidth="1"/>
    <col min="13575" max="13575" width="10.42578125" style="113" customWidth="1"/>
    <col min="13576" max="13576" width="10.140625" style="113" customWidth="1"/>
    <col min="13577" max="13807" width="9.140625" style="113"/>
    <col min="13808" max="13808" width="3.85546875" style="113" customWidth="1"/>
    <col min="13809" max="13809" width="14.42578125" style="113" customWidth="1"/>
    <col min="13810" max="13810" width="6.42578125" style="113" customWidth="1"/>
    <col min="13811" max="13811" width="23.85546875" style="113" customWidth="1"/>
    <col min="13812" max="13812" width="6.140625" style="113" customWidth="1"/>
    <col min="13813" max="13825" width="5.42578125" style="113" customWidth="1"/>
    <col min="13826" max="13826" width="6.42578125" style="113" customWidth="1"/>
    <col min="13827" max="13827" width="6.140625" style="113" customWidth="1"/>
    <col min="13828" max="13828" width="12.85546875" style="113" bestFit="1" customWidth="1"/>
    <col min="13829" max="13829" width="13.42578125" style="113" bestFit="1" customWidth="1"/>
    <col min="13830" max="13830" width="6.85546875" style="113" customWidth="1"/>
    <col min="13831" max="13831" width="10.42578125" style="113" customWidth="1"/>
    <col min="13832" max="13832" width="10.140625" style="113" customWidth="1"/>
    <col min="13833" max="14063" width="9.140625" style="113"/>
    <col min="14064" max="14064" width="3.85546875" style="113" customWidth="1"/>
    <col min="14065" max="14065" width="14.42578125" style="113" customWidth="1"/>
    <col min="14066" max="14066" width="6.42578125" style="113" customWidth="1"/>
    <col min="14067" max="14067" width="23.85546875" style="113" customWidth="1"/>
    <col min="14068" max="14068" width="6.140625" style="113" customWidth="1"/>
    <col min="14069" max="14081" width="5.42578125" style="113" customWidth="1"/>
    <col min="14082" max="14082" width="6.42578125" style="113" customWidth="1"/>
    <col min="14083" max="14083" width="6.140625" style="113" customWidth="1"/>
    <col min="14084" max="14084" width="12.85546875" style="113" bestFit="1" customWidth="1"/>
    <col min="14085" max="14085" width="13.42578125" style="113" bestFit="1" customWidth="1"/>
    <col min="14086" max="14086" width="6.85546875" style="113" customWidth="1"/>
    <col min="14087" max="14087" width="10.42578125" style="113" customWidth="1"/>
    <col min="14088" max="14088" width="10.140625" style="113" customWidth="1"/>
    <col min="14089" max="14319" width="9.140625" style="113"/>
    <col min="14320" max="14320" width="3.85546875" style="113" customWidth="1"/>
    <col min="14321" max="14321" width="14.42578125" style="113" customWidth="1"/>
    <col min="14322" max="14322" width="6.42578125" style="113" customWidth="1"/>
    <col min="14323" max="14323" width="23.85546875" style="113" customWidth="1"/>
    <col min="14324" max="14324" width="6.140625" style="113" customWidth="1"/>
    <col min="14325" max="14337" width="5.42578125" style="113" customWidth="1"/>
    <col min="14338" max="14338" width="6.42578125" style="113" customWidth="1"/>
    <col min="14339" max="14339" width="6.140625" style="113" customWidth="1"/>
    <col min="14340" max="14340" width="12.85546875" style="113" bestFit="1" customWidth="1"/>
    <col min="14341" max="14341" width="13.42578125" style="113" bestFit="1" customWidth="1"/>
    <col min="14342" max="14342" width="6.85546875" style="113" customWidth="1"/>
    <col min="14343" max="14343" width="10.42578125" style="113" customWidth="1"/>
    <col min="14344" max="14344" width="10.140625" style="113" customWidth="1"/>
    <col min="14345" max="14575" width="9.140625" style="113"/>
    <col min="14576" max="14576" width="3.85546875" style="113" customWidth="1"/>
    <col min="14577" max="14577" width="14.42578125" style="113" customWidth="1"/>
    <col min="14578" max="14578" width="6.42578125" style="113" customWidth="1"/>
    <col min="14579" max="14579" width="23.85546875" style="113" customWidth="1"/>
    <col min="14580" max="14580" width="6.140625" style="113" customWidth="1"/>
    <col min="14581" max="14593" width="5.42578125" style="113" customWidth="1"/>
    <col min="14594" max="14594" width="6.42578125" style="113" customWidth="1"/>
    <col min="14595" max="14595" width="6.140625" style="113" customWidth="1"/>
    <col min="14596" max="14596" width="12.85546875" style="113" bestFit="1" customWidth="1"/>
    <col min="14597" max="14597" width="13.42578125" style="113" bestFit="1" customWidth="1"/>
    <col min="14598" max="14598" width="6.85546875" style="113" customWidth="1"/>
    <col min="14599" max="14599" width="10.42578125" style="113" customWidth="1"/>
    <col min="14600" max="14600" width="10.140625" style="113" customWidth="1"/>
    <col min="14601" max="14831" width="9.140625" style="113"/>
    <col min="14832" max="14832" width="3.85546875" style="113" customWidth="1"/>
    <col min="14833" max="14833" width="14.42578125" style="113" customWidth="1"/>
    <col min="14834" max="14834" width="6.42578125" style="113" customWidth="1"/>
    <col min="14835" max="14835" width="23.85546875" style="113" customWidth="1"/>
    <col min="14836" max="14836" width="6.140625" style="113" customWidth="1"/>
    <col min="14837" max="14849" width="5.42578125" style="113" customWidth="1"/>
    <col min="14850" max="14850" width="6.42578125" style="113" customWidth="1"/>
    <col min="14851" max="14851" width="6.140625" style="113" customWidth="1"/>
    <col min="14852" max="14852" width="12.85546875" style="113" bestFit="1" customWidth="1"/>
    <col min="14853" max="14853" width="13.42578125" style="113" bestFit="1" customWidth="1"/>
    <col min="14854" max="14854" width="6.85546875" style="113" customWidth="1"/>
    <col min="14855" max="14855" width="10.42578125" style="113" customWidth="1"/>
    <col min="14856" max="14856" width="10.140625" style="113" customWidth="1"/>
    <col min="14857" max="15087" width="9.140625" style="113"/>
    <col min="15088" max="15088" width="3.85546875" style="113" customWidth="1"/>
    <col min="15089" max="15089" width="14.42578125" style="113" customWidth="1"/>
    <col min="15090" max="15090" width="6.42578125" style="113" customWidth="1"/>
    <col min="15091" max="15091" width="23.85546875" style="113" customWidth="1"/>
    <col min="15092" max="15092" width="6.140625" style="113" customWidth="1"/>
    <col min="15093" max="15105" width="5.42578125" style="113" customWidth="1"/>
    <col min="15106" max="15106" width="6.42578125" style="113" customWidth="1"/>
    <col min="15107" max="15107" width="6.140625" style="113" customWidth="1"/>
    <col min="15108" max="15108" width="12.85546875" style="113" bestFit="1" customWidth="1"/>
    <col min="15109" max="15109" width="13.42578125" style="113" bestFit="1" customWidth="1"/>
    <col min="15110" max="15110" width="6.85546875" style="113" customWidth="1"/>
    <col min="15111" max="15111" width="10.42578125" style="113" customWidth="1"/>
    <col min="15112" max="15112" width="10.140625" style="113" customWidth="1"/>
    <col min="15113" max="15343" width="9.140625" style="113"/>
    <col min="15344" max="15344" width="3.85546875" style="113" customWidth="1"/>
    <col min="15345" max="15345" width="14.42578125" style="113" customWidth="1"/>
    <col min="15346" max="15346" width="6.42578125" style="113" customWidth="1"/>
    <col min="15347" max="15347" width="23.85546875" style="113" customWidth="1"/>
    <col min="15348" max="15348" width="6.140625" style="113" customWidth="1"/>
    <col min="15349" max="15361" width="5.42578125" style="113" customWidth="1"/>
    <col min="15362" max="15362" width="6.42578125" style="113" customWidth="1"/>
    <col min="15363" max="15363" width="6.140625" style="113" customWidth="1"/>
    <col min="15364" max="15364" width="12.85546875" style="113" bestFit="1" customWidth="1"/>
    <col min="15365" max="15365" width="13.42578125" style="113" bestFit="1" customWidth="1"/>
    <col min="15366" max="15366" width="6.85546875" style="113" customWidth="1"/>
    <col min="15367" max="15367" width="10.42578125" style="113" customWidth="1"/>
    <col min="15368" max="15368" width="10.140625" style="113" customWidth="1"/>
    <col min="15369" max="15599" width="9.140625" style="113"/>
    <col min="15600" max="15600" width="3.85546875" style="113" customWidth="1"/>
    <col min="15601" max="15601" width="14.42578125" style="113" customWidth="1"/>
    <col min="15602" max="15602" width="6.42578125" style="113" customWidth="1"/>
    <col min="15603" max="15603" width="23.85546875" style="113" customWidth="1"/>
    <col min="15604" max="15604" width="6.140625" style="113" customWidth="1"/>
    <col min="15605" max="15617" width="5.42578125" style="113" customWidth="1"/>
    <col min="15618" max="15618" width="6.42578125" style="113" customWidth="1"/>
    <col min="15619" max="15619" width="6.140625" style="113" customWidth="1"/>
    <col min="15620" max="15620" width="12.85546875" style="113" bestFit="1" customWidth="1"/>
    <col min="15621" max="15621" width="13.42578125" style="113" bestFit="1" customWidth="1"/>
    <col min="15622" max="15622" width="6.85546875" style="113" customWidth="1"/>
    <col min="15623" max="15623" width="10.42578125" style="113" customWidth="1"/>
    <col min="15624" max="15624" width="10.140625" style="113" customWidth="1"/>
    <col min="15625" max="15855" width="9.140625" style="113"/>
    <col min="15856" max="15856" width="3.85546875" style="113" customWidth="1"/>
    <col min="15857" max="15857" width="14.42578125" style="113" customWidth="1"/>
    <col min="15858" max="15858" width="6.42578125" style="113" customWidth="1"/>
    <col min="15859" max="15859" width="23.85546875" style="113" customWidth="1"/>
    <col min="15860" max="15860" width="6.140625" style="113" customWidth="1"/>
    <col min="15861" max="15873" width="5.42578125" style="113" customWidth="1"/>
    <col min="15874" max="15874" width="6.42578125" style="113" customWidth="1"/>
    <col min="15875" max="15875" width="6.140625" style="113" customWidth="1"/>
    <col min="15876" max="15876" width="12.85546875" style="113" bestFit="1" customWidth="1"/>
    <col min="15877" max="15877" width="13.42578125" style="113" bestFit="1" customWidth="1"/>
    <col min="15878" max="15878" width="6.85546875" style="113" customWidth="1"/>
    <col min="15879" max="15879" width="10.42578125" style="113" customWidth="1"/>
    <col min="15880" max="15880" width="10.140625" style="113" customWidth="1"/>
    <col min="15881" max="16111" width="9.140625" style="113"/>
    <col min="16112" max="16112" width="3.85546875" style="113" customWidth="1"/>
    <col min="16113" max="16113" width="14.42578125" style="113" customWidth="1"/>
    <col min="16114" max="16114" width="6.42578125" style="113" customWidth="1"/>
    <col min="16115" max="16115" width="23.85546875" style="113" customWidth="1"/>
    <col min="16116" max="16116" width="6.140625" style="113" customWidth="1"/>
    <col min="16117" max="16129" width="5.42578125" style="113" customWidth="1"/>
    <col min="16130" max="16130" width="6.42578125" style="113" customWidth="1"/>
    <col min="16131" max="16131" width="6.140625" style="113" customWidth="1"/>
    <col min="16132" max="16132" width="12.85546875" style="113" bestFit="1" customWidth="1"/>
    <col min="16133" max="16133" width="13.42578125" style="113" bestFit="1" customWidth="1"/>
    <col min="16134" max="16134" width="6.85546875" style="113" customWidth="1"/>
    <col min="16135" max="16135" width="10.42578125" style="113" customWidth="1"/>
    <col min="16136" max="16136" width="10.140625" style="113" customWidth="1"/>
    <col min="16137" max="16384" width="9.140625" style="113"/>
  </cols>
  <sheetData>
    <row r="1" spans="1:16" x14ac:dyDescent="0.25">
      <c r="A1" s="509"/>
      <c r="B1" s="1119"/>
      <c r="C1" s="1119"/>
      <c r="E1" s="2357"/>
      <c r="F1" s="2357"/>
      <c r="G1" s="2357"/>
      <c r="H1" s="2357"/>
      <c r="I1" s="2357"/>
      <c r="J1" s="2357"/>
      <c r="K1" s="2357"/>
      <c r="L1" s="2357"/>
    </row>
    <row r="2" spans="1:16" ht="12.75" customHeight="1" x14ac:dyDescent="0.25">
      <c r="A2" s="509">
        <v>1</v>
      </c>
      <c r="B2" s="509" t="s">
        <v>0</v>
      </c>
      <c r="C2" s="509">
        <v>23</v>
      </c>
      <c r="D2" s="4737" t="s">
        <v>1780</v>
      </c>
      <c r="E2" s="4738"/>
      <c r="F2" s="4738"/>
      <c r="G2" s="4738"/>
      <c r="H2" s="4738"/>
      <c r="I2" s="4738"/>
      <c r="J2" s="4738"/>
      <c r="K2" s="4738"/>
      <c r="L2" s="4738"/>
      <c r="M2" s="4738"/>
      <c r="N2" s="4738"/>
      <c r="O2" s="4738"/>
      <c r="P2" s="4739"/>
    </row>
    <row r="3" spans="1:16" ht="12.75" customHeight="1" x14ac:dyDescent="0.25">
      <c r="A3" s="509">
        <v>2</v>
      </c>
      <c r="B3" s="509" t="s">
        <v>2</v>
      </c>
      <c r="C3" s="509"/>
      <c r="D3" s="4603" t="s">
        <v>1722</v>
      </c>
      <c r="E3" s="4604"/>
      <c r="F3" s="4604"/>
      <c r="G3" s="4604"/>
      <c r="H3" s="4604"/>
      <c r="I3" s="4604"/>
      <c r="J3" s="4604"/>
      <c r="K3" s="4604"/>
      <c r="L3" s="4604"/>
      <c r="M3" s="4604"/>
      <c r="N3" s="4604"/>
      <c r="O3" s="4604"/>
      <c r="P3" s="4605"/>
    </row>
    <row r="4" spans="1:16" ht="12.75" customHeight="1" x14ac:dyDescent="0.25">
      <c r="A4" s="509">
        <v>3</v>
      </c>
      <c r="B4" s="509" t="s">
        <v>4</v>
      </c>
      <c r="C4" s="509"/>
      <c r="D4" s="4603" t="s">
        <v>1710</v>
      </c>
      <c r="E4" s="4604"/>
      <c r="F4" s="4604"/>
      <c r="G4" s="4604"/>
      <c r="H4" s="4604"/>
      <c r="I4" s="4604"/>
      <c r="J4" s="4604"/>
      <c r="K4" s="4604"/>
      <c r="L4" s="4604"/>
      <c r="M4" s="4604"/>
      <c r="N4" s="4604"/>
      <c r="O4" s="4604"/>
      <c r="P4" s="4605"/>
    </row>
    <row r="5" spans="1:16" ht="12.75" customHeight="1" x14ac:dyDescent="0.25">
      <c r="A5" s="509"/>
      <c r="B5" s="509"/>
      <c r="C5" s="509"/>
      <c r="D5" s="880"/>
      <c r="E5" s="880"/>
      <c r="F5" s="880"/>
      <c r="G5" s="880"/>
      <c r="H5" s="880"/>
      <c r="I5" s="880"/>
      <c r="J5" s="880"/>
      <c r="K5" s="880"/>
      <c r="L5" s="880"/>
    </row>
    <row r="6" spans="1:16" ht="15" customHeight="1" x14ac:dyDescent="0.25">
      <c r="A6" s="509">
        <v>4</v>
      </c>
      <c r="B6" s="509" t="s">
        <v>6</v>
      </c>
      <c r="C6" s="509"/>
    </row>
    <row r="7" spans="1:16" s="835" customFormat="1" ht="17.45" customHeight="1" x14ac:dyDescent="0.2">
      <c r="A7" s="860"/>
      <c r="B7" s="836"/>
      <c r="C7" s="836"/>
      <c r="D7" s="131" t="s">
        <v>80</v>
      </c>
      <c r="E7" s="981" t="s">
        <v>1781</v>
      </c>
      <c r="F7" s="143"/>
      <c r="G7" s="981"/>
      <c r="H7" s="143"/>
      <c r="K7" s="1123" t="s">
        <v>267</v>
      </c>
      <c r="L7" s="981" t="s">
        <v>1782</v>
      </c>
      <c r="M7" s="143"/>
      <c r="N7" s="981"/>
    </row>
    <row r="8" spans="1:16" s="835" customFormat="1" ht="17.100000000000001" customHeight="1" x14ac:dyDescent="0.25">
      <c r="A8" s="860"/>
      <c r="B8" s="836"/>
      <c r="C8" s="836"/>
      <c r="D8" s="2358" t="s">
        <v>944</v>
      </c>
      <c r="E8" s="2359">
        <v>2006</v>
      </c>
      <c r="F8" s="2359">
        <v>2009</v>
      </c>
      <c r="G8" s="2359">
        <v>2011</v>
      </c>
      <c r="H8" s="1334">
        <v>2015</v>
      </c>
      <c r="K8" s="2358" t="s">
        <v>944</v>
      </c>
      <c r="L8" s="2359">
        <v>2006</v>
      </c>
      <c r="M8" s="2359">
        <v>2009</v>
      </c>
      <c r="N8" s="2359">
        <v>2011</v>
      </c>
      <c r="O8" s="1334">
        <v>2015</v>
      </c>
    </row>
    <row r="9" spans="1:16" s="835" customFormat="1" ht="17.100000000000001" customHeight="1" x14ac:dyDescent="0.25">
      <c r="A9" s="860"/>
      <c r="B9" s="836"/>
      <c r="C9" s="836"/>
      <c r="D9" s="2360" t="s">
        <v>276</v>
      </c>
      <c r="E9" s="2361">
        <v>43.9</v>
      </c>
      <c r="F9" s="2361">
        <v>44.9</v>
      </c>
      <c r="G9" s="2361">
        <v>35.5</v>
      </c>
      <c r="H9" s="2362">
        <v>41.3</v>
      </c>
      <c r="K9" s="2360" t="s">
        <v>276</v>
      </c>
      <c r="L9" s="2361">
        <v>28.4</v>
      </c>
      <c r="M9" s="2361">
        <v>29.6</v>
      </c>
      <c r="N9" s="2361">
        <v>21.6</v>
      </c>
      <c r="O9" s="2362">
        <v>27.1</v>
      </c>
    </row>
    <row r="10" spans="1:16" s="835" customFormat="1" ht="17.100000000000001" customHeight="1" x14ac:dyDescent="0.25">
      <c r="A10" s="860"/>
      <c r="B10" s="836"/>
      <c r="C10" s="836"/>
      <c r="D10" s="2360" t="s">
        <v>277</v>
      </c>
      <c r="E10" s="2363">
        <v>31</v>
      </c>
      <c r="F10" s="2363">
        <v>34.9</v>
      </c>
      <c r="G10" s="2363">
        <v>23.4</v>
      </c>
      <c r="H10" s="2364">
        <v>25.1</v>
      </c>
      <c r="K10" s="2360" t="s">
        <v>277</v>
      </c>
      <c r="L10" s="2363">
        <v>18.2</v>
      </c>
      <c r="M10" s="2363">
        <v>21</v>
      </c>
      <c r="N10" s="2363">
        <v>13.4</v>
      </c>
      <c r="O10" s="2364">
        <v>14.2</v>
      </c>
    </row>
    <row r="11" spans="1:16" s="835" customFormat="1" ht="17.100000000000001" customHeight="1" x14ac:dyDescent="0.25">
      <c r="A11" s="860"/>
      <c r="B11" s="836"/>
      <c r="C11" s="836"/>
      <c r="D11" s="2360" t="s">
        <v>278</v>
      </c>
      <c r="E11" s="2363">
        <v>18.3</v>
      </c>
      <c r="F11" s="2363">
        <v>16.600000000000001</v>
      </c>
      <c r="G11" s="2363">
        <v>12</v>
      </c>
      <c r="H11" s="2364">
        <v>13.2</v>
      </c>
      <c r="K11" s="2360" t="s">
        <v>278</v>
      </c>
      <c r="L11" s="2363">
        <v>9.6</v>
      </c>
      <c r="M11" s="2363">
        <v>9.1</v>
      </c>
      <c r="N11" s="2363">
        <v>6.4</v>
      </c>
      <c r="O11" s="2364">
        <v>6.9</v>
      </c>
    </row>
    <row r="12" spans="1:16" s="835" customFormat="1" ht="17.100000000000001" customHeight="1" x14ac:dyDescent="0.25">
      <c r="A12" s="860"/>
      <c r="B12" s="836"/>
      <c r="C12" s="836"/>
      <c r="D12" s="2360" t="s">
        <v>641</v>
      </c>
      <c r="E12" s="2363">
        <v>45.2</v>
      </c>
      <c r="F12" s="2363">
        <v>41.2</v>
      </c>
      <c r="G12" s="2363">
        <v>33.4</v>
      </c>
      <c r="H12" s="2364">
        <v>36.1</v>
      </c>
      <c r="K12" s="2360" t="s">
        <v>641</v>
      </c>
      <c r="L12" s="2363">
        <v>30.3</v>
      </c>
      <c r="M12" s="2363">
        <v>27.1</v>
      </c>
      <c r="N12" s="2363">
        <v>20.399999999999999</v>
      </c>
      <c r="O12" s="2364">
        <v>22.7</v>
      </c>
    </row>
    <row r="13" spans="1:16" s="835" customFormat="1" ht="17.100000000000001" customHeight="1" x14ac:dyDescent="0.25">
      <c r="A13" s="860"/>
      <c r="B13" s="836"/>
      <c r="C13" s="836"/>
      <c r="D13" s="2360" t="s">
        <v>280</v>
      </c>
      <c r="E13" s="2363">
        <v>47.4</v>
      </c>
      <c r="F13" s="2363">
        <v>50.6</v>
      </c>
      <c r="G13" s="2363">
        <v>36.799999999999997</v>
      </c>
      <c r="H13" s="2364">
        <v>40.299999999999997</v>
      </c>
      <c r="K13" s="2360" t="s">
        <v>280</v>
      </c>
      <c r="L13" s="2363">
        <v>31</v>
      </c>
      <c r="M13" s="2363">
        <v>34.700000000000003</v>
      </c>
      <c r="N13" s="2363">
        <v>23</v>
      </c>
      <c r="O13" s="2364">
        <v>26.4</v>
      </c>
    </row>
    <row r="14" spans="1:16" s="835" customFormat="1" ht="17.100000000000001" customHeight="1" x14ac:dyDescent="0.25">
      <c r="A14" s="860"/>
      <c r="B14" s="836"/>
      <c r="C14" s="836"/>
      <c r="D14" s="2360" t="s">
        <v>281</v>
      </c>
      <c r="E14" s="2363">
        <v>41.8</v>
      </c>
      <c r="F14" s="2363">
        <v>40.700000000000003</v>
      </c>
      <c r="G14" s="2363">
        <v>31.1</v>
      </c>
      <c r="H14" s="2364">
        <v>29</v>
      </c>
      <c r="K14" s="2360" t="s">
        <v>281</v>
      </c>
      <c r="L14" s="2363">
        <v>26.9</v>
      </c>
      <c r="M14" s="2363">
        <v>26.4</v>
      </c>
      <c r="N14" s="2363">
        <v>18</v>
      </c>
      <c r="O14" s="2364">
        <v>17.3</v>
      </c>
    </row>
    <row r="15" spans="1:16" s="835" customFormat="1" ht="17.100000000000001" customHeight="1" x14ac:dyDescent="0.25">
      <c r="A15" s="860"/>
      <c r="B15" s="836"/>
      <c r="C15" s="836"/>
      <c r="D15" s="2360" t="s">
        <v>283</v>
      </c>
      <c r="E15" s="2363">
        <v>40.9</v>
      </c>
      <c r="F15" s="2363">
        <v>36.6</v>
      </c>
      <c r="G15" s="2363">
        <v>26.4</v>
      </c>
      <c r="H15" s="2364">
        <v>28</v>
      </c>
      <c r="K15" s="2360" t="s">
        <v>283</v>
      </c>
      <c r="L15" s="2363">
        <v>26.2</v>
      </c>
      <c r="M15" s="2363">
        <v>22.6</v>
      </c>
      <c r="N15" s="2363">
        <v>14.9</v>
      </c>
      <c r="O15" s="2364">
        <v>16.5</v>
      </c>
    </row>
    <row r="16" spans="1:16" s="835" customFormat="1" ht="17.100000000000001" customHeight="1" x14ac:dyDescent="0.25">
      <c r="A16" s="860"/>
      <c r="B16" s="836"/>
      <c r="C16" s="836"/>
      <c r="D16" s="2360" t="s">
        <v>282</v>
      </c>
      <c r="E16" s="2363">
        <v>37.5</v>
      </c>
      <c r="F16" s="2363">
        <v>36</v>
      </c>
      <c r="G16" s="2363">
        <v>29.6</v>
      </c>
      <c r="H16" s="2364">
        <v>32.200000000000003</v>
      </c>
      <c r="K16" s="2360" t="s">
        <v>282</v>
      </c>
      <c r="L16" s="2363">
        <v>23.7</v>
      </c>
      <c r="M16" s="2363">
        <v>22.5</v>
      </c>
      <c r="N16" s="2363">
        <v>17.8</v>
      </c>
      <c r="O16" s="2364">
        <v>19.8</v>
      </c>
    </row>
    <row r="17" spans="1:17" s="835" customFormat="1" ht="17.100000000000001" customHeight="1" x14ac:dyDescent="0.25">
      <c r="A17" s="860"/>
      <c r="B17" s="836"/>
      <c r="C17" s="836"/>
      <c r="D17" s="2360" t="s">
        <v>284</v>
      </c>
      <c r="E17" s="2363">
        <v>21.2</v>
      </c>
      <c r="F17" s="2363">
        <v>18.100000000000001</v>
      </c>
      <c r="G17" s="2363">
        <v>12.5</v>
      </c>
      <c r="H17" s="2364">
        <v>14.7</v>
      </c>
      <c r="K17" s="2360" t="s">
        <v>284</v>
      </c>
      <c r="L17" s="2363">
        <v>11.7</v>
      </c>
      <c r="M17" s="2363">
        <v>9.9</v>
      </c>
      <c r="N17" s="2363">
        <v>6.2</v>
      </c>
      <c r="O17" s="2364">
        <v>7.6</v>
      </c>
    </row>
    <row r="18" spans="1:17" s="10" customFormat="1" ht="16.5" customHeight="1" x14ac:dyDescent="0.25">
      <c r="A18" s="860"/>
      <c r="B18" s="836"/>
      <c r="C18" s="836"/>
      <c r="D18" s="2365" t="s">
        <v>103</v>
      </c>
      <c r="E18" s="2366">
        <v>35.6</v>
      </c>
      <c r="F18" s="2366">
        <v>33.5</v>
      </c>
      <c r="G18" s="2366">
        <v>25.5</v>
      </c>
      <c r="H18" s="2367">
        <v>27.7</v>
      </c>
      <c r="I18" s="835"/>
      <c r="K18" s="2365" t="s">
        <v>965</v>
      </c>
      <c r="L18" s="2366">
        <v>22.5</v>
      </c>
      <c r="M18" s="2366">
        <v>21.3</v>
      </c>
      <c r="N18" s="2366">
        <v>15</v>
      </c>
      <c r="O18" s="2367">
        <v>17</v>
      </c>
      <c r="P18" s="835"/>
      <c r="Q18" s="835"/>
    </row>
    <row r="19" spans="1:17" s="10" customFormat="1" ht="15" customHeight="1" x14ac:dyDescent="0.2">
      <c r="A19" s="836"/>
      <c r="C19" s="836"/>
      <c r="D19" s="71"/>
      <c r="E19" s="2368"/>
      <c r="F19" s="2368"/>
      <c r="G19" s="2368"/>
      <c r="H19" s="2369"/>
      <c r="I19" s="2370"/>
      <c r="J19" s="2369"/>
      <c r="K19" s="2369"/>
      <c r="L19" s="2369"/>
      <c r="M19" s="2369"/>
      <c r="N19" s="2369"/>
      <c r="O19" s="2371"/>
      <c r="P19" s="2372"/>
    </row>
    <row r="20" spans="1:17" s="10" customFormat="1" ht="15" customHeight="1" x14ac:dyDescent="0.2">
      <c r="A20" s="509">
        <v>5</v>
      </c>
      <c r="B20" s="509" t="s">
        <v>51</v>
      </c>
      <c r="C20" s="836"/>
      <c r="D20" s="71"/>
      <c r="E20" s="2368"/>
      <c r="F20" s="2368"/>
      <c r="G20" s="2368"/>
      <c r="H20" s="2369"/>
      <c r="I20" s="2369"/>
      <c r="J20" s="2369"/>
      <c r="K20" s="2369"/>
      <c r="L20" s="2369"/>
      <c r="M20" s="2369"/>
      <c r="N20" s="2369"/>
      <c r="O20" s="2371"/>
      <c r="P20" s="2372"/>
    </row>
    <row r="21" spans="1:17" s="10" customFormat="1" ht="15" customHeight="1" x14ac:dyDescent="0.2">
      <c r="A21" s="836"/>
      <c r="C21" s="836"/>
      <c r="D21" s="71"/>
      <c r="E21" s="2368"/>
      <c r="F21" s="2368"/>
      <c r="G21" s="2368"/>
      <c r="H21" s="2369"/>
      <c r="I21" s="2369"/>
      <c r="J21" s="2369"/>
      <c r="K21" s="2369"/>
      <c r="L21" s="2369"/>
      <c r="M21" s="2369"/>
      <c r="N21" s="2369"/>
      <c r="O21" s="2371"/>
      <c r="P21" s="2372"/>
    </row>
    <row r="22" spans="1:17" s="10" customFormat="1" ht="15" customHeight="1" x14ac:dyDescent="0.2">
      <c r="A22" s="836"/>
      <c r="C22" s="836"/>
      <c r="D22" s="71"/>
      <c r="E22" s="2368"/>
      <c r="F22" s="2368"/>
      <c r="G22" s="2368"/>
      <c r="H22" s="2369"/>
      <c r="I22" s="2369"/>
      <c r="J22" s="2369"/>
      <c r="K22" s="2369"/>
      <c r="L22" s="2369"/>
      <c r="M22" s="2369"/>
      <c r="N22" s="2369"/>
      <c r="O22" s="2371"/>
      <c r="P22" s="2372"/>
    </row>
    <row r="23" spans="1:17" s="10" customFormat="1" ht="15" customHeight="1" x14ac:dyDescent="0.2">
      <c r="A23" s="836"/>
      <c r="C23" s="836"/>
      <c r="D23" s="71"/>
      <c r="E23" s="2368"/>
      <c r="F23" s="2368"/>
      <c r="G23" s="2368"/>
      <c r="H23" s="2369"/>
      <c r="I23" s="2369"/>
      <c r="J23" s="2369"/>
      <c r="K23" s="2369"/>
      <c r="L23" s="2369"/>
      <c r="M23" s="2369"/>
      <c r="N23" s="2369"/>
      <c r="O23" s="2371"/>
      <c r="P23" s="2372"/>
    </row>
    <row r="24" spans="1:17" s="10" customFormat="1" ht="15" customHeight="1" x14ac:dyDescent="0.2">
      <c r="A24" s="836"/>
      <c r="C24" s="836"/>
      <c r="D24" s="71"/>
      <c r="E24" s="2368"/>
      <c r="F24" s="2368"/>
      <c r="G24" s="2368"/>
      <c r="H24" s="2369"/>
      <c r="I24" s="2369"/>
      <c r="J24" s="2369"/>
      <c r="K24" s="2369"/>
      <c r="L24" s="2369"/>
      <c r="M24" s="2369"/>
      <c r="N24" s="2369"/>
      <c r="O24" s="2371"/>
      <c r="P24" s="2372"/>
    </row>
    <row r="25" spans="1:17" s="10" customFormat="1" ht="15" customHeight="1" x14ac:dyDescent="0.2">
      <c r="A25" s="836"/>
      <c r="C25" s="836"/>
      <c r="D25" s="71"/>
      <c r="E25" s="2368"/>
      <c r="F25" s="2368"/>
      <c r="G25" s="2368"/>
      <c r="H25" s="2369"/>
      <c r="I25" s="2369"/>
      <c r="J25" s="2369"/>
      <c r="K25" s="2369"/>
      <c r="L25" s="2369"/>
      <c r="M25" s="2369"/>
      <c r="N25" s="2369"/>
      <c r="O25" s="2371"/>
      <c r="P25" s="2372"/>
    </row>
    <row r="26" spans="1:17" s="10" customFormat="1" ht="15" customHeight="1" x14ac:dyDescent="0.2">
      <c r="A26" s="836"/>
      <c r="C26" s="836"/>
      <c r="D26" s="71"/>
      <c r="E26" s="2368"/>
      <c r="F26" s="2368"/>
      <c r="G26" s="2368"/>
      <c r="H26" s="2369"/>
      <c r="I26" s="2369"/>
      <c r="J26" s="2369"/>
      <c r="K26" s="2369"/>
      <c r="L26" s="2369"/>
      <c r="M26" s="2369"/>
      <c r="N26" s="2369"/>
      <c r="O26" s="2371"/>
      <c r="P26" s="2372"/>
    </row>
    <row r="27" spans="1:17" s="10" customFormat="1" ht="15" customHeight="1" x14ac:dyDescent="0.2">
      <c r="A27" s="836"/>
      <c r="C27" s="836"/>
      <c r="D27" s="71"/>
      <c r="E27" s="2368"/>
      <c r="F27" s="2368"/>
      <c r="G27" s="2368"/>
      <c r="H27" s="2369"/>
      <c r="I27" s="2369"/>
      <c r="J27" s="2369"/>
      <c r="K27" s="2369"/>
      <c r="L27" s="2369"/>
      <c r="M27" s="2369"/>
      <c r="N27" s="2369"/>
      <c r="O27" s="2371"/>
      <c r="P27" s="2372"/>
    </row>
    <row r="28" spans="1:17" s="10" customFormat="1" ht="15" customHeight="1" x14ac:dyDescent="0.2">
      <c r="A28" s="836"/>
      <c r="C28" s="836"/>
      <c r="D28" s="71"/>
      <c r="E28" s="2368"/>
      <c r="F28" s="2368"/>
      <c r="G28" s="2368"/>
      <c r="H28" s="2369"/>
      <c r="I28" s="2369"/>
      <c r="J28" s="2369"/>
      <c r="K28" s="2369"/>
      <c r="L28" s="2369"/>
      <c r="M28" s="2369"/>
      <c r="N28" s="2369"/>
      <c r="O28" s="2371"/>
      <c r="P28" s="2372"/>
    </row>
    <row r="29" spans="1:17" s="10" customFormat="1" ht="15" customHeight="1" x14ac:dyDescent="0.2">
      <c r="A29" s="836"/>
      <c r="C29" s="836"/>
      <c r="D29" s="71"/>
      <c r="E29" s="2368"/>
      <c r="F29" s="2368"/>
      <c r="G29" s="2368"/>
      <c r="H29" s="2369"/>
      <c r="I29" s="2369"/>
      <c r="J29" s="2369"/>
      <c r="K29" s="2369"/>
      <c r="L29" s="2369"/>
      <c r="M29" s="2369"/>
      <c r="N29" s="2369"/>
      <c r="O29" s="2371"/>
      <c r="P29" s="2372"/>
    </row>
    <row r="30" spans="1:17" s="10" customFormat="1" ht="15" customHeight="1" x14ac:dyDescent="0.2">
      <c r="A30" s="836"/>
      <c r="C30" s="836"/>
      <c r="D30" s="71"/>
      <c r="E30" s="2368"/>
      <c r="F30" s="2368"/>
      <c r="G30" s="2368"/>
      <c r="H30" s="2369"/>
      <c r="I30" s="2369"/>
      <c r="J30" s="2369"/>
      <c r="K30" s="2369"/>
      <c r="L30" s="2369"/>
      <c r="M30" s="2369"/>
      <c r="N30" s="2369"/>
      <c r="O30" s="2371"/>
      <c r="P30" s="2372"/>
    </row>
    <row r="31" spans="1:17" s="10" customFormat="1" ht="15" customHeight="1" x14ac:dyDescent="0.2">
      <c r="A31" s="836"/>
      <c r="C31" s="836"/>
      <c r="D31" s="71"/>
      <c r="E31" s="2368"/>
      <c r="F31" s="2368"/>
      <c r="G31" s="2368"/>
      <c r="H31" s="2369"/>
      <c r="I31" s="2369"/>
      <c r="J31" s="2369"/>
      <c r="K31" s="2369"/>
      <c r="L31" s="2369"/>
      <c r="M31" s="2369"/>
      <c r="N31" s="2369"/>
      <c r="O31" s="2371"/>
      <c r="P31" s="2372"/>
    </row>
    <row r="32" spans="1:17" s="10" customFormat="1" ht="15" customHeight="1" x14ac:dyDescent="0.2">
      <c r="A32" s="836"/>
      <c r="C32" s="836"/>
      <c r="D32" s="71"/>
      <c r="E32" s="2368"/>
      <c r="F32" s="2368"/>
      <c r="G32" s="2368"/>
      <c r="H32" s="2369"/>
      <c r="I32" s="2369"/>
      <c r="J32" s="2369"/>
      <c r="K32" s="2369"/>
      <c r="L32" s="2369"/>
      <c r="M32" s="2369"/>
      <c r="N32" s="2369"/>
      <c r="O32" s="2371"/>
      <c r="P32" s="2372"/>
    </row>
    <row r="33" spans="1:16" s="10" customFormat="1" ht="15" customHeight="1" x14ac:dyDescent="0.2">
      <c r="A33" s="836"/>
      <c r="C33" s="836"/>
      <c r="D33" s="71"/>
      <c r="E33" s="2368"/>
      <c r="F33" s="2368"/>
      <c r="G33" s="2368"/>
      <c r="H33" s="2369"/>
      <c r="I33" s="2369"/>
      <c r="J33" s="2369"/>
      <c r="K33" s="2369"/>
      <c r="L33" s="2369"/>
      <c r="M33" s="2369"/>
      <c r="N33" s="2369"/>
      <c r="O33" s="2371"/>
      <c r="P33" s="2372"/>
    </row>
    <row r="34" spans="1:16" s="10" customFormat="1" ht="15" customHeight="1" x14ac:dyDescent="0.2">
      <c r="A34" s="836"/>
      <c r="C34" s="836"/>
      <c r="D34" s="71"/>
      <c r="E34" s="2368"/>
      <c r="F34" s="2368"/>
      <c r="G34" s="2368"/>
      <c r="H34" s="2369"/>
      <c r="I34" s="2369"/>
      <c r="J34" s="2369"/>
      <c r="K34" s="2369"/>
      <c r="L34" s="2369"/>
      <c r="M34" s="2369"/>
      <c r="N34" s="2369"/>
      <c r="O34" s="2371"/>
      <c r="P34" s="2372"/>
    </row>
    <row r="35" spans="1:16" s="10" customFormat="1" ht="15" customHeight="1" x14ac:dyDescent="0.2">
      <c r="A35" s="836"/>
      <c r="C35" s="836"/>
      <c r="E35" s="2373"/>
      <c r="F35" s="2373"/>
      <c r="G35" s="2373"/>
      <c r="H35" s="2373"/>
      <c r="I35" s="2373"/>
      <c r="J35" s="2373"/>
      <c r="K35" s="2374"/>
      <c r="L35" s="2374"/>
      <c r="M35" s="2374"/>
      <c r="N35" s="2374"/>
      <c r="O35" s="2375"/>
      <c r="P35" s="2376"/>
    </row>
    <row r="36" spans="1:16" ht="15.75" customHeight="1" x14ac:dyDescent="0.25">
      <c r="A36" s="509">
        <v>6</v>
      </c>
      <c r="B36" s="509" t="s">
        <v>52</v>
      </c>
      <c r="C36" s="546"/>
      <c r="D36" s="4869" t="s">
        <v>1783</v>
      </c>
      <c r="E36" s="4870"/>
      <c r="F36" s="4870"/>
      <c r="G36" s="4870"/>
      <c r="H36" s="4870"/>
      <c r="I36" s="4870"/>
      <c r="J36" s="4870"/>
      <c r="K36" s="4870"/>
      <c r="L36" s="4870"/>
      <c r="M36" s="4870"/>
      <c r="N36" s="4870"/>
      <c r="O36" s="4870"/>
      <c r="P36" s="4871"/>
    </row>
    <row r="37" spans="1:16" ht="66" customHeight="1" x14ac:dyDescent="0.25">
      <c r="A37" s="546">
        <v>7</v>
      </c>
      <c r="B37" s="546" t="s">
        <v>54</v>
      </c>
      <c r="C37" s="509"/>
      <c r="D37" s="4869" t="s">
        <v>1784</v>
      </c>
      <c r="E37" s="4870"/>
      <c r="F37" s="4870"/>
      <c r="G37" s="4870"/>
      <c r="H37" s="4870"/>
      <c r="I37" s="4870"/>
      <c r="J37" s="4870"/>
      <c r="K37" s="4870"/>
      <c r="L37" s="4870"/>
      <c r="M37" s="4870"/>
      <c r="N37" s="4870"/>
      <c r="O37" s="4870"/>
      <c r="P37" s="4871"/>
    </row>
    <row r="38" spans="1:16" ht="23.45" customHeight="1" x14ac:dyDescent="0.25">
      <c r="A38" s="509">
        <v>8</v>
      </c>
      <c r="B38" s="509" t="s">
        <v>56</v>
      </c>
      <c r="C38" s="506"/>
      <c r="D38" s="4869" t="s">
        <v>1733</v>
      </c>
      <c r="E38" s="4870"/>
      <c r="F38" s="4870"/>
      <c r="G38" s="4870"/>
      <c r="H38" s="4870"/>
      <c r="I38" s="4870"/>
      <c r="J38" s="4870"/>
      <c r="K38" s="4870"/>
      <c r="L38" s="4870"/>
      <c r="M38" s="4870"/>
      <c r="N38" s="4870"/>
      <c r="O38" s="4870"/>
      <c r="P38" s="4871"/>
    </row>
    <row r="39" spans="1:16" ht="33.6" customHeight="1" x14ac:dyDescent="0.25">
      <c r="A39" s="509">
        <v>9</v>
      </c>
      <c r="B39" s="91" t="s">
        <v>949</v>
      </c>
      <c r="C39" s="506"/>
      <c r="D39" s="4869" t="s">
        <v>1785</v>
      </c>
      <c r="E39" s="4870"/>
      <c r="F39" s="4870"/>
      <c r="G39" s="4870"/>
      <c r="H39" s="4870"/>
      <c r="I39" s="4870"/>
      <c r="J39" s="4870"/>
      <c r="K39" s="4870"/>
      <c r="L39" s="4870"/>
      <c r="M39" s="4870"/>
      <c r="N39" s="4870"/>
      <c r="O39" s="4870"/>
      <c r="P39" s="4871"/>
    </row>
    <row r="40" spans="1:16" x14ac:dyDescent="0.25">
      <c r="A40" s="509"/>
      <c r="B40" s="509"/>
      <c r="C40" s="1119"/>
      <c r="D40" s="4671"/>
      <c r="E40" s="5066"/>
      <c r="F40" s="5066"/>
      <c r="G40" s="5066"/>
      <c r="H40" s="5066"/>
      <c r="I40" s="5066"/>
      <c r="J40" s="5066"/>
      <c r="K40" s="5066"/>
      <c r="L40" s="5066"/>
    </row>
    <row r="41" spans="1:16" x14ac:dyDescent="0.25">
      <c r="A41" s="509"/>
      <c r="B41" s="531"/>
      <c r="C41" s="531"/>
      <c r="D41" s="1119"/>
      <c r="E41" s="880"/>
      <c r="F41" s="880"/>
      <c r="G41" s="880"/>
      <c r="H41" s="880"/>
      <c r="I41" s="880"/>
      <c r="J41" s="880"/>
      <c r="K41" s="880"/>
      <c r="L41" s="880"/>
    </row>
    <row r="42" spans="1:16" ht="41.25" customHeight="1" x14ac:dyDescent="0.25">
      <c r="A42" s="509"/>
      <c r="B42" s="309"/>
      <c r="C42" s="309"/>
      <c r="D42" s="241"/>
      <c r="E42" s="241"/>
      <c r="F42" s="241"/>
      <c r="G42" s="241"/>
      <c r="H42" s="241"/>
      <c r="I42" s="241"/>
      <c r="J42" s="241"/>
      <c r="K42" s="241"/>
      <c r="L42" s="241"/>
    </row>
    <row r="43" spans="1:16" ht="26.25" customHeight="1" x14ac:dyDescent="0.25">
      <c r="A43" s="509"/>
      <c r="B43" s="531"/>
      <c r="C43" s="531"/>
      <c r="D43" s="241"/>
      <c r="E43" s="241"/>
      <c r="F43" s="241"/>
      <c r="G43" s="241"/>
      <c r="H43" s="241"/>
      <c r="I43" s="241"/>
      <c r="J43" s="241"/>
      <c r="K43" s="241"/>
      <c r="L43" s="241"/>
    </row>
  </sheetData>
  <mergeCells count="8">
    <mergeCell ref="D39:P39"/>
    <mergeCell ref="D40:L40"/>
    <mergeCell ref="D2:P2"/>
    <mergeCell ref="D3:P3"/>
    <mergeCell ref="D4:P4"/>
    <mergeCell ref="D36:P36"/>
    <mergeCell ref="D37:P37"/>
    <mergeCell ref="D38:P38"/>
  </mergeCells>
  <pageMargins left="0.74803149606299202" right="0.74803149606299202" top="0.98425196850393704" bottom="0.98425196850393704" header="0.511811023622047" footer="0.511811023622047"/>
  <pageSetup paperSize="9" scale="67"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B4B3B-1B27-442F-8311-D64FDE44B0F3}">
  <sheetPr>
    <tabColor rgb="FF0070C0"/>
    <pageSetUpPr fitToPage="1"/>
  </sheetPr>
  <dimension ref="A1:AH482"/>
  <sheetViews>
    <sheetView showGridLines="0" view="pageBreakPreview" zoomScale="120" zoomScaleNormal="100" zoomScaleSheetLayoutView="120" workbookViewId="0">
      <selection activeCell="V28" sqref="V28"/>
    </sheetView>
  </sheetViews>
  <sheetFormatPr defaultColWidth="9.140625" defaultRowHeight="15" x14ac:dyDescent="0.25"/>
  <cols>
    <col min="1" max="1" width="3.85546875" style="3820" customWidth="1"/>
    <col min="2" max="2" width="11" style="3820" customWidth="1"/>
    <col min="3" max="3" width="5.140625" style="3820" customWidth="1"/>
    <col min="4" max="4" width="20.85546875" style="113" customWidth="1"/>
    <col min="5" max="5" width="4.85546875" style="113" customWidth="1"/>
    <col min="6" max="6" width="6.85546875" style="113" customWidth="1"/>
    <col min="7" max="19" width="6.85546875" style="113" hidden="1" customWidth="1"/>
    <col min="20" max="24" width="6.85546875" style="113" customWidth="1"/>
    <col min="25" max="26" width="7.140625" style="113" customWidth="1"/>
    <col min="27" max="27" width="6.5703125" style="113" customWidth="1"/>
    <col min="28" max="28" width="7.140625" style="113" customWidth="1"/>
    <col min="29" max="29" width="7.42578125" style="113" customWidth="1"/>
    <col min="30" max="31" width="6.5703125" style="113" customWidth="1"/>
    <col min="32" max="32" width="7.5703125" style="113" customWidth="1"/>
    <col min="33" max="257" width="9.140625" style="113"/>
    <col min="258" max="258" width="3.85546875" style="113" customWidth="1"/>
    <col min="259" max="259" width="13.85546875" style="113" customWidth="1"/>
    <col min="260" max="260" width="3.42578125" style="113" customWidth="1"/>
    <col min="261" max="261" width="18" style="113" customWidth="1"/>
    <col min="262" max="262" width="8.85546875" style="113" customWidth="1"/>
    <col min="263" max="263" width="10.140625" style="113" customWidth="1"/>
    <col min="264" max="275" width="8.85546875" style="113" customWidth="1"/>
    <col min="276" max="276" width="8.42578125" style="113" customWidth="1"/>
    <col min="277" max="278" width="8.85546875" style="113" customWidth="1"/>
    <col min="279" max="513" width="9.140625" style="113"/>
    <col min="514" max="514" width="3.85546875" style="113" customWidth="1"/>
    <col min="515" max="515" width="13.85546875" style="113" customWidth="1"/>
    <col min="516" max="516" width="3.42578125" style="113" customWidth="1"/>
    <col min="517" max="517" width="18" style="113" customWidth="1"/>
    <col min="518" max="518" width="8.85546875" style="113" customWidth="1"/>
    <col min="519" max="519" width="10.140625" style="113" customWidth="1"/>
    <col min="520" max="531" width="8.85546875" style="113" customWidth="1"/>
    <col min="532" max="532" width="8.42578125" style="113" customWidth="1"/>
    <col min="533" max="534" width="8.85546875" style="113" customWidth="1"/>
    <col min="535" max="769" width="9.140625" style="113"/>
    <col min="770" max="770" width="3.85546875" style="113" customWidth="1"/>
    <col min="771" max="771" width="13.85546875" style="113" customWidth="1"/>
    <col min="772" max="772" width="3.42578125" style="113" customWidth="1"/>
    <col min="773" max="773" width="18" style="113" customWidth="1"/>
    <col min="774" max="774" width="8.85546875" style="113" customWidth="1"/>
    <col min="775" max="775" width="10.140625" style="113" customWidth="1"/>
    <col min="776" max="787" width="8.85546875" style="113" customWidth="1"/>
    <col min="788" max="788" width="8.42578125" style="113" customWidth="1"/>
    <col min="789" max="790" width="8.85546875" style="113" customWidth="1"/>
    <col min="791" max="1025" width="9.140625" style="113"/>
    <col min="1026" max="1026" width="3.85546875" style="113" customWidth="1"/>
    <col min="1027" max="1027" width="13.85546875" style="113" customWidth="1"/>
    <col min="1028" max="1028" width="3.42578125" style="113" customWidth="1"/>
    <col min="1029" max="1029" width="18" style="113" customWidth="1"/>
    <col min="1030" max="1030" width="8.85546875" style="113" customWidth="1"/>
    <col min="1031" max="1031" width="10.140625" style="113" customWidth="1"/>
    <col min="1032" max="1043" width="8.85546875" style="113" customWidth="1"/>
    <col min="1044" max="1044" width="8.42578125" style="113" customWidth="1"/>
    <col min="1045" max="1046" width="8.85546875" style="113" customWidth="1"/>
    <col min="1047" max="1281" width="9.140625" style="113"/>
    <col min="1282" max="1282" width="3.85546875" style="113" customWidth="1"/>
    <col min="1283" max="1283" width="13.85546875" style="113" customWidth="1"/>
    <col min="1284" max="1284" width="3.42578125" style="113" customWidth="1"/>
    <col min="1285" max="1285" width="18" style="113" customWidth="1"/>
    <col min="1286" max="1286" width="8.85546875" style="113" customWidth="1"/>
    <col min="1287" max="1287" width="10.140625" style="113" customWidth="1"/>
    <col min="1288" max="1299" width="8.85546875" style="113" customWidth="1"/>
    <col min="1300" max="1300" width="8.42578125" style="113" customWidth="1"/>
    <col min="1301" max="1302" width="8.85546875" style="113" customWidth="1"/>
    <col min="1303" max="1537" width="9.140625" style="113"/>
    <col min="1538" max="1538" width="3.85546875" style="113" customWidth="1"/>
    <col min="1539" max="1539" width="13.85546875" style="113" customWidth="1"/>
    <col min="1540" max="1540" width="3.42578125" style="113" customWidth="1"/>
    <col min="1541" max="1541" width="18" style="113" customWidth="1"/>
    <col min="1542" max="1542" width="8.85546875" style="113" customWidth="1"/>
    <col min="1543" max="1543" width="10.140625" style="113" customWidth="1"/>
    <col min="1544" max="1555" width="8.85546875" style="113" customWidth="1"/>
    <col min="1556" max="1556" width="8.42578125" style="113" customWidth="1"/>
    <col min="1557" max="1558" width="8.85546875" style="113" customWidth="1"/>
    <col min="1559" max="1793" width="9.140625" style="113"/>
    <col min="1794" max="1794" width="3.85546875" style="113" customWidth="1"/>
    <col min="1795" max="1795" width="13.85546875" style="113" customWidth="1"/>
    <col min="1796" max="1796" width="3.42578125" style="113" customWidth="1"/>
    <col min="1797" max="1797" width="18" style="113" customWidth="1"/>
    <col min="1798" max="1798" width="8.85546875" style="113" customWidth="1"/>
    <col min="1799" max="1799" width="10.140625" style="113" customWidth="1"/>
    <col min="1800" max="1811" width="8.85546875" style="113" customWidth="1"/>
    <col min="1812" max="1812" width="8.42578125" style="113" customWidth="1"/>
    <col min="1813" max="1814" width="8.85546875" style="113" customWidth="1"/>
    <col min="1815" max="2049" width="9.140625" style="113"/>
    <col min="2050" max="2050" width="3.85546875" style="113" customWidth="1"/>
    <col min="2051" max="2051" width="13.85546875" style="113" customWidth="1"/>
    <col min="2052" max="2052" width="3.42578125" style="113" customWidth="1"/>
    <col min="2053" max="2053" width="18" style="113" customWidth="1"/>
    <col min="2054" max="2054" width="8.85546875" style="113" customWidth="1"/>
    <col min="2055" max="2055" width="10.140625" style="113" customWidth="1"/>
    <col min="2056" max="2067" width="8.85546875" style="113" customWidth="1"/>
    <col min="2068" max="2068" width="8.42578125" style="113" customWidth="1"/>
    <col min="2069" max="2070" width="8.85546875" style="113" customWidth="1"/>
    <col min="2071" max="2305" width="9.140625" style="113"/>
    <col min="2306" max="2306" width="3.85546875" style="113" customWidth="1"/>
    <col min="2307" max="2307" width="13.85546875" style="113" customWidth="1"/>
    <col min="2308" max="2308" width="3.42578125" style="113" customWidth="1"/>
    <col min="2309" max="2309" width="18" style="113" customWidth="1"/>
    <col min="2310" max="2310" width="8.85546875" style="113" customWidth="1"/>
    <col min="2311" max="2311" width="10.140625" style="113" customWidth="1"/>
    <col min="2312" max="2323" width="8.85546875" style="113" customWidth="1"/>
    <col min="2324" max="2324" width="8.42578125" style="113" customWidth="1"/>
    <col min="2325" max="2326" width="8.85546875" style="113" customWidth="1"/>
    <col min="2327" max="2561" width="9.140625" style="113"/>
    <col min="2562" max="2562" width="3.85546875" style="113" customWidth="1"/>
    <col min="2563" max="2563" width="13.85546875" style="113" customWidth="1"/>
    <col min="2564" max="2564" width="3.42578125" style="113" customWidth="1"/>
    <col min="2565" max="2565" width="18" style="113" customWidth="1"/>
    <col min="2566" max="2566" width="8.85546875" style="113" customWidth="1"/>
    <col min="2567" max="2567" width="10.140625" style="113" customWidth="1"/>
    <col min="2568" max="2579" width="8.85546875" style="113" customWidth="1"/>
    <col min="2580" max="2580" width="8.42578125" style="113" customWidth="1"/>
    <col min="2581" max="2582" width="8.85546875" style="113" customWidth="1"/>
    <col min="2583" max="2817" width="9.140625" style="113"/>
    <col min="2818" max="2818" width="3.85546875" style="113" customWidth="1"/>
    <col min="2819" max="2819" width="13.85546875" style="113" customWidth="1"/>
    <col min="2820" max="2820" width="3.42578125" style="113" customWidth="1"/>
    <col min="2821" max="2821" width="18" style="113" customWidth="1"/>
    <col min="2822" max="2822" width="8.85546875" style="113" customWidth="1"/>
    <col min="2823" max="2823" width="10.140625" style="113" customWidth="1"/>
    <col min="2824" max="2835" width="8.85546875" style="113" customWidth="1"/>
    <col min="2836" max="2836" width="8.42578125" style="113" customWidth="1"/>
    <col min="2837" max="2838" width="8.85546875" style="113" customWidth="1"/>
    <col min="2839" max="3073" width="9.140625" style="113"/>
    <col min="3074" max="3074" width="3.85546875" style="113" customWidth="1"/>
    <col min="3075" max="3075" width="13.85546875" style="113" customWidth="1"/>
    <col min="3076" max="3076" width="3.42578125" style="113" customWidth="1"/>
    <col min="3077" max="3077" width="18" style="113" customWidth="1"/>
    <col min="3078" max="3078" width="8.85546875" style="113" customWidth="1"/>
    <col min="3079" max="3079" width="10.140625" style="113" customWidth="1"/>
    <col min="3080" max="3091" width="8.85546875" style="113" customWidth="1"/>
    <col min="3092" max="3092" width="8.42578125" style="113" customWidth="1"/>
    <col min="3093" max="3094" width="8.85546875" style="113" customWidth="1"/>
    <col min="3095" max="3329" width="9.140625" style="113"/>
    <col min="3330" max="3330" width="3.85546875" style="113" customWidth="1"/>
    <col min="3331" max="3331" width="13.85546875" style="113" customWidth="1"/>
    <col min="3332" max="3332" width="3.42578125" style="113" customWidth="1"/>
    <col min="3333" max="3333" width="18" style="113" customWidth="1"/>
    <col min="3334" max="3334" width="8.85546875" style="113" customWidth="1"/>
    <col min="3335" max="3335" width="10.140625" style="113" customWidth="1"/>
    <col min="3336" max="3347" width="8.85546875" style="113" customWidth="1"/>
    <col min="3348" max="3348" width="8.42578125" style="113" customWidth="1"/>
    <col min="3349" max="3350" width="8.85546875" style="113" customWidth="1"/>
    <col min="3351" max="3585" width="9.140625" style="113"/>
    <col min="3586" max="3586" width="3.85546875" style="113" customWidth="1"/>
    <col min="3587" max="3587" width="13.85546875" style="113" customWidth="1"/>
    <col min="3588" max="3588" width="3.42578125" style="113" customWidth="1"/>
    <col min="3589" max="3589" width="18" style="113" customWidth="1"/>
    <col min="3590" max="3590" width="8.85546875" style="113" customWidth="1"/>
    <col min="3591" max="3591" width="10.140625" style="113" customWidth="1"/>
    <col min="3592" max="3603" width="8.85546875" style="113" customWidth="1"/>
    <col min="3604" max="3604" width="8.42578125" style="113" customWidth="1"/>
    <col min="3605" max="3606" width="8.85546875" style="113" customWidth="1"/>
    <col min="3607" max="3841" width="9.140625" style="113"/>
    <col min="3842" max="3842" width="3.85546875" style="113" customWidth="1"/>
    <col min="3843" max="3843" width="13.85546875" style="113" customWidth="1"/>
    <col min="3844" max="3844" width="3.42578125" style="113" customWidth="1"/>
    <col min="3845" max="3845" width="18" style="113" customWidth="1"/>
    <col min="3846" max="3846" width="8.85546875" style="113" customWidth="1"/>
    <col min="3847" max="3847" width="10.140625" style="113" customWidth="1"/>
    <col min="3848" max="3859" width="8.85546875" style="113" customWidth="1"/>
    <col min="3860" max="3860" width="8.42578125" style="113" customWidth="1"/>
    <col min="3861" max="3862" width="8.85546875" style="113" customWidth="1"/>
    <col min="3863" max="4097" width="9.140625" style="113"/>
    <col min="4098" max="4098" width="3.85546875" style="113" customWidth="1"/>
    <col min="4099" max="4099" width="13.85546875" style="113" customWidth="1"/>
    <col min="4100" max="4100" width="3.42578125" style="113" customWidth="1"/>
    <col min="4101" max="4101" width="18" style="113" customWidth="1"/>
    <col min="4102" max="4102" width="8.85546875" style="113" customWidth="1"/>
    <col min="4103" max="4103" width="10.140625" style="113" customWidth="1"/>
    <col min="4104" max="4115" width="8.85546875" style="113" customWidth="1"/>
    <col min="4116" max="4116" width="8.42578125" style="113" customWidth="1"/>
    <col min="4117" max="4118" width="8.85546875" style="113" customWidth="1"/>
    <col min="4119" max="4353" width="9.140625" style="113"/>
    <col min="4354" max="4354" width="3.85546875" style="113" customWidth="1"/>
    <col min="4355" max="4355" width="13.85546875" style="113" customWidth="1"/>
    <col min="4356" max="4356" width="3.42578125" style="113" customWidth="1"/>
    <col min="4357" max="4357" width="18" style="113" customWidth="1"/>
    <col min="4358" max="4358" width="8.85546875" style="113" customWidth="1"/>
    <col min="4359" max="4359" width="10.140625" style="113" customWidth="1"/>
    <col min="4360" max="4371" width="8.85546875" style="113" customWidth="1"/>
    <col min="4372" max="4372" width="8.42578125" style="113" customWidth="1"/>
    <col min="4373" max="4374" width="8.85546875" style="113" customWidth="1"/>
    <col min="4375" max="4609" width="9.140625" style="113"/>
    <col min="4610" max="4610" width="3.85546875" style="113" customWidth="1"/>
    <col min="4611" max="4611" width="13.85546875" style="113" customWidth="1"/>
    <col min="4612" max="4612" width="3.42578125" style="113" customWidth="1"/>
    <col min="4613" max="4613" width="18" style="113" customWidth="1"/>
    <col min="4614" max="4614" width="8.85546875" style="113" customWidth="1"/>
    <col min="4615" max="4615" width="10.140625" style="113" customWidth="1"/>
    <col min="4616" max="4627" width="8.85546875" style="113" customWidth="1"/>
    <col min="4628" max="4628" width="8.42578125" style="113" customWidth="1"/>
    <col min="4629" max="4630" width="8.85546875" style="113" customWidth="1"/>
    <col min="4631" max="4865" width="9.140625" style="113"/>
    <col min="4866" max="4866" width="3.85546875" style="113" customWidth="1"/>
    <col min="4867" max="4867" width="13.85546875" style="113" customWidth="1"/>
    <col min="4868" max="4868" width="3.42578125" style="113" customWidth="1"/>
    <col min="4869" max="4869" width="18" style="113" customWidth="1"/>
    <col min="4870" max="4870" width="8.85546875" style="113" customWidth="1"/>
    <col min="4871" max="4871" width="10.140625" style="113" customWidth="1"/>
    <col min="4872" max="4883" width="8.85546875" style="113" customWidth="1"/>
    <col min="4884" max="4884" width="8.42578125" style="113" customWidth="1"/>
    <col min="4885" max="4886" width="8.85546875" style="113" customWidth="1"/>
    <col min="4887" max="5121" width="9.140625" style="113"/>
    <col min="5122" max="5122" width="3.85546875" style="113" customWidth="1"/>
    <col min="5123" max="5123" width="13.85546875" style="113" customWidth="1"/>
    <col min="5124" max="5124" width="3.42578125" style="113" customWidth="1"/>
    <col min="5125" max="5125" width="18" style="113" customWidth="1"/>
    <col min="5126" max="5126" width="8.85546875" style="113" customWidth="1"/>
    <col min="5127" max="5127" width="10.140625" style="113" customWidth="1"/>
    <col min="5128" max="5139" width="8.85546875" style="113" customWidth="1"/>
    <col min="5140" max="5140" width="8.42578125" style="113" customWidth="1"/>
    <col min="5141" max="5142" width="8.85546875" style="113" customWidth="1"/>
    <col min="5143" max="5377" width="9.140625" style="113"/>
    <col min="5378" max="5378" width="3.85546875" style="113" customWidth="1"/>
    <col min="5379" max="5379" width="13.85546875" style="113" customWidth="1"/>
    <col min="5380" max="5380" width="3.42578125" style="113" customWidth="1"/>
    <col min="5381" max="5381" width="18" style="113" customWidth="1"/>
    <col min="5382" max="5382" width="8.85546875" style="113" customWidth="1"/>
    <col min="5383" max="5383" width="10.140625" style="113" customWidth="1"/>
    <col min="5384" max="5395" width="8.85546875" style="113" customWidth="1"/>
    <col min="5396" max="5396" width="8.42578125" style="113" customWidth="1"/>
    <col min="5397" max="5398" width="8.85546875" style="113" customWidth="1"/>
    <col min="5399" max="5633" width="9.140625" style="113"/>
    <col min="5634" max="5634" width="3.85546875" style="113" customWidth="1"/>
    <col min="5635" max="5635" width="13.85546875" style="113" customWidth="1"/>
    <col min="5636" max="5636" width="3.42578125" style="113" customWidth="1"/>
    <col min="5637" max="5637" width="18" style="113" customWidth="1"/>
    <col min="5638" max="5638" width="8.85546875" style="113" customWidth="1"/>
    <col min="5639" max="5639" width="10.140625" style="113" customWidth="1"/>
    <col min="5640" max="5651" width="8.85546875" style="113" customWidth="1"/>
    <col min="5652" max="5652" width="8.42578125" style="113" customWidth="1"/>
    <col min="5653" max="5654" width="8.85546875" style="113" customWidth="1"/>
    <col min="5655" max="5889" width="9.140625" style="113"/>
    <col min="5890" max="5890" width="3.85546875" style="113" customWidth="1"/>
    <col min="5891" max="5891" width="13.85546875" style="113" customWidth="1"/>
    <col min="5892" max="5892" width="3.42578125" style="113" customWidth="1"/>
    <col min="5893" max="5893" width="18" style="113" customWidth="1"/>
    <col min="5894" max="5894" width="8.85546875" style="113" customWidth="1"/>
    <col min="5895" max="5895" width="10.140625" style="113" customWidth="1"/>
    <col min="5896" max="5907" width="8.85546875" style="113" customWidth="1"/>
    <col min="5908" max="5908" width="8.42578125" style="113" customWidth="1"/>
    <col min="5909" max="5910" width="8.85546875" style="113" customWidth="1"/>
    <col min="5911" max="6145" width="9.140625" style="113"/>
    <col min="6146" max="6146" width="3.85546875" style="113" customWidth="1"/>
    <col min="6147" max="6147" width="13.85546875" style="113" customWidth="1"/>
    <col min="6148" max="6148" width="3.42578125" style="113" customWidth="1"/>
    <col min="6149" max="6149" width="18" style="113" customWidth="1"/>
    <col min="6150" max="6150" width="8.85546875" style="113" customWidth="1"/>
    <col min="6151" max="6151" width="10.140625" style="113" customWidth="1"/>
    <col min="6152" max="6163" width="8.85546875" style="113" customWidth="1"/>
    <col min="6164" max="6164" width="8.42578125" style="113" customWidth="1"/>
    <col min="6165" max="6166" width="8.85546875" style="113" customWidth="1"/>
    <col min="6167" max="6401" width="9.140625" style="113"/>
    <col min="6402" max="6402" width="3.85546875" style="113" customWidth="1"/>
    <col min="6403" max="6403" width="13.85546875" style="113" customWidth="1"/>
    <col min="6404" max="6404" width="3.42578125" style="113" customWidth="1"/>
    <col min="6405" max="6405" width="18" style="113" customWidth="1"/>
    <col min="6406" max="6406" width="8.85546875" style="113" customWidth="1"/>
    <col min="6407" max="6407" width="10.140625" style="113" customWidth="1"/>
    <col min="6408" max="6419" width="8.85546875" style="113" customWidth="1"/>
    <col min="6420" max="6420" width="8.42578125" style="113" customWidth="1"/>
    <col min="6421" max="6422" width="8.85546875" style="113" customWidth="1"/>
    <col min="6423" max="6657" width="9.140625" style="113"/>
    <col min="6658" max="6658" width="3.85546875" style="113" customWidth="1"/>
    <col min="6659" max="6659" width="13.85546875" style="113" customWidth="1"/>
    <col min="6660" max="6660" width="3.42578125" style="113" customWidth="1"/>
    <col min="6661" max="6661" width="18" style="113" customWidth="1"/>
    <col min="6662" max="6662" width="8.85546875" style="113" customWidth="1"/>
    <col min="6663" max="6663" width="10.140625" style="113" customWidth="1"/>
    <col min="6664" max="6675" width="8.85546875" style="113" customWidth="1"/>
    <col min="6676" max="6676" width="8.42578125" style="113" customWidth="1"/>
    <col min="6677" max="6678" width="8.85546875" style="113" customWidth="1"/>
    <col min="6679" max="6913" width="9.140625" style="113"/>
    <col min="6914" max="6914" width="3.85546875" style="113" customWidth="1"/>
    <col min="6915" max="6915" width="13.85546875" style="113" customWidth="1"/>
    <col min="6916" max="6916" width="3.42578125" style="113" customWidth="1"/>
    <col min="6917" max="6917" width="18" style="113" customWidth="1"/>
    <col min="6918" max="6918" width="8.85546875" style="113" customWidth="1"/>
    <col min="6919" max="6919" width="10.140625" style="113" customWidth="1"/>
    <col min="6920" max="6931" width="8.85546875" style="113" customWidth="1"/>
    <col min="6932" max="6932" width="8.42578125" style="113" customWidth="1"/>
    <col min="6933" max="6934" width="8.85546875" style="113" customWidth="1"/>
    <col min="6935" max="7169" width="9.140625" style="113"/>
    <col min="7170" max="7170" width="3.85546875" style="113" customWidth="1"/>
    <col min="7171" max="7171" width="13.85546875" style="113" customWidth="1"/>
    <col min="7172" max="7172" width="3.42578125" style="113" customWidth="1"/>
    <col min="7173" max="7173" width="18" style="113" customWidth="1"/>
    <col min="7174" max="7174" width="8.85546875" style="113" customWidth="1"/>
    <col min="7175" max="7175" width="10.140625" style="113" customWidth="1"/>
    <col min="7176" max="7187" width="8.85546875" style="113" customWidth="1"/>
    <col min="7188" max="7188" width="8.42578125" style="113" customWidth="1"/>
    <col min="7189" max="7190" width="8.85546875" style="113" customWidth="1"/>
    <col min="7191" max="7425" width="9.140625" style="113"/>
    <col min="7426" max="7426" width="3.85546875" style="113" customWidth="1"/>
    <col min="7427" max="7427" width="13.85546875" style="113" customWidth="1"/>
    <col min="7428" max="7428" width="3.42578125" style="113" customWidth="1"/>
    <col min="7429" max="7429" width="18" style="113" customWidth="1"/>
    <col min="7430" max="7430" width="8.85546875" style="113" customWidth="1"/>
    <col min="7431" max="7431" width="10.140625" style="113" customWidth="1"/>
    <col min="7432" max="7443" width="8.85546875" style="113" customWidth="1"/>
    <col min="7444" max="7444" width="8.42578125" style="113" customWidth="1"/>
    <col min="7445" max="7446" width="8.85546875" style="113" customWidth="1"/>
    <col min="7447" max="7681" width="9.140625" style="113"/>
    <col min="7682" max="7682" width="3.85546875" style="113" customWidth="1"/>
    <col min="7683" max="7683" width="13.85546875" style="113" customWidth="1"/>
    <col min="7684" max="7684" width="3.42578125" style="113" customWidth="1"/>
    <col min="7685" max="7685" width="18" style="113" customWidth="1"/>
    <col min="7686" max="7686" width="8.85546875" style="113" customWidth="1"/>
    <col min="7687" max="7687" width="10.140625" style="113" customWidth="1"/>
    <col min="7688" max="7699" width="8.85546875" style="113" customWidth="1"/>
    <col min="7700" max="7700" width="8.42578125" style="113" customWidth="1"/>
    <col min="7701" max="7702" width="8.85546875" style="113" customWidth="1"/>
    <col min="7703" max="7937" width="9.140625" style="113"/>
    <col min="7938" max="7938" width="3.85546875" style="113" customWidth="1"/>
    <col min="7939" max="7939" width="13.85546875" style="113" customWidth="1"/>
    <col min="7940" max="7940" width="3.42578125" style="113" customWidth="1"/>
    <col min="7941" max="7941" width="18" style="113" customWidth="1"/>
    <col min="7942" max="7942" width="8.85546875" style="113" customWidth="1"/>
    <col min="7943" max="7943" width="10.140625" style="113" customWidth="1"/>
    <col min="7944" max="7955" width="8.85546875" style="113" customWidth="1"/>
    <col min="7956" max="7956" width="8.42578125" style="113" customWidth="1"/>
    <col min="7957" max="7958" width="8.85546875" style="113" customWidth="1"/>
    <col min="7959" max="8193" width="9.140625" style="113"/>
    <col min="8194" max="8194" width="3.85546875" style="113" customWidth="1"/>
    <col min="8195" max="8195" width="13.85546875" style="113" customWidth="1"/>
    <col min="8196" max="8196" width="3.42578125" style="113" customWidth="1"/>
    <col min="8197" max="8197" width="18" style="113" customWidth="1"/>
    <col min="8198" max="8198" width="8.85546875" style="113" customWidth="1"/>
    <col min="8199" max="8199" width="10.140625" style="113" customWidth="1"/>
    <col min="8200" max="8211" width="8.85546875" style="113" customWidth="1"/>
    <col min="8212" max="8212" width="8.42578125" style="113" customWidth="1"/>
    <col min="8213" max="8214" width="8.85546875" style="113" customWidth="1"/>
    <col min="8215" max="8449" width="9.140625" style="113"/>
    <col min="8450" max="8450" width="3.85546875" style="113" customWidth="1"/>
    <col min="8451" max="8451" width="13.85546875" style="113" customWidth="1"/>
    <col min="8452" max="8452" width="3.42578125" style="113" customWidth="1"/>
    <col min="8453" max="8453" width="18" style="113" customWidth="1"/>
    <col min="8454" max="8454" width="8.85546875" style="113" customWidth="1"/>
    <col min="8455" max="8455" width="10.140625" style="113" customWidth="1"/>
    <col min="8456" max="8467" width="8.85546875" style="113" customWidth="1"/>
    <col min="8468" max="8468" width="8.42578125" style="113" customWidth="1"/>
    <col min="8469" max="8470" width="8.85546875" style="113" customWidth="1"/>
    <col min="8471" max="8705" width="9.140625" style="113"/>
    <col min="8706" max="8706" width="3.85546875" style="113" customWidth="1"/>
    <col min="8707" max="8707" width="13.85546875" style="113" customWidth="1"/>
    <col min="8708" max="8708" width="3.42578125" style="113" customWidth="1"/>
    <col min="8709" max="8709" width="18" style="113" customWidth="1"/>
    <col min="8710" max="8710" width="8.85546875" style="113" customWidth="1"/>
    <col min="8711" max="8711" width="10.140625" style="113" customWidth="1"/>
    <col min="8712" max="8723" width="8.85546875" style="113" customWidth="1"/>
    <col min="8724" max="8724" width="8.42578125" style="113" customWidth="1"/>
    <col min="8725" max="8726" width="8.85546875" style="113" customWidth="1"/>
    <col min="8727" max="8961" width="9.140625" style="113"/>
    <col min="8962" max="8962" width="3.85546875" style="113" customWidth="1"/>
    <col min="8963" max="8963" width="13.85546875" style="113" customWidth="1"/>
    <col min="8964" max="8964" width="3.42578125" style="113" customWidth="1"/>
    <col min="8965" max="8965" width="18" style="113" customWidth="1"/>
    <col min="8966" max="8966" width="8.85546875" style="113" customWidth="1"/>
    <col min="8967" max="8967" width="10.140625" style="113" customWidth="1"/>
    <col min="8968" max="8979" width="8.85546875" style="113" customWidth="1"/>
    <col min="8980" max="8980" width="8.42578125" style="113" customWidth="1"/>
    <col min="8981" max="8982" width="8.85546875" style="113" customWidth="1"/>
    <col min="8983" max="9217" width="9.140625" style="113"/>
    <col min="9218" max="9218" width="3.85546875" style="113" customWidth="1"/>
    <col min="9219" max="9219" width="13.85546875" style="113" customWidth="1"/>
    <col min="9220" max="9220" width="3.42578125" style="113" customWidth="1"/>
    <col min="9221" max="9221" width="18" style="113" customWidth="1"/>
    <col min="9222" max="9222" width="8.85546875" style="113" customWidth="1"/>
    <col min="9223" max="9223" width="10.140625" style="113" customWidth="1"/>
    <col min="9224" max="9235" width="8.85546875" style="113" customWidth="1"/>
    <col min="9236" max="9236" width="8.42578125" style="113" customWidth="1"/>
    <col min="9237" max="9238" width="8.85546875" style="113" customWidth="1"/>
    <col min="9239" max="9473" width="9.140625" style="113"/>
    <col min="9474" max="9474" width="3.85546875" style="113" customWidth="1"/>
    <col min="9475" max="9475" width="13.85546875" style="113" customWidth="1"/>
    <col min="9476" max="9476" width="3.42578125" style="113" customWidth="1"/>
    <col min="9477" max="9477" width="18" style="113" customWidth="1"/>
    <col min="9478" max="9478" width="8.85546875" style="113" customWidth="1"/>
    <col min="9479" max="9479" width="10.140625" style="113" customWidth="1"/>
    <col min="9480" max="9491" width="8.85546875" style="113" customWidth="1"/>
    <col min="9492" max="9492" width="8.42578125" style="113" customWidth="1"/>
    <col min="9493" max="9494" width="8.85546875" style="113" customWidth="1"/>
    <col min="9495" max="9729" width="9.140625" style="113"/>
    <col min="9730" max="9730" width="3.85546875" style="113" customWidth="1"/>
    <col min="9731" max="9731" width="13.85546875" style="113" customWidth="1"/>
    <col min="9732" max="9732" width="3.42578125" style="113" customWidth="1"/>
    <col min="9733" max="9733" width="18" style="113" customWidth="1"/>
    <col min="9734" max="9734" width="8.85546875" style="113" customWidth="1"/>
    <col min="9735" max="9735" width="10.140625" style="113" customWidth="1"/>
    <col min="9736" max="9747" width="8.85546875" style="113" customWidth="1"/>
    <col min="9748" max="9748" width="8.42578125" style="113" customWidth="1"/>
    <col min="9749" max="9750" width="8.85546875" style="113" customWidth="1"/>
    <col min="9751" max="9985" width="9.140625" style="113"/>
    <col min="9986" max="9986" width="3.85546875" style="113" customWidth="1"/>
    <col min="9987" max="9987" width="13.85546875" style="113" customWidth="1"/>
    <col min="9988" max="9988" width="3.42578125" style="113" customWidth="1"/>
    <col min="9989" max="9989" width="18" style="113" customWidth="1"/>
    <col min="9990" max="9990" width="8.85546875" style="113" customWidth="1"/>
    <col min="9991" max="9991" width="10.140625" style="113" customWidth="1"/>
    <col min="9992" max="10003" width="8.85546875" style="113" customWidth="1"/>
    <col min="10004" max="10004" width="8.42578125" style="113" customWidth="1"/>
    <col min="10005" max="10006" width="8.85546875" style="113" customWidth="1"/>
    <col min="10007" max="10241" width="9.140625" style="113"/>
    <col min="10242" max="10242" width="3.85546875" style="113" customWidth="1"/>
    <col min="10243" max="10243" width="13.85546875" style="113" customWidth="1"/>
    <col min="10244" max="10244" width="3.42578125" style="113" customWidth="1"/>
    <col min="10245" max="10245" width="18" style="113" customWidth="1"/>
    <col min="10246" max="10246" width="8.85546875" style="113" customWidth="1"/>
    <col min="10247" max="10247" width="10.140625" style="113" customWidth="1"/>
    <col min="10248" max="10259" width="8.85546875" style="113" customWidth="1"/>
    <col min="10260" max="10260" width="8.42578125" style="113" customWidth="1"/>
    <col min="10261" max="10262" width="8.85546875" style="113" customWidth="1"/>
    <col min="10263" max="10497" width="9.140625" style="113"/>
    <col min="10498" max="10498" width="3.85546875" style="113" customWidth="1"/>
    <col min="10499" max="10499" width="13.85546875" style="113" customWidth="1"/>
    <col min="10500" max="10500" width="3.42578125" style="113" customWidth="1"/>
    <col min="10501" max="10501" width="18" style="113" customWidth="1"/>
    <col min="10502" max="10502" width="8.85546875" style="113" customWidth="1"/>
    <col min="10503" max="10503" width="10.140625" style="113" customWidth="1"/>
    <col min="10504" max="10515" width="8.85546875" style="113" customWidth="1"/>
    <col min="10516" max="10516" width="8.42578125" style="113" customWidth="1"/>
    <col min="10517" max="10518" width="8.85546875" style="113" customWidth="1"/>
    <col min="10519" max="10753" width="9.140625" style="113"/>
    <col min="10754" max="10754" width="3.85546875" style="113" customWidth="1"/>
    <col min="10755" max="10755" width="13.85546875" style="113" customWidth="1"/>
    <col min="10756" max="10756" width="3.42578125" style="113" customWidth="1"/>
    <col min="10757" max="10757" width="18" style="113" customWidth="1"/>
    <col min="10758" max="10758" width="8.85546875" style="113" customWidth="1"/>
    <col min="10759" max="10759" width="10.140625" style="113" customWidth="1"/>
    <col min="10760" max="10771" width="8.85546875" style="113" customWidth="1"/>
    <col min="10772" max="10772" width="8.42578125" style="113" customWidth="1"/>
    <col min="10773" max="10774" width="8.85546875" style="113" customWidth="1"/>
    <col min="10775" max="11009" width="9.140625" style="113"/>
    <col min="11010" max="11010" width="3.85546875" style="113" customWidth="1"/>
    <col min="11011" max="11011" width="13.85546875" style="113" customWidth="1"/>
    <col min="11012" max="11012" width="3.42578125" style="113" customWidth="1"/>
    <col min="11013" max="11013" width="18" style="113" customWidth="1"/>
    <col min="11014" max="11014" width="8.85546875" style="113" customWidth="1"/>
    <col min="11015" max="11015" width="10.140625" style="113" customWidth="1"/>
    <col min="11016" max="11027" width="8.85546875" style="113" customWidth="1"/>
    <col min="11028" max="11028" width="8.42578125" style="113" customWidth="1"/>
    <col min="11029" max="11030" width="8.85546875" style="113" customWidth="1"/>
    <col min="11031" max="11265" width="9.140625" style="113"/>
    <col min="11266" max="11266" width="3.85546875" style="113" customWidth="1"/>
    <col min="11267" max="11267" width="13.85546875" style="113" customWidth="1"/>
    <col min="11268" max="11268" width="3.42578125" style="113" customWidth="1"/>
    <col min="11269" max="11269" width="18" style="113" customWidth="1"/>
    <col min="11270" max="11270" width="8.85546875" style="113" customWidth="1"/>
    <col min="11271" max="11271" width="10.140625" style="113" customWidth="1"/>
    <col min="11272" max="11283" width="8.85546875" style="113" customWidth="1"/>
    <col min="11284" max="11284" width="8.42578125" style="113" customWidth="1"/>
    <col min="11285" max="11286" width="8.85546875" style="113" customWidth="1"/>
    <col min="11287" max="11521" width="9.140625" style="113"/>
    <col min="11522" max="11522" width="3.85546875" style="113" customWidth="1"/>
    <col min="11523" max="11523" width="13.85546875" style="113" customWidth="1"/>
    <col min="11524" max="11524" width="3.42578125" style="113" customWidth="1"/>
    <col min="11525" max="11525" width="18" style="113" customWidth="1"/>
    <col min="11526" max="11526" width="8.85546875" style="113" customWidth="1"/>
    <col min="11527" max="11527" width="10.140625" style="113" customWidth="1"/>
    <col min="11528" max="11539" width="8.85546875" style="113" customWidth="1"/>
    <col min="11540" max="11540" width="8.42578125" style="113" customWidth="1"/>
    <col min="11541" max="11542" width="8.85546875" style="113" customWidth="1"/>
    <col min="11543" max="11777" width="9.140625" style="113"/>
    <col min="11778" max="11778" width="3.85546875" style="113" customWidth="1"/>
    <col min="11779" max="11779" width="13.85546875" style="113" customWidth="1"/>
    <col min="11780" max="11780" width="3.42578125" style="113" customWidth="1"/>
    <col min="11781" max="11781" width="18" style="113" customWidth="1"/>
    <col min="11782" max="11782" width="8.85546875" style="113" customWidth="1"/>
    <col min="11783" max="11783" width="10.140625" style="113" customWidth="1"/>
    <col min="11784" max="11795" width="8.85546875" style="113" customWidth="1"/>
    <col min="11796" max="11796" width="8.42578125" style="113" customWidth="1"/>
    <col min="11797" max="11798" width="8.85546875" style="113" customWidth="1"/>
    <col min="11799" max="12033" width="9.140625" style="113"/>
    <col min="12034" max="12034" width="3.85546875" style="113" customWidth="1"/>
    <col min="12035" max="12035" width="13.85546875" style="113" customWidth="1"/>
    <col min="12036" max="12036" width="3.42578125" style="113" customWidth="1"/>
    <col min="12037" max="12037" width="18" style="113" customWidth="1"/>
    <col min="12038" max="12038" width="8.85546875" style="113" customWidth="1"/>
    <col min="12039" max="12039" width="10.140625" style="113" customWidth="1"/>
    <col min="12040" max="12051" width="8.85546875" style="113" customWidth="1"/>
    <col min="12052" max="12052" width="8.42578125" style="113" customWidth="1"/>
    <col min="12053" max="12054" width="8.85546875" style="113" customWidth="1"/>
    <col min="12055" max="12289" width="9.140625" style="113"/>
    <col min="12290" max="12290" width="3.85546875" style="113" customWidth="1"/>
    <col min="12291" max="12291" width="13.85546875" style="113" customWidth="1"/>
    <col min="12292" max="12292" width="3.42578125" style="113" customWidth="1"/>
    <col min="12293" max="12293" width="18" style="113" customWidth="1"/>
    <col min="12294" max="12294" width="8.85546875" style="113" customWidth="1"/>
    <col min="12295" max="12295" width="10.140625" style="113" customWidth="1"/>
    <col min="12296" max="12307" width="8.85546875" style="113" customWidth="1"/>
    <col min="12308" max="12308" width="8.42578125" style="113" customWidth="1"/>
    <col min="12309" max="12310" width="8.85546875" style="113" customWidth="1"/>
    <col min="12311" max="12545" width="9.140625" style="113"/>
    <col min="12546" max="12546" width="3.85546875" style="113" customWidth="1"/>
    <col min="12547" max="12547" width="13.85546875" style="113" customWidth="1"/>
    <col min="12548" max="12548" width="3.42578125" style="113" customWidth="1"/>
    <col min="12549" max="12549" width="18" style="113" customWidth="1"/>
    <col min="12550" max="12550" width="8.85546875" style="113" customWidth="1"/>
    <col min="12551" max="12551" width="10.140625" style="113" customWidth="1"/>
    <col min="12552" max="12563" width="8.85546875" style="113" customWidth="1"/>
    <col min="12564" max="12564" width="8.42578125" style="113" customWidth="1"/>
    <col min="12565" max="12566" width="8.85546875" style="113" customWidth="1"/>
    <col min="12567" max="12801" width="9.140625" style="113"/>
    <col min="12802" max="12802" width="3.85546875" style="113" customWidth="1"/>
    <col min="12803" max="12803" width="13.85546875" style="113" customWidth="1"/>
    <col min="12804" max="12804" width="3.42578125" style="113" customWidth="1"/>
    <col min="12805" max="12805" width="18" style="113" customWidth="1"/>
    <col min="12806" max="12806" width="8.85546875" style="113" customWidth="1"/>
    <col min="12807" max="12807" width="10.140625" style="113" customWidth="1"/>
    <col min="12808" max="12819" width="8.85546875" style="113" customWidth="1"/>
    <col min="12820" max="12820" width="8.42578125" style="113" customWidth="1"/>
    <col min="12821" max="12822" width="8.85546875" style="113" customWidth="1"/>
    <col min="12823" max="13057" width="9.140625" style="113"/>
    <col min="13058" max="13058" width="3.85546875" style="113" customWidth="1"/>
    <col min="13059" max="13059" width="13.85546875" style="113" customWidth="1"/>
    <col min="13060" max="13060" width="3.42578125" style="113" customWidth="1"/>
    <col min="13061" max="13061" width="18" style="113" customWidth="1"/>
    <col min="13062" max="13062" width="8.85546875" style="113" customWidth="1"/>
    <col min="13063" max="13063" width="10.140625" style="113" customWidth="1"/>
    <col min="13064" max="13075" width="8.85546875" style="113" customWidth="1"/>
    <col min="13076" max="13076" width="8.42578125" style="113" customWidth="1"/>
    <col min="13077" max="13078" width="8.85546875" style="113" customWidth="1"/>
    <col min="13079" max="13313" width="9.140625" style="113"/>
    <col min="13314" max="13314" width="3.85546875" style="113" customWidth="1"/>
    <col min="13315" max="13315" width="13.85546875" style="113" customWidth="1"/>
    <col min="13316" max="13316" width="3.42578125" style="113" customWidth="1"/>
    <col min="13317" max="13317" width="18" style="113" customWidth="1"/>
    <col min="13318" max="13318" width="8.85546875" style="113" customWidth="1"/>
    <col min="13319" max="13319" width="10.140625" style="113" customWidth="1"/>
    <col min="13320" max="13331" width="8.85546875" style="113" customWidth="1"/>
    <col min="13332" max="13332" width="8.42578125" style="113" customWidth="1"/>
    <col min="13333" max="13334" width="8.85546875" style="113" customWidth="1"/>
    <col min="13335" max="13569" width="9.140625" style="113"/>
    <col min="13570" max="13570" width="3.85546875" style="113" customWidth="1"/>
    <col min="13571" max="13571" width="13.85546875" style="113" customWidth="1"/>
    <col min="13572" max="13572" width="3.42578125" style="113" customWidth="1"/>
    <col min="13573" max="13573" width="18" style="113" customWidth="1"/>
    <col min="13574" max="13574" width="8.85546875" style="113" customWidth="1"/>
    <col min="13575" max="13575" width="10.140625" style="113" customWidth="1"/>
    <col min="13576" max="13587" width="8.85546875" style="113" customWidth="1"/>
    <col min="13588" max="13588" width="8.42578125" style="113" customWidth="1"/>
    <col min="13589" max="13590" width="8.85546875" style="113" customWidth="1"/>
    <col min="13591" max="13825" width="9.140625" style="113"/>
    <col min="13826" max="13826" width="3.85546875" style="113" customWidth="1"/>
    <col min="13827" max="13827" width="13.85546875" style="113" customWidth="1"/>
    <col min="13828" max="13828" width="3.42578125" style="113" customWidth="1"/>
    <col min="13829" max="13829" width="18" style="113" customWidth="1"/>
    <col min="13830" max="13830" width="8.85546875" style="113" customWidth="1"/>
    <col min="13831" max="13831" width="10.140625" style="113" customWidth="1"/>
    <col min="13832" max="13843" width="8.85546875" style="113" customWidth="1"/>
    <col min="13844" max="13844" width="8.42578125" style="113" customWidth="1"/>
    <col min="13845" max="13846" width="8.85546875" style="113" customWidth="1"/>
    <col min="13847" max="14081" width="9.140625" style="113"/>
    <col min="14082" max="14082" width="3.85546875" style="113" customWidth="1"/>
    <col min="14083" max="14083" width="13.85546875" style="113" customWidth="1"/>
    <col min="14084" max="14084" width="3.42578125" style="113" customWidth="1"/>
    <col min="14085" max="14085" width="18" style="113" customWidth="1"/>
    <col min="14086" max="14086" width="8.85546875" style="113" customWidth="1"/>
    <col min="14087" max="14087" width="10.140625" style="113" customWidth="1"/>
    <col min="14088" max="14099" width="8.85546875" style="113" customWidth="1"/>
    <col min="14100" max="14100" width="8.42578125" style="113" customWidth="1"/>
    <col min="14101" max="14102" width="8.85546875" style="113" customWidth="1"/>
    <col min="14103" max="14337" width="9.140625" style="113"/>
    <col min="14338" max="14338" width="3.85546875" style="113" customWidth="1"/>
    <col min="14339" max="14339" width="13.85546875" style="113" customWidth="1"/>
    <col min="14340" max="14340" width="3.42578125" style="113" customWidth="1"/>
    <col min="14341" max="14341" width="18" style="113" customWidth="1"/>
    <col min="14342" max="14342" width="8.85546875" style="113" customWidth="1"/>
    <col min="14343" max="14343" width="10.140625" style="113" customWidth="1"/>
    <col min="14344" max="14355" width="8.85546875" style="113" customWidth="1"/>
    <col min="14356" max="14356" width="8.42578125" style="113" customWidth="1"/>
    <col min="14357" max="14358" width="8.85546875" style="113" customWidth="1"/>
    <col min="14359" max="14593" width="9.140625" style="113"/>
    <col min="14594" max="14594" width="3.85546875" style="113" customWidth="1"/>
    <col min="14595" max="14595" width="13.85546875" style="113" customWidth="1"/>
    <col min="14596" max="14596" width="3.42578125" style="113" customWidth="1"/>
    <col min="14597" max="14597" width="18" style="113" customWidth="1"/>
    <col min="14598" max="14598" width="8.85546875" style="113" customWidth="1"/>
    <col min="14599" max="14599" width="10.140625" style="113" customWidth="1"/>
    <col min="14600" max="14611" width="8.85546875" style="113" customWidth="1"/>
    <col min="14612" max="14612" width="8.42578125" style="113" customWidth="1"/>
    <col min="14613" max="14614" width="8.85546875" style="113" customWidth="1"/>
    <col min="14615" max="14849" width="9.140625" style="113"/>
    <col min="14850" max="14850" width="3.85546875" style="113" customWidth="1"/>
    <col min="14851" max="14851" width="13.85546875" style="113" customWidth="1"/>
    <col min="14852" max="14852" width="3.42578125" style="113" customWidth="1"/>
    <col min="14853" max="14853" width="18" style="113" customWidth="1"/>
    <col min="14854" max="14854" width="8.85546875" style="113" customWidth="1"/>
    <col min="14855" max="14855" width="10.140625" style="113" customWidth="1"/>
    <col min="14856" max="14867" width="8.85546875" style="113" customWidth="1"/>
    <col min="14868" max="14868" width="8.42578125" style="113" customWidth="1"/>
    <col min="14869" max="14870" width="8.85546875" style="113" customWidth="1"/>
    <col min="14871" max="15105" width="9.140625" style="113"/>
    <col min="15106" max="15106" width="3.85546875" style="113" customWidth="1"/>
    <col min="15107" max="15107" width="13.85546875" style="113" customWidth="1"/>
    <col min="15108" max="15108" width="3.42578125" style="113" customWidth="1"/>
    <col min="15109" max="15109" width="18" style="113" customWidth="1"/>
    <col min="15110" max="15110" width="8.85546875" style="113" customWidth="1"/>
    <col min="15111" max="15111" width="10.140625" style="113" customWidth="1"/>
    <col min="15112" max="15123" width="8.85546875" style="113" customWidth="1"/>
    <col min="15124" max="15124" width="8.42578125" style="113" customWidth="1"/>
    <col min="15125" max="15126" width="8.85546875" style="113" customWidth="1"/>
    <col min="15127" max="15361" width="9.140625" style="113"/>
    <col min="15362" max="15362" width="3.85546875" style="113" customWidth="1"/>
    <col min="15363" max="15363" width="13.85546875" style="113" customWidth="1"/>
    <col min="15364" max="15364" width="3.42578125" style="113" customWidth="1"/>
    <col min="15365" max="15365" width="18" style="113" customWidth="1"/>
    <col min="15366" max="15366" width="8.85546875" style="113" customWidth="1"/>
    <col min="15367" max="15367" width="10.140625" style="113" customWidth="1"/>
    <col min="15368" max="15379" width="8.85546875" style="113" customWidth="1"/>
    <col min="15380" max="15380" width="8.42578125" style="113" customWidth="1"/>
    <col min="15381" max="15382" width="8.85546875" style="113" customWidth="1"/>
    <col min="15383" max="15617" width="9.140625" style="113"/>
    <col min="15618" max="15618" width="3.85546875" style="113" customWidth="1"/>
    <col min="15619" max="15619" width="13.85546875" style="113" customWidth="1"/>
    <col min="15620" max="15620" width="3.42578125" style="113" customWidth="1"/>
    <col min="15621" max="15621" width="18" style="113" customWidth="1"/>
    <col min="15622" max="15622" width="8.85546875" style="113" customWidth="1"/>
    <col min="15623" max="15623" width="10.140625" style="113" customWidth="1"/>
    <col min="15624" max="15635" width="8.85546875" style="113" customWidth="1"/>
    <col min="15636" max="15636" width="8.42578125" style="113" customWidth="1"/>
    <col min="15637" max="15638" width="8.85546875" style="113" customWidth="1"/>
    <col min="15639" max="15873" width="9.140625" style="113"/>
    <col min="15874" max="15874" width="3.85546875" style="113" customWidth="1"/>
    <col min="15875" max="15875" width="13.85546875" style="113" customWidth="1"/>
    <col min="15876" max="15876" width="3.42578125" style="113" customWidth="1"/>
    <col min="15877" max="15877" width="18" style="113" customWidth="1"/>
    <col min="15878" max="15878" width="8.85546875" style="113" customWidth="1"/>
    <col min="15879" max="15879" width="10.140625" style="113" customWidth="1"/>
    <col min="15880" max="15891" width="8.85546875" style="113" customWidth="1"/>
    <col min="15892" max="15892" width="8.42578125" style="113" customWidth="1"/>
    <col min="15893" max="15894" width="8.85546875" style="113" customWidth="1"/>
    <col min="15895" max="16129" width="9.140625" style="113"/>
    <col min="16130" max="16130" width="3.85546875" style="113" customWidth="1"/>
    <col min="16131" max="16131" width="13.85546875" style="113" customWidth="1"/>
    <col min="16132" max="16132" width="3.42578125" style="113" customWidth="1"/>
    <col min="16133" max="16133" width="18" style="113" customWidth="1"/>
    <col min="16134" max="16134" width="8.85546875" style="113" customWidth="1"/>
    <col min="16135" max="16135" width="10.140625" style="113" customWidth="1"/>
    <col min="16136" max="16147" width="8.85546875" style="113" customWidth="1"/>
    <col min="16148" max="16148" width="8.42578125" style="113" customWidth="1"/>
    <col min="16149" max="16150" width="8.85546875" style="113" customWidth="1"/>
    <col min="16151" max="16384" width="9.140625" style="113"/>
  </cols>
  <sheetData>
    <row r="1" spans="1:34" x14ac:dyDescent="0.25">
      <c r="D1" s="3837"/>
      <c r="E1" s="3837"/>
      <c r="F1" s="3837"/>
      <c r="G1" s="3837"/>
      <c r="H1" s="3837"/>
      <c r="I1" s="3837"/>
      <c r="J1" s="3837"/>
      <c r="K1" s="3837"/>
      <c r="L1" s="3837"/>
      <c r="M1" s="3837"/>
      <c r="N1" s="3837"/>
      <c r="O1" s="3837"/>
      <c r="P1" s="3837"/>
      <c r="Q1" s="3837"/>
      <c r="R1" s="3837"/>
      <c r="S1" s="3837"/>
    </row>
    <row r="2" spans="1:34" ht="15" customHeight="1" x14ac:dyDescent="0.25">
      <c r="A2" s="3854">
        <v>1</v>
      </c>
      <c r="B2" s="3899" t="s">
        <v>1786</v>
      </c>
      <c r="C2" s="3899">
        <v>67</v>
      </c>
      <c r="D2" s="5070" t="s">
        <v>1787</v>
      </c>
      <c r="E2" s="5071"/>
      <c r="F2" s="5071"/>
      <c r="G2" s="5071"/>
      <c r="H2" s="5071"/>
      <c r="I2" s="5071"/>
      <c r="J2" s="5071"/>
      <c r="K2" s="5071"/>
      <c r="L2" s="5071"/>
      <c r="M2" s="5071"/>
      <c r="N2" s="5071"/>
      <c r="O2" s="5071"/>
      <c r="P2" s="5071"/>
      <c r="Q2" s="5071"/>
      <c r="R2" s="5071"/>
      <c r="S2" s="5071"/>
      <c r="T2" s="5071"/>
      <c r="U2" s="5071"/>
      <c r="V2" s="5071"/>
      <c r="W2" s="5071"/>
      <c r="X2" s="5071"/>
      <c r="Y2" s="5071"/>
      <c r="Z2" s="5071"/>
      <c r="AA2" s="5071"/>
      <c r="AB2" s="5071"/>
      <c r="AC2" s="5072"/>
    </row>
    <row r="3" spans="1:34" ht="15" customHeight="1" x14ac:dyDescent="0.25">
      <c r="A3" s="3854">
        <v>2</v>
      </c>
      <c r="B3" s="3899" t="s">
        <v>1788</v>
      </c>
      <c r="C3" s="3899"/>
      <c r="D3" s="5070" t="s">
        <v>1789</v>
      </c>
      <c r="E3" s="5071"/>
      <c r="F3" s="5071"/>
      <c r="G3" s="5071"/>
      <c r="H3" s="5071"/>
      <c r="I3" s="5071"/>
      <c r="J3" s="5071"/>
      <c r="K3" s="5071"/>
      <c r="L3" s="5071"/>
      <c r="M3" s="5071"/>
      <c r="N3" s="5071"/>
      <c r="O3" s="5071"/>
      <c r="P3" s="5071"/>
      <c r="Q3" s="5071"/>
      <c r="R3" s="5071"/>
      <c r="S3" s="5071"/>
      <c r="T3" s="5071"/>
      <c r="U3" s="5071"/>
      <c r="V3" s="5071"/>
      <c r="W3" s="5071"/>
      <c r="X3" s="5071"/>
      <c r="Y3" s="5071"/>
      <c r="Z3" s="5071"/>
      <c r="AA3" s="5071"/>
      <c r="AB3" s="5071"/>
      <c r="AC3" s="5072"/>
    </row>
    <row r="4" spans="1:34" ht="12.75" customHeight="1" x14ac:dyDescent="0.25">
      <c r="A4" s="3854">
        <v>3</v>
      </c>
      <c r="B4" s="3899" t="s">
        <v>4</v>
      </c>
      <c r="C4" s="3898"/>
      <c r="D4" s="5070" t="s">
        <v>1790</v>
      </c>
      <c r="E4" s="5071"/>
      <c r="F4" s="5071"/>
      <c r="G4" s="5071"/>
      <c r="H4" s="5071"/>
      <c r="I4" s="5071"/>
      <c r="J4" s="5071"/>
      <c r="K4" s="5071"/>
      <c r="L4" s="5071"/>
      <c r="M4" s="5071"/>
      <c r="N4" s="5071"/>
      <c r="O4" s="5071"/>
      <c r="P4" s="5071"/>
      <c r="Q4" s="5071"/>
      <c r="R4" s="5071"/>
      <c r="S4" s="5071"/>
      <c r="T4" s="5071"/>
      <c r="U4" s="5071"/>
      <c r="V4" s="5071"/>
      <c r="W4" s="5071"/>
      <c r="X4" s="5071"/>
      <c r="Y4" s="5071"/>
      <c r="Z4" s="5071"/>
      <c r="AA4" s="5071"/>
      <c r="AB4" s="5071"/>
      <c r="AC4" s="5072"/>
    </row>
    <row r="5" spans="1:34" ht="12.75" customHeight="1" x14ac:dyDescent="0.25">
      <c r="A5" s="3854"/>
      <c r="B5" s="3899"/>
      <c r="C5" s="3898"/>
      <c r="D5" s="3897"/>
      <c r="E5" s="3897"/>
      <c r="F5" s="3897"/>
      <c r="G5" s="3897"/>
      <c r="H5" s="3897"/>
      <c r="I5" s="3897"/>
      <c r="J5" s="3897"/>
      <c r="K5" s="3897"/>
      <c r="L5" s="3897"/>
      <c r="M5" s="3897"/>
      <c r="N5" s="3897"/>
      <c r="O5" s="3897"/>
      <c r="P5" s="3897"/>
      <c r="Q5" s="3897"/>
      <c r="R5" s="3897"/>
      <c r="S5" s="3897"/>
      <c r="T5" s="3897"/>
      <c r="U5" s="3897"/>
      <c r="V5" s="3897"/>
      <c r="AB5" s="3835"/>
    </row>
    <row r="6" spans="1:34" ht="12.75" customHeight="1" x14ac:dyDescent="0.25">
      <c r="A6" s="3854"/>
      <c r="B6" s="3855"/>
      <c r="C6" s="3855"/>
      <c r="D6" s="3896"/>
      <c r="E6" s="3895"/>
      <c r="F6" s="3895"/>
      <c r="G6" s="3895"/>
      <c r="H6" s="3895"/>
      <c r="I6" s="3895"/>
      <c r="J6" s="3895"/>
      <c r="K6" s="3895"/>
      <c r="L6" s="3895"/>
      <c r="M6" s="3895"/>
      <c r="N6" s="3895"/>
      <c r="O6" s="3895"/>
      <c r="P6" s="3895"/>
      <c r="Q6" s="3895"/>
      <c r="R6" s="3895"/>
    </row>
    <row r="7" spans="1:34" x14ac:dyDescent="0.25">
      <c r="A7" s="3854">
        <v>4</v>
      </c>
      <c r="B7" s="3872" t="s">
        <v>6</v>
      </c>
      <c r="D7" s="3894" t="s">
        <v>7</v>
      </c>
      <c r="E7" s="3894" t="s">
        <v>1787</v>
      </c>
      <c r="F7" s="3894"/>
      <c r="G7" s="3894"/>
      <c r="H7" s="3894"/>
      <c r="I7" s="3894"/>
      <c r="J7" s="3894"/>
      <c r="K7" s="3894"/>
      <c r="L7" s="3894"/>
      <c r="M7" s="3893"/>
      <c r="N7" s="3893"/>
      <c r="O7" s="3893"/>
      <c r="P7" s="3893"/>
      <c r="Q7" s="3893"/>
      <c r="R7" s="3893"/>
      <c r="S7" s="207"/>
      <c r="T7" s="207"/>
      <c r="U7" s="207"/>
      <c r="V7" s="207"/>
      <c r="W7" s="1902"/>
      <c r="X7" s="207"/>
      <c r="Y7" s="207"/>
      <c r="Z7" s="207"/>
      <c r="AA7" s="207"/>
      <c r="AB7" s="207"/>
      <c r="AC7" s="207"/>
    </row>
    <row r="8" spans="1:34" x14ac:dyDescent="0.25">
      <c r="A8" s="3890"/>
      <c r="D8" s="3113"/>
      <c r="E8" s="1334" t="s">
        <v>395</v>
      </c>
      <c r="F8" s="1334" t="s">
        <v>396</v>
      </c>
      <c r="G8" s="1334" t="s">
        <v>9</v>
      </c>
      <c r="H8" s="1334" t="s">
        <v>10</v>
      </c>
      <c r="I8" s="1334" t="s">
        <v>11</v>
      </c>
      <c r="J8" s="3111" t="s">
        <v>12</v>
      </c>
      <c r="K8" s="3111" t="s">
        <v>13</v>
      </c>
      <c r="L8" s="1334" t="s">
        <v>14</v>
      </c>
      <c r="M8" s="3112" t="s">
        <v>15</v>
      </c>
      <c r="N8" s="3111" t="s">
        <v>16</v>
      </c>
      <c r="O8" s="3111" t="s">
        <v>17</v>
      </c>
      <c r="P8" s="3111" t="s">
        <v>1791</v>
      </c>
      <c r="Q8" s="3111" t="s">
        <v>19</v>
      </c>
      <c r="R8" s="3111" t="s">
        <v>20</v>
      </c>
      <c r="S8" s="3111" t="s">
        <v>21</v>
      </c>
      <c r="T8" s="3892" t="s">
        <v>22</v>
      </c>
      <c r="U8" s="3892" t="s">
        <v>23</v>
      </c>
      <c r="V8" s="3892" t="s">
        <v>24</v>
      </c>
      <c r="W8" s="3892" t="s">
        <v>25</v>
      </c>
      <c r="X8" s="3892" t="s">
        <v>26</v>
      </c>
      <c r="Y8" s="3892" t="s">
        <v>27</v>
      </c>
      <c r="Z8" s="3892" t="s">
        <v>28</v>
      </c>
      <c r="AA8" s="3892" t="s">
        <v>29</v>
      </c>
      <c r="AB8" s="3892" t="s">
        <v>30</v>
      </c>
      <c r="AC8" s="3892" t="s">
        <v>31</v>
      </c>
      <c r="AD8" s="3892" t="s">
        <v>32</v>
      </c>
      <c r="AE8" s="3891" t="s">
        <v>33</v>
      </c>
      <c r="AF8" s="3891" t="s">
        <v>59</v>
      </c>
    </row>
    <row r="9" spans="1:34" ht="18.75" customHeight="1" x14ac:dyDescent="0.25">
      <c r="A9" s="3890"/>
      <c r="D9" s="3113" t="s">
        <v>1792</v>
      </c>
      <c r="E9" s="3879"/>
      <c r="F9" s="3879">
        <v>347</v>
      </c>
      <c r="G9" s="3879"/>
      <c r="H9" s="3879"/>
      <c r="I9" s="3879"/>
      <c r="J9" s="3879"/>
      <c r="K9" s="3879"/>
      <c r="L9" s="3879"/>
      <c r="M9" s="3879"/>
      <c r="N9" s="3879"/>
      <c r="O9" s="3879"/>
      <c r="P9" s="3879"/>
      <c r="Q9" s="3879"/>
      <c r="R9" s="3879"/>
      <c r="S9" s="3879"/>
      <c r="T9" s="3885"/>
      <c r="U9" s="3885">
        <v>250</v>
      </c>
      <c r="V9" s="3885">
        <v>347</v>
      </c>
      <c r="W9" s="3885">
        <v>303</v>
      </c>
      <c r="X9" s="3885">
        <v>307</v>
      </c>
      <c r="Y9" s="3885">
        <v>358</v>
      </c>
      <c r="Z9" s="3885">
        <v>362</v>
      </c>
      <c r="AA9" s="3885">
        <v>369</v>
      </c>
      <c r="AB9" s="3885">
        <v>375</v>
      </c>
      <c r="AC9" s="3885">
        <v>383</v>
      </c>
      <c r="AD9" s="3885">
        <v>413</v>
      </c>
      <c r="AE9" s="3889">
        <v>408</v>
      </c>
      <c r="AF9" s="3885">
        <v>450</v>
      </c>
    </row>
    <row r="10" spans="1:34" x14ac:dyDescent="0.25">
      <c r="A10" s="3855"/>
      <c r="D10" s="3113" t="s">
        <v>1793</v>
      </c>
      <c r="E10" s="3879"/>
      <c r="F10" s="3879" t="s">
        <v>1794</v>
      </c>
      <c r="G10" s="3879"/>
      <c r="H10" s="3879"/>
      <c r="I10" s="3879"/>
      <c r="J10" s="3879"/>
      <c r="K10" s="3879"/>
      <c r="L10" s="3879"/>
      <c r="M10" s="3879"/>
      <c r="N10" s="3879"/>
      <c r="O10" s="3879"/>
      <c r="P10" s="3879"/>
      <c r="Q10" s="3879"/>
      <c r="R10" s="3879"/>
      <c r="S10" s="3879"/>
      <c r="T10" s="3885">
        <v>1116</v>
      </c>
      <c r="U10" s="3885">
        <v>1120</v>
      </c>
      <c r="V10" s="3885">
        <v>1125</v>
      </c>
      <c r="W10" s="3885">
        <v>1134</v>
      </c>
      <c r="X10" s="3885" t="s">
        <v>1795</v>
      </c>
      <c r="Y10" s="3885" t="s">
        <v>1796</v>
      </c>
      <c r="Z10" s="3885" t="s">
        <v>1797</v>
      </c>
      <c r="AA10" s="3885">
        <v>1144</v>
      </c>
      <c r="AB10" s="3885">
        <v>1146</v>
      </c>
      <c r="AC10" s="3885">
        <v>1149</v>
      </c>
      <c r="AD10" s="3885">
        <v>1154</v>
      </c>
      <c r="AE10" s="3885">
        <v>1156</v>
      </c>
      <c r="AF10" s="3880">
        <v>1158</v>
      </c>
    </row>
    <row r="11" spans="1:34" x14ac:dyDescent="0.25">
      <c r="A11" s="3855"/>
      <c r="D11" s="3113" t="s">
        <v>1798</v>
      </c>
      <c r="E11" s="3114"/>
      <c r="F11" s="3114"/>
      <c r="G11" s="3114"/>
      <c r="H11" s="3114"/>
      <c r="I11" s="3114"/>
      <c r="J11" s="3114"/>
      <c r="K11" s="3114"/>
      <c r="L11" s="3114"/>
      <c r="M11" s="3114"/>
      <c r="N11" s="3114"/>
      <c r="O11" s="3114"/>
      <c r="P11" s="3114"/>
      <c r="Q11" s="3114"/>
      <c r="R11" s="3114"/>
      <c r="S11" s="3114"/>
      <c r="T11" s="3880"/>
      <c r="U11" s="3880" t="s">
        <v>1799</v>
      </c>
      <c r="V11" s="3880" t="s">
        <v>1800</v>
      </c>
      <c r="W11" s="3885">
        <v>197946</v>
      </c>
      <c r="X11" s="3880" t="s">
        <v>1801</v>
      </c>
      <c r="Y11" s="3880" t="s">
        <v>1802</v>
      </c>
      <c r="Z11" s="3880" t="s">
        <v>1803</v>
      </c>
      <c r="AA11" s="3880" t="s">
        <v>1804</v>
      </c>
      <c r="AB11" s="3880" t="s">
        <v>1805</v>
      </c>
      <c r="AC11" s="3880"/>
      <c r="AD11" s="3880" t="s">
        <v>1806</v>
      </c>
      <c r="AE11" s="3880" t="s">
        <v>1807</v>
      </c>
      <c r="AF11" s="3885">
        <v>193692</v>
      </c>
    </row>
    <row r="12" spans="1:34" x14ac:dyDescent="0.25">
      <c r="A12" s="3854"/>
      <c r="D12" s="3882" t="s">
        <v>1808</v>
      </c>
      <c r="E12" s="3114"/>
      <c r="F12" s="3114"/>
      <c r="G12" s="3114"/>
      <c r="H12" s="3114"/>
      <c r="I12" s="3114"/>
      <c r="J12" s="3114"/>
      <c r="K12" s="3114"/>
      <c r="L12" s="3114"/>
      <c r="M12" s="3114"/>
      <c r="N12" s="3888">
        <v>106117</v>
      </c>
      <c r="O12" s="3888">
        <v>107791</v>
      </c>
      <c r="P12" s="3886">
        <v>114241</v>
      </c>
      <c r="Q12" s="3887" t="s">
        <v>1809</v>
      </c>
      <c r="R12" s="3887" t="s">
        <v>1810</v>
      </c>
      <c r="S12" s="3887" t="s">
        <v>1811</v>
      </c>
      <c r="T12" s="3886">
        <v>151164</v>
      </c>
      <c r="U12" s="3886">
        <v>154748</v>
      </c>
      <c r="V12" s="3886">
        <v>157472</v>
      </c>
      <c r="W12" s="3886">
        <v>155531</v>
      </c>
      <c r="X12" s="3886">
        <v>153116</v>
      </c>
      <c r="Y12" s="3886">
        <v>150950</v>
      </c>
      <c r="Z12" s="3886">
        <v>151834</v>
      </c>
      <c r="AA12" s="3886">
        <v>151651</v>
      </c>
      <c r="AB12" s="3886">
        <v>150791</v>
      </c>
      <c r="AC12" s="3886">
        <v>150855</v>
      </c>
      <c r="AD12" s="3886">
        <v>147035</v>
      </c>
      <c r="AE12" s="3886">
        <v>144253</v>
      </c>
      <c r="AF12" s="3885" t="s">
        <v>1812</v>
      </c>
    </row>
    <row r="13" spans="1:34" x14ac:dyDescent="0.25">
      <c r="A13" s="3855"/>
      <c r="D13" s="3113" t="s">
        <v>1813</v>
      </c>
      <c r="E13" s="3114"/>
      <c r="F13" s="3114"/>
      <c r="G13" s="3114"/>
      <c r="H13" s="3114"/>
      <c r="I13" s="3114"/>
      <c r="J13" s="3114"/>
      <c r="K13" s="3114"/>
      <c r="L13" s="3114"/>
      <c r="M13" s="3114"/>
      <c r="N13" s="3114"/>
      <c r="O13" s="3114"/>
      <c r="P13" s="3114"/>
      <c r="Q13" s="3114"/>
      <c r="R13" s="3114"/>
      <c r="S13" s="3114"/>
      <c r="T13" s="3880"/>
      <c r="U13" s="3885">
        <f t="shared" ref="U13:AB13" si="0">U11-U12</f>
        <v>40252</v>
      </c>
      <c r="V13" s="3885">
        <f t="shared" si="0"/>
        <v>36420</v>
      </c>
      <c r="W13" s="3885">
        <f t="shared" si="0"/>
        <v>42415</v>
      </c>
      <c r="X13" s="3885">
        <f t="shared" si="0"/>
        <v>41737</v>
      </c>
      <c r="Y13" s="3885">
        <f t="shared" si="0"/>
        <v>41792</v>
      </c>
      <c r="Z13" s="3885">
        <f t="shared" si="0"/>
        <v>42896</v>
      </c>
      <c r="AA13" s="3885">
        <f t="shared" si="0"/>
        <v>42954</v>
      </c>
      <c r="AB13" s="3885">
        <f t="shared" si="0"/>
        <v>42506</v>
      </c>
      <c r="AC13" s="3885"/>
      <c r="AD13" s="3885">
        <f>AD11-AD12</f>
        <v>35085</v>
      </c>
      <c r="AE13" s="3880" t="s">
        <v>1814</v>
      </c>
      <c r="AF13" s="3885">
        <v>53791</v>
      </c>
    </row>
    <row r="14" spans="1:34" x14ac:dyDescent="0.25">
      <c r="A14" s="3855"/>
      <c r="D14" s="1154" t="s">
        <v>1815</v>
      </c>
      <c r="E14" s="3114"/>
      <c r="F14" s="3114"/>
      <c r="G14" s="3114"/>
      <c r="H14" s="3114"/>
      <c r="I14" s="3114"/>
      <c r="J14" s="3114"/>
      <c r="K14" s="3114"/>
      <c r="L14" s="3114"/>
      <c r="M14" s="3114"/>
      <c r="N14" s="3114"/>
      <c r="O14" s="3114"/>
      <c r="P14" s="3114"/>
      <c r="Q14" s="3114"/>
      <c r="R14" s="3114"/>
      <c r="S14" s="3884"/>
      <c r="T14" s="3883"/>
      <c r="U14" s="3880"/>
      <c r="V14" s="3882"/>
      <c r="W14" s="3882"/>
      <c r="X14" s="3882"/>
      <c r="Y14" s="3881"/>
      <c r="Z14" s="3881"/>
      <c r="AA14" s="3880"/>
      <c r="AB14" s="3880"/>
      <c r="AC14" s="3880"/>
      <c r="AD14" s="3880"/>
      <c r="AE14" s="3880"/>
      <c r="AF14" s="3879"/>
      <c r="AG14" s="3835"/>
      <c r="AH14" s="3792"/>
    </row>
    <row r="15" spans="1:34" s="1893" customFormat="1" hidden="1" x14ac:dyDescent="0.2">
      <c r="A15" s="3855"/>
      <c r="B15" s="3878"/>
      <c r="C15" s="3878"/>
      <c r="D15" s="3876"/>
      <c r="E15" s="3876"/>
      <c r="F15" s="3876"/>
      <c r="G15" s="3876"/>
      <c r="H15" s="3876"/>
      <c r="I15" s="3876"/>
      <c r="J15" s="3876"/>
      <c r="K15" s="3877"/>
      <c r="L15" s="3876"/>
      <c r="M15" s="3876"/>
      <c r="N15" s="3876"/>
      <c r="O15" s="3876"/>
      <c r="P15" s="3876"/>
      <c r="Q15" s="3876"/>
      <c r="R15" s="3876"/>
      <c r="S15" s="3862"/>
      <c r="T15" s="3115"/>
      <c r="U15" s="3115"/>
      <c r="V15" s="3115"/>
      <c r="W15" s="3115"/>
      <c r="X15" s="3115"/>
      <c r="Y15" s="3115"/>
      <c r="Z15" s="3115"/>
      <c r="AA15" s="3115"/>
      <c r="AB15" s="3115"/>
      <c r="AC15" s="3115"/>
      <c r="AD15" s="3115"/>
      <c r="AE15" s="3115"/>
      <c r="AF15" s="3875"/>
      <c r="AG15" s="3874"/>
    </row>
    <row r="16" spans="1:34" hidden="1" x14ac:dyDescent="0.25">
      <c r="A16" s="3855"/>
      <c r="B16" s="1640"/>
      <c r="C16" s="3872"/>
      <c r="D16" s="3873"/>
      <c r="E16" s="3864"/>
      <c r="F16" s="3864"/>
      <c r="G16" s="3864"/>
      <c r="H16" s="3864"/>
      <c r="I16" s="3852"/>
      <c r="J16" s="3852"/>
      <c r="K16" s="3852"/>
      <c r="L16" s="3852"/>
      <c r="M16" s="3852"/>
      <c r="N16" s="3852"/>
      <c r="O16" s="3861"/>
      <c r="P16" s="3861"/>
      <c r="Q16" s="3861"/>
      <c r="R16" s="3861"/>
      <c r="S16" s="3860"/>
      <c r="T16" s="3866"/>
      <c r="U16" s="3866"/>
      <c r="V16" s="3866"/>
      <c r="W16" s="3866"/>
      <c r="X16" s="3866"/>
      <c r="Y16" s="3862"/>
      <c r="Z16" s="3862"/>
      <c r="AA16" s="3862"/>
      <c r="AB16" s="3862"/>
      <c r="AC16" s="3862"/>
      <c r="AD16" s="3862"/>
      <c r="AE16" s="3862"/>
      <c r="AF16" s="3865"/>
      <c r="AG16" s="3835"/>
    </row>
    <row r="17" spans="1:33" x14ac:dyDescent="0.25">
      <c r="A17" s="3855">
        <v>5</v>
      </c>
      <c r="B17" s="3872" t="s">
        <v>51</v>
      </c>
      <c r="C17" s="3825"/>
      <c r="D17" s="3863"/>
      <c r="E17" s="3861"/>
      <c r="F17" s="3861"/>
      <c r="G17" s="3861"/>
      <c r="H17" s="3861"/>
      <c r="I17" s="3861"/>
      <c r="J17" s="3861"/>
      <c r="K17" s="3861"/>
      <c r="L17" s="3861"/>
      <c r="M17" s="3861"/>
      <c r="N17" s="3871"/>
      <c r="O17" s="3871"/>
      <c r="P17" s="3871"/>
      <c r="Q17" s="3871"/>
      <c r="R17" s="3871"/>
      <c r="S17" s="3870"/>
      <c r="T17" s="3869"/>
      <c r="U17" s="3869"/>
      <c r="V17" s="3869"/>
      <c r="W17" s="3869"/>
      <c r="X17" s="3869"/>
      <c r="Y17" s="3868"/>
      <c r="Z17" s="3868"/>
      <c r="AA17" s="3868"/>
      <c r="AB17" s="3862"/>
      <c r="AC17" s="3862"/>
      <c r="AD17" s="3862"/>
      <c r="AE17" s="3862"/>
      <c r="AF17" s="3865"/>
      <c r="AG17" s="3835"/>
    </row>
    <row r="18" spans="1:33" x14ac:dyDescent="0.25">
      <c r="A18" s="3855"/>
      <c r="B18" s="3825"/>
      <c r="C18" s="3825"/>
      <c r="D18" s="3863"/>
      <c r="E18" s="3861"/>
      <c r="F18" s="3861"/>
      <c r="G18" s="3861"/>
      <c r="H18" s="3861"/>
      <c r="I18" s="3861"/>
      <c r="J18" s="3861"/>
      <c r="K18" s="3861"/>
      <c r="L18" s="3861"/>
      <c r="M18" s="3861"/>
      <c r="N18" s="3861"/>
      <c r="O18" s="3861"/>
      <c r="P18" s="3861"/>
      <c r="Q18" s="3861"/>
      <c r="R18" s="3861"/>
      <c r="S18" s="3860"/>
      <c r="T18" s="3866"/>
      <c r="U18" s="3866"/>
      <c r="V18" s="3866"/>
      <c r="W18" s="3866"/>
      <c r="X18" s="3867">
        <f t="shared" ref="X18:AE18" si="1">X12+X13</f>
        <v>194853</v>
      </c>
      <c r="Y18" s="3867">
        <f t="shared" si="1"/>
        <v>192742</v>
      </c>
      <c r="Z18" s="3867">
        <f t="shared" si="1"/>
        <v>194730</v>
      </c>
      <c r="AA18" s="3867">
        <f t="shared" si="1"/>
        <v>194605</v>
      </c>
      <c r="AB18" s="3867">
        <f t="shared" si="1"/>
        <v>193297</v>
      </c>
      <c r="AC18" s="3867">
        <f t="shared" si="1"/>
        <v>150855</v>
      </c>
      <c r="AD18" s="3867">
        <f t="shared" si="1"/>
        <v>182120</v>
      </c>
      <c r="AE18" s="3867">
        <f t="shared" si="1"/>
        <v>182126</v>
      </c>
      <c r="AF18" s="3867" t="str">
        <f>AF12</f>
        <v>139 901</v>
      </c>
    </row>
    <row r="19" spans="1:33" x14ac:dyDescent="0.25">
      <c r="A19" s="3855"/>
      <c r="B19" s="3825"/>
      <c r="C19" s="3825"/>
      <c r="D19" s="3863"/>
      <c r="E19" s="3861"/>
      <c r="F19" s="3861"/>
      <c r="G19" s="3861"/>
      <c r="H19" s="3861"/>
      <c r="I19" s="3861"/>
      <c r="J19" s="3861"/>
      <c r="K19" s="3861"/>
      <c r="L19" s="3861"/>
      <c r="M19" s="3861"/>
      <c r="N19" s="3861"/>
      <c r="O19" s="3861"/>
      <c r="P19" s="3861"/>
      <c r="Q19" s="3861"/>
      <c r="R19" s="3861"/>
      <c r="S19" s="3860"/>
      <c r="T19" s="3866"/>
      <c r="U19" s="3866"/>
      <c r="V19" s="3866"/>
      <c r="W19" s="3866"/>
      <c r="X19" s="3866"/>
      <c r="Y19" s="3862"/>
      <c r="Z19" s="3862"/>
      <c r="AA19" s="3862"/>
      <c r="AB19" s="3862"/>
      <c r="AC19" s="3865"/>
      <c r="AD19" s="3862"/>
      <c r="AE19" s="3862"/>
      <c r="AF19" s="3862"/>
    </row>
    <row r="20" spans="1:33" x14ac:dyDescent="0.25">
      <c r="A20" s="3855"/>
      <c r="B20" s="3825"/>
      <c r="C20" s="3825"/>
      <c r="D20" s="3863"/>
      <c r="E20" s="3861"/>
      <c r="F20" s="3861"/>
      <c r="G20" s="3861"/>
      <c r="H20" s="3861"/>
      <c r="I20" s="3861"/>
      <c r="J20" s="3861"/>
      <c r="K20" s="3861"/>
      <c r="L20" s="3861"/>
      <c r="M20" s="3861"/>
      <c r="N20" s="3861"/>
      <c r="O20" s="3861"/>
      <c r="P20" s="3861"/>
      <c r="Q20" s="3861"/>
      <c r="R20" s="3861"/>
      <c r="S20" s="3860"/>
      <c r="T20" s="3862"/>
      <c r="U20" s="3862"/>
      <c r="V20" s="3862"/>
      <c r="W20" s="3862"/>
      <c r="X20" s="3862"/>
      <c r="Y20" s="3862"/>
      <c r="Z20" s="3862"/>
      <c r="AA20" s="3862"/>
      <c r="AB20" s="3862"/>
      <c r="AC20" s="3862"/>
      <c r="AD20" s="3862"/>
      <c r="AE20" s="3862"/>
      <c r="AF20" s="3862"/>
    </row>
    <row r="21" spans="1:33" x14ac:dyDescent="0.25">
      <c r="A21" s="3855"/>
      <c r="B21" s="3859"/>
      <c r="C21" s="3859"/>
      <c r="D21" s="3863"/>
      <c r="E21" s="3861"/>
      <c r="F21" s="3861"/>
      <c r="G21" s="3861"/>
      <c r="H21" s="3861"/>
      <c r="I21" s="3861"/>
      <c r="J21" s="3864"/>
      <c r="K21" s="3861"/>
      <c r="L21" s="3861"/>
      <c r="M21" s="3861"/>
      <c r="N21" s="3861"/>
      <c r="O21" s="3861"/>
      <c r="P21" s="3861"/>
      <c r="Q21" s="3861"/>
      <c r="R21" s="3861"/>
      <c r="S21" s="3860"/>
      <c r="T21" s="3862"/>
      <c r="U21" s="3862"/>
      <c r="V21" s="3862"/>
      <c r="W21" s="3862"/>
      <c r="X21" s="3862"/>
      <c r="Y21" s="3862"/>
      <c r="Z21" s="3862"/>
      <c r="AA21" s="3862"/>
      <c r="AB21" s="3862">
        <f>193692-139901</f>
        <v>53791</v>
      </c>
      <c r="AC21" s="3862"/>
      <c r="AD21" s="3862"/>
      <c r="AE21" s="3862"/>
      <c r="AF21" s="3862"/>
    </row>
    <row r="22" spans="1:33" x14ac:dyDescent="0.25">
      <c r="A22" s="3855"/>
      <c r="B22" s="3825"/>
      <c r="C22" s="3825"/>
      <c r="D22" s="3863"/>
      <c r="E22" s="3861"/>
      <c r="F22" s="3861"/>
      <c r="G22" s="3861"/>
      <c r="H22" s="3861"/>
      <c r="I22" s="3861"/>
      <c r="J22" s="3861"/>
      <c r="K22" s="3861"/>
      <c r="L22" s="3861"/>
      <c r="M22" s="3861"/>
      <c r="N22" s="3861"/>
      <c r="O22" s="3861"/>
      <c r="P22" s="3861"/>
      <c r="Q22" s="3861"/>
      <c r="R22" s="3861"/>
      <c r="S22" s="3860"/>
      <c r="T22" s="3862"/>
      <c r="U22" s="3862"/>
      <c r="V22" s="3862"/>
      <c r="W22" s="3862"/>
      <c r="X22" s="3862"/>
      <c r="Y22" s="3862"/>
      <c r="Z22" s="3862"/>
      <c r="AA22" s="3862"/>
      <c r="AB22" s="3862"/>
      <c r="AC22" s="3862"/>
      <c r="AD22" s="3862"/>
      <c r="AE22" s="3862"/>
      <c r="AF22" s="3862"/>
    </row>
    <row r="23" spans="1:33" x14ac:dyDescent="0.25">
      <c r="A23" s="3855"/>
      <c r="B23" s="3825"/>
      <c r="C23" s="3825"/>
      <c r="D23" s="3863"/>
      <c r="E23" s="3861"/>
      <c r="F23" s="3861"/>
      <c r="G23" s="3861"/>
      <c r="H23" s="3861"/>
      <c r="I23" s="3861"/>
      <c r="J23" s="3861"/>
      <c r="K23" s="3861"/>
      <c r="L23" s="3861"/>
      <c r="M23" s="3861"/>
      <c r="N23" s="3861"/>
      <c r="O23" s="3861"/>
      <c r="P23" s="3861"/>
      <c r="Q23" s="3861"/>
      <c r="R23" s="3861"/>
      <c r="S23" s="3860"/>
      <c r="T23" s="3862"/>
      <c r="U23" s="3862"/>
      <c r="V23" s="3862"/>
      <c r="W23" s="3862"/>
      <c r="X23" s="3862"/>
      <c r="Y23" s="3862"/>
      <c r="Z23" s="3862"/>
      <c r="AA23" s="3862"/>
      <c r="AB23" s="3862"/>
      <c r="AC23" s="3862"/>
      <c r="AD23" s="3862"/>
      <c r="AE23" s="3862"/>
      <c r="AF23" s="3862"/>
    </row>
    <row r="24" spans="1:33" x14ac:dyDescent="0.25">
      <c r="A24" s="3855"/>
      <c r="B24" s="3825"/>
      <c r="C24" s="3825"/>
      <c r="D24" s="3863"/>
      <c r="E24" s="3861"/>
      <c r="F24" s="3861"/>
      <c r="G24" s="3861"/>
      <c r="H24" s="3861"/>
      <c r="I24" s="3861"/>
      <c r="J24" s="3861"/>
      <c r="K24" s="3861"/>
      <c r="L24" s="3861"/>
      <c r="M24" s="3861"/>
      <c r="N24" s="3861"/>
      <c r="O24" s="3861"/>
      <c r="P24" s="3861"/>
      <c r="Q24" s="3861"/>
      <c r="R24" s="3861"/>
      <c r="S24" s="3860"/>
      <c r="T24" s="3862"/>
      <c r="U24" s="3862"/>
      <c r="V24" s="3862"/>
      <c r="W24" s="3862"/>
      <c r="X24" s="3862"/>
      <c r="Y24" s="3862"/>
      <c r="Z24" s="3862"/>
      <c r="AA24" s="3862"/>
      <c r="AB24" s="3862"/>
      <c r="AC24" s="3862"/>
      <c r="AD24" s="3862"/>
      <c r="AE24" s="3862"/>
      <c r="AF24" s="3862"/>
    </row>
    <row r="25" spans="1:33" x14ac:dyDescent="0.25">
      <c r="A25" s="3855"/>
      <c r="B25" s="3825"/>
      <c r="C25" s="3825"/>
      <c r="D25" s="3858"/>
      <c r="E25" s="3861"/>
      <c r="F25" s="3861"/>
      <c r="G25" s="3861"/>
      <c r="H25" s="3861"/>
      <c r="I25" s="3861"/>
      <c r="J25" s="3861"/>
      <c r="K25" s="3861"/>
      <c r="L25" s="3861"/>
      <c r="M25" s="3861"/>
      <c r="N25" s="3861"/>
      <c r="O25" s="3861"/>
      <c r="P25" s="3861"/>
      <c r="Q25" s="3861"/>
      <c r="R25" s="3861"/>
      <c r="S25" s="3860"/>
      <c r="T25" s="617"/>
      <c r="U25" s="617"/>
      <c r="V25" s="617"/>
      <c r="W25" s="617"/>
      <c r="X25" s="617"/>
      <c r="Y25" s="617"/>
      <c r="Z25" s="617"/>
      <c r="AA25" s="617"/>
      <c r="AB25" s="617"/>
      <c r="AC25" s="617"/>
      <c r="AD25" s="617"/>
      <c r="AE25" s="617"/>
      <c r="AF25" s="617"/>
    </row>
    <row r="26" spans="1:33" x14ac:dyDescent="0.25">
      <c r="A26" s="3855"/>
      <c r="B26" s="3825"/>
      <c r="C26" s="3825"/>
      <c r="D26" s="3858"/>
      <c r="E26" s="3858"/>
      <c r="F26" s="3858"/>
      <c r="G26" s="3858"/>
      <c r="H26" s="3858"/>
      <c r="I26" s="3858"/>
      <c r="J26" s="3858"/>
      <c r="K26" s="3858"/>
      <c r="L26" s="3858"/>
      <c r="M26" s="3858"/>
      <c r="N26" s="3858"/>
      <c r="O26" s="3858"/>
      <c r="P26" s="3858"/>
      <c r="Q26" s="3858"/>
      <c r="R26" s="3858"/>
      <c r="S26" s="3857"/>
      <c r="T26" s="617"/>
      <c r="U26" s="617"/>
      <c r="V26" s="617"/>
      <c r="W26" s="617"/>
      <c r="X26" s="617"/>
      <c r="Y26" s="617"/>
      <c r="Z26" s="617"/>
      <c r="AA26" s="617"/>
      <c r="AB26" s="617"/>
      <c r="AC26" s="617"/>
      <c r="AD26" s="617"/>
      <c r="AE26" s="617"/>
      <c r="AF26" s="617"/>
    </row>
    <row r="27" spans="1:33" x14ac:dyDescent="0.25">
      <c r="A27" s="3855"/>
      <c r="B27" s="3825"/>
      <c r="C27" s="3825"/>
      <c r="D27" s="3858"/>
      <c r="E27" s="3858"/>
      <c r="F27" s="3858"/>
      <c r="G27" s="3858"/>
      <c r="H27" s="3858"/>
      <c r="I27" s="3858"/>
      <c r="J27" s="3858"/>
      <c r="K27" s="3858"/>
      <c r="L27" s="3858"/>
      <c r="M27" s="3858"/>
      <c r="N27" s="3858"/>
      <c r="O27" s="3858"/>
      <c r="P27" s="3858"/>
      <c r="Q27" s="3858"/>
      <c r="R27" s="3858"/>
      <c r="S27" s="3857"/>
      <c r="T27" s="617"/>
      <c r="U27" s="617"/>
      <c r="V27" s="617"/>
      <c r="W27" s="617"/>
      <c r="X27" s="617"/>
      <c r="Y27" s="617"/>
      <c r="Z27" s="617"/>
      <c r="AA27" s="617"/>
      <c r="AB27" s="617"/>
      <c r="AC27" s="617"/>
      <c r="AD27" s="617"/>
      <c r="AE27" s="617"/>
      <c r="AF27" s="617"/>
    </row>
    <row r="28" spans="1:33" x14ac:dyDescent="0.25">
      <c r="B28" s="3825"/>
      <c r="C28" s="3825"/>
      <c r="D28" s="3858"/>
      <c r="E28" s="3858"/>
      <c r="F28" s="3858"/>
      <c r="G28" s="3858"/>
      <c r="H28" s="3858"/>
      <c r="I28" s="3858"/>
      <c r="J28" s="3858"/>
      <c r="K28" s="3858"/>
      <c r="L28" s="3858"/>
      <c r="M28" s="3858"/>
      <c r="N28" s="3858"/>
      <c r="O28" s="3858"/>
      <c r="P28" s="3858"/>
      <c r="Q28" s="3858"/>
      <c r="R28" s="3858"/>
      <c r="S28" s="3857"/>
      <c r="T28" s="617"/>
      <c r="U28" s="617"/>
      <c r="V28" s="617"/>
      <c r="W28" s="617"/>
      <c r="X28" s="617"/>
      <c r="Y28" s="617"/>
      <c r="Z28" s="617"/>
      <c r="AA28" s="617"/>
      <c r="AB28" s="617"/>
      <c r="AC28" s="617"/>
      <c r="AD28" s="617"/>
      <c r="AE28" s="617"/>
      <c r="AF28" s="617"/>
    </row>
    <row r="29" spans="1:33" x14ac:dyDescent="0.25">
      <c r="A29" s="3854"/>
      <c r="B29" s="3825"/>
      <c r="C29" s="3825"/>
      <c r="D29" s="3858"/>
      <c r="E29" s="3858"/>
      <c r="F29" s="3858"/>
      <c r="G29" s="3858"/>
      <c r="H29" s="3858"/>
      <c r="I29" s="3858"/>
      <c r="J29" s="3858"/>
      <c r="K29" s="3858"/>
      <c r="L29" s="3858"/>
      <c r="M29" s="3858"/>
      <c r="N29" s="3858"/>
      <c r="O29" s="3858"/>
      <c r="P29" s="3858"/>
      <c r="Q29" s="3858"/>
      <c r="R29" s="3858"/>
      <c r="S29" s="3857"/>
      <c r="T29" s="617"/>
      <c r="U29" s="617"/>
      <c r="V29" s="617"/>
      <c r="W29" s="617"/>
      <c r="X29" s="617"/>
      <c r="Y29" s="617"/>
      <c r="Z29" s="617"/>
      <c r="AA29" s="617"/>
      <c r="AB29" s="617"/>
      <c r="AC29" s="617"/>
      <c r="AD29" s="617"/>
      <c r="AE29" s="617"/>
      <c r="AF29" s="617"/>
    </row>
    <row r="30" spans="1:33" x14ac:dyDescent="0.25">
      <c r="A30" s="3856"/>
      <c r="B30" s="3825"/>
      <c r="C30" s="3825"/>
      <c r="D30" s="3858"/>
      <c r="E30" s="3858"/>
      <c r="F30" s="3858"/>
      <c r="G30" s="3858"/>
      <c r="H30" s="3858"/>
      <c r="I30" s="3858"/>
      <c r="J30" s="3858"/>
      <c r="K30" s="3858"/>
      <c r="L30" s="3858"/>
      <c r="M30" s="3858"/>
      <c r="N30" s="3858"/>
      <c r="O30" s="3858"/>
      <c r="P30" s="3858"/>
      <c r="Q30" s="3858"/>
      <c r="R30" s="3858"/>
      <c r="S30" s="3857"/>
      <c r="T30" s="617"/>
      <c r="U30" s="617"/>
      <c r="V30" s="617"/>
      <c r="W30" s="617"/>
      <c r="X30" s="617"/>
      <c r="Y30" s="617"/>
      <c r="Z30" s="617"/>
      <c r="AA30" s="617"/>
      <c r="AB30" s="617"/>
      <c r="AC30" s="617"/>
      <c r="AD30" s="617"/>
      <c r="AE30" s="617"/>
      <c r="AF30" s="617"/>
    </row>
    <row r="31" spans="1:33" x14ac:dyDescent="0.25">
      <c r="A31" s="3854"/>
      <c r="B31" s="3859"/>
      <c r="C31" s="3859"/>
      <c r="D31" s="3858"/>
      <c r="E31" s="3858"/>
      <c r="F31" s="3858"/>
      <c r="G31" s="3858"/>
      <c r="H31" s="3858"/>
      <c r="I31" s="3858"/>
      <c r="J31" s="3858"/>
      <c r="K31" s="3858"/>
      <c r="L31" s="3858"/>
      <c r="M31" s="3858"/>
      <c r="N31" s="3858"/>
      <c r="O31" s="3858"/>
      <c r="P31" s="3858"/>
      <c r="Q31" s="3858"/>
      <c r="R31" s="3858"/>
      <c r="S31" s="3857"/>
      <c r="T31" s="617"/>
      <c r="U31" s="617"/>
      <c r="V31" s="617"/>
      <c r="W31" s="617"/>
      <c r="X31" s="617"/>
      <c r="Y31" s="617"/>
      <c r="Z31" s="617"/>
      <c r="AA31" s="617"/>
      <c r="AB31" s="617"/>
      <c r="AC31" s="617"/>
      <c r="AD31" s="617"/>
      <c r="AE31" s="617"/>
      <c r="AF31" s="617"/>
    </row>
    <row r="32" spans="1:33" x14ac:dyDescent="0.25">
      <c r="B32" s="3825"/>
      <c r="C32" s="3825"/>
      <c r="D32" s="3858"/>
      <c r="E32" s="3858"/>
      <c r="F32" s="3858"/>
      <c r="G32" s="3858"/>
      <c r="H32" s="3858"/>
      <c r="I32" s="3858"/>
      <c r="J32" s="3858"/>
      <c r="K32" s="3858"/>
      <c r="L32" s="3858"/>
      <c r="M32" s="3858"/>
      <c r="N32" s="3858"/>
      <c r="O32" s="3858"/>
      <c r="P32" s="3858"/>
      <c r="Q32" s="3858"/>
      <c r="R32" s="3858"/>
      <c r="S32" s="3857"/>
      <c r="T32" s="617"/>
      <c r="U32" s="617"/>
      <c r="V32" s="617"/>
      <c r="W32" s="617"/>
      <c r="X32" s="617"/>
      <c r="Y32" s="617"/>
      <c r="Z32" s="617"/>
      <c r="AA32" s="617"/>
      <c r="AB32" s="617"/>
      <c r="AC32" s="617"/>
      <c r="AD32" s="617"/>
      <c r="AE32" s="617"/>
      <c r="AF32" s="617"/>
    </row>
    <row r="33" spans="1:32" x14ac:dyDescent="0.25">
      <c r="B33" s="3825"/>
      <c r="C33" s="3825"/>
      <c r="D33" s="3858"/>
      <c r="E33" s="3858"/>
      <c r="F33" s="3858"/>
      <c r="G33" s="3858"/>
      <c r="H33" s="3858"/>
      <c r="I33" s="3858"/>
      <c r="J33" s="3858"/>
      <c r="K33" s="3858"/>
      <c r="L33" s="3858"/>
      <c r="M33" s="3858"/>
      <c r="N33" s="3858"/>
      <c r="O33" s="3858"/>
      <c r="P33" s="3858"/>
      <c r="Q33" s="3858"/>
      <c r="R33" s="3858"/>
      <c r="S33" s="3857"/>
      <c r="T33" s="617"/>
      <c r="U33" s="617"/>
      <c r="V33" s="617"/>
      <c r="W33" s="617"/>
      <c r="X33" s="617"/>
      <c r="Y33" s="617"/>
      <c r="Z33" s="617"/>
      <c r="AA33" s="617"/>
      <c r="AB33" s="617"/>
      <c r="AC33" s="617"/>
      <c r="AD33" s="617"/>
      <c r="AE33" s="617"/>
      <c r="AF33" s="617"/>
    </row>
    <row r="34" spans="1:32" ht="13.5" customHeight="1" x14ac:dyDescent="0.25">
      <c r="B34" s="3825"/>
      <c r="C34" s="3825"/>
      <c r="D34" s="3858"/>
      <c r="E34" s="3858"/>
      <c r="F34" s="3858"/>
      <c r="G34" s="3858"/>
      <c r="H34" s="3858"/>
      <c r="I34" s="3858"/>
      <c r="J34" s="3858"/>
      <c r="K34" s="3858"/>
      <c r="L34" s="3858"/>
      <c r="M34" s="3858"/>
      <c r="N34" s="3858"/>
      <c r="O34" s="3858"/>
      <c r="P34" s="3858"/>
      <c r="Q34" s="3858"/>
      <c r="R34" s="3858"/>
      <c r="S34" s="3857"/>
      <c r="T34" s="617"/>
      <c r="U34" s="617"/>
      <c r="V34" s="617"/>
      <c r="W34" s="617"/>
      <c r="X34" s="617"/>
      <c r="Y34" s="617"/>
      <c r="Z34" s="617"/>
      <c r="AA34" s="617"/>
      <c r="AB34" s="617"/>
      <c r="AC34" s="617"/>
      <c r="AD34" s="617"/>
      <c r="AE34" s="617"/>
      <c r="AF34" s="617"/>
    </row>
    <row r="35" spans="1:32" ht="9.75" customHeight="1" x14ac:dyDescent="0.25">
      <c r="B35" s="3825"/>
      <c r="C35" s="3825"/>
      <c r="D35" s="3858"/>
      <c r="E35" s="3858"/>
      <c r="F35" s="3858"/>
      <c r="G35" s="3858"/>
      <c r="H35" s="3858"/>
      <c r="I35" s="3858"/>
      <c r="J35" s="3858"/>
      <c r="K35" s="3858"/>
      <c r="L35" s="3858"/>
      <c r="M35" s="3858"/>
      <c r="N35" s="3858"/>
      <c r="O35" s="3858"/>
      <c r="P35" s="3858"/>
      <c r="Q35" s="3858"/>
      <c r="R35" s="3858"/>
      <c r="S35" s="3857"/>
      <c r="T35" s="617"/>
      <c r="U35" s="617"/>
      <c r="V35" s="617"/>
      <c r="W35" s="617"/>
      <c r="X35" s="617"/>
      <c r="Y35" s="617"/>
      <c r="Z35" s="617"/>
      <c r="AA35" s="617"/>
      <c r="AB35" s="617"/>
      <c r="AC35" s="617"/>
      <c r="AD35" s="617"/>
      <c r="AE35" s="617"/>
      <c r="AF35" s="617"/>
    </row>
    <row r="36" spans="1:32" ht="13.5" customHeight="1" x14ac:dyDescent="0.25">
      <c r="A36" s="3855">
        <v>6</v>
      </c>
      <c r="B36" s="3854" t="s">
        <v>52</v>
      </c>
      <c r="C36" s="3854"/>
      <c r="D36" s="5070" t="s">
        <v>1816</v>
      </c>
      <c r="E36" s="5071"/>
      <c r="F36" s="5071"/>
      <c r="G36" s="5071"/>
      <c r="H36" s="5071"/>
      <c r="I36" s="5071"/>
      <c r="J36" s="5071"/>
      <c r="K36" s="5071"/>
      <c r="L36" s="5071"/>
      <c r="M36" s="5071"/>
      <c r="N36" s="5071"/>
      <c r="O36" s="5071"/>
      <c r="P36" s="5071"/>
      <c r="Q36" s="5071"/>
      <c r="R36" s="5071"/>
      <c r="S36" s="5071"/>
      <c r="T36" s="5071"/>
      <c r="U36" s="5071"/>
      <c r="V36" s="5071"/>
      <c r="W36" s="5071"/>
      <c r="X36" s="5071"/>
      <c r="Y36" s="5071"/>
      <c r="Z36" s="5071"/>
      <c r="AA36" s="5071"/>
      <c r="AB36" s="5071"/>
      <c r="AC36" s="5072"/>
      <c r="AD36" s="617"/>
      <c r="AE36" s="617"/>
      <c r="AF36" s="617"/>
    </row>
    <row r="37" spans="1:32" ht="30" customHeight="1" x14ac:dyDescent="0.25">
      <c r="A37" s="3855">
        <v>7</v>
      </c>
      <c r="B37" s="3856" t="s">
        <v>54</v>
      </c>
      <c r="C37" s="3856"/>
      <c r="D37" s="5067" t="s">
        <v>1817</v>
      </c>
      <c r="E37" s="5068"/>
      <c r="F37" s="5068"/>
      <c r="G37" s="5068"/>
      <c r="H37" s="5068"/>
      <c r="I37" s="5068"/>
      <c r="J37" s="5068"/>
      <c r="K37" s="5068"/>
      <c r="L37" s="5068"/>
      <c r="M37" s="5068"/>
      <c r="N37" s="5068"/>
      <c r="O37" s="5068"/>
      <c r="P37" s="5068"/>
      <c r="Q37" s="5068"/>
      <c r="R37" s="5068"/>
      <c r="S37" s="5068"/>
      <c r="T37" s="5068"/>
      <c r="U37" s="5068"/>
      <c r="V37" s="5068"/>
      <c r="W37" s="5068"/>
      <c r="X37" s="5068"/>
      <c r="Y37" s="5068"/>
      <c r="Z37" s="5068"/>
      <c r="AA37" s="5068"/>
      <c r="AB37" s="5068"/>
      <c r="AC37" s="5069"/>
      <c r="AD37" s="617"/>
      <c r="AE37" s="617"/>
      <c r="AF37" s="617"/>
    </row>
    <row r="38" spans="1:32" ht="12.75" customHeight="1" x14ac:dyDescent="0.25">
      <c r="A38" s="3855">
        <v>8</v>
      </c>
      <c r="B38" s="3854" t="s">
        <v>56</v>
      </c>
      <c r="C38" s="3854"/>
      <c r="D38" s="5067" t="s">
        <v>1818</v>
      </c>
      <c r="E38" s="5068"/>
      <c r="F38" s="5068"/>
      <c r="G38" s="5068"/>
      <c r="H38" s="5068"/>
      <c r="I38" s="5068"/>
      <c r="J38" s="5068"/>
      <c r="K38" s="5068"/>
      <c r="L38" s="5068"/>
      <c r="M38" s="5068"/>
      <c r="N38" s="5068"/>
      <c r="O38" s="5068"/>
      <c r="P38" s="5068"/>
      <c r="Q38" s="5068"/>
      <c r="R38" s="5068"/>
      <c r="S38" s="5068"/>
      <c r="T38" s="5068"/>
      <c r="U38" s="5068"/>
      <c r="V38" s="5068"/>
      <c r="W38" s="5068"/>
      <c r="X38" s="5068"/>
      <c r="Y38" s="5068"/>
      <c r="Z38" s="5068"/>
      <c r="AA38" s="5068"/>
      <c r="AB38" s="5068"/>
      <c r="AC38" s="5069"/>
      <c r="AD38" s="617"/>
      <c r="AE38" s="617"/>
      <c r="AF38" s="617"/>
    </row>
    <row r="39" spans="1:32" ht="27.75" customHeight="1" x14ac:dyDescent="0.25">
      <c r="A39" s="3855">
        <v>9</v>
      </c>
      <c r="B39" s="3854" t="s">
        <v>409</v>
      </c>
      <c r="C39" s="3854"/>
      <c r="D39" s="5067" t="s">
        <v>1819</v>
      </c>
      <c r="E39" s="5068"/>
      <c r="F39" s="5068"/>
      <c r="G39" s="5068"/>
      <c r="H39" s="5068"/>
      <c r="I39" s="5068"/>
      <c r="J39" s="5068"/>
      <c r="K39" s="5068"/>
      <c r="L39" s="5068"/>
      <c r="M39" s="5068"/>
      <c r="N39" s="5068"/>
      <c r="O39" s="5068"/>
      <c r="P39" s="5068"/>
      <c r="Q39" s="5068"/>
      <c r="R39" s="5068"/>
      <c r="S39" s="5068"/>
      <c r="T39" s="5068"/>
      <c r="U39" s="5068"/>
      <c r="V39" s="5068"/>
      <c r="W39" s="5068"/>
      <c r="X39" s="5068"/>
      <c r="Y39" s="5068"/>
      <c r="Z39" s="5068"/>
      <c r="AA39" s="5068"/>
      <c r="AB39" s="5068"/>
      <c r="AC39" s="5069"/>
      <c r="AD39" s="617"/>
      <c r="AE39" s="617"/>
      <c r="AF39" s="617"/>
    </row>
    <row r="40" spans="1:32" x14ac:dyDescent="0.25">
      <c r="B40" s="3825"/>
      <c r="C40" s="3825"/>
      <c r="D40" s="3792"/>
      <c r="E40" s="3792"/>
      <c r="F40" s="3792"/>
      <c r="G40" s="3792"/>
      <c r="H40" s="3792"/>
      <c r="I40" s="3792"/>
      <c r="J40" s="3792"/>
      <c r="K40" s="3792"/>
      <c r="L40" s="3792"/>
      <c r="M40" s="3792"/>
      <c r="N40" s="3792"/>
      <c r="O40" s="3792"/>
      <c r="P40" s="3792"/>
      <c r="Q40" s="3792"/>
      <c r="R40" s="3792"/>
    </row>
    <row r="41" spans="1:32" x14ac:dyDescent="0.25">
      <c r="B41" s="3825"/>
      <c r="C41" s="3825"/>
      <c r="D41" s="3792"/>
      <c r="E41" s="3792"/>
      <c r="F41" s="3792"/>
      <c r="G41" s="3792"/>
      <c r="H41" s="3792"/>
      <c r="I41" s="3792"/>
      <c r="J41" s="3792"/>
      <c r="K41" s="3792"/>
      <c r="L41" s="3792"/>
      <c r="M41" s="3792"/>
      <c r="N41" s="3792"/>
      <c r="O41" s="3792"/>
      <c r="P41" s="3792"/>
      <c r="Q41" s="3792"/>
      <c r="R41" s="3792"/>
    </row>
    <row r="42" spans="1:32" x14ac:dyDescent="0.25">
      <c r="B42" s="3825"/>
      <c r="C42" s="3825"/>
      <c r="D42" s="3792"/>
      <c r="E42" s="3792"/>
      <c r="F42" s="3792"/>
      <c r="G42" s="3792"/>
      <c r="H42" s="3792"/>
      <c r="I42" s="3792"/>
      <c r="J42" s="3792"/>
      <c r="K42" s="3792"/>
      <c r="L42" s="3792"/>
      <c r="M42" s="3792"/>
      <c r="N42" s="3792"/>
      <c r="O42" s="3792"/>
      <c r="P42" s="3792"/>
      <c r="Q42" s="3792"/>
      <c r="R42" s="3792"/>
    </row>
    <row r="43" spans="1:32" x14ac:dyDescent="0.25">
      <c r="B43" s="3825"/>
      <c r="C43" s="3825"/>
      <c r="D43" s="3853"/>
      <c r="E43" s="3853"/>
      <c r="F43" s="3853"/>
      <c r="G43" s="3853"/>
      <c r="H43" s="3853"/>
      <c r="I43" s="3853"/>
      <c r="J43" s="3853"/>
      <c r="K43" s="3853"/>
      <c r="L43" s="3853"/>
      <c r="M43" s="3852"/>
      <c r="N43" s="3852"/>
      <c r="O43" s="3852"/>
      <c r="P43" s="3852"/>
      <c r="Q43" s="3852"/>
      <c r="R43" s="3852"/>
    </row>
    <row r="44" spans="1:32" x14ac:dyDescent="0.25">
      <c r="B44" s="3825"/>
      <c r="C44" s="3825"/>
      <c r="D44" s="2186"/>
      <c r="E44" s="2424"/>
      <c r="F44" s="2424"/>
      <c r="G44" s="2424"/>
      <c r="H44" s="2424"/>
      <c r="I44" s="2424"/>
      <c r="J44" s="2424"/>
      <c r="K44" s="2424"/>
      <c r="L44" s="2424"/>
      <c r="M44" s="3116"/>
      <c r="N44" s="2424"/>
      <c r="O44" s="2424"/>
      <c r="P44" s="2424"/>
      <c r="Q44" s="2424"/>
      <c r="R44" s="2424"/>
      <c r="S44" s="2424"/>
      <c r="T44" s="2424"/>
      <c r="U44" s="2424"/>
      <c r="V44" s="2424"/>
      <c r="W44" s="2424"/>
      <c r="X44" s="3117"/>
      <c r="Y44" s="3117"/>
      <c r="Z44" s="3117"/>
      <c r="AA44" s="3117"/>
      <c r="AB44" s="2424"/>
      <c r="AC44" s="2424"/>
      <c r="AD44" s="2424"/>
      <c r="AE44" s="2424"/>
    </row>
    <row r="45" spans="1:32" x14ac:dyDescent="0.25">
      <c r="B45" s="3825"/>
      <c r="C45" s="3825"/>
      <c r="D45" s="3787"/>
      <c r="E45" s="3831"/>
      <c r="F45" s="3831"/>
      <c r="G45" s="3831"/>
      <c r="H45" s="3831"/>
      <c r="I45" s="3831"/>
      <c r="J45" s="3831"/>
      <c r="K45" s="3831"/>
      <c r="L45" s="3831"/>
      <c r="M45" s="3831"/>
      <c r="N45" s="3831"/>
      <c r="O45" s="3831"/>
      <c r="P45" s="3831"/>
      <c r="Q45" s="3831"/>
      <c r="R45" s="3831"/>
      <c r="S45" s="3831"/>
      <c r="T45" s="3831"/>
      <c r="U45" s="3831"/>
      <c r="V45" s="3831"/>
      <c r="W45" s="3831"/>
      <c r="X45" s="3850"/>
      <c r="Y45" s="1911"/>
      <c r="Z45" s="1912"/>
      <c r="AA45" s="3831"/>
      <c r="AB45" s="3831"/>
      <c r="AC45" s="3831"/>
      <c r="AD45" s="3831"/>
      <c r="AE45" s="3831"/>
    </row>
    <row r="46" spans="1:32" x14ac:dyDescent="0.25">
      <c r="B46" s="3825"/>
      <c r="C46" s="3825"/>
      <c r="D46" s="3787"/>
      <c r="E46" s="3831"/>
      <c r="F46" s="3831"/>
      <c r="G46" s="3831"/>
      <c r="H46" s="3831"/>
      <c r="I46" s="3831"/>
      <c r="J46" s="3831"/>
      <c r="K46" s="3831"/>
      <c r="L46" s="3831"/>
      <c r="M46" s="3831"/>
      <c r="N46" s="3831"/>
      <c r="O46" s="3831"/>
      <c r="P46" s="3831"/>
      <c r="Q46" s="3831"/>
      <c r="R46" s="3831"/>
      <c r="S46" s="3831"/>
      <c r="T46" s="3831"/>
      <c r="U46" s="3831"/>
      <c r="V46" s="3831"/>
      <c r="W46" s="3831"/>
      <c r="X46" s="3850"/>
      <c r="Y46" s="1911"/>
      <c r="Z46" s="1912"/>
      <c r="AA46" s="3831"/>
      <c r="AB46" s="3831"/>
      <c r="AC46" s="3831"/>
      <c r="AD46" s="3831"/>
      <c r="AE46" s="3831"/>
    </row>
    <row r="47" spans="1:32" x14ac:dyDescent="0.25">
      <c r="B47" s="3825"/>
      <c r="C47" s="3825"/>
      <c r="D47" s="3787"/>
      <c r="E47" s="3831"/>
      <c r="F47" s="3831"/>
      <c r="G47" s="3831"/>
      <c r="H47" s="3831"/>
      <c r="I47" s="3831"/>
      <c r="J47" s="3831"/>
      <c r="K47" s="3831"/>
      <c r="L47" s="3831"/>
      <c r="M47" s="3831"/>
      <c r="N47" s="3831"/>
      <c r="O47" s="3831"/>
      <c r="P47" s="3831"/>
      <c r="Q47" s="3831"/>
      <c r="R47" s="3831"/>
      <c r="S47" s="3831"/>
      <c r="T47" s="3831"/>
      <c r="U47" s="3831"/>
      <c r="V47" s="3831"/>
      <c r="W47" s="3831"/>
      <c r="X47" s="3851"/>
      <c r="Y47" s="3850"/>
      <c r="Z47" s="1911"/>
      <c r="AA47" s="3831"/>
      <c r="AB47" s="3831"/>
      <c r="AC47" s="3831"/>
      <c r="AD47" s="3831"/>
      <c r="AE47" s="3831"/>
    </row>
    <row r="48" spans="1:32" x14ac:dyDescent="0.25">
      <c r="B48" s="3825"/>
      <c r="C48" s="3825"/>
      <c r="D48" s="3787"/>
      <c r="E48" s="3831"/>
      <c r="F48" s="3831"/>
      <c r="G48" s="3831"/>
      <c r="H48" s="3831"/>
      <c r="I48" s="3831"/>
      <c r="J48" s="3831"/>
      <c r="K48" s="3831"/>
      <c r="L48" s="3831"/>
      <c r="M48" s="3831"/>
      <c r="N48" s="3831"/>
      <c r="O48" s="3831"/>
      <c r="P48" s="3831"/>
      <c r="Q48" s="3831"/>
      <c r="R48" s="3831"/>
      <c r="S48" s="3833"/>
      <c r="T48" s="3849"/>
      <c r="U48" s="3119"/>
      <c r="V48" s="3119"/>
      <c r="W48" s="3119"/>
      <c r="X48" s="3848"/>
      <c r="Y48" s="3847"/>
      <c r="Z48" s="3847"/>
      <c r="AA48" s="3846"/>
      <c r="AB48" s="3846"/>
      <c r="AC48" s="3846"/>
      <c r="AD48" s="3846"/>
      <c r="AE48" s="3846"/>
    </row>
    <row r="49" spans="2:31" x14ac:dyDescent="0.25">
      <c r="B49" s="3825"/>
      <c r="C49" s="3825"/>
      <c r="D49" s="3604"/>
      <c r="E49" s="3615"/>
      <c r="F49" s="3615"/>
      <c r="G49" s="3615"/>
      <c r="H49" s="3615"/>
      <c r="I49" s="3615"/>
      <c r="J49" s="3615"/>
      <c r="K49" s="3615"/>
      <c r="L49" s="3615"/>
      <c r="M49" s="3615"/>
      <c r="N49" s="3615"/>
      <c r="O49" s="3615"/>
      <c r="P49" s="3615"/>
      <c r="Q49" s="3615"/>
      <c r="R49" s="3615"/>
      <c r="S49" s="3615"/>
      <c r="T49" s="3120"/>
      <c r="U49" s="3120"/>
      <c r="V49" s="3120"/>
      <c r="W49" s="3120"/>
      <c r="X49" s="3121"/>
      <c r="Y49" s="1914"/>
      <c r="Z49" s="1914"/>
      <c r="AA49" s="1915"/>
      <c r="AB49" s="1915"/>
      <c r="AC49" s="1915"/>
      <c r="AD49" s="1915"/>
      <c r="AE49" s="1980"/>
    </row>
    <row r="50" spans="2:31" x14ac:dyDescent="0.25">
      <c r="B50" s="3825"/>
      <c r="C50" s="3825"/>
      <c r="D50" s="3845"/>
      <c r="E50" s="3843"/>
      <c r="F50" s="3843"/>
      <c r="G50" s="3843"/>
      <c r="H50" s="3843"/>
      <c r="I50" s="3843"/>
      <c r="J50" s="3843"/>
      <c r="K50" s="3843"/>
      <c r="L50" s="3843"/>
      <c r="M50" s="3843"/>
      <c r="N50" s="3843"/>
      <c r="O50" s="3843"/>
      <c r="P50" s="3844"/>
      <c r="Q50" s="3844"/>
      <c r="R50" s="3843"/>
      <c r="S50" s="3843"/>
      <c r="T50" s="3843"/>
      <c r="U50" s="3843"/>
      <c r="V50" s="3843"/>
      <c r="W50" s="3843"/>
      <c r="X50" s="3843"/>
      <c r="AD50" s="570"/>
      <c r="AE50" s="3835"/>
    </row>
    <row r="51" spans="2:31" x14ac:dyDescent="0.25">
      <c r="B51" s="3825"/>
      <c r="C51" s="3825"/>
      <c r="D51" s="3845"/>
      <c r="E51" s="3843"/>
      <c r="F51" s="3843"/>
      <c r="G51" s="3843"/>
      <c r="H51" s="3843"/>
      <c r="I51" s="3843"/>
      <c r="J51" s="3843"/>
      <c r="K51" s="3843"/>
      <c r="L51" s="3843"/>
      <c r="M51" s="3843"/>
      <c r="N51" s="3843"/>
      <c r="O51" s="3843"/>
      <c r="P51" s="3844"/>
      <c r="Q51" s="3844"/>
      <c r="R51" s="3843"/>
      <c r="S51" s="3843"/>
      <c r="T51" s="3843"/>
      <c r="U51" s="3843"/>
      <c r="V51" s="3843"/>
      <c r="W51" s="3843"/>
      <c r="X51" s="3843"/>
      <c r="AD51" s="570"/>
      <c r="AE51" s="3835"/>
    </row>
    <row r="52" spans="2:31" x14ac:dyDescent="0.25">
      <c r="B52" s="3825"/>
      <c r="C52" s="3825"/>
      <c r="D52" s="3842"/>
      <c r="E52" s="3123"/>
      <c r="F52" s="3123"/>
      <c r="G52" s="3123"/>
      <c r="H52" s="3123"/>
      <c r="I52" s="3123"/>
      <c r="J52" s="3123"/>
      <c r="K52" s="3123"/>
      <c r="L52" s="3123"/>
      <c r="M52" s="3124"/>
      <c r="N52" s="3123"/>
      <c r="O52" s="3123"/>
      <c r="P52" s="3123"/>
      <c r="Q52" s="3123"/>
      <c r="R52" s="3123"/>
      <c r="S52" s="3123"/>
      <c r="T52" s="3123"/>
      <c r="U52" s="3123"/>
      <c r="V52" s="3123"/>
      <c r="W52" s="2424"/>
      <c r="X52" s="2424"/>
      <c r="Y52" s="3125"/>
      <c r="Z52" s="3125"/>
      <c r="AA52" s="2424"/>
      <c r="AB52" s="3126"/>
      <c r="AC52" s="3126"/>
      <c r="AD52" s="3126"/>
      <c r="AE52" s="3126"/>
    </row>
    <row r="53" spans="2:31" x14ac:dyDescent="0.25">
      <c r="B53" s="3825"/>
      <c r="C53" s="3825"/>
      <c r="D53" s="3841"/>
      <c r="E53" s="3127"/>
      <c r="F53" s="3127"/>
      <c r="G53" s="3127"/>
      <c r="H53" s="3127"/>
      <c r="I53" s="3127"/>
      <c r="J53" s="3127"/>
      <c r="K53" s="3127"/>
      <c r="L53" s="3127"/>
      <c r="M53" s="3127"/>
      <c r="N53" s="3127"/>
      <c r="O53" s="3127"/>
      <c r="P53" s="3127"/>
      <c r="Q53" s="3127"/>
      <c r="R53" s="3127"/>
      <c r="S53" s="3127"/>
      <c r="T53" s="3127"/>
      <c r="U53" s="3127"/>
      <c r="V53" s="3127"/>
      <c r="W53" s="3127"/>
      <c r="X53" s="3127"/>
      <c r="Y53" s="1920"/>
      <c r="Z53" s="1920"/>
      <c r="AA53" s="1920"/>
      <c r="AB53" s="1920"/>
      <c r="AC53" s="1920"/>
      <c r="AD53" s="1920"/>
      <c r="AE53" s="1920"/>
    </row>
    <row r="54" spans="2:31" x14ac:dyDescent="0.25">
      <c r="B54" s="3825"/>
      <c r="C54" s="3825"/>
      <c r="D54" s="3841"/>
      <c r="E54" s="3127"/>
      <c r="F54" s="3127"/>
      <c r="G54" s="3127"/>
      <c r="H54" s="3127"/>
      <c r="I54" s="3127"/>
      <c r="J54" s="3127"/>
      <c r="K54" s="3127"/>
      <c r="L54" s="3127"/>
      <c r="M54" s="3127"/>
      <c r="N54" s="3127"/>
      <c r="O54" s="3127"/>
      <c r="P54" s="3127"/>
      <c r="Q54" s="3127"/>
      <c r="R54" s="3127"/>
      <c r="S54" s="3127"/>
      <c r="T54" s="3127"/>
      <c r="U54" s="3127"/>
      <c r="V54" s="3127"/>
      <c r="W54" s="3127"/>
      <c r="X54" s="3127"/>
      <c r="Y54" s="1920"/>
      <c r="Z54" s="1920"/>
      <c r="AA54" s="1920"/>
      <c r="AB54" s="1920"/>
      <c r="AC54" s="1920"/>
      <c r="AD54" s="1920"/>
      <c r="AE54" s="1920"/>
    </row>
    <row r="55" spans="2:31" x14ac:dyDescent="0.25">
      <c r="B55" s="3825"/>
      <c r="C55" s="3825"/>
      <c r="D55" s="3841"/>
      <c r="E55" s="3127"/>
      <c r="F55" s="3127"/>
      <c r="G55" s="3127"/>
      <c r="H55" s="3127"/>
      <c r="I55" s="3127"/>
      <c r="J55" s="3127"/>
      <c r="K55" s="3127"/>
      <c r="L55" s="3127"/>
      <c r="M55" s="3127"/>
      <c r="N55" s="3127"/>
      <c r="O55" s="3127"/>
      <c r="P55" s="3127"/>
      <c r="Q55" s="3127"/>
      <c r="R55" s="3127"/>
      <c r="S55" s="3127"/>
      <c r="T55" s="3127"/>
      <c r="U55" s="3127"/>
      <c r="V55" s="3127"/>
      <c r="W55" s="3127"/>
      <c r="X55" s="3127"/>
      <c r="Y55" s="1920"/>
      <c r="Z55" s="1920"/>
      <c r="AA55" s="1920"/>
      <c r="AB55" s="1920"/>
      <c r="AC55" s="1920"/>
      <c r="AD55" s="1920"/>
      <c r="AE55" s="1920"/>
    </row>
    <row r="56" spans="2:31" x14ac:dyDescent="0.25">
      <c r="B56" s="3825"/>
      <c r="C56" s="3825"/>
      <c r="D56" s="3840"/>
      <c r="E56" s="3839"/>
      <c r="F56" s="3839"/>
      <c r="G56" s="3839"/>
      <c r="H56" s="3839"/>
      <c r="I56" s="3839"/>
      <c r="J56" s="3839"/>
      <c r="K56" s="3839"/>
      <c r="L56" s="3839"/>
      <c r="M56" s="3839"/>
      <c r="N56" s="3839"/>
      <c r="O56" s="3839"/>
      <c r="P56" s="3839"/>
      <c r="Q56" s="3839"/>
      <c r="R56" s="3839"/>
      <c r="S56" s="3839"/>
      <c r="T56" s="3839"/>
      <c r="U56" s="3839"/>
      <c r="V56" s="3839"/>
      <c r="W56" s="3128"/>
      <c r="X56" s="3128"/>
      <c r="Y56" s="1921"/>
      <c r="Z56" s="1921"/>
      <c r="AA56" s="1921"/>
      <c r="AB56" s="1921"/>
      <c r="AC56" s="1920"/>
      <c r="AD56" s="1920"/>
      <c r="AE56" s="1920"/>
    </row>
    <row r="57" spans="2:31" x14ac:dyDescent="0.25">
      <c r="B57" s="3825"/>
      <c r="C57" s="3825"/>
      <c r="D57" s="1922"/>
      <c r="E57" s="1923"/>
      <c r="F57" s="1923"/>
      <c r="G57" s="1923"/>
      <c r="H57" s="1923"/>
      <c r="I57" s="1923"/>
      <c r="J57" s="1923"/>
      <c r="K57" s="1923"/>
      <c r="L57" s="1923"/>
      <c r="M57" s="1923"/>
      <c r="N57" s="1923"/>
      <c r="O57" s="1923"/>
      <c r="P57" s="1923"/>
      <c r="Q57" s="1923"/>
      <c r="R57" s="1923"/>
      <c r="S57" s="1923"/>
      <c r="T57" s="1923"/>
      <c r="U57" s="1923"/>
      <c r="V57" s="1923"/>
      <c r="W57" s="1923"/>
      <c r="X57" s="1923"/>
      <c r="Y57" s="1924"/>
      <c r="Z57" s="1924"/>
      <c r="AA57" s="1924"/>
      <c r="AB57" s="3129"/>
      <c r="AC57" s="3129"/>
      <c r="AD57" s="3129"/>
      <c r="AE57" s="3129"/>
    </row>
    <row r="58" spans="2:31" x14ac:dyDescent="0.25">
      <c r="B58" s="3825"/>
      <c r="C58" s="3825"/>
      <c r="D58" s="3792"/>
      <c r="E58" s="3130"/>
      <c r="F58" s="3792"/>
      <c r="G58" s="3792"/>
      <c r="H58" s="3792"/>
      <c r="I58" s="3792"/>
      <c r="J58" s="3792"/>
      <c r="K58" s="3792"/>
      <c r="L58" s="3792"/>
      <c r="M58" s="3792"/>
      <c r="N58" s="3792"/>
      <c r="O58" s="3792"/>
      <c r="P58" s="3792"/>
      <c r="Q58" s="3792"/>
      <c r="R58" s="3792"/>
      <c r="X58" s="3835"/>
      <c r="Y58" s="3835"/>
      <c r="Z58" s="3835"/>
      <c r="AA58" s="3835"/>
      <c r="AB58" s="3835"/>
      <c r="AC58" s="3835"/>
      <c r="AD58" s="3835"/>
      <c r="AE58" s="3835"/>
    </row>
    <row r="59" spans="2:31" x14ac:dyDescent="0.25">
      <c r="B59" s="3825"/>
      <c r="C59" s="3825"/>
      <c r="D59" s="3838"/>
      <c r="E59" s="3131"/>
      <c r="F59" s="3838"/>
      <c r="G59" s="3838"/>
      <c r="H59" s="3838"/>
      <c r="I59" s="3838"/>
      <c r="J59" s="3838"/>
      <c r="K59" s="3838"/>
      <c r="L59" s="3838"/>
      <c r="M59" s="3838"/>
      <c r="N59" s="3838"/>
      <c r="O59" s="3838"/>
      <c r="P59" s="3838"/>
      <c r="Q59" s="3838"/>
      <c r="R59" s="3838"/>
      <c r="S59" s="3837"/>
      <c r="T59" s="3837"/>
      <c r="U59" s="3837"/>
      <c r="V59" s="3837"/>
      <c r="W59" s="3837"/>
      <c r="X59" s="3836"/>
      <c r="Y59" s="3835"/>
      <c r="Z59" s="3835"/>
      <c r="AA59" s="3835"/>
      <c r="AB59" s="3835"/>
      <c r="AC59" s="3835"/>
      <c r="AD59" s="3835"/>
      <c r="AE59" s="3835"/>
    </row>
    <row r="60" spans="2:31" x14ac:dyDescent="0.25">
      <c r="B60" s="3825"/>
      <c r="C60" s="3825"/>
      <c r="D60" s="3792"/>
      <c r="E60" s="3792"/>
      <c r="F60" s="3792"/>
      <c r="G60" s="3792"/>
      <c r="H60" s="3792"/>
      <c r="I60" s="3792"/>
      <c r="J60" s="3792"/>
      <c r="K60" s="3792"/>
      <c r="L60" s="3792"/>
      <c r="M60" s="3792"/>
      <c r="N60" s="3792"/>
      <c r="O60" s="3792"/>
      <c r="P60" s="3792"/>
      <c r="Q60" s="3792"/>
      <c r="R60" s="3792"/>
      <c r="X60" s="3835"/>
      <c r="Y60" s="3835"/>
      <c r="Z60" s="3835"/>
      <c r="AA60" s="3835"/>
      <c r="AB60" s="3835"/>
      <c r="AC60" s="3835"/>
      <c r="AD60" s="3835"/>
      <c r="AE60" s="3835"/>
    </row>
    <row r="61" spans="2:31" x14ac:dyDescent="0.25">
      <c r="B61" s="3825"/>
      <c r="C61" s="3825"/>
      <c r="D61" s="3792"/>
      <c r="E61" s="3792"/>
      <c r="F61" s="3792"/>
      <c r="G61" s="3792"/>
      <c r="H61" s="3792"/>
      <c r="I61" s="3792"/>
      <c r="J61" s="3792"/>
      <c r="K61" s="3792"/>
      <c r="L61" s="3792"/>
      <c r="M61" s="3792"/>
      <c r="N61" s="3792"/>
      <c r="O61" s="3792"/>
      <c r="P61" s="3792"/>
      <c r="Q61" s="3792"/>
      <c r="R61" s="3792"/>
      <c r="X61" s="3835"/>
      <c r="Y61" s="3835"/>
      <c r="Z61" s="3835"/>
      <c r="AA61" s="3835"/>
      <c r="AB61" s="3835"/>
      <c r="AC61" s="3835"/>
      <c r="AD61" s="3835"/>
      <c r="AE61" s="3835"/>
    </row>
    <row r="62" spans="2:31" x14ac:dyDescent="0.25">
      <c r="B62" s="3825"/>
      <c r="C62" s="3825"/>
      <c r="D62" s="3792"/>
      <c r="E62" s="3792"/>
      <c r="F62" s="3792"/>
      <c r="G62" s="3792"/>
      <c r="H62" s="3792"/>
      <c r="I62" s="3792"/>
      <c r="J62" s="3792"/>
      <c r="K62" s="3792"/>
      <c r="L62" s="3792"/>
      <c r="M62" s="3792"/>
      <c r="N62" s="3792"/>
      <c r="O62" s="3792"/>
      <c r="P62" s="3792"/>
      <c r="Q62" s="3792"/>
      <c r="R62" s="3792"/>
      <c r="X62" s="3835"/>
      <c r="Y62" s="3835"/>
      <c r="Z62" s="3835"/>
      <c r="AA62" s="3835"/>
      <c r="AB62" s="3835"/>
      <c r="AC62" s="3835"/>
      <c r="AD62" s="3835"/>
    </row>
    <row r="63" spans="2:31" x14ac:dyDescent="0.25">
      <c r="B63" s="3825"/>
      <c r="C63" s="3825"/>
      <c r="D63" s="3792"/>
      <c r="E63" s="3792"/>
      <c r="F63" s="3792"/>
      <c r="G63" s="3792"/>
      <c r="H63" s="3792"/>
      <c r="I63" s="3792"/>
      <c r="J63" s="3792"/>
      <c r="K63" s="3792"/>
      <c r="L63" s="3792"/>
      <c r="M63" s="3792"/>
      <c r="N63" s="3792"/>
      <c r="O63" s="3792"/>
      <c r="P63" s="3792"/>
      <c r="Q63" s="3792"/>
      <c r="R63" s="3792"/>
      <c r="X63" s="3835"/>
      <c r="Y63" s="3835"/>
      <c r="Z63" s="3835"/>
      <c r="AA63" s="3835"/>
      <c r="AB63" s="3835"/>
      <c r="AC63" s="3835"/>
      <c r="AD63" s="3835"/>
    </row>
    <row r="64" spans="2:31" x14ac:dyDescent="0.25">
      <c r="B64" s="3825"/>
      <c r="C64" s="3825"/>
      <c r="D64" s="3792"/>
      <c r="E64" s="3792"/>
      <c r="F64" s="3792"/>
      <c r="G64" s="3792"/>
      <c r="H64" s="3792"/>
      <c r="I64" s="3792"/>
      <c r="J64" s="3792"/>
      <c r="K64" s="3792"/>
      <c r="L64" s="3792"/>
      <c r="M64" s="3792"/>
      <c r="N64" s="3792"/>
      <c r="O64" s="3792"/>
      <c r="P64" s="3792"/>
      <c r="Q64" s="3792"/>
      <c r="R64" s="3792"/>
      <c r="X64" s="3835"/>
      <c r="Y64" s="3835"/>
      <c r="Z64" s="3835"/>
      <c r="AA64" s="3835"/>
      <c r="AB64" s="3835"/>
      <c r="AC64" s="3835"/>
      <c r="AD64" s="3835"/>
    </row>
    <row r="65" spans="2:18" x14ac:dyDescent="0.25">
      <c r="B65" s="3825"/>
      <c r="C65" s="3825"/>
      <c r="D65" s="3792"/>
      <c r="E65" s="3792"/>
      <c r="F65" s="3792"/>
      <c r="G65" s="3792"/>
      <c r="H65" s="3792"/>
      <c r="I65" s="3792"/>
      <c r="J65" s="3792"/>
      <c r="K65" s="3792"/>
      <c r="L65" s="3792"/>
      <c r="M65" s="3792"/>
      <c r="N65" s="3792"/>
      <c r="O65" s="3792"/>
      <c r="P65" s="3792"/>
      <c r="Q65" s="3792"/>
      <c r="R65" s="3792"/>
    </row>
    <row r="66" spans="2:18" x14ac:dyDescent="0.25">
      <c r="B66" s="3825"/>
      <c r="C66" s="3825"/>
      <c r="D66" s="3792"/>
      <c r="E66" s="3792"/>
      <c r="F66" s="3792"/>
      <c r="G66" s="3792"/>
      <c r="H66" s="3792"/>
      <c r="I66" s="3792"/>
      <c r="J66" s="3792"/>
      <c r="K66" s="3792"/>
      <c r="L66" s="3792"/>
      <c r="M66" s="3792"/>
      <c r="N66" s="3792"/>
      <c r="O66" s="3792"/>
      <c r="P66" s="3792"/>
      <c r="Q66" s="3792"/>
      <c r="R66" s="3792"/>
    </row>
    <row r="67" spans="2:18" x14ac:dyDescent="0.25">
      <c r="B67" s="3825"/>
      <c r="C67" s="3825"/>
      <c r="D67" s="3792"/>
      <c r="E67" s="3792"/>
      <c r="F67" s="3792"/>
      <c r="G67" s="3792"/>
      <c r="H67" s="3792"/>
      <c r="I67" s="3792"/>
      <c r="J67" s="3792"/>
      <c r="K67" s="3792"/>
      <c r="L67" s="3792"/>
      <c r="M67" s="3792"/>
      <c r="N67" s="3792"/>
      <c r="O67" s="3792"/>
      <c r="P67" s="3792"/>
      <c r="Q67" s="3792"/>
      <c r="R67" s="3792"/>
    </row>
    <row r="68" spans="2:18" x14ac:dyDescent="0.25">
      <c r="B68" s="3825"/>
      <c r="C68" s="3825"/>
      <c r="D68" s="3792"/>
      <c r="E68" s="3792"/>
      <c r="F68" s="3792"/>
      <c r="G68" s="3792"/>
      <c r="H68" s="3792"/>
      <c r="I68" s="3792"/>
      <c r="J68" s="3792"/>
      <c r="K68" s="3792"/>
      <c r="L68" s="3792"/>
      <c r="M68" s="3792"/>
      <c r="N68" s="3792"/>
      <c r="O68" s="3792"/>
      <c r="P68" s="3792"/>
      <c r="Q68" s="3792"/>
      <c r="R68" s="3792"/>
    </row>
    <row r="69" spans="2:18" x14ac:dyDescent="0.25">
      <c r="B69" s="3825"/>
      <c r="C69" s="3825"/>
      <c r="D69" s="3792"/>
      <c r="E69" s="3792"/>
      <c r="F69" s="3792"/>
      <c r="G69" s="3792"/>
      <c r="H69" s="3792"/>
      <c r="I69" s="3792"/>
      <c r="J69" s="3792"/>
      <c r="K69" s="3792"/>
      <c r="L69" s="3792"/>
      <c r="M69" s="3792"/>
      <c r="N69" s="3792"/>
      <c r="O69" s="3792"/>
      <c r="P69" s="3792"/>
      <c r="Q69" s="3792"/>
      <c r="R69" s="3792"/>
    </row>
    <row r="70" spans="2:18" x14ac:dyDescent="0.25">
      <c r="B70" s="3825"/>
      <c r="C70" s="3825"/>
      <c r="D70" s="3792"/>
      <c r="E70" s="3792"/>
      <c r="F70" s="3792"/>
      <c r="G70" s="3792"/>
      <c r="H70" s="3792"/>
      <c r="I70" s="3792"/>
      <c r="J70" s="3792"/>
      <c r="K70" s="3792"/>
      <c r="L70" s="3792"/>
      <c r="M70" s="3792"/>
      <c r="N70" s="3792"/>
      <c r="O70" s="3792"/>
      <c r="P70" s="3792"/>
      <c r="Q70" s="3792"/>
      <c r="R70" s="3792"/>
    </row>
    <row r="71" spans="2:18" x14ac:dyDescent="0.25">
      <c r="B71" s="3825"/>
      <c r="C71" s="3825"/>
      <c r="D71" s="3792"/>
      <c r="E71" s="3792"/>
      <c r="F71" s="3792"/>
      <c r="G71" s="3792"/>
      <c r="H71" s="3792"/>
      <c r="I71" s="3792"/>
      <c r="J71" s="3792"/>
      <c r="K71" s="3792"/>
      <c r="L71" s="3792"/>
      <c r="M71" s="3792"/>
      <c r="N71" s="3792"/>
      <c r="O71" s="3792"/>
      <c r="P71" s="3792"/>
      <c r="Q71" s="3792"/>
      <c r="R71" s="3792"/>
    </row>
    <row r="72" spans="2:18" x14ac:dyDescent="0.25">
      <c r="B72" s="3825"/>
      <c r="C72" s="3825"/>
      <c r="D72" s="3792"/>
      <c r="E72" s="3792"/>
      <c r="F72" s="3792"/>
      <c r="G72" s="3792"/>
      <c r="H72" s="3792"/>
      <c r="I72" s="3792"/>
      <c r="J72" s="3792"/>
      <c r="K72" s="3792"/>
      <c r="L72" s="3792"/>
      <c r="M72" s="3792"/>
      <c r="N72" s="3792"/>
      <c r="O72" s="3792"/>
      <c r="P72" s="3792"/>
      <c r="Q72" s="3792"/>
      <c r="R72" s="3792"/>
    </row>
    <row r="73" spans="2:18" x14ac:dyDescent="0.25">
      <c r="B73" s="3825"/>
      <c r="C73" s="3825"/>
      <c r="D73" s="3792"/>
      <c r="E73" s="3792"/>
      <c r="F73" s="3792"/>
      <c r="G73" s="3792"/>
      <c r="H73" s="3792"/>
      <c r="I73" s="3792"/>
      <c r="J73" s="3792"/>
      <c r="K73" s="3792"/>
      <c r="L73" s="3792"/>
      <c r="M73" s="3792"/>
      <c r="N73" s="3792"/>
      <c r="O73" s="3792"/>
      <c r="P73" s="3792"/>
      <c r="Q73" s="3792"/>
      <c r="R73" s="3792"/>
    </row>
    <row r="74" spans="2:18" x14ac:dyDescent="0.25">
      <c r="B74" s="3825"/>
      <c r="C74" s="3825"/>
      <c r="D74" s="3792"/>
      <c r="E74" s="3792"/>
      <c r="F74" s="3792"/>
      <c r="G74" s="3792"/>
      <c r="H74" s="3792"/>
      <c r="I74" s="3792"/>
      <c r="J74" s="3792"/>
      <c r="K74" s="3792"/>
      <c r="L74" s="3792"/>
      <c r="M74" s="3792"/>
      <c r="N74" s="3792"/>
      <c r="O74" s="3792"/>
      <c r="P74" s="3792"/>
      <c r="Q74" s="3792"/>
      <c r="R74" s="3792"/>
    </row>
    <row r="75" spans="2:18" x14ac:dyDescent="0.25">
      <c r="B75" s="3825"/>
      <c r="C75" s="3825"/>
      <c r="D75" s="3792"/>
      <c r="E75" s="3792"/>
      <c r="F75" s="3792"/>
      <c r="G75" s="3792"/>
      <c r="H75" s="3792"/>
      <c r="I75" s="3792"/>
      <c r="J75" s="3792"/>
      <c r="K75" s="3792"/>
      <c r="L75" s="3792"/>
      <c r="M75" s="3792"/>
      <c r="N75" s="3792"/>
      <c r="O75" s="3792"/>
      <c r="P75" s="3792"/>
      <c r="Q75" s="3792"/>
      <c r="R75" s="3792"/>
    </row>
    <row r="76" spans="2:18" x14ac:dyDescent="0.25">
      <c r="B76" s="3825"/>
      <c r="C76" s="3825"/>
      <c r="D76" s="3792"/>
      <c r="E76" s="3792"/>
      <c r="F76" s="3792"/>
      <c r="G76" s="3792"/>
      <c r="H76" s="3792"/>
      <c r="I76" s="3792"/>
      <c r="J76" s="3792"/>
      <c r="K76" s="3792"/>
      <c r="L76" s="3792"/>
      <c r="M76" s="3792"/>
      <c r="N76" s="3792"/>
      <c r="O76" s="3792"/>
      <c r="P76" s="3792"/>
      <c r="Q76" s="3792"/>
      <c r="R76" s="3792"/>
    </row>
    <row r="77" spans="2:18" x14ac:dyDescent="0.25">
      <c r="B77" s="3825"/>
      <c r="C77" s="3825"/>
      <c r="D77" s="3792"/>
      <c r="E77" s="3792"/>
      <c r="F77" s="3792"/>
      <c r="G77" s="3792"/>
      <c r="H77" s="3792"/>
      <c r="I77" s="3792"/>
      <c r="J77" s="3792"/>
      <c r="K77" s="3792"/>
      <c r="L77" s="3792"/>
      <c r="M77" s="3792"/>
      <c r="N77" s="3792"/>
      <c r="O77" s="3792"/>
      <c r="P77" s="3792"/>
      <c r="Q77" s="3792"/>
      <c r="R77" s="3792"/>
    </row>
    <row r="78" spans="2:18" x14ac:dyDescent="0.25">
      <c r="B78" s="3825"/>
      <c r="C78" s="3825"/>
      <c r="D78" s="3792"/>
      <c r="E78" s="3792"/>
      <c r="F78" s="3792"/>
      <c r="G78" s="3792"/>
      <c r="H78" s="3792"/>
      <c r="I78" s="3792"/>
      <c r="J78" s="3792"/>
      <c r="K78" s="3792"/>
      <c r="L78" s="3792"/>
      <c r="M78" s="3792"/>
      <c r="N78" s="3792"/>
      <c r="O78" s="3792"/>
      <c r="P78" s="3792"/>
      <c r="Q78" s="3792"/>
      <c r="R78" s="3792"/>
    </row>
    <row r="79" spans="2:18" x14ac:dyDescent="0.25">
      <c r="B79" s="3825"/>
      <c r="C79" s="3825"/>
      <c r="D79" s="3792"/>
      <c r="E79" s="3792"/>
      <c r="F79" s="3792"/>
      <c r="G79" s="3792"/>
      <c r="H79" s="3792"/>
      <c r="I79" s="3792"/>
      <c r="J79" s="3792"/>
      <c r="K79" s="3792"/>
      <c r="L79" s="3792"/>
      <c r="M79" s="3792"/>
      <c r="N79" s="3792"/>
      <c r="O79" s="3792"/>
      <c r="P79" s="3792"/>
      <c r="Q79" s="3792"/>
      <c r="R79" s="3792"/>
    </row>
    <row r="80" spans="2:18" x14ac:dyDescent="0.25">
      <c r="B80" s="3825"/>
      <c r="C80" s="3825"/>
      <c r="D80" s="3792"/>
      <c r="E80" s="3792"/>
      <c r="F80" s="3792"/>
      <c r="G80" s="3792"/>
      <c r="H80" s="3792"/>
      <c r="I80" s="3792"/>
      <c r="J80" s="3792"/>
      <c r="K80" s="3792"/>
      <c r="L80" s="3792"/>
      <c r="M80" s="3792"/>
      <c r="N80" s="3792"/>
      <c r="O80" s="3792"/>
      <c r="P80" s="3792"/>
      <c r="Q80" s="3792"/>
      <c r="R80" s="3792"/>
    </row>
    <row r="81" spans="2:18" x14ac:dyDescent="0.25">
      <c r="B81" s="3825"/>
      <c r="C81" s="3825"/>
      <c r="D81" s="3792"/>
      <c r="E81" s="3792"/>
      <c r="F81" s="3792"/>
      <c r="G81" s="3792"/>
      <c r="H81" s="3792"/>
      <c r="I81" s="3792"/>
      <c r="J81" s="3792"/>
      <c r="K81" s="3792"/>
      <c r="L81" s="3792"/>
      <c r="M81" s="3792"/>
      <c r="N81" s="3792"/>
      <c r="O81" s="3792"/>
      <c r="P81" s="3792"/>
      <c r="Q81" s="3792"/>
      <c r="R81" s="3792"/>
    </row>
    <row r="82" spans="2:18" x14ac:dyDescent="0.25">
      <c r="B82" s="3825"/>
      <c r="C82" s="3825"/>
      <c r="D82" s="3792"/>
      <c r="E82" s="3792"/>
      <c r="F82" s="3792"/>
      <c r="G82" s="3792"/>
      <c r="H82" s="3792"/>
      <c r="I82" s="3792"/>
      <c r="J82" s="3792"/>
      <c r="K82" s="3792"/>
      <c r="L82" s="3792"/>
      <c r="M82" s="3792"/>
      <c r="N82" s="3792"/>
      <c r="O82" s="3792"/>
      <c r="P82" s="3792"/>
      <c r="Q82" s="3792"/>
      <c r="R82" s="3792"/>
    </row>
    <row r="83" spans="2:18" x14ac:dyDescent="0.25">
      <c r="B83" s="3825"/>
      <c r="C83" s="3825"/>
      <c r="D83" s="3792"/>
      <c r="E83" s="3792"/>
      <c r="F83" s="3792"/>
      <c r="G83" s="3792"/>
      <c r="H83" s="3792"/>
      <c r="I83" s="3792"/>
      <c r="J83" s="3792"/>
      <c r="K83" s="3792"/>
      <c r="L83" s="3792"/>
      <c r="M83" s="3792"/>
      <c r="N83" s="3792"/>
      <c r="O83" s="3792"/>
      <c r="P83" s="3792"/>
      <c r="Q83" s="3792"/>
      <c r="R83" s="3792"/>
    </row>
    <row r="84" spans="2:18" x14ac:dyDescent="0.25">
      <c r="B84" s="3825"/>
      <c r="C84" s="3825"/>
      <c r="D84" s="3792"/>
      <c r="E84" s="3792"/>
      <c r="F84" s="3792"/>
      <c r="G84" s="3792"/>
      <c r="H84" s="3792"/>
      <c r="I84" s="3792"/>
      <c r="J84" s="3792"/>
      <c r="K84" s="3792"/>
      <c r="L84" s="3792"/>
      <c r="M84" s="3792"/>
      <c r="N84" s="3792"/>
      <c r="O84" s="3792"/>
      <c r="P84" s="3792"/>
      <c r="Q84" s="3792"/>
      <c r="R84" s="3792"/>
    </row>
    <row r="85" spans="2:18" x14ac:dyDescent="0.25">
      <c r="B85" s="3825"/>
      <c r="C85" s="3825"/>
      <c r="D85" s="3792"/>
      <c r="E85" s="3792"/>
      <c r="F85" s="3792"/>
      <c r="G85" s="3792"/>
      <c r="H85" s="3792"/>
      <c r="I85" s="3792"/>
      <c r="J85" s="3792"/>
      <c r="K85" s="3792"/>
      <c r="L85" s="3792"/>
      <c r="M85" s="3792"/>
      <c r="N85" s="3792"/>
      <c r="O85" s="3792"/>
      <c r="P85" s="3792"/>
      <c r="Q85" s="3792"/>
      <c r="R85" s="3792"/>
    </row>
    <row r="86" spans="2:18" x14ac:dyDescent="0.25">
      <c r="B86" s="3825"/>
      <c r="C86" s="3825"/>
      <c r="D86" s="3792"/>
      <c r="E86" s="3792"/>
      <c r="F86" s="3792"/>
      <c r="G86" s="3792"/>
      <c r="H86" s="3792"/>
      <c r="I86" s="3792"/>
      <c r="J86" s="3792"/>
      <c r="K86" s="3792"/>
      <c r="L86" s="3792"/>
      <c r="M86" s="3792"/>
      <c r="N86" s="3792"/>
      <c r="O86" s="3792"/>
      <c r="P86" s="3792"/>
      <c r="Q86" s="3792"/>
      <c r="R86" s="3792"/>
    </row>
    <row r="87" spans="2:18" x14ac:dyDescent="0.25">
      <c r="B87" s="3825"/>
      <c r="C87" s="3825"/>
      <c r="D87" s="3792"/>
      <c r="E87" s="3792"/>
      <c r="F87" s="3792"/>
      <c r="G87" s="3792"/>
      <c r="H87" s="3792"/>
      <c r="I87" s="3792"/>
      <c r="J87" s="3792"/>
      <c r="K87" s="3792"/>
      <c r="L87" s="3792"/>
      <c r="M87" s="3792"/>
      <c r="N87" s="3792"/>
      <c r="O87" s="3792"/>
      <c r="P87" s="3792"/>
      <c r="Q87" s="3792"/>
      <c r="R87" s="3792"/>
    </row>
    <row r="88" spans="2:18" x14ac:dyDescent="0.25">
      <c r="B88" s="3825"/>
      <c r="C88" s="3825"/>
      <c r="D88" s="3792"/>
      <c r="E88" s="3792"/>
      <c r="F88" s="3792"/>
      <c r="G88" s="3792"/>
      <c r="H88" s="3792"/>
      <c r="I88" s="3792"/>
      <c r="J88" s="3792"/>
      <c r="K88" s="3792"/>
      <c r="L88" s="3792"/>
      <c r="M88" s="3792"/>
      <c r="N88" s="3792"/>
      <c r="O88" s="3792"/>
      <c r="P88" s="3792"/>
      <c r="Q88" s="3792"/>
      <c r="R88" s="3792"/>
    </row>
    <row r="89" spans="2:18" x14ac:dyDescent="0.25">
      <c r="B89" s="3825"/>
      <c r="C89" s="3825"/>
      <c r="D89" s="3792"/>
      <c r="E89" s="3792"/>
      <c r="F89" s="3792"/>
      <c r="G89" s="3792"/>
      <c r="H89" s="3792"/>
      <c r="I89" s="3792"/>
      <c r="J89" s="3792"/>
      <c r="K89" s="3792"/>
      <c r="L89" s="3792"/>
      <c r="M89" s="3792"/>
      <c r="N89" s="3792"/>
      <c r="O89" s="3792"/>
      <c r="P89" s="3792"/>
      <c r="Q89" s="3792"/>
      <c r="R89" s="3792"/>
    </row>
    <row r="90" spans="2:18" x14ac:dyDescent="0.25">
      <c r="B90" s="3825"/>
      <c r="C90" s="3825"/>
      <c r="D90" s="3792"/>
      <c r="E90" s="3792"/>
      <c r="F90" s="3792"/>
      <c r="G90" s="3792"/>
      <c r="H90" s="3792"/>
      <c r="I90" s="3792"/>
      <c r="J90" s="3792"/>
      <c r="K90" s="3792"/>
      <c r="L90" s="3792"/>
      <c r="M90" s="3792"/>
      <c r="N90" s="3792"/>
      <c r="O90" s="3792"/>
      <c r="P90" s="3792"/>
      <c r="Q90" s="3792"/>
      <c r="R90" s="3792"/>
    </row>
    <row r="91" spans="2:18" x14ac:dyDescent="0.25">
      <c r="B91" s="3825"/>
      <c r="C91" s="3825"/>
      <c r="D91" s="3792"/>
      <c r="E91" s="3792"/>
      <c r="F91" s="3792"/>
      <c r="G91" s="3792"/>
      <c r="H91" s="3792"/>
      <c r="I91" s="3792"/>
      <c r="J91" s="3792"/>
      <c r="K91" s="3792"/>
      <c r="L91" s="3792"/>
      <c r="M91" s="3792"/>
      <c r="N91" s="3792"/>
      <c r="O91" s="3792"/>
      <c r="P91" s="3792"/>
      <c r="Q91" s="3792"/>
      <c r="R91" s="3792"/>
    </row>
    <row r="92" spans="2:18" x14ac:dyDescent="0.25">
      <c r="B92" s="3825"/>
      <c r="C92" s="3825"/>
      <c r="D92" s="3792"/>
      <c r="E92" s="3792"/>
      <c r="F92" s="3792"/>
      <c r="G92" s="3792"/>
      <c r="H92" s="3792"/>
      <c r="I92" s="3792"/>
      <c r="J92" s="3792"/>
      <c r="K92" s="3792"/>
      <c r="L92" s="3792"/>
      <c r="M92" s="3792"/>
      <c r="N92" s="3792"/>
      <c r="O92" s="3792"/>
      <c r="P92" s="3792"/>
      <c r="Q92" s="3792"/>
      <c r="R92" s="3792"/>
    </row>
    <row r="93" spans="2:18" x14ac:dyDescent="0.25">
      <c r="B93" s="3825"/>
      <c r="C93" s="3825"/>
      <c r="D93" s="3792"/>
      <c r="E93" s="3792"/>
      <c r="F93" s="3792"/>
      <c r="G93" s="3792"/>
      <c r="H93" s="3792"/>
      <c r="I93" s="3792"/>
      <c r="J93" s="3792"/>
      <c r="K93" s="3792"/>
      <c r="L93" s="3792"/>
      <c r="M93" s="3792"/>
      <c r="N93" s="3792"/>
      <c r="O93" s="3792"/>
      <c r="P93" s="3792"/>
      <c r="Q93" s="3792"/>
      <c r="R93" s="3792"/>
    </row>
    <row r="94" spans="2:18" x14ac:dyDescent="0.25">
      <c r="B94" s="3825"/>
      <c r="C94" s="3825"/>
      <c r="D94" s="3792"/>
      <c r="E94" s="3792"/>
      <c r="F94" s="3792"/>
      <c r="G94" s="3792"/>
      <c r="H94" s="3792"/>
      <c r="I94" s="3792"/>
      <c r="J94" s="3792"/>
      <c r="K94" s="3792"/>
      <c r="L94" s="3792"/>
      <c r="M94" s="3792"/>
      <c r="N94" s="3792"/>
      <c r="O94" s="3792"/>
      <c r="P94" s="3792"/>
      <c r="Q94" s="3792"/>
      <c r="R94" s="3792"/>
    </row>
    <row r="95" spans="2:18" x14ac:dyDescent="0.25">
      <c r="B95" s="3825"/>
      <c r="C95" s="3825"/>
      <c r="D95" s="3792"/>
      <c r="E95" s="3792"/>
      <c r="F95" s="3792"/>
      <c r="G95" s="3792"/>
      <c r="H95" s="3792"/>
      <c r="I95" s="3792"/>
      <c r="J95" s="3792"/>
      <c r="K95" s="3792"/>
      <c r="L95" s="3792"/>
      <c r="M95" s="3792"/>
      <c r="N95" s="3792"/>
      <c r="O95" s="3792"/>
      <c r="P95" s="3792"/>
      <c r="Q95" s="3792"/>
      <c r="R95" s="3792"/>
    </row>
    <row r="96" spans="2:18" x14ac:dyDescent="0.25">
      <c r="B96" s="3825"/>
      <c r="C96" s="3825"/>
      <c r="D96" s="3792"/>
      <c r="E96" s="3792"/>
      <c r="F96" s="3792"/>
      <c r="G96" s="3792"/>
      <c r="H96" s="3792"/>
      <c r="I96" s="3792"/>
      <c r="J96" s="3792"/>
      <c r="K96" s="3792"/>
      <c r="L96" s="3792"/>
      <c r="M96" s="3792"/>
      <c r="N96" s="3792"/>
      <c r="O96" s="3792"/>
      <c r="P96" s="3792"/>
      <c r="Q96" s="3792"/>
      <c r="R96" s="3792"/>
    </row>
    <row r="97" spans="2:18" x14ac:dyDescent="0.25">
      <c r="B97" s="3825"/>
      <c r="C97" s="3825"/>
      <c r="D97" s="3792"/>
      <c r="E97" s="3792"/>
      <c r="F97" s="3792"/>
      <c r="G97" s="3792"/>
      <c r="H97" s="3792"/>
      <c r="I97" s="3792"/>
      <c r="J97" s="3792"/>
      <c r="K97" s="3792"/>
      <c r="L97" s="3792"/>
      <c r="M97" s="3792"/>
      <c r="N97" s="3792"/>
      <c r="O97" s="3792"/>
      <c r="P97" s="3792"/>
      <c r="Q97" s="3792"/>
      <c r="R97" s="3792"/>
    </row>
    <row r="98" spans="2:18" x14ac:dyDescent="0.25">
      <c r="B98" s="3825"/>
      <c r="C98" s="3825"/>
      <c r="D98" s="3792"/>
      <c r="E98" s="3792"/>
      <c r="F98" s="3792"/>
      <c r="G98" s="3792"/>
      <c r="H98" s="3792"/>
      <c r="I98" s="3792"/>
      <c r="J98" s="3792"/>
      <c r="K98" s="3792"/>
      <c r="L98" s="3792"/>
      <c r="M98" s="3792"/>
      <c r="N98" s="3792"/>
      <c r="O98" s="3792"/>
      <c r="P98" s="3792"/>
      <c r="Q98" s="3792"/>
      <c r="R98" s="3792"/>
    </row>
    <row r="99" spans="2:18" x14ac:dyDescent="0.25">
      <c r="B99" s="3825"/>
      <c r="C99" s="3825"/>
      <c r="D99" s="3792"/>
      <c r="E99" s="3792"/>
      <c r="F99" s="3792"/>
      <c r="G99" s="3792"/>
      <c r="H99" s="3792"/>
      <c r="I99" s="3792"/>
      <c r="J99" s="3792"/>
      <c r="K99" s="3792"/>
      <c r="L99" s="3792"/>
      <c r="M99" s="3792"/>
      <c r="N99" s="3792"/>
      <c r="O99" s="3792"/>
      <c r="P99" s="3792"/>
      <c r="Q99" s="3792"/>
      <c r="R99" s="3792"/>
    </row>
    <row r="100" spans="2:18" x14ac:dyDescent="0.25">
      <c r="B100" s="3825"/>
      <c r="C100" s="3825"/>
      <c r="D100" s="3792"/>
      <c r="E100" s="3792"/>
      <c r="F100" s="3792"/>
      <c r="G100" s="3792"/>
      <c r="H100" s="3792"/>
      <c r="I100" s="3792"/>
      <c r="J100" s="3792"/>
      <c r="K100" s="3792"/>
      <c r="L100" s="3792"/>
      <c r="M100" s="3792"/>
      <c r="N100" s="3792"/>
      <c r="O100" s="3792"/>
      <c r="P100" s="3792"/>
      <c r="Q100" s="3792"/>
      <c r="R100" s="3792"/>
    </row>
    <row r="101" spans="2:18" x14ac:dyDescent="0.25">
      <c r="B101" s="3825"/>
      <c r="C101" s="3825"/>
      <c r="D101" s="3792"/>
      <c r="E101" s="3792"/>
      <c r="F101" s="3792"/>
      <c r="G101" s="3792"/>
      <c r="H101" s="3792"/>
      <c r="I101" s="3792"/>
      <c r="J101" s="3792"/>
      <c r="K101" s="3792"/>
      <c r="L101" s="3792"/>
      <c r="M101" s="3792"/>
      <c r="N101" s="3792"/>
      <c r="O101" s="3792"/>
      <c r="P101" s="3792"/>
      <c r="Q101" s="3792"/>
      <c r="R101" s="3792"/>
    </row>
    <row r="102" spans="2:18" x14ac:dyDescent="0.25">
      <c r="B102" s="3825"/>
      <c r="C102" s="3825"/>
      <c r="D102" s="3792"/>
      <c r="E102" s="3792"/>
      <c r="F102" s="3792"/>
      <c r="G102" s="3792"/>
      <c r="H102" s="3792"/>
      <c r="I102" s="3792"/>
      <c r="J102" s="3792"/>
      <c r="K102" s="3792"/>
      <c r="L102" s="3792"/>
      <c r="M102" s="3792"/>
      <c r="N102" s="3792"/>
      <c r="O102" s="3792"/>
      <c r="P102" s="3792"/>
      <c r="Q102" s="3792"/>
      <c r="R102" s="3792"/>
    </row>
    <row r="103" spans="2:18" x14ac:dyDescent="0.25">
      <c r="B103" s="3825"/>
      <c r="C103" s="3825"/>
      <c r="D103" s="3792"/>
      <c r="E103" s="3792"/>
      <c r="F103" s="3792"/>
      <c r="G103" s="3792"/>
      <c r="H103" s="3792"/>
      <c r="I103" s="3792"/>
      <c r="J103" s="3792"/>
      <c r="K103" s="3792"/>
      <c r="L103" s="3792"/>
      <c r="M103" s="3792"/>
      <c r="N103" s="3792"/>
      <c r="O103" s="3792"/>
      <c r="P103" s="3792"/>
      <c r="Q103" s="3792"/>
      <c r="R103" s="3792"/>
    </row>
    <row r="104" spans="2:18" x14ac:dyDescent="0.25">
      <c r="B104" s="3825"/>
      <c r="C104" s="3825"/>
      <c r="D104" s="3792"/>
      <c r="E104" s="3792"/>
      <c r="F104" s="3792"/>
      <c r="G104" s="3792"/>
      <c r="H104" s="3792"/>
      <c r="I104" s="3792"/>
      <c r="J104" s="3792"/>
      <c r="K104" s="3792"/>
      <c r="L104" s="3792"/>
      <c r="M104" s="3792"/>
      <c r="N104" s="3792"/>
      <c r="O104" s="3792"/>
      <c r="P104" s="3792"/>
      <c r="Q104" s="3792"/>
      <c r="R104" s="3792"/>
    </row>
    <row r="105" spans="2:18" x14ac:dyDescent="0.25">
      <c r="B105" s="3825"/>
      <c r="C105" s="3825"/>
      <c r="D105" s="3792"/>
      <c r="E105" s="3792"/>
      <c r="F105" s="3792"/>
      <c r="G105" s="3792"/>
      <c r="H105" s="3792"/>
      <c r="I105" s="3792"/>
      <c r="J105" s="3792"/>
      <c r="K105" s="3792"/>
      <c r="L105" s="3792"/>
      <c r="M105" s="3792"/>
      <c r="N105" s="3792"/>
      <c r="O105" s="3792"/>
      <c r="P105" s="3792"/>
      <c r="Q105" s="3792"/>
      <c r="R105" s="3792"/>
    </row>
    <row r="106" spans="2:18" x14ac:dyDescent="0.25">
      <c r="B106" s="3825"/>
      <c r="C106" s="3825"/>
      <c r="D106" s="3792"/>
      <c r="E106" s="3792"/>
      <c r="F106" s="3792"/>
      <c r="G106" s="3792"/>
      <c r="H106" s="3792"/>
      <c r="I106" s="3792"/>
      <c r="J106" s="3792"/>
      <c r="K106" s="3792"/>
      <c r="L106" s="3792"/>
      <c r="M106" s="3792"/>
      <c r="N106" s="3792"/>
      <c r="O106" s="3792"/>
      <c r="P106" s="3792"/>
      <c r="Q106" s="3792"/>
      <c r="R106" s="3792"/>
    </row>
    <row r="107" spans="2:18" x14ac:dyDescent="0.25">
      <c r="B107" s="3825"/>
      <c r="C107" s="3825"/>
      <c r="D107" s="3792"/>
      <c r="E107" s="3792"/>
      <c r="F107" s="3792"/>
      <c r="G107" s="3792"/>
      <c r="H107" s="3792"/>
      <c r="I107" s="3792"/>
      <c r="J107" s="3792"/>
      <c r="K107" s="3792"/>
      <c r="L107" s="3792"/>
      <c r="M107" s="3792"/>
      <c r="N107" s="3792"/>
      <c r="O107" s="3792"/>
      <c r="P107" s="3792"/>
      <c r="Q107" s="3792"/>
      <c r="R107" s="3792"/>
    </row>
    <row r="108" spans="2:18" x14ac:dyDescent="0.25">
      <c r="B108" s="3825"/>
      <c r="C108" s="3825"/>
      <c r="D108" s="3792"/>
      <c r="E108" s="3792"/>
      <c r="F108" s="3792"/>
      <c r="G108" s="3792"/>
      <c r="H108" s="3792"/>
      <c r="I108" s="3792"/>
      <c r="J108" s="3792"/>
      <c r="K108" s="3792"/>
      <c r="L108" s="3792"/>
      <c r="M108" s="3792"/>
      <c r="N108" s="3792"/>
      <c r="O108" s="3792"/>
      <c r="P108" s="3792"/>
      <c r="Q108" s="3792"/>
      <c r="R108" s="3792"/>
    </row>
    <row r="109" spans="2:18" x14ac:dyDescent="0.25">
      <c r="B109" s="3825"/>
      <c r="C109" s="3825"/>
      <c r="D109" s="3792"/>
      <c r="E109" s="3792"/>
      <c r="F109" s="3792"/>
      <c r="G109" s="3792"/>
      <c r="H109" s="3792"/>
      <c r="I109" s="3792"/>
      <c r="J109" s="3792"/>
      <c r="K109" s="3792"/>
      <c r="L109" s="3792"/>
      <c r="M109" s="3792"/>
      <c r="N109" s="3792"/>
      <c r="O109" s="3792"/>
      <c r="P109" s="3792"/>
      <c r="Q109" s="3792"/>
      <c r="R109" s="3792"/>
    </row>
    <row r="110" spans="2:18" x14ac:dyDescent="0.25">
      <c r="B110" s="3825"/>
      <c r="C110" s="3825"/>
      <c r="D110" s="3792"/>
      <c r="E110" s="3792"/>
      <c r="F110" s="3792"/>
      <c r="G110" s="3792"/>
      <c r="H110" s="3792"/>
      <c r="I110" s="3792"/>
      <c r="J110" s="3792"/>
      <c r="K110" s="3792"/>
      <c r="L110" s="3792"/>
      <c r="M110" s="3792"/>
      <c r="N110" s="3792"/>
      <c r="O110" s="3792"/>
      <c r="P110" s="3792"/>
      <c r="Q110" s="3792"/>
      <c r="R110" s="3792"/>
    </row>
    <row r="111" spans="2:18" x14ac:dyDescent="0.25">
      <c r="B111" s="3825"/>
      <c r="C111" s="3825"/>
      <c r="D111" s="3792"/>
      <c r="E111" s="3792"/>
      <c r="F111" s="3792"/>
      <c r="G111" s="3792"/>
      <c r="H111" s="3792"/>
      <c r="I111" s="3792"/>
      <c r="J111" s="3792"/>
      <c r="K111" s="3792"/>
      <c r="L111" s="3792"/>
      <c r="M111" s="3792"/>
      <c r="N111" s="3792"/>
      <c r="O111" s="3792"/>
      <c r="P111" s="3792"/>
      <c r="Q111" s="3792"/>
      <c r="R111" s="3792"/>
    </row>
    <row r="112" spans="2:18" x14ac:dyDescent="0.25">
      <c r="B112" s="3825"/>
      <c r="C112" s="3825"/>
      <c r="D112" s="3792"/>
      <c r="E112" s="3792"/>
      <c r="F112" s="3792"/>
      <c r="G112" s="3792"/>
      <c r="H112" s="3792"/>
      <c r="I112" s="3792"/>
      <c r="J112" s="3792"/>
      <c r="K112" s="3792"/>
      <c r="L112" s="3792"/>
      <c r="M112" s="3792"/>
      <c r="N112" s="3792"/>
      <c r="O112" s="3792"/>
      <c r="P112" s="3792"/>
      <c r="Q112" s="3792"/>
      <c r="R112" s="3792"/>
    </row>
    <row r="113" spans="2:18" x14ac:dyDescent="0.25">
      <c r="B113" s="3825"/>
      <c r="C113" s="3825"/>
      <c r="D113" s="3792"/>
      <c r="E113" s="3792"/>
      <c r="F113" s="3792"/>
      <c r="G113" s="3792"/>
      <c r="H113" s="3792"/>
      <c r="I113" s="3792"/>
      <c r="J113" s="3792"/>
      <c r="K113" s="3792"/>
      <c r="L113" s="3792"/>
      <c r="M113" s="3792"/>
      <c r="N113" s="3792"/>
      <c r="O113" s="3792"/>
      <c r="P113" s="3792"/>
      <c r="Q113" s="3792"/>
      <c r="R113" s="3792"/>
    </row>
    <row r="114" spans="2:18" x14ac:dyDescent="0.25">
      <c r="B114" s="3825"/>
      <c r="C114" s="3825"/>
      <c r="D114" s="3792"/>
      <c r="E114" s="3792"/>
      <c r="F114" s="3792"/>
      <c r="G114" s="3792"/>
      <c r="H114" s="3792"/>
      <c r="I114" s="3792"/>
      <c r="J114" s="3792"/>
      <c r="K114" s="3792"/>
      <c r="L114" s="3792"/>
      <c r="M114" s="3792"/>
      <c r="N114" s="3792"/>
      <c r="O114" s="3792"/>
      <c r="P114" s="3792"/>
      <c r="Q114" s="3792"/>
      <c r="R114" s="3792"/>
    </row>
    <row r="115" spans="2:18" x14ac:dyDescent="0.25">
      <c r="B115" s="3825"/>
      <c r="C115" s="3825"/>
      <c r="D115" s="3792"/>
      <c r="E115" s="3792"/>
      <c r="F115" s="3792"/>
      <c r="G115" s="3792"/>
      <c r="H115" s="3792"/>
      <c r="I115" s="3792"/>
      <c r="J115" s="3792"/>
      <c r="K115" s="3792"/>
      <c r="L115" s="3792"/>
      <c r="M115" s="3792"/>
      <c r="N115" s="3792"/>
      <c r="O115" s="3792"/>
      <c r="P115" s="3792"/>
      <c r="Q115" s="3792"/>
      <c r="R115" s="3792"/>
    </row>
    <row r="116" spans="2:18" x14ac:dyDescent="0.25">
      <c r="B116" s="3825"/>
      <c r="C116" s="3825"/>
      <c r="D116" s="3792"/>
      <c r="E116" s="3792"/>
      <c r="F116" s="3792"/>
      <c r="G116" s="3792"/>
      <c r="H116" s="3792"/>
      <c r="I116" s="3792"/>
      <c r="J116" s="3792"/>
      <c r="K116" s="3792"/>
      <c r="L116" s="3792"/>
      <c r="M116" s="3792"/>
      <c r="N116" s="3792"/>
      <c r="O116" s="3792"/>
      <c r="P116" s="3792"/>
      <c r="Q116" s="3792"/>
      <c r="R116" s="3792"/>
    </row>
    <row r="117" spans="2:18" x14ac:dyDescent="0.25">
      <c r="B117" s="3825"/>
      <c r="C117" s="3825"/>
      <c r="D117" s="3792"/>
      <c r="E117" s="3792"/>
      <c r="F117" s="3792"/>
      <c r="G117" s="3792"/>
      <c r="H117" s="3792"/>
      <c r="I117" s="3792"/>
      <c r="J117" s="3792"/>
      <c r="K117" s="3792"/>
      <c r="L117" s="3792"/>
      <c r="M117" s="3792"/>
      <c r="N117" s="3792"/>
      <c r="O117" s="3792"/>
      <c r="P117" s="3792"/>
      <c r="Q117" s="3792"/>
      <c r="R117" s="3792"/>
    </row>
    <row r="118" spans="2:18" x14ac:dyDescent="0.25">
      <c r="B118" s="3825"/>
      <c r="C118" s="3825"/>
      <c r="D118" s="3792"/>
      <c r="E118" s="3792"/>
      <c r="F118" s="3792"/>
      <c r="G118" s="3792"/>
      <c r="H118" s="3792"/>
      <c r="I118" s="3792"/>
      <c r="J118" s="3792"/>
      <c r="K118" s="3792"/>
      <c r="L118" s="3792"/>
      <c r="M118" s="3792"/>
      <c r="N118" s="3792"/>
      <c r="O118" s="3792"/>
      <c r="P118" s="3792"/>
      <c r="Q118" s="3792"/>
      <c r="R118" s="3792"/>
    </row>
    <row r="119" spans="2:18" x14ac:dyDescent="0.25">
      <c r="B119" s="3825"/>
      <c r="C119" s="3825"/>
      <c r="D119" s="3792"/>
      <c r="E119" s="3792"/>
      <c r="F119" s="3792"/>
      <c r="G119" s="3792"/>
      <c r="H119" s="3792"/>
      <c r="I119" s="3792"/>
      <c r="J119" s="3792"/>
      <c r="K119" s="3792"/>
      <c r="L119" s="3792"/>
      <c r="M119" s="3792"/>
      <c r="N119" s="3792"/>
      <c r="O119" s="3792"/>
      <c r="P119" s="3792"/>
      <c r="Q119" s="3792"/>
      <c r="R119" s="3792"/>
    </row>
    <row r="120" spans="2:18" x14ac:dyDescent="0.25">
      <c r="B120" s="3825"/>
      <c r="C120" s="3825"/>
      <c r="D120" s="3792"/>
      <c r="E120" s="3792"/>
      <c r="F120" s="3792"/>
      <c r="G120" s="3792"/>
      <c r="H120" s="3792"/>
      <c r="I120" s="3792"/>
      <c r="J120" s="3792"/>
      <c r="K120" s="3792"/>
      <c r="L120" s="3792"/>
      <c r="M120" s="3792"/>
      <c r="N120" s="3792"/>
      <c r="O120" s="3792"/>
      <c r="P120" s="3792"/>
      <c r="Q120" s="3792"/>
      <c r="R120" s="3792"/>
    </row>
    <row r="121" spans="2:18" x14ac:dyDescent="0.25">
      <c r="B121" s="3825"/>
      <c r="C121" s="3825"/>
      <c r="D121" s="3792"/>
      <c r="E121" s="3792"/>
      <c r="F121" s="3792"/>
      <c r="G121" s="3792"/>
      <c r="H121" s="3792"/>
      <c r="I121" s="3792"/>
      <c r="J121" s="3792"/>
      <c r="K121" s="3792"/>
      <c r="L121" s="3792"/>
      <c r="M121" s="3792"/>
      <c r="N121" s="3792"/>
      <c r="O121" s="3792"/>
      <c r="P121" s="3792"/>
      <c r="Q121" s="3792"/>
      <c r="R121" s="3792"/>
    </row>
    <row r="122" spans="2:18" x14ac:dyDescent="0.25">
      <c r="B122" s="3825"/>
      <c r="C122" s="3825"/>
      <c r="D122" s="3792"/>
      <c r="E122" s="3792"/>
      <c r="F122" s="3792"/>
      <c r="G122" s="3792"/>
      <c r="H122" s="3792"/>
      <c r="I122" s="3792"/>
      <c r="J122" s="3792"/>
      <c r="K122" s="3792"/>
      <c r="L122" s="3792"/>
      <c r="M122" s="3792"/>
      <c r="N122" s="3792"/>
      <c r="O122" s="3792"/>
      <c r="P122" s="3792"/>
      <c r="Q122" s="3792"/>
      <c r="R122" s="3792"/>
    </row>
    <row r="123" spans="2:18" x14ac:dyDescent="0.25">
      <c r="B123" s="3825"/>
      <c r="C123" s="3825"/>
      <c r="D123" s="3792"/>
      <c r="E123" s="3792"/>
      <c r="F123" s="3792"/>
      <c r="G123" s="3792"/>
      <c r="H123" s="3792"/>
      <c r="I123" s="3792"/>
      <c r="J123" s="3792"/>
      <c r="K123" s="3792"/>
      <c r="L123" s="3792"/>
      <c r="M123" s="3792"/>
      <c r="N123" s="3792"/>
      <c r="O123" s="3792"/>
      <c r="P123" s="3792"/>
      <c r="Q123" s="3792"/>
      <c r="R123" s="3792"/>
    </row>
    <row r="124" spans="2:18" x14ac:dyDescent="0.25">
      <c r="B124" s="3825"/>
      <c r="C124" s="3825"/>
      <c r="D124" s="3792"/>
      <c r="E124" s="3792"/>
      <c r="F124" s="3792"/>
      <c r="G124" s="3792"/>
      <c r="H124" s="3792"/>
      <c r="I124" s="3792"/>
      <c r="J124" s="3792"/>
      <c r="K124" s="3792"/>
      <c r="L124" s="3792"/>
      <c r="M124" s="3792"/>
      <c r="N124" s="3792"/>
      <c r="O124" s="3792"/>
      <c r="P124" s="3792"/>
      <c r="Q124" s="3792"/>
      <c r="R124" s="3792"/>
    </row>
    <row r="125" spans="2:18" x14ac:dyDescent="0.25">
      <c r="B125" s="3825"/>
      <c r="C125" s="3825"/>
      <c r="D125" s="3792"/>
      <c r="E125" s="3792"/>
      <c r="F125" s="3792"/>
      <c r="G125" s="3792"/>
      <c r="H125" s="3792"/>
      <c r="I125" s="3792"/>
      <c r="J125" s="3792"/>
      <c r="K125" s="3792"/>
      <c r="L125" s="3792"/>
      <c r="M125" s="3792"/>
      <c r="N125" s="3792"/>
      <c r="O125" s="3792"/>
      <c r="P125" s="3792"/>
      <c r="Q125" s="3792"/>
      <c r="R125" s="3792"/>
    </row>
    <row r="126" spans="2:18" x14ac:dyDescent="0.25">
      <c r="B126" s="3825"/>
      <c r="C126" s="3825"/>
      <c r="D126" s="3792"/>
      <c r="E126" s="3792"/>
      <c r="F126" s="3792"/>
      <c r="G126" s="3792"/>
      <c r="H126" s="3792"/>
      <c r="I126" s="3792"/>
      <c r="J126" s="3792"/>
      <c r="K126" s="3792"/>
      <c r="L126" s="3792"/>
      <c r="M126" s="3792"/>
      <c r="N126" s="3792"/>
      <c r="O126" s="3792"/>
      <c r="P126" s="3792"/>
      <c r="Q126" s="3792"/>
      <c r="R126" s="3792"/>
    </row>
    <row r="127" spans="2:18" x14ac:dyDescent="0.25">
      <c r="B127" s="3825"/>
      <c r="C127" s="3825"/>
      <c r="D127" s="3792"/>
      <c r="E127" s="3792"/>
      <c r="F127" s="3792"/>
      <c r="G127" s="3792"/>
      <c r="H127" s="3792"/>
      <c r="I127" s="3792"/>
      <c r="J127" s="3792"/>
      <c r="K127" s="3792"/>
      <c r="L127" s="3792"/>
      <c r="M127" s="3792"/>
      <c r="N127" s="3792"/>
      <c r="O127" s="3792"/>
      <c r="P127" s="3792"/>
      <c r="Q127" s="3792"/>
      <c r="R127" s="3792"/>
    </row>
    <row r="128" spans="2:18" x14ac:dyDescent="0.25">
      <c r="B128" s="3825"/>
      <c r="C128" s="3825"/>
      <c r="D128" s="3792"/>
      <c r="E128" s="3792"/>
      <c r="F128" s="3792"/>
      <c r="G128" s="3792"/>
      <c r="H128" s="3792"/>
      <c r="I128" s="3792"/>
      <c r="J128" s="3792"/>
      <c r="K128" s="3792"/>
      <c r="L128" s="3792"/>
      <c r="M128" s="3792"/>
      <c r="N128" s="3792"/>
      <c r="O128" s="3792"/>
      <c r="P128" s="3792"/>
      <c r="Q128" s="3792"/>
      <c r="R128" s="3792"/>
    </row>
    <row r="129" spans="2:18" x14ac:dyDescent="0.25">
      <c r="B129" s="3825"/>
      <c r="C129" s="3825"/>
      <c r="D129" s="3792"/>
      <c r="E129" s="3792"/>
      <c r="F129" s="3792"/>
      <c r="G129" s="3792"/>
      <c r="H129" s="3792"/>
      <c r="I129" s="3792"/>
      <c r="J129" s="3792"/>
      <c r="K129" s="3792"/>
      <c r="L129" s="3792"/>
      <c r="M129" s="3792"/>
      <c r="N129" s="3792"/>
      <c r="O129" s="3792"/>
      <c r="P129" s="3792"/>
      <c r="Q129" s="3792"/>
      <c r="R129" s="3792"/>
    </row>
    <row r="130" spans="2:18" x14ac:dyDescent="0.25">
      <c r="B130" s="3825"/>
      <c r="C130" s="3825"/>
      <c r="D130" s="3792"/>
      <c r="E130" s="3792"/>
      <c r="F130" s="3792"/>
      <c r="G130" s="3792"/>
      <c r="H130" s="3792"/>
      <c r="I130" s="3792"/>
      <c r="J130" s="3792"/>
      <c r="K130" s="3792"/>
      <c r="L130" s="3792"/>
      <c r="M130" s="3792"/>
      <c r="N130" s="3792"/>
      <c r="O130" s="3792"/>
      <c r="P130" s="3792"/>
      <c r="Q130" s="3792"/>
      <c r="R130" s="3792"/>
    </row>
    <row r="131" spans="2:18" x14ac:dyDescent="0.25">
      <c r="B131" s="3825"/>
      <c r="C131" s="3825"/>
      <c r="D131" s="3792"/>
      <c r="E131" s="3792"/>
      <c r="F131" s="3792"/>
      <c r="G131" s="3792"/>
      <c r="H131" s="3792"/>
      <c r="I131" s="3792"/>
      <c r="J131" s="3792"/>
      <c r="K131" s="3792"/>
      <c r="L131" s="3792"/>
      <c r="M131" s="3792"/>
      <c r="N131" s="3792"/>
      <c r="O131" s="3792"/>
      <c r="P131" s="3792"/>
      <c r="Q131" s="3792"/>
      <c r="R131" s="3792"/>
    </row>
    <row r="132" spans="2:18" x14ac:dyDescent="0.25">
      <c r="B132" s="3825"/>
      <c r="C132" s="3825"/>
      <c r="D132" s="3792"/>
      <c r="E132" s="3792"/>
      <c r="F132" s="3792"/>
      <c r="G132" s="3792"/>
      <c r="H132" s="3792"/>
      <c r="I132" s="3792"/>
      <c r="J132" s="3792"/>
      <c r="K132" s="3792"/>
      <c r="L132" s="3792"/>
      <c r="M132" s="3792"/>
      <c r="N132" s="3792"/>
      <c r="O132" s="3792"/>
      <c r="P132" s="3792"/>
      <c r="Q132" s="3792"/>
      <c r="R132" s="3792"/>
    </row>
    <row r="133" spans="2:18" x14ac:dyDescent="0.25">
      <c r="B133" s="3825"/>
      <c r="C133" s="3825"/>
      <c r="D133" s="3792"/>
      <c r="E133" s="3792"/>
      <c r="F133" s="3792"/>
      <c r="G133" s="3792"/>
      <c r="H133" s="3792"/>
      <c r="I133" s="3792"/>
      <c r="J133" s="3792"/>
      <c r="K133" s="3792"/>
      <c r="L133" s="3792"/>
      <c r="M133" s="3792"/>
      <c r="N133" s="3792"/>
      <c r="O133" s="3792"/>
      <c r="P133" s="3792"/>
      <c r="Q133" s="3792"/>
      <c r="R133" s="3792"/>
    </row>
    <row r="134" spans="2:18" x14ac:dyDescent="0.25">
      <c r="B134" s="3825"/>
      <c r="C134" s="3825"/>
      <c r="D134" s="3792"/>
      <c r="E134" s="3792"/>
      <c r="F134" s="3792"/>
      <c r="G134" s="3792"/>
      <c r="H134" s="3792"/>
      <c r="I134" s="3792"/>
      <c r="J134" s="3792"/>
      <c r="K134" s="3792"/>
      <c r="L134" s="3792"/>
      <c r="M134" s="3792"/>
      <c r="N134" s="3792"/>
      <c r="O134" s="3792"/>
      <c r="P134" s="3792"/>
      <c r="Q134" s="3792"/>
      <c r="R134" s="3792"/>
    </row>
    <row r="135" spans="2:18" x14ac:dyDescent="0.25">
      <c r="B135" s="3825"/>
      <c r="C135" s="3825"/>
      <c r="D135" s="3792"/>
      <c r="E135" s="3792"/>
      <c r="F135" s="3792"/>
      <c r="G135" s="3792"/>
      <c r="H135" s="3792"/>
      <c r="I135" s="3792"/>
      <c r="J135" s="3792"/>
      <c r="K135" s="3792"/>
      <c r="L135" s="3792"/>
      <c r="M135" s="3792"/>
      <c r="N135" s="3792"/>
      <c r="O135" s="3792"/>
      <c r="P135" s="3792"/>
      <c r="Q135" s="3792"/>
      <c r="R135" s="3792"/>
    </row>
    <row r="136" spans="2:18" x14ac:dyDescent="0.25">
      <c r="B136" s="3825"/>
      <c r="C136" s="3825"/>
      <c r="D136" s="3792"/>
      <c r="E136" s="3792"/>
      <c r="F136" s="3792"/>
      <c r="G136" s="3792"/>
      <c r="H136" s="3792"/>
      <c r="I136" s="3792"/>
      <c r="J136" s="3792"/>
      <c r="K136" s="3792"/>
      <c r="L136" s="3792"/>
      <c r="M136" s="3792"/>
      <c r="N136" s="3792"/>
      <c r="O136" s="3792"/>
      <c r="P136" s="3792"/>
      <c r="Q136" s="3792"/>
      <c r="R136" s="3792"/>
    </row>
    <row r="137" spans="2:18" x14ac:dyDescent="0.25">
      <c r="B137" s="3825"/>
      <c r="C137" s="3825"/>
      <c r="D137" s="3792"/>
      <c r="E137" s="3792"/>
      <c r="F137" s="3792"/>
      <c r="G137" s="3792"/>
      <c r="H137" s="3792"/>
      <c r="I137" s="3792"/>
      <c r="J137" s="3792"/>
      <c r="K137" s="3792"/>
      <c r="L137" s="3792"/>
      <c r="M137" s="3792"/>
      <c r="N137" s="3792"/>
      <c r="O137" s="3792"/>
      <c r="P137" s="3792"/>
      <c r="Q137" s="3792"/>
      <c r="R137" s="3792"/>
    </row>
    <row r="138" spans="2:18" x14ac:dyDescent="0.25">
      <c r="B138" s="3825"/>
      <c r="C138" s="3825"/>
      <c r="D138" s="3792"/>
      <c r="E138" s="3792"/>
      <c r="F138" s="3792"/>
      <c r="G138" s="3792"/>
      <c r="H138" s="3792"/>
      <c r="I138" s="3792"/>
      <c r="J138" s="3792"/>
      <c r="K138" s="3792"/>
      <c r="L138" s="3792"/>
      <c r="M138" s="3792"/>
      <c r="N138" s="3792"/>
      <c r="O138" s="3792"/>
      <c r="P138" s="3792"/>
      <c r="Q138" s="3792"/>
      <c r="R138" s="3792"/>
    </row>
    <row r="139" spans="2:18" x14ac:dyDescent="0.25">
      <c r="B139" s="3825"/>
      <c r="C139" s="3825"/>
      <c r="D139" s="3792"/>
      <c r="E139" s="3792"/>
      <c r="F139" s="3792"/>
      <c r="G139" s="3792"/>
      <c r="H139" s="3792"/>
      <c r="I139" s="3792"/>
      <c r="J139" s="3792"/>
      <c r="K139" s="3792"/>
      <c r="L139" s="3792"/>
      <c r="M139" s="3792"/>
      <c r="N139" s="3792"/>
      <c r="O139" s="3792"/>
      <c r="P139" s="3792"/>
      <c r="Q139" s="3792"/>
      <c r="R139" s="3792"/>
    </row>
    <row r="140" spans="2:18" x14ac:dyDescent="0.25">
      <c r="B140" s="3825"/>
      <c r="C140" s="3825"/>
      <c r="D140" s="3792"/>
      <c r="E140" s="3792"/>
      <c r="F140" s="3792"/>
      <c r="G140" s="3792"/>
      <c r="H140" s="3792"/>
      <c r="I140" s="3792"/>
      <c r="J140" s="3792"/>
      <c r="K140" s="3792"/>
      <c r="L140" s="3792"/>
      <c r="M140" s="3792"/>
      <c r="N140" s="3792"/>
      <c r="O140" s="3792"/>
      <c r="P140" s="3792"/>
      <c r="Q140" s="3792"/>
      <c r="R140" s="3792"/>
    </row>
    <row r="141" spans="2:18" x14ac:dyDescent="0.25">
      <c r="B141" s="3825"/>
      <c r="C141" s="3825"/>
      <c r="D141" s="3792"/>
      <c r="E141" s="3792"/>
      <c r="F141" s="3792"/>
      <c r="G141" s="3792"/>
      <c r="H141" s="3792"/>
      <c r="I141" s="3792"/>
      <c r="J141" s="3792"/>
      <c r="K141" s="3792"/>
      <c r="L141" s="3792"/>
      <c r="M141" s="3792"/>
      <c r="N141" s="3792"/>
      <c r="O141" s="3792"/>
      <c r="P141" s="3792"/>
      <c r="Q141" s="3792"/>
      <c r="R141" s="3792"/>
    </row>
    <row r="142" spans="2:18" x14ac:dyDescent="0.25">
      <c r="B142" s="3825"/>
      <c r="C142" s="3825"/>
      <c r="D142" s="3792"/>
      <c r="E142" s="3792"/>
      <c r="F142" s="3792"/>
      <c r="G142" s="3792"/>
      <c r="H142" s="3792"/>
      <c r="I142" s="3792"/>
      <c r="J142" s="3792"/>
      <c r="K142" s="3792"/>
      <c r="L142" s="3792"/>
      <c r="M142" s="3792"/>
      <c r="N142" s="3792"/>
      <c r="O142" s="3792"/>
      <c r="P142" s="3792"/>
      <c r="Q142" s="3792"/>
      <c r="R142" s="3792"/>
    </row>
    <row r="143" spans="2:18" x14ac:dyDescent="0.25">
      <c r="B143" s="3825"/>
      <c r="C143" s="3825"/>
      <c r="D143" s="3792"/>
      <c r="E143" s="3792"/>
      <c r="F143" s="3792"/>
      <c r="G143" s="3792"/>
      <c r="H143" s="3792"/>
      <c r="I143" s="3792"/>
      <c r="J143" s="3792"/>
      <c r="K143" s="3792"/>
      <c r="L143" s="3792"/>
      <c r="M143" s="3792"/>
      <c r="N143" s="3792"/>
      <c r="O143" s="3792"/>
      <c r="P143" s="3792"/>
      <c r="Q143" s="3792"/>
      <c r="R143" s="3792"/>
    </row>
    <row r="144" spans="2:18" x14ac:dyDescent="0.25">
      <c r="B144" s="3825"/>
      <c r="C144" s="3825"/>
      <c r="D144" s="3792"/>
      <c r="E144" s="3792"/>
      <c r="F144" s="3792"/>
      <c r="G144" s="3792"/>
      <c r="H144" s="3792"/>
      <c r="I144" s="3792"/>
      <c r="J144" s="3792"/>
      <c r="K144" s="3792"/>
      <c r="L144" s="3792"/>
      <c r="M144" s="3792"/>
      <c r="N144" s="3792"/>
      <c r="O144" s="3792"/>
      <c r="P144" s="3792"/>
      <c r="Q144" s="3792"/>
      <c r="R144" s="3792"/>
    </row>
    <row r="145" spans="2:18" x14ac:dyDescent="0.25">
      <c r="B145" s="3825"/>
      <c r="C145" s="3825"/>
      <c r="D145" s="3792"/>
      <c r="E145" s="3792"/>
      <c r="F145" s="3792"/>
      <c r="G145" s="3792"/>
      <c r="H145" s="3792"/>
      <c r="I145" s="3792"/>
      <c r="J145" s="3792"/>
      <c r="K145" s="3792"/>
      <c r="L145" s="3792"/>
      <c r="M145" s="3792"/>
      <c r="N145" s="3792"/>
      <c r="O145" s="3792"/>
      <c r="P145" s="3792"/>
      <c r="Q145" s="3792"/>
      <c r="R145" s="3792"/>
    </row>
    <row r="146" spans="2:18" x14ac:dyDescent="0.25">
      <c r="B146" s="3825"/>
      <c r="C146" s="3825"/>
      <c r="D146" s="3792"/>
      <c r="E146" s="3792"/>
      <c r="F146" s="3792"/>
      <c r="G146" s="3792"/>
      <c r="H146" s="3792"/>
      <c r="I146" s="3792"/>
      <c r="J146" s="3792"/>
      <c r="K146" s="3792"/>
      <c r="L146" s="3792"/>
      <c r="M146" s="3792"/>
      <c r="N146" s="3792"/>
      <c r="O146" s="3792"/>
      <c r="P146" s="3792"/>
      <c r="Q146" s="3792"/>
      <c r="R146" s="3792"/>
    </row>
    <row r="147" spans="2:18" x14ac:dyDescent="0.25">
      <c r="B147" s="3825"/>
      <c r="C147" s="3825"/>
      <c r="D147" s="3792"/>
      <c r="E147" s="3792"/>
      <c r="F147" s="3792"/>
      <c r="G147" s="3792"/>
      <c r="H147" s="3792"/>
      <c r="I147" s="3792"/>
      <c r="J147" s="3792"/>
      <c r="K147" s="3792"/>
      <c r="L147" s="3792"/>
      <c r="M147" s="3792"/>
      <c r="N147" s="3792"/>
      <c r="O147" s="3792"/>
      <c r="P147" s="3792"/>
      <c r="Q147" s="3792"/>
      <c r="R147" s="3792"/>
    </row>
    <row r="148" spans="2:18" x14ac:dyDescent="0.25">
      <c r="B148" s="3825"/>
      <c r="C148" s="3825"/>
      <c r="D148" s="3792"/>
      <c r="E148" s="3792"/>
      <c r="F148" s="3792"/>
      <c r="G148" s="3792"/>
      <c r="H148" s="3792"/>
      <c r="I148" s="3792"/>
      <c r="J148" s="3792"/>
      <c r="K148" s="3792"/>
      <c r="L148" s="3792"/>
      <c r="M148" s="3792"/>
      <c r="N148" s="3792"/>
      <c r="O148" s="3792"/>
      <c r="P148" s="3792"/>
      <c r="Q148" s="3792"/>
      <c r="R148" s="3792"/>
    </row>
    <row r="149" spans="2:18" x14ac:dyDescent="0.25">
      <c r="B149" s="3825"/>
      <c r="C149" s="3825"/>
      <c r="D149" s="3792"/>
      <c r="E149" s="3792"/>
      <c r="F149" s="3792"/>
      <c r="G149" s="3792"/>
      <c r="H149" s="3792"/>
      <c r="I149" s="3792"/>
      <c r="J149" s="3792"/>
      <c r="K149" s="3792"/>
      <c r="L149" s="3792"/>
      <c r="M149" s="3792"/>
      <c r="N149" s="3792"/>
      <c r="O149" s="3792"/>
      <c r="P149" s="3792"/>
      <c r="Q149" s="3792"/>
      <c r="R149" s="3792"/>
    </row>
    <row r="150" spans="2:18" x14ac:dyDescent="0.25">
      <c r="B150" s="3825"/>
      <c r="C150" s="3825"/>
      <c r="D150" s="3792"/>
      <c r="E150" s="3792"/>
      <c r="F150" s="3792"/>
      <c r="G150" s="3792"/>
      <c r="H150" s="3792"/>
      <c r="I150" s="3792"/>
      <c r="J150" s="3792"/>
      <c r="K150" s="3792"/>
      <c r="L150" s="3792"/>
      <c r="M150" s="3792"/>
      <c r="N150" s="3792"/>
      <c r="O150" s="3792"/>
      <c r="P150" s="3792"/>
      <c r="Q150" s="3792"/>
      <c r="R150" s="3792"/>
    </row>
    <row r="151" spans="2:18" x14ac:dyDescent="0.25">
      <c r="B151" s="3825"/>
      <c r="C151" s="3825"/>
      <c r="D151" s="3792"/>
      <c r="E151" s="3792"/>
      <c r="F151" s="3792"/>
      <c r="G151" s="3792"/>
      <c r="H151" s="3792"/>
      <c r="I151" s="3792"/>
      <c r="J151" s="3792"/>
      <c r="K151" s="3792"/>
      <c r="L151" s="3792"/>
      <c r="M151" s="3792"/>
      <c r="N151" s="3792"/>
      <c r="O151" s="3792"/>
      <c r="P151" s="3792"/>
      <c r="Q151" s="3792"/>
      <c r="R151" s="3792"/>
    </row>
    <row r="152" spans="2:18" x14ac:dyDescent="0.25">
      <c r="B152" s="3825"/>
      <c r="C152" s="3825"/>
      <c r="D152" s="3792"/>
      <c r="E152" s="3792"/>
      <c r="F152" s="3792"/>
      <c r="G152" s="3792"/>
      <c r="H152" s="3792"/>
      <c r="I152" s="3792"/>
      <c r="J152" s="3792"/>
      <c r="K152" s="3792"/>
      <c r="L152" s="3792"/>
      <c r="M152" s="3792"/>
      <c r="N152" s="3792"/>
      <c r="O152" s="3792"/>
      <c r="P152" s="3792"/>
      <c r="Q152" s="3792"/>
      <c r="R152" s="3792"/>
    </row>
    <row r="153" spans="2:18" x14ac:dyDescent="0.25">
      <c r="B153" s="3825"/>
      <c r="C153" s="3825"/>
      <c r="D153" s="3792"/>
      <c r="E153" s="3792"/>
      <c r="F153" s="3792"/>
      <c r="G153" s="3792"/>
      <c r="H153" s="3792"/>
      <c r="I153" s="3792"/>
      <c r="J153" s="3792"/>
      <c r="K153" s="3792"/>
      <c r="L153" s="3792"/>
      <c r="M153" s="3792"/>
      <c r="N153" s="3792"/>
      <c r="O153" s="3792"/>
      <c r="P153" s="3792"/>
      <c r="Q153" s="3792"/>
      <c r="R153" s="3792"/>
    </row>
    <row r="154" spans="2:18" x14ac:dyDescent="0.25">
      <c r="B154" s="3825"/>
      <c r="C154" s="3825"/>
      <c r="D154" s="3792"/>
      <c r="E154" s="3792"/>
      <c r="F154" s="3792"/>
      <c r="G154" s="3792"/>
      <c r="H154" s="3792"/>
      <c r="I154" s="3792"/>
      <c r="J154" s="3792"/>
      <c r="K154" s="3792"/>
      <c r="L154" s="3792"/>
      <c r="M154" s="3792"/>
      <c r="N154" s="3792"/>
      <c r="O154" s="3792"/>
      <c r="P154" s="3792"/>
      <c r="Q154" s="3792"/>
      <c r="R154" s="3792"/>
    </row>
    <row r="155" spans="2:18" x14ac:dyDescent="0.25">
      <c r="B155" s="3825"/>
      <c r="C155" s="3825"/>
      <c r="D155" s="3792"/>
      <c r="E155" s="3792"/>
      <c r="F155" s="3792"/>
      <c r="G155" s="3792"/>
      <c r="H155" s="3792"/>
      <c r="I155" s="3792"/>
      <c r="J155" s="3792"/>
      <c r="K155" s="3792"/>
      <c r="L155" s="3792"/>
      <c r="M155" s="3792"/>
      <c r="N155" s="3792"/>
      <c r="O155" s="3792"/>
      <c r="P155" s="3792"/>
      <c r="Q155" s="3792"/>
      <c r="R155" s="3792"/>
    </row>
    <row r="156" spans="2:18" x14ac:dyDescent="0.25">
      <c r="B156" s="3825"/>
      <c r="C156" s="3825"/>
      <c r="D156" s="3792"/>
      <c r="E156" s="3792"/>
      <c r="F156" s="3792"/>
      <c r="G156" s="3792"/>
      <c r="H156" s="3792"/>
      <c r="I156" s="3792"/>
      <c r="J156" s="3792"/>
      <c r="K156" s="3792"/>
      <c r="L156" s="3792"/>
      <c r="M156" s="3792"/>
      <c r="N156" s="3792"/>
      <c r="O156" s="3792"/>
      <c r="P156" s="3792"/>
      <c r="Q156" s="3792"/>
      <c r="R156" s="3792"/>
    </row>
    <row r="157" spans="2:18" x14ac:dyDescent="0.25">
      <c r="B157" s="3825"/>
      <c r="C157" s="3825"/>
      <c r="D157" s="3792"/>
      <c r="E157" s="3792"/>
      <c r="F157" s="3792"/>
      <c r="G157" s="3792"/>
      <c r="H157" s="3792"/>
      <c r="I157" s="3792"/>
      <c r="J157" s="3792"/>
      <c r="K157" s="3792"/>
      <c r="L157" s="3792"/>
      <c r="M157" s="3792"/>
      <c r="N157" s="3792"/>
      <c r="O157" s="3792"/>
      <c r="P157" s="3792"/>
      <c r="Q157" s="3792"/>
      <c r="R157" s="3792"/>
    </row>
    <row r="158" spans="2:18" x14ac:dyDescent="0.25">
      <c r="B158" s="3825"/>
      <c r="C158" s="3825"/>
      <c r="D158" s="3792"/>
      <c r="E158" s="3792"/>
      <c r="F158" s="3792"/>
      <c r="G158" s="3792"/>
      <c r="H158" s="3792"/>
      <c r="I158" s="3792"/>
      <c r="J158" s="3792"/>
      <c r="K158" s="3792"/>
      <c r="L158" s="3792"/>
      <c r="M158" s="3792"/>
      <c r="N158" s="3792"/>
      <c r="O158" s="3792"/>
      <c r="P158" s="3792"/>
      <c r="Q158" s="3792"/>
      <c r="R158" s="3792"/>
    </row>
    <row r="159" spans="2:18" x14ac:dyDescent="0.25">
      <c r="B159" s="3825"/>
      <c r="C159" s="3825"/>
      <c r="D159" s="3792"/>
      <c r="E159" s="3792"/>
      <c r="F159" s="3792"/>
      <c r="G159" s="3792"/>
      <c r="H159" s="3792"/>
      <c r="I159" s="3792"/>
      <c r="J159" s="3792"/>
      <c r="K159" s="3792"/>
      <c r="L159" s="3792"/>
      <c r="M159" s="3792"/>
      <c r="N159" s="3792"/>
      <c r="O159" s="3792"/>
      <c r="P159" s="3792"/>
      <c r="Q159" s="3792"/>
      <c r="R159" s="3792"/>
    </row>
    <row r="160" spans="2:18" x14ac:dyDescent="0.25">
      <c r="B160" s="3825"/>
      <c r="C160" s="3825"/>
      <c r="D160" s="3792"/>
      <c r="E160" s="3792"/>
      <c r="F160" s="3792"/>
      <c r="G160" s="3792"/>
      <c r="H160" s="3792"/>
      <c r="I160" s="3792"/>
      <c r="J160" s="3792"/>
      <c r="K160" s="3792"/>
      <c r="L160" s="3792"/>
      <c r="M160" s="3792"/>
      <c r="N160" s="3792"/>
      <c r="O160" s="3792"/>
      <c r="P160" s="3792"/>
      <c r="Q160" s="3792"/>
      <c r="R160" s="3792"/>
    </row>
    <row r="161" spans="2:18" x14ac:dyDescent="0.25">
      <c r="B161" s="3825"/>
      <c r="C161" s="3825"/>
      <c r="D161" s="3792"/>
      <c r="E161" s="3792"/>
      <c r="F161" s="3792"/>
      <c r="G161" s="3792"/>
      <c r="H161" s="3792"/>
      <c r="I161" s="3792"/>
      <c r="J161" s="3792"/>
      <c r="K161" s="3792"/>
      <c r="L161" s="3792"/>
      <c r="M161" s="3792"/>
      <c r="N161" s="3792"/>
      <c r="O161" s="3792"/>
      <c r="P161" s="3792"/>
      <c r="Q161" s="3792"/>
      <c r="R161" s="3792"/>
    </row>
    <row r="162" spans="2:18" x14ac:dyDescent="0.25">
      <c r="B162" s="3825"/>
      <c r="C162" s="3825"/>
      <c r="D162" s="3792"/>
      <c r="E162" s="3792"/>
      <c r="F162" s="3792"/>
      <c r="G162" s="3792"/>
      <c r="H162" s="3792"/>
      <c r="I162" s="3792"/>
      <c r="J162" s="3792"/>
      <c r="K162" s="3792"/>
      <c r="L162" s="3792"/>
      <c r="M162" s="3792"/>
      <c r="N162" s="3792"/>
      <c r="O162" s="3792"/>
      <c r="P162" s="3792"/>
      <c r="Q162" s="3792"/>
      <c r="R162" s="3792"/>
    </row>
    <row r="163" spans="2:18" x14ac:dyDescent="0.25">
      <c r="B163" s="3825"/>
      <c r="C163" s="3825"/>
      <c r="D163" s="3792"/>
      <c r="E163" s="3792"/>
      <c r="F163" s="3792"/>
      <c r="G163" s="3792"/>
      <c r="H163" s="3792"/>
      <c r="I163" s="3792"/>
      <c r="J163" s="3792"/>
      <c r="K163" s="3792"/>
      <c r="L163" s="3792"/>
      <c r="M163" s="3792"/>
      <c r="N163" s="3792"/>
      <c r="O163" s="3792"/>
      <c r="P163" s="3792"/>
      <c r="Q163" s="3792"/>
      <c r="R163" s="3792"/>
    </row>
    <row r="164" spans="2:18" x14ac:dyDescent="0.25">
      <c r="B164" s="3825"/>
      <c r="C164" s="3825"/>
      <c r="D164" s="3792"/>
      <c r="E164" s="3792"/>
      <c r="F164" s="3792"/>
      <c r="G164" s="3792"/>
      <c r="H164" s="3792"/>
      <c r="I164" s="3792"/>
      <c r="J164" s="3792"/>
      <c r="K164" s="3792"/>
      <c r="L164" s="3792"/>
      <c r="M164" s="3792"/>
      <c r="N164" s="3792"/>
      <c r="O164" s="3792"/>
      <c r="P164" s="3792"/>
      <c r="Q164" s="3792"/>
      <c r="R164" s="3792"/>
    </row>
    <row r="165" spans="2:18" x14ac:dyDescent="0.25">
      <c r="B165" s="3825"/>
      <c r="C165" s="3825"/>
      <c r="D165" s="3792"/>
      <c r="E165" s="3792"/>
      <c r="F165" s="3792"/>
      <c r="G165" s="3792"/>
      <c r="H165" s="3792"/>
      <c r="I165" s="3792"/>
      <c r="J165" s="3792"/>
      <c r="K165" s="3792"/>
      <c r="L165" s="3792"/>
      <c r="M165" s="3792"/>
      <c r="N165" s="3792"/>
      <c r="O165" s="3792"/>
      <c r="P165" s="3792"/>
      <c r="Q165" s="3792"/>
      <c r="R165" s="3792"/>
    </row>
    <row r="166" spans="2:18" x14ac:dyDescent="0.25">
      <c r="B166" s="3825"/>
      <c r="C166" s="3825"/>
      <c r="D166" s="3792"/>
      <c r="E166" s="3792"/>
      <c r="F166" s="3792"/>
      <c r="G166" s="3792"/>
      <c r="H166" s="3792"/>
      <c r="I166" s="3792"/>
      <c r="J166" s="3792"/>
      <c r="K166" s="3792"/>
      <c r="L166" s="3792"/>
      <c r="M166" s="3792"/>
      <c r="N166" s="3792"/>
      <c r="O166" s="3792"/>
      <c r="P166" s="3792"/>
      <c r="Q166" s="3792"/>
      <c r="R166" s="3792"/>
    </row>
    <row r="167" spans="2:18" x14ac:dyDescent="0.25">
      <c r="B167" s="3825"/>
      <c r="C167" s="3825"/>
      <c r="D167" s="3792"/>
      <c r="E167" s="3792"/>
      <c r="F167" s="3792"/>
      <c r="G167" s="3792"/>
      <c r="H167" s="3792"/>
      <c r="I167" s="3792"/>
      <c r="J167" s="3792"/>
      <c r="K167" s="3792"/>
      <c r="L167" s="3792"/>
      <c r="M167" s="3792"/>
      <c r="N167" s="3792"/>
      <c r="O167" s="3792"/>
      <c r="P167" s="3792"/>
      <c r="Q167" s="3792"/>
      <c r="R167" s="3792"/>
    </row>
    <row r="168" spans="2:18" x14ac:dyDescent="0.25">
      <c r="B168" s="3825"/>
      <c r="C168" s="3825"/>
      <c r="D168" s="3792"/>
      <c r="E168" s="3792"/>
      <c r="F168" s="3792"/>
      <c r="G168" s="3792"/>
      <c r="H168" s="3792"/>
      <c r="I168" s="3792"/>
      <c r="J168" s="3792"/>
      <c r="K168" s="3792"/>
      <c r="L168" s="3792"/>
      <c r="M168" s="3792"/>
      <c r="N168" s="3792"/>
      <c r="O168" s="3792"/>
      <c r="P168" s="3792"/>
      <c r="Q168" s="3792"/>
      <c r="R168" s="3792"/>
    </row>
    <row r="169" spans="2:18" x14ac:dyDescent="0.25">
      <c r="B169" s="3825"/>
      <c r="C169" s="3825"/>
      <c r="D169" s="3792"/>
      <c r="E169" s="3792"/>
      <c r="F169" s="3792"/>
      <c r="G169" s="3792"/>
      <c r="H169" s="3792"/>
      <c r="I169" s="3792"/>
      <c r="J169" s="3792"/>
      <c r="K169" s="3792"/>
      <c r="L169" s="3792"/>
      <c r="M169" s="3792"/>
      <c r="N169" s="3792"/>
      <c r="O169" s="3792"/>
      <c r="P169" s="3792"/>
      <c r="Q169" s="3792"/>
      <c r="R169" s="3792"/>
    </row>
    <row r="170" spans="2:18" x14ac:dyDescent="0.25">
      <c r="B170" s="3825"/>
      <c r="C170" s="3825"/>
      <c r="D170" s="3792"/>
      <c r="E170" s="3792"/>
      <c r="F170" s="3792"/>
      <c r="G170" s="3792"/>
      <c r="H170" s="3792"/>
      <c r="I170" s="3792"/>
      <c r="J170" s="3792"/>
      <c r="K170" s="3792"/>
      <c r="L170" s="3792"/>
      <c r="M170" s="3792"/>
      <c r="N170" s="3792"/>
      <c r="O170" s="3792"/>
      <c r="P170" s="3792"/>
      <c r="Q170" s="3792"/>
      <c r="R170" s="3792"/>
    </row>
    <row r="171" spans="2:18" x14ac:dyDescent="0.25">
      <c r="B171" s="3825"/>
      <c r="C171" s="3825"/>
      <c r="D171" s="3792"/>
      <c r="E171" s="3792"/>
      <c r="F171" s="3792"/>
      <c r="G171" s="3792"/>
      <c r="H171" s="3792"/>
      <c r="I171" s="3792"/>
      <c r="J171" s="3792"/>
      <c r="K171" s="3792"/>
      <c r="L171" s="3792"/>
      <c r="M171" s="3792"/>
      <c r="N171" s="3792"/>
      <c r="O171" s="3792"/>
      <c r="P171" s="3792"/>
      <c r="Q171" s="3792"/>
      <c r="R171" s="3792"/>
    </row>
    <row r="172" spans="2:18" x14ac:dyDescent="0.25">
      <c r="B172" s="3825"/>
      <c r="C172" s="3825"/>
      <c r="D172" s="3792"/>
      <c r="E172" s="3792"/>
      <c r="F172" s="3792"/>
      <c r="G172" s="3792"/>
      <c r="H172" s="3792"/>
      <c r="I172" s="3792"/>
      <c r="J172" s="3792"/>
      <c r="K172" s="3792"/>
      <c r="L172" s="3792"/>
      <c r="M172" s="3792"/>
      <c r="N172" s="3792"/>
      <c r="O172" s="3792"/>
      <c r="P172" s="3792"/>
      <c r="Q172" s="3792"/>
      <c r="R172" s="3792"/>
    </row>
    <row r="173" spans="2:18" x14ac:dyDescent="0.25">
      <c r="B173" s="3825"/>
      <c r="C173" s="3825"/>
      <c r="D173" s="3792"/>
      <c r="E173" s="3792"/>
      <c r="F173" s="3792"/>
      <c r="G173" s="3792"/>
      <c r="H173" s="3792"/>
      <c r="I173" s="3792"/>
      <c r="J173" s="3792"/>
      <c r="K173" s="3792"/>
      <c r="L173" s="3792"/>
      <c r="M173" s="3792"/>
      <c r="N173" s="3792"/>
      <c r="O173" s="3792"/>
      <c r="P173" s="3792"/>
      <c r="Q173" s="3792"/>
      <c r="R173" s="3792"/>
    </row>
    <row r="174" spans="2:18" x14ac:dyDescent="0.25">
      <c r="B174" s="3825"/>
      <c r="C174" s="3825"/>
      <c r="D174" s="3792"/>
      <c r="E174" s="3792"/>
      <c r="F174" s="3792"/>
      <c r="G174" s="3792"/>
      <c r="H174" s="3792"/>
      <c r="I174" s="3792"/>
      <c r="J174" s="3792"/>
      <c r="K174" s="3792"/>
      <c r="L174" s="3792"/>
      <c r="M174" s="3792"/>
      <c r="N174" s="3792"/>
      <c r="O174" s="3792"/>
      <c r="P174" s="3792"/>
      <c r="Q174" s="3792"/>
      <c r="R174" s="3792"/>
    </row>
    <row r="175" spans="2:18" x14ac:dyDescent="0.25">
      <c r="B175" s="3825"/>
      <c r="C175" s="3825"/>
      <c r="D175" s="3792"/>
      <c r="E175" s="3792"/>
      <c r="F175" s="3792"/>
      <c r="G175" s="3792"/>
      <c r="H175" s="3792"/>
      <c r="I175" s="3792"/>
      <c r="J175" s="3792"/>
      <c r="K175" s="3792"/>
      <c r="L175" s="3792"/>
      <c r="M175" s="3792"/>
      <c r="N175" s="3792"/>
      <c r="O175" s="3792"/>
      <c r="P175" s="3792"/>
      <c r="Q175" s="3792"/>
      <c r="R175" s="3792"/>
    </row>
    <row r="176" spans="2:18" x14ac:dyDescent="0.25">
      <c r="B176" s="3825"/>
      <c r="C176" s="3825"/>
      <c r="D176" s="3792"/>
      <c r="E176" s="3792"/>
      <c r="F176" s="3792"/>
      <c r="G176" s="3792"/>
      <c r="H176" s="3792"/>
      <c r="I176" s="3792"/>
      <c r="J176" s="3792"/>
      <c r="K176" s="3792"/>
      <c r="L176" s="3792"/>
      <c r="M176" s="3792"/>
      <c r="N176" s="3792"/>
      <c r="O176" s="3792"/>
      <c r="P176" s="3792"/>
      <c r="Q176" s="3792"/>
      <c r="R176" s="3792"/>
    </row>
    <row r="177" spans="2:18" x14ac:dyDescent="0.25">
      <c r="B177" s="3825"/>
      <c r="C177" s="3825"/>
      <c r="D177" s="3792"/>
      <c r="E177" s="3792"/>
      <c r="F177" s="3792"/>
      <c r="G177" s="3792"/>
      <c r="H177" s="3792"/>
      <c r="I177" s="3792"/>
      <c r="J177" s="3792"/>
      <c r="K177" s="3792"/>
      <c r="L177" s="3792"/>
      <c r="M177" s="3792"/>
      <c r="N177" s="3792"/>
      <c r="O177" s="3792"/>
      <c r="P177" s="3792"/>
      <c r="Q177" s="3792"/>
      <c r="R177" s="3792"/>
    </row>
    <row r="178" spans="2:18" x14ac:dyDescent="0.25">
      <c r="B178" s="3825"/>
      <c r="C178" s="3825"/>
      <c r="D178" s="3792"/>
      <c r="E178" s="3792"/>
      <c r="F178" s="3792"/>
      <c r="G178" s="3792"/>
      <c r="H178" s="3792"/>
      <c r="I178" s="3792"/>
      <c r="J178" s="3792"/>
      <c r="K178" s="3792"/>
      <c r="L178" s="3792"/>
      <c r="M178" s="3792"/>
      <c r="N178" s="3792"/>
      <c r="O178" s="3792"/>
      <c r="P178" s="3792"/>
      <c r="Q178" s="3792"/>
      <c r="R178" s="3792"/>
    </row>
    <row r="179" spans="2:18" x14ac:dyDescent="0.25">
      <c r="B179" s="3825"/>
      <c r="C179" s="3825"/>
      <c r="D179" s="3792"/>
      <c r="E179" s="3792"/>
      <c r="F179" s="3792"/>
      <c r="G179" s="3792"/>
      <c r="H179" s="3792"/>
      <c r="I179" s="3792"/>
      <c r="J179" s="3792"/>
      <c r="K179" s="3792"/>
      <c r="L179" s="3792"/>
      <c r="M179" s="3792"/>
      <c r="N179" s="3792"/>
      <c r="O179" s="3792"/>
      <c r="P179" s="3792"/>
      <c r="Q179" s="3792"/>
      <c r="R179" s="3792"/>
    </row>
    <row r="180" spans="2:18" x14ac:dyDescent="0.25">
      <c r="B180" s="3825"/>
      <c r="C180" s="3825"/>
      <c r="D180" s="3792"/>
      <c r="E180" s="3792"/>
      <c r="F180" s="3792"/>
      <c r="G180" s="3792"/>
      <c r="H180" s="3792"/>
      <c r="I180" s="3792"/>
      <c r="J180" s="3792"/>
      <c r="K180" s="3792"/>
      <c r="L180" s="3792"/>
      <c r="M180" s="3792"/>
      <c r="N180" s="3792"/>
      <c r="O180" s="3792"/>
      <c r="P180" s="3792"/>
      <c r="Q180" s="3792"/>
      <c r="R180" s="3792"/>
    </row>
    <row r="181" spans="2:18" x14ac:dyDescent="0.25">
      <c r="B181" s="3825"/>
      <c r="C181" s="3825"/>
      <c r="D181" s="3792"/>
      <c r="E181" s="3792"/>
      <c r="F181" s="3792"/>
      <c r="G181" s="3792"/>
      <c r="H181" s="3792"/>
      <c r="I181" s="3792"/>
      <c r="J181" s="3792"/>
      <c r="K181" s="3792"/>
      <c r="L181" s="3792"/>
      <c r="M181" s="3792"/>
      <c r="N181" s="3792"/>
      <c r="O181" s="3792"/>
      <c r="P181" s="3792"/>
      <c r="Q181" s="3792"/>
      <c r="R181" s="3792"/>
    </row>
    <row r="182" spans="2:18" x14ac:dyDescent="0.25">
      <c r="B182" s="3825"/>
      <c r="C182" s="3825"/>
      <c r="D182" s="3792"/>
      <c r="E182" s="3792"/>
      <c r="F182" s="3792"/>
      <c r="G182" s="3792"/>
      <c r="H182" s="3792"/>
      <c r="I182" s="3792"/>
      <c r="J182" s="3792"/>
      <c r="K182" s="3792"/>
      <c r="L182" s="3792"/>
      <c r="M182" s="3792"/>
      <c r="N182" s="3792"/>
      <c r="O182" s="3792"/>
      <c r="P182" s="3792"/>
      <c r="Q182" s="3792"/>
      <c r="R182" s="3792"/>
    </row>
    <row r="183" spans="2:18" x14ac:dyDescent="0.25">
      <c r="B183" s="3825"/>
      <c r="C183" s="3825"/>
      <c r="D183" s="3792"/>
      <c r="E183" s="3792"/>
      <c r="F183" s="3792"/>
      <c r="G183" s="3792"/>
      <c r="H183" s="3792"/>
      <c r="I183" s="3792"/>
      <c r="J183" s="3792"/>
      <c r="K183" s="3792"/>
      <c r="L183" s="3792"/>
      <c r="M183" s="3792"/>
      <c r="N183" s="3792"/>
      <c r="O183" s="3792"/>
      <c r="P183" s="3792"/>
      <c r="Q183" s="3792"/>
      <c r="R183" s="3792"/>
    </row>
    <row r="184" spans="2:18" x14ac:dyDescent="0.25">
      <c r="B184" s="3825"/>
      <c r="C184" s="3825"/>
      <c r="D184" s="3792"/>
      <c r="E184" s="3792"/>
      <c r="F184" s="3792"/>
      <c r="G184" s="3792"/>
      <c r="H184" s="3792"/>
      <c r="I184" s="3792"/>
      <c r="J184" s="3792"/>
      <c r="K184" s="3792"/>
      <c r="L184" s="3792"/>
      <c r="M184" s="3792"/>
      <c r="N184" s="3792"/>
      <c r="O184" s="3792"/>
      <c r="P184" s="3792"/>
      <c r="Q184" s="3792"/>
      <c r="R184" s="3792"/>
    </row>
    <row r="185" spans="2:18" x14ac:dyDescent="0.25">
      <c r="B185" s="3825"/>
      <c r="C185" s="3825"/>
      <c r="D185" s="3792"/>
      <c r="E185" s="3792"/>
      <c r="F185" s="3792"/>
      <c r="G185" s="3792"/>
      <c r="H185" s="3792"/>
      <c r="I185" s="3792"/>
      <c r="J185" s="3792"/>
      <c r="K185" s="3792"/>
      <c r="L185" s="3792"/>
      <c r="M185" s="3792"/>
      <c r="N185" s="3792"/>
      <c r="O185" s="3792"/>
      <c r="P185" s="3792"/>
      <c r="Q185" s="3792"/>
      <c r="R185" s="3792"/>
    </row>
    <row r="186" spans="2:18" x14ac:dyDescent="0.25">
      <c r="B186" s="3825"/>
      <c r="C186" s="3825"/>
      <c r="D186" s="3792"/>
      <c r="E186" s="3792"/>
      <c r="F186" s="3792"/>
      <c r="G186" s="3792"/>
      <c r="H186" s="3792"/>
      <c r="I186" s="3792"/>
      <c r="J186" s="3792"/>
      <c r="K186" s="3792"/>
      <c r="L186" s="3792"/>
      <c r="M186" s="3792"/>
      <c r="N186" s="3792"/>
      <c r="O186" s="3792"/>
      <c r="P186" s="3792"/>
      <c r="Q186" s="3792"/>
      <c r="R186" s="3792"/>
    </row>
    <row r="187" spans="2:18" x14ac:dyDescent="0.25">
      <c r="B187" s="3825"/>
      <c r="C187" s="3825"/>
      <c r="D187" s="3792"/>
      <c r="E187" s="3792"/>
      <c r="F187" s="3792"/>
      <c r="G187" s="3792"/>
      <c r="H187" s="3792"/>
      <c r="I187" s="3792"/>
      <c r="J187" s="3792"/>
      <c r="K187" s="3792"/>
      <c r="L187" s="3792"/>
      <c r="M187" s="3792"/>
      <c r="N187" s="3792"/>
      <c r="O187" s="3792"/>
      <c r="P187" s="3792"/>
      <c r="Q187" s="3792"/>
      <c r="R187" s="3792"/>
    </row>
    <row r="188" spans="2:18" x14ac:dyDescent="0.25">
      <c r="B188" s="3825"/>
      <c r="C188" s="3825"/>
      <c r="D188" s="3792"/>
      <c r="E188" s="3792"/>
      <c r="F188" s="3792"/>
      <c r="G188" s="3792"/>
      <c r="H188" s="3792"/>
      <c r="I188" s="3792"/>
      <c r="J188" s="3792"/>
      <c r="K188" s="3792"/>
      <c r="L188" s="3792"/>
      <c r="M188" s="3792"/>
      <c r="N188" s="3792"/>
      <c r="O188" s="3792"/>
      <c r="P188" s="3792"/>
      <c r="Q188" s="3792"/>
      <c r="R188" s="3792"/>
    </row>
    <row r="189" spans="2:18" x14ac:dyDescent="0.25">
      <c r="B189" s="3825"/>
      <c r="C189" s="3825"/>
      <c r="D189" s="3792"/>
      <c r="E189" s="3792"/>
      <c r="F189" s="3792"/>
      <c r="G189" s="3792"/>
      <c r="H189" s="3792"/>
      <c r="I189" s="3792"/>
      <c r="J189" s="3792"/>
      <c r="K189" s="3792"/>
      <c r="L189" s="3792"/>
      <c r="M189" s="3792"/>
      <c r="P189" s="3792"/>
      <c r="Q189" s="3792"/>
      <c r="R189" s="3792"/>
    </row>
    <row r="190" spans="2:18" x14ac:dyDescent="0.25">
      <c r="B190" s="3825"/>
      <c r="C190" s="3825"/>
      <c r="D190" s="3792"/>
      <c r="E190" s="3792"/>
      <c r="F190" s="3792"/>
      <c r="G190" s="3792"/>
      <c r="H190" s="3792"/>
      <c r="I190" s="3792"/>
      <c r="J190" s="3792"/>
      <c r="K190" s="3792"/>
      <c r="L190" s="3792"/>
      <c r="M190" s="3792"/>
      <c r="P190" s="3792"/>
      <c r="Q190" s="3792"/>
      <c r="R190" s="3792"/>
    </row>
    <row r="191" spans="2:18" x14ac:dyDescent="0.25">
      <c r="B191" s="3825"/>
      <c r="C191" s="3825"/>
      <c r="D191" s="3792"/>
      <c r="E191" s="3792"/>
      <c r="F191" s="3792"/>
      <c r="G191" s="3792"/>
      <c r="H191" s="3792"/>
      <c r="I191" s="3792"/>
      <c r="J191" s="3792"/>
      <c r="K191" s="3792"/>
      <c r="L191" s="3792"/>
      <c r="M191" s="3792"/>
      <c r="P191" s="3792"/>
      <c r="Q191" s="3792"/>
      <c r="R191" s="3792"/>
    </row>
    <row r="192" spans="2:18" x14ac:dyDescent="0.25">
      <c r="B192" s="3825"/>
      <c r="C192" s="3825"/>
      <c r="D192" s="3792"/>
      <c r="E192" s="3792"/>
      <c r="F192" s="3792"/>
      <c r="G192" s="3792"/>
      <c r="H192" s="3792"/>
      <c r="I192" s="3792"/>
      <c r="J192" s="3792"/>
      <c r="K192" s="3792"/>
      <c r="L192" s="3792"/>
      <c r="M192" s="3792"/>
      <c r="P192" s="3792"/>
      <c r="Q192" s="3792"/>
      <c r="R192" s="3792"/>
    </row>
    <row r="193" spans="1:28" x14ac:dyDescent="0.25">
      <c r="B193" s="3825"/>
      <c r="C193" s="3825"/>
      <c r="D193" s="3792"/>
      <c r="E193" s="3792"/>
      <c r="F193" s="3792"/>
      <c r="G193" s="3792"/>
      <c r="H193" s="3792"/>
      <c r="I193" s="3792"/>
      <c r="J193" s="3792"/>
      <c r="K193" s="3792"/>
      <c r="L193" s="3792"/>
      <c r="M193" s="3792"/>
      <c r="P193" s="3792"/>
      <c r="Q193" s="3792"/>
      <c r="R193" s="3792"/>
    </row>
    <row r="194" spans="1:28" x14ac:dyDescent="0.25">
      <c r="B194" s="3825"/>
      <c r="C194" s="3825"/>
      <c r="D194" s="3792"/>
      <c r="E194" s="3792"/>
      <c r="F194" s="3792"/>
      <c r="G194" s="3792"/>
      <c r="H194" s="3792"/>
      <c r="I194" s="3792"/>
      <c r="J194" s="3792"/>
      <c r="K194" s="3792"/>
      <c r="L194" s="3792"/>
      <c r="M194" s="3792"/>
      <c r="N194" s="3792"/>
      <c r="O194" s="3792"/>
      <c r="P194" s="3792"/>
      <c r="Q194" s="3792"/>
      <c r="R194" s="3792"/>
    </row>
    <row r="195" spans="1:28" s="751" customFormat="1" x14ac:dyDescent="0.2">
      <c r="A195" s="3820"/>
      <c r="B195" s="1119"/>
      <c r="C195" s="1119"/>
      <c r="N195" s="1895"/>
      <c r="O195" s="3834"/>
      <c r="P195" s="3831"/>
      <c r="R195" s="3787"/>
    </row>
    <row r="196" spans="1:28" s="751" customFormat="1" x14ac:dyDescent="0.2">
      <c r="A196" s="3820"/>
      <c r="B196" s="1119"/>
      <c r="C196" s="1119"/>
      <c r="N196" s="1895"/>
      <c r="O196" s="3834"/>
      <c r="P196" s="3831"/>
      <c r="R196" s="3787"/>
    </row>
    <row r="197" spans="1:28" s="751" customFormat="1" x14ac:dyDescent="0.2">
      <c r="A197" s="3820"/>
      <c r="B197" s="1119"/>
      <c r="C197" s="1119"/>
      <c r="N197" s="1895"/>
      <c r="O197" s="3834"/>
      <c r="P197" s="3833"/>
      <c r="R197" s="3787"/>
    </row>
    <row r="198" spans="1:28" s="751" customFormat="1" x14ac:dyDescent="0.2">
      <c r="A198" s="3820"/>
      <c r="B198" s="1119"/>
      <c r="C198" s="1119"/>
      <c r="N198" s="1895"/>
      <c r="O198" s="3832"/>
      <c r="P198" s="3831"/>
      <c r="R198" s="3787"/>
    </row>
    <row r="199" spans="1:28" s="751" customFormat="1" x14ac:dyDescent="0.2">
      <c r="A199" s="3820"/>
      <c r="B199" s="1119"/>
      <c r="C199" s="1119"/>
      <c r="N199" s="1895"/>
      <c r="O199" s="3830"/>
      <c r="P199" s="3830"/>
    </row>
    <row r="200" spans="1:28" s="751" customFormat="1" x14ac:dyDescent="0.25">
      <c r="A200" s="3820"/>
      <c r="B200" s="1119"/>
      <c r="C200" s="1119"/>
      <c r="N200" s="1896"/>
      <c r="O200" s="3829"/>
      <c r="P200" s="3829"/>
    </row>
    <row r="201" spans="1:28" s="751" customFormat="1" x14ac:dyDescent="0.25">
      <c r="A201" s="3820"/>
      <c r="B201" s="1119"/>
      <c r="C201" s="1119"/>
      <c r="N201" s="1896"/>
    </row>
    <row r="202" spans="1:28" s="751" customFormat="1" x14ac:dyDescent="0.2">
      <c r="A202" s="3820"/>
      <c r="B202" s="531"/>
      <c r="C202" s="531"/>
      <c r="D202" s="548"/>
      <c r="E202" s="548"/>
      <c r="F202" s="548"/>
      <c r="G202" s="548"/>
      <c r="H202" s="548"/>
      <c r="I202" s="548"/>
      <c r="J202" s="3132"/>
      <c r="K202" s="548"/>
      <c r="L202" s="548"/>
      <c r="M202" s="548"/>
      <c r="N202" s="1192"/>
      <c r="O202" s="548"/>
      <c r="P202" s="548"/>
    </row>
    <row r="203" spans="1:28" s="751" customFormat="1" x14ac:dyDescent="0.25">
      <c r="A203" s="3820"/>
      <c r="B203" s="1897"/>
      <c r="C203" s="1897"/>
      <c r="D203" s="1897"/>
      <c r="E203" s="1897"/>
      <c r="F203" s="1897"/>
      <c r="G203" s="1897"/>
      <c r="H203" s="1897"/>
      <c r="I203" s="1897"/>
      <c r="J203" s="1897"/>
      <c r="K203" s="1897"/>
      <c r="L203" s="1897"/>
      <c r="M203" s="1897"/>
      <c r="N203" s="1897"/>
      <c r="O203" s="1897"/>
      <c r="P203" s="1927"/>
    </row>
    <row r="204" spans="1:28" s="751" customFormat="1" x14ac:dyDescent="0.25">
      <c r="A204" s="3820"/>
      <c r="B204" s="1897"/>
      <c r="C204" s="1897"/>
      <c r="D204" s="1897"/>
      <c r="E204" s="1897"/>
      <c r="F204" s="1897"/>
      <c r="G204" s="1897"/>
      <c r="H204" s="1897"/>
      <c r="I204" s="1897"/>
      <c r="J204" s="1897"/>
      <c r="K204" s="1897"/>
      <c r="L204" s="1897"/>
      <c r="M204" s="1897"/>
      <c r="N204" s="1897"/>
      <c r="O204" s="1897"/>
      <c r="P204" s="1927"/>
    </row>
    <row r="205" spans="1:28" s="751" customFormat="1" x14ac:dyDescent="0.25">
      <c r="A205" s="3820"/>
      <c r="B205" s="1897"/>
      <c r="C205" s="1897"/>
      <c r="D205" s="1897"/>
      <c r="E205" s="1897"/>
      <c r="F205" s="1897"/>
      <c r="G205" s="1897"/>
      <c r="H205" s="1897"/>
      <c r="I205" s="1897"/>
      <c r="J205" s="1897"/>
      <c r="K205" s="1897"/>
      <c r="L205" s="1897"/>
      <c r="M205" s="1897"/>
      <c r="N205" s="1897"/>
      <c r="O205" s="1897"/>
      <c r="P205" s="1927"/>
    </row>
    <row r="206" spans="1:28" s="751" customFormat="1" x14ac:dyDescent="0.25">
      <c r="A206" s="3820"/>
      <c r="B206" s="1897"/>
      <c r="C206" s="1897"/>
      <c r="D206" s="1897"/>
      <c r="E206" s="1897"/>
      <c r="F206" s="1897"/>
      <c r="G206" s="1897"/>
      <c r="H206" s="1897"/>
      <c r="I206" s="1897"/>
      <c r="J206" s="1897"/>
      <c r="K206" s="1897"/>
      <c r="L206" s="1897"/>
      <c r="M206" s="1897"/>
      <c r="N206" s="1897"/>
      <c r="O206" s="1897"/>
      <c r="P206" s="1927"/>
    </row>
    <row r="207" spans="1:28" s="751" customFormat="1" x14ac:dyDescent="0.25">
      <c r="A207" s="3820"/>
      <c r="B207" s="1897"/>
      <c r="C207" s="1897"/>
      <c r="D207" s="1897"/>
      <c r="E207" s="1897"/>
      <c r="F207" s="1897"/>
      <c r="G207" s="1897"/>
      <c r="H207" s="1897"/>
      <c r="I207" s="1897"/>
      <c r="J207" s="1897"/>
      <c r="K207" s="1897"/>
      <c r="L207" s="1897"/>
      <c r="M207" s="1897"/>
      <c r="N207" s="1897"/>
      <c r="O207" s="1897"/>
      <c r="P207" s="1927"/>
      <c r="T207" s="1137"/>
      <c r="U207" s="1137"/>
      <c r="V207" s="1137"/>
      <c r="W207" s="1137"/>
      <c r="X207" s="1137"/>
      <c r="Y207" s="1137"/>
      <c r="Z207" s="1137"/>
      <c r="AB207" s="1137"/>
    </row>
    <row r="208" spans="1:28" s="751" customFormat="1" x14ac:dyDescent="0.25">
      <c r="A208" s="3820"/>
      <c r="B208" s="1897"/>
      <c r="C208" s="1897"/>
      <c r="D208" s="1897"/>
      <c r="E208" s="1897"/>
      <c r="F208" s="1897"/>
      <c r="G208" s="1897"/>
      <c r="H208" s="1897"/>
      <c r="I208" s="1897"/>
      <c r="J208" s="1897"/>
      <c r="K208" s="1897"/>
      <c r="L208" s="1897"/>
      <c r="M208" s="1897"/>
      <c r="N208" s="1897"/>
      <c r="O208" s="1897"/>
      <c r="P208" s="1927"/>
    </row>
    <row r="209" spans="2:18" x14ac:dyDescent="0.25">
      <c r="B209" s="3825"/>
      <c r="C209" s="3825"/>
      <c r="D209" s="3792"/>
      <c r="E209" s="3792"/>
      <c r="F209" s="3792"/>
      <c r="G209" s="3792"/>
      <c r="H209" s="3792"/>
      <c r="I209" s="3792"/>
      <c r="J209" s="3792"/>
      <c r="K209" s="3792"/>
      <c r="L209" s="3792"/>
      <c r="M209" s="3792"/>
      <c r="N209" s="3792"/>
      <c r="O209" s="3792"/>
      <c r="P209" s="3792"/>
      <c r="Q209" s="3792"/>
      <c r="R209" s="3792"/>
    </row>
    <row r="210" spans="2:18" x14ac:dyDescent="0.25">
      <c r="B210" s="3825"/>
      <c r="C210" s="3825"/>
      <c r="D210" s="3792"/>
      <c r="E210" s="3792"/>
      <c r="F210" s="3792"/>
      <c r="G210" s="3792"/>
      <c r="H210" s="3792"/>
      <c r="I210" s="3792"/>
      <c r="J210" s="3792"/>
      <c r="K210" s="3792"/>
      <c r="L210" s="3792"/>
      <c r="M210" s="3792"/>
      <c r="N210" s="3792"/>
      <c r="O210" s="3792"/>
      <c r="P210" s="3792"/>
      <c r="Q210" s="3792"/>
      <c r="R210" s="3792"/>
    </row>
    <row r="211" spans="2:18" x14ac:dyDescent="0.25">
      <c r="B211" s="3825"/>
      <c r="C211" s="3825"/>
      <c r="D211" s="3792"/>
      <c r="E211" s="3792"/>
      <c r="F211" s="3792"/>
      <c r="G211" s="3792"/>
      <c r="H211" s="3792"/>
      <c r="I211" s="3792"/>
      <c r="J211" s="3792"/>
      <c r="K211" s="3792"/>
      <c r="L211" s="3792"/>
      <c r="M211" s="3792"/>
      <c r="N211" s="3792"/>
      <c r="O211" s="3792"/>
      <c r="P211" s="3792"/>
      <c r="Q211" s="3792"/>
      <c r="R211" s="3792"/>
    </row>
    <row r="212" spans="2:18" x14ac:dyDescent="0.25">
      <c r="B212" s="3825"/>
      <c r="C212" s="3825"/>
      <c r="D212" s="3792"/>
      <c r="E212" s="3792"/>
      <c r="F212" s="3792"/>
      <c r="G212" s="3792"/>
      <c r="H212" s="3792"/>
      <c r="I212" s="3792"/>
      <c r="J212" s="3792"/>
      <c r="K212" s="3792"/>
      <c r="L212" s="3792"/>
      <c r="M212" s="3792"/>
      <c r="N212" s="3792"/>
      <c r="O212" s="3792"/>
      <c r="P212" s="3792"/>
      <c r="Q212" s="3792"/>
      <c r="R212" s="3792"/>
    </row>
    <row r="213" spans="2:18" x14ac:dyDescent="0.25">
      <c r="C213" s="3825"/>
      <c r="E213" s="3825"/>
      <c r="F213" s="3792"/>
      <c r="G213" s="3792"/>
      <c r="H213" s="3792"/>
      <c r="I213" s="3792"/>
      <c r="J213" s="3792"/>
      <c r="K213" s="3792"/>
      <c r="L213" s="3792"/>
      <c r="M213" s="3792"/>
      <c r="N213" s="3792"/>
      <c r="O213" s="3792"/>
      <c r="P213" s="3792"/>
      <c r="Q213" s="3792"/>
      <c r="R213" s="3792"/>
    </row>
    <row r="214" spans="2:18" x14ac:dyDescent="0.25">
      <c r="C214" s="3825"/>
      <c r="D214" s="3828"/>
      <c r="E214" s="3822"/>
      <c r="F214" s="3822"/>
      <c r="G214" s="3792"/>
      <c r="H214" s="3792"/>
      <c r="I214" s="3792"/>
      <c r="J214" s="3792"/>
      <c r="K214" s="3792"/>
      <c r="L214" s="3792"/>
      <c r="M214" s="3792"/>
      <c r="N214" s="3792"/>
      <c r="O214" s="3792"/>
      <c r="P214" s="3792"/>
      <c r="Q214" s="3792"/>
      <c r="R214" s="3792"/>
    </row>
    <row r="215" spans="2:18" x14ac:dyDescent="0.25">
      <c r="C215" s="3825"/>
      <c r="D215" s="3825"/>
      <c r="E215" s="3821"/>
      <c r="F215" s="3792"/>
      <c r="G215" s="3792"/>
      <c r="H215" s="3792"/>
      <c r="I215" s="3792"/>
      <c r="J215" s="3792"/>
      <c r="K215" s="3792"/>
      <c r="L215" s="3792"/>
      <c r="M215" s="3792"/>
      <c r="N215" s="3792"/>
      <c r="O215" s="3792"/>
      <c r="P215" s="3792"/>
      <c r="Q215" s="3792"/>
      <c r="R215" s="3792"/>
    </row>
    <row r="216" spans="2:18" x14ac:dyDescent="0.25">
      <c r="B216" s="3825"/>
      <c r="C216" s="3825"/>
      <c r="D216" s="3792"/>
      <c r="E216" s="3821"/>
      <c r="F216" s="3792"/>
      <c r="G216" s="3792"/>
      <c r="H216" s="3792"/>
      <c r="I216" s="3792"/>
      <c r="J216" s="3792"/>
      <c r="K216" s="3792"/>
      <c r="L216" s="3792"/>
      <c r="M216" s="3792"/>
      <c r="N216" s="3792"/>
      <c r="O216" s="3792"/>
      <c r="P216" s="3792"/>
      <c r="Q216" s="3792"/>
      <c r="R216" s="3792"/>
    </row>
    <row r="217" spans="2:18" x14ac:dyDescent="0.25">
      <c r="B217" s="3825"/>
      <c r="C217" s="3825"/>
      <c r="D217" s="3792"/>
      <c r="E217" s="3821"/>
      <c r="F217" s="3792"/>
      <c r="G217" s="3792"/>
      <c r="H217" s="3792"/>
      <c r="I217" s="3792"/>
      <c r="J217" s="3792"/>
      <c r="K217" s="3792"/>
      <c r="L217" s="3792"/>
      <c r="M217" s="3792"/>
      <c r="N217" s="3792"/>
      <c r="O217" s="3792"/>
      <c r="P217" s="3792"/>
      <c r="Q217" s="3792"/>
      <c r="R217" s="3792"/>
    </row>
    <row r="218" spans="2:18" x14ac:dyDescent="0.25">
      <c r="B218" s="3825"/>
      <c r="C218" s="3825"/>
      <c r="D218" s="3792"/>
      <c r="E218" s="3821"/>
      <c r="F218" s="3792"/>
      <c r="G218" s="3792"/>
      <c r="H218" s="3792"/>
      <c r="I218" s="3792"/>
      <c r="J218" s="3792"/>
      <c r="K218" s="3792"/>
      <c r="L218" s="3792"/>
      <c r="M218" s="3792"/>
      <c r="N218" s="3792"/>
      <c r="O218" s="3792"/>
      <c r="P218" s="3792"/>
      <c r="Q218" s="3792"/>
      <c r="R218" s="3792"/>
    </row>
    <row r="219" spans="2:18" x14ac:dyDescent="0.25">
      <c r="B219" s="3825"/>
      <c r="C219" s="3825"/>
      <c r="D219" s="3792"/>
      <c r="E219" s="3821"/>
      <c r="F219" s="3792"/>
      <c r="G219" s="3792"/>
      <c r="H219" s="3792"/>
      <c r="I219" s="3792"/>
      <c r="J219" s="3792"/>
      <c r="K219" s="3792"/>
      <c r="L219" s="3792"/>
      <c r="M219" s="3792"/>
      <c r="N219" s="3792"/>
      <c r="O219" s="3792"/>
      <c r="P219" s="3792"/>
      <c r="Q219" s="3792"/>
      <c r="R219" s="3792"/>
    </row>
    <row r="220" spans="2:18" x14ac:dyDescent="0.25">
      <c r="B220" s="3825"/>
      <c r="C220" s="3825"/>
      <c r="D220" s="3792"/>
      <c r="E220" s="3821"/>
      <c r="F220" s="3792"/>
      <c r="G220" s="3792"/>
      <c r="H220" s="3792"/>
      <c r="I220" s="3792"/>
      <c r="J220" s="3792"/>
      <c r="K220" s="3792"/>
      <c r="L220" s="3792"/>
      <c r="M220" s="3792"/>
      <c r="N220" s="3792"/>
      <c r="O220" s="3792"/>
      <c r="P220" s="3792"/>
      <c r="Q220" s="3792"/>
      <c r="R220" s="3792"/>
    </row>
    <row r="221" spans="2:18" x14ac:dyDescent="0.25">
      <c r="B221" s="3825"/>
      <c r="C221" s="3825"/>
      <c r="D221" s="3792"/>
      <c r="E221" s="3821"/>
      <c r="F221" s="3792"/>
      <c r="G221" s="3792"/>
      <c r="H221" s="3792"/>
      <c r="I221" s="3792"/>
      <c r="J221" s="3792"/>
      <c r="K221" s="3792"/>
      <c r="L221" s="3792"/>
      <c r="M221" s="3792"/>
      <c r="N221" s="3792"/>
      <c r="O221" s="3792"/>
      <c r="P221" s="3792"/>
      <c r="Q221" s="3792"/>
      <c r="R221" s="3792"/>
    </row>
    <row r="222" spans="2:18" x14ac:dyDescent="0.25">
      <c r="B222" s="3825"/>
      <c r="C222" s="3825"/>
      <c r="D222" s="3792"/>
      <c r="E222" s="3821"/>
      <c r="F222" s="3792"/>
      <c r="G222" s="3792"/>
      <c r="H222" s="3792"/>
      <c r="I222" s="3792"/>
      <c r="J222" s="3792"/>
      <c r="K222" s="3792"/>
      <c r="L222" s="3792"/>
      <c r="M222" s="3792"/>
      <c r="N222" s="3792"/>
      <c r="O222" s="3792"/>
      <c r="P222" s="3792"/>
      <c r="Q222" s="3792"/>
      <c r="R222" s="3792"/>
    </row>
    <row r="223" spans="2:18" x14ac:dyDescent="0.25">
      <c r="B223" s="3825"/>
      <c r="C223" s="3825"/>
      <c r="D223" s="3792"/>
      <c r="E223" s="3821"/>
      <c r="F223" s="3792"/>
      <c r="G223" s="3792"/>
      <c r="H223" s="3792"/>
      <c r="I223" s="3792"/>
      <c r="J223" s="3792"/>
      <c r="K223" s="3792"/>
      <c r="L223" s="3792"/>
      <c r="M223" s="3792"/>
      <c r="N223" s="3792"/>
      <c r="O223" s="3792"/>
      <c r="P223" s="3792"/>
      <c r="Q223" s="3792"/>
      <c r="R223" s="3792"/>
    </row>
    <row r="224" spans="2:18" x14ac:dyDescent="0.25">
      <c r="B224" s="3825"/>
      <c r="C224" s="3825"/>
      <c r="D224" s="3826"/>
      <c r="E224" s="3822"/>
      <c r="F224" s="3826"/>
      <c r="G224" s="3792"/>
      <c r="H224" s="3792"/>
      <c r="I224" s="3792"/>
      <c r="J224" s="3792"/>
      <c r="K224" s="3792"/>
      <c r="L224" s="3792"/>
      <c r="M224" s="3792"/>
      <c r="N224" s="3792"/>
      <c r="O224" s="3792"/>
      <c r="P224" s="3792"/>
      <c r="Q224" s="3792"/>
      <c r="R224" s="3792"/>
    </row>
    <row r="225" spans="2:18" x14ac:dyDescent="0.25">
      <c r="B225" s="3825"/>
      <c r="C225" s="3825"/>
      <c r="D225" s="3827"/>
      <c r="E225" s="3821"/>
      <c r="F225" s="3792"/>
      <c r="G225" s="3792"/>
      <c r="H225" s="3792"/>
      <c r="I225" s="3792"/>
      <c r="J225" s="3792"/>
      <c r="K225" s="3792"/>
      <c r="L225" s="3792"/>
      <c r="M225" s="3792"/>
      <c r="N225" s="3792"/>
      <c r="O225" s="3792"/>
      <c r="P225" s="3792"/>
      <c r="Q225" s="3792"/>
      <c r="R225" s="3792"/>
    </row>
    <row r="226" spans="2:18" x14ac:dyDescent="0.25">
      <c r="B226" s="3825"/>
      <c r="C226" s="3825"/>
      <c r="D226" s="3827"/>
      <c r="E226" s="3821"/>
      <c r="F226" s="3792"/>
      <c r="G226" s="3792"/>
      <c r="H226" s="3792"/>
      <c r="I226" s="3792"/>
      <c r="J226" s="3792"/>
      <c r="K226" s="3792"/>
      <c r="L226" s="3792"/>
      <c r="M226" s="3792"/>
      <c r="N226" s="3792"/>
      <c r="O226" s="3792"/>
      <c r="P226" s="3792"/>
      <c r="Q226" s="3792"/>
      <c r="R226" s="3792"/>
    </row>
    <row r="227" spans="2:18" x14ac:dyDescent="0.25">
      <c r="B227" s="3825"/>
      <c r="C227" s="3825"/>
      <c r="D227" s="3827"/>
      <c r="E227" s="3821"/>
      <c r="F227" s="3792"/>
      <c r="G227" s="3792"/>
      <c r="H227" s="3792"/>
      <c r="I227" s="3792"/>
      <c r="J227" s="3792"/>
      <c r="K227" s="3792"/>
      <c r="L227" s="3792"/>
      <c r="M227" s="3792"/>
      <c r="N227" s="3792"/>
      <c r="O227" s="3792"/>
      <c r="P227" s="3792"/>
      <c r="Q227" s="3792"/>
      <c r="R227" s="3792"/>
    </row>
    <row r="228" spans="2:18" x14ac:dyDescent="0.25">
      <c r="B228" s="3825"/>
      <c r="C228" s="3825"/>
      <c r="D228" s="3827"/>
      <c r="E228" s="3821"/>
      <c r="F228" s="3792"/>
      <c r="G228" s="3792"/>
      <c r="H228" s="3792"/>
      <c r="I228" s="3792"/>
      <c r="J228" s="3792"/>
      <c r="K228" s="3792"/>
      <c r="L228" s="3792"/>
      <c r="M228" s="3792"/>
      <c r="N228" s="3792"/>
      <c r="O228" s="3792"/>
      <c r="P228" s="3792"/>
      <c r="Q228" s="3792"/>
      <c r="R228" s="3792"/>
    </row>
    <row r="229" spans="2:18" x14ac:dyDescent="0.25">
      <c r="B229" s="3825"/>
      <c r="C229" s="3825"/>
      <c r="D229" s="1931"/>
      <c r="E229" s="3821"/>
      <c r="F229" s="3792"/>
      <c r="G229" s="3792"/>
      <c r="H229" s="3792"/>
      <c r="I229" s="3792"/>
      <c r="J229" s="3792"/>
      <c r="K229" s="3792"/>
      <c r="L229" s="3792"/>
      <c r="M229" s="3792"/>
      <c r="N229" s="3792"/>
      <c r="O229" s="3792"/>
      <c r="P229" s="3792"/>
      <c r="Q229" s="3792"/>
      <c r="R229" s="3792"/>
    </row>
    <row r="230" spans="2:18" x14ac:dyDescent="0.25">
      <c r="B230" s="3825"/>
      <c r="C230" s="3825"/>
      <c r="D230" s="3792"/>
      <c r="E230" s="3821"/>
      <c r="F230" s="3792"/>
      <c r="G230" s="3792"/>
      <c r="H230" s="3792"/>
      <c r="I230" s="3792"/>
      <c r="J230" s="3792"/>
      <c r="K230" s="3792"/>
      <c r="L230" s="3792"/>
      <c r="M230" s="3792"/>
      <c r="N230" s="3792"/>
      <c r="O230" s="3792"/>
      <c r="P230" s="3792"/>
      <c r="Q230" s="3792"/>
      <c r="R230" s="3792"/>
    </row>
    <row r="231" spans="2:18" x14ac:dyDescent="0.25">
      <c r="B231" s="3825"/>
      <c r="C231" s="3825"/>
      <c r="D231" s="3826"/>
      <c r="E231" s="3822"/>
      <c r="F231" s="3826"/>
      <c r="G231" s="3792"/>
      <c r="H231" s="3792"/>
      <c r="I231" s="3792"/>
      <c r="J231" s="3792"/>
      <c r="K231" s="3792"/>
      <c r="L231" s="3792"/>
      <c r="M231" s="3792"/>
      <c r="N231" s="3792"/>
      <c r="O231" s="3792"/>
      <c r="P231" s="3792"/>
      <c r="Q231" s="3792"/>
      <c r="R231" s="3792"/>
    </row>
    <row r="232" spans="2:18" x14ac:dyDescent="0.25">
      <c r="B232" s="3825"/>
      <c r="C232" s="3825"/>
      <c r="D232" s="3792"/>
      <c r="E232" s="3821"/>
      <c r="F232" s="3792"/>
      <c r="G232" s="3792"/>
      <c r="H232" s="3792"/>
      <c r="I232" s="3792"/>
      <c r="J232" s="3792"/>
      <c r="K232" s="3792"/>
      <c r="L232" s="3792"/>
      <c r="M232" s="3792"/>
      <c r="N232" s="3792"/>
      <c r="O232" s="3792"/>
      <c r="P232" s="3792"/>
      <c r="Q232" s="3792"/>
      <c r="R232" s="3792"/>
    </row>
    <row r="233" spans="2:18" x14ac:dyDescent="0.25">
      <c r="B233" s="3825"/>
      <c r="C233" s="3825"/>
      <c r="D233" s="3792"/>
      <c r="E233" s="3821"/>
      <c r="F233" s="3792"/>
      <c r="G233" s="3792"/>
      <c r="H233" s="3792"/>
      <c r="I233" s="3792"/>
      <c r="J233" s="3792"/>
      <c r="K233" s="3792"/>
      <c r="L233" s="3792"/>
      <c r="M233" s="3792"/>
      <c r="N233" s="3792"/>
      <c r="O233" s="3792"/>
      <c r="P233" s="3792"/>
      <c r="Q233" s="3792"/>
      <c r="R233" s="3792"/>
    </row>
    <row r="234" spans="2:18" x14ac:dyDescent="0.25">
      <c r="B234" s="3825"/>
      <c r="C234" s="3825"/>
      <c r="D234" s="3792"/>
      <c r="E234" s="3821"/>
      <c r="F234" s="3792"/>
      <c r="G234" s="3792"/>
      <c r="H234" s="3792"/>
      <c r="I234" s="3792"/>
      <c r="J234" s="3792"/>
      <c r="K234" s="3792"/>
      <c r="L234" s="3792"/>
      <c r="M234" s="3792"/>
      <c r="N234" s="3792"/>
      <c r="O234" s="3792"/>
      <c r="P234" s="3792"/>
      <c r="Q234" s="3792"/>
      <c r="R234" s="3792"/>
    </row>
    <row r="235" spans="2:18" x14ac:dyDescent="0.25">
      <c r="D235" s="3824"/>
      <c r="E235" s="3822"/>
      <c r="F235" s="162"/>
    </row>
    <row r="236" spans="2:18" x14ac:dyDescent="0.25">
      <c r="E236" s="3821"/>
    </row>
    <row r="237" spans="2:18" x14ac:dyDescent="0.25">
      <c r="E237" s="3821"/>
    </row>
    <row r="238" spans="2:18" x14ac:dyDescent="0.25">
      <c r="E238" s="3821"/>
    </row>
    <row r="239" spans="2:18" x14ac:dyDescent="0.25">
      <c r="E239" s="3821"/>
    </row>
    <row r="240" spans="2:18" x14ac:dyDescent="0.25">
      <c r="D240" s="3823"/>
      <c r="E240" s="3822"/>
      <c r="F240" s="162"/>
    </row>
    <row r="241" spans="5:5" x14ac:dyDescent="0.25">
      <c r="E241" s="3821"/>
    </row>
    <row r="242" spans="5:5" x14ac:dyDescent="0.25">
      <c r="E242" s="3821"/>
    </row>
    <row r="243" spans="5:5" x14ac:dyDescent="0.25">
      <c r="E243" s="3821"/>
    </row>
    <row r="244" spans="5:5" x14ac:dyDescent="0.25">
      <c r="E244" s="3821"/>
    </row>
    <row r="245" spans="5:5" x14ac:dyDescent="0.25">
      <c r="E245" s="3821"/>
    </row>
    <row r="246" spans="5:5" x14ac:dyDescent="0.25">
      <c r="E246" s="3821"/>
    </row>
    <row r="247" spans="5:5" x14ac:dyDescent="0.25">
      <c r="E247" s="3821"/>
    </row>
    <row r="248" spans="5:5" x14ac:dyDescent="0.25">
      <c r="E248" s="3821"/>
    </row>
    <row r="249" spans="5:5" x14ac:dyDescent="0.25">
      <c r="E249" s="3821"/>
    </row>
    <row r="250" spans="5:5" x14ac:dyDescent="0.25">
      <c r="E250" s="3821"/>
    </row>
    <row r="251" spans="5:5" x14ac:dyDescent="0.25">
      <c r="E251" s="3821"/>
    </row>
    <row r="252" spans="5:5" x14ac:dyDescent="0.25">
      <c r="E252" s="3821"/>
    </row>
    <row r="253" spans="5:5" x14ac:dyDescent="0.25">
      <c r="E253" s="3821"/>
    </row>
    <row r="254" spans="5:5" x14ac:dyDescent="0.25">
      <c r="E254" s="3821"/>
    </row>
    <row r="255" spans="5:5" x14ac:dyDescent="0.25">
      <c r="E255" s="3821"/>
    </row>
    <row r="256" spans="5:5" x14ac:dyDescent="0.25">
      <c r="E256" s="3821"/>
    </row>
    <row r="257" spans="5:5" x14ac:dyDescent="0.25">
      <c r="E257" s="3821"/>
    </row>
    <row r="258" spans="5:5" x14ac:dyDescent="0.25">
      <c r="E258" s="3821"/>
    </row>
    <row r="259" spans="5:5" x14ac:dyDescent="0.25">
      <c r="E259" s="3821"/>
    </row>
    <row r="260" spans="5:5" x14ac:dyDescent="0.25">
      <c r="E260" s="3821"/>
    </row>
    <row r="261" spans="5:5" x14ac:dyDescent="0.25">
      <c r="E261" s="3821"/>
    </row>
    <row r="262" spans="5:5" x14ac:dyDescent="0.25">
      <c r="E262" s="3821"/>
    </row>
    <row r="263" spans="5:5" x14ac:dyDescent="0.25">
      <c r="E263" s="3821"/>
    </row>
    <row r="264" spans="5:5" x14ac:dyDescent="0.25">
      <c r="E264" s="3821"/>
    </row>
    <row r="265" spans="5:5" x14ac:dyDescent="0.25">
      <c r="E265" s="3821"/>
    </row>
    <row r="266" spans="5:5" x14ac:dyDescent="0.25">
      <c r="E266" s="3821"/>
    </row>
    <row r="267" spans="5:5" x14ac:dyDescent="0.25">
      <c r="E267" s="3821"/>
    </row>
    <row r="268" spans="5:5" x14ac:dyDescent="0.25">
      <c r="E268" s="3821"/>
    </row>
    <row r="269" spans="5:5" x14ac:dyDescent="0.25">
      <c r="E269" s="3821"/>
    </row>
    <row r="270" spans="5:5" x14ac:dyDescent="0.25">
      <c r="E270" s="3821"/>
    </row>
    <row r="271" spans="5:5" x14ac:dyDescent="0.25">
      <c r="E271" s="3821"/>
    </row>
    <row r="272" spans="5:5" x14ac:dyDescent="0.25">
      <c r="E272" s="3821"/>
    </row>
    <row r="273" spans="5:5" x14ac:dyDescent="0.25">
      <c r="E273" s="3821"/>
    </row>
    <row r="274" spans="5:5" x14ac:dyDescent="0.25">
      <c r="E274" s="3821"/>
    </row>
    <row r="275" spans="5:5" x14ac:dyDescent="0.25">
      <c r="E275" s="3821"/>
    </row>
    <row r="276" spans="5:5" x14ac:dyDescent="0.25">
      <c r="E276" s="3821"/>
    </row>
    <row r="277" spans="5:5" x14ac:dyDescent="0.25">
      <c r="E277" s="3821"/>
    </row>
    <row r="278" spans="5:5" x14ac:dyDescent="0.25">
      <c r="E278" s="3821"/>
    </row>
    <row r="279" spans="5:5" x14ac:dyDescent="0.25">
      <c r="E279" s="3821"/>
    </row>
    <row r="280" spans="5:5" x14ac:dyDescent="0.25">
      <c r="E280" s="3821"/>
    </row>
    <row r="281" spans="5:5" x14ac:dyDescent="0.25">
      <c r="E281" s="3821"/>
    </row>
    <row r="282" spans="5:5" x14ac:dyDescent="0.25">
      <c r="E282" s="3821"/>
    </row>
    <row r="283" spans="5:5" x14ac:dyDescent="0.25">
      <c r="E283" s="3821"/>
    </row>
    <row r="284" spans="5:5" x14ac:dyDescent="0.25">
      <c r="E284" s="3821"/>
    </row>
    <row r="285" spans="5:5" x14ac:dyDescent="0.25">
      <c r="E285" s="3821"/>
    </row>
    <row r="286" spans="5:5" x14ac:dyDescent="0.25">
      <c r="E286" s="3821"/>
    </row>
    <row r="287" spans="5:5" x14ac:dyDescent="0.25">
      <c r="E287" s="3821"/>
    </row>
    <row r="288" spans="5:5" x14ac:dyDescent="0.25">
      <c r="E288" s="3821"/>
    </row>
    <row r="289" spans="5:5" x14ac:dyDescent="0.25">
      <c r="E289" s="3821"/>
    </row>
    <row r="290" spans="5:5" x14ac:dyDescent="0.25">
      <c r="E290" s="3821"/>
    </row>
    <row r="291" spans="5:5" x14ac:dyDescent="0.25">
      <c r="E291" s="3821"/>
    </row>
    <row r="292" spans="5:5" x14ac:dyDescent="0.25">
      <c r="E292" s="3821"/>
    </row>
    <row r="293" spans="5:5" x14ac:dyDescent="0.25">
      <c r="E293" s="3821"/>
    </row>
    <row r="294" spans="5:5" x14ac:dyDescent="0.25">
      <c r="E294" s="3821"/>
    </row>
    <row r="295" spans="5:5" x14ac:dyDescent="0.25">
      <c r="E295" s="3821"/>
    </row>
    <row r="296" spans="5:5" x14ac:dyDescent="0.25">
      <c r="E296" s="3821"/>
    </row>
    <row r="297" spans="5:5" x14ac:dyDescent="0.25">
      <c r="E297" s="3821"/>
    </row>
    <row r="298" spans="5:5" x14ac:dyDescent="0.25">
      <c r="E298" s="3821"/>
    </row>
    <row r="299" spans="5:5" x14ac:dyDescent="0.25">
      <c r="E299" s="3821"/>
    </row>
    <row r="300" spans="5:5" x14ac:dyDescent="0.25">
      <c r="E300" s="3821"/>
    </row>
    <row r="301" spans="5:5" x14ac:dyDescent="0.25">
      <c r="E301" s="3821"/>
    </row>
    <row r="302" spans="5:5" x14ac:dyDescent="0.25">
      <c r="E302" s="3821"/>
    </row>
    <row r="303" spans="5:5" x14ac:dyDescent="0.25">
      <c r="E303" s="3821"/>
    </row>
    <row r="304" spans="5:5" x14ac:dyDescent="0.25">
      <c r="E304" s="3821"/>
    </row>
    <row r="305" spans="5:5" x14ac:dyDescent="0.25">
      <c r="E305" s="3821"/>
    </row>
    <row r="306" spans="5:5" x14ac:dyDescent="0.25">
      <c r="E306" s="3821"/>
    </row>
    <row r="307" spans="5:5" x14ac:dyDescent="0.25">
      <c r="E307" s="3821"/>
    </row>
    <row r="308" spans="5:5" x14ac:dyDescent="0.25">
      <c r="E308" s="3821"/>
    </row>
    <row r="309" spans="5:5" x14ac:dyDescent="0.25">
      <c r="E309" s="3821"/>
    </row>
    <row r="310" spans="5:5" x14ac:dyDescent="0.25">
      <c r="E310" s="3821"/>
    </row>
    <row r="311" spans="5:5" x14ac:dyDescent="0.25">
      <c r="E311" s="3821"/>
    </row>
    <row r="312" spans="5:5" x14ac:dyDescent="0.25">
      <c r="E312" s="3821"/>
    </row>
    <row r="313" spans="5:5" x14ac:dyDescent="0.25">
      <c r="E313" s="3821"/>
    </row>
    <row r="314" spans="5:5" x14ac:dyDescent="0.25">
      <c r="E314" s="3821"/>
    </row>
    <row r="315" spans="5:5" x14ac:dyDescent="0.25">
      <c r="E315" s="3821"/>
    </row>
    <row r="316" spans="5:5" x14ac:dyDescent="0.25">
      <c r="E316" s="3821"/>
    </row>
    <row r="317" spans="5:5" x14ac:dyDescent="0.25">
      <c r="E317" s="3821"/>
    </row>
    <row r="318" spans="5:5" x14ac:dyDescent="0.25">
      <c r="E318" s="3821"/>
    </row>
    <row r="319" spans="5:5" x14ac:dyDescent="0.25">
      <c r="E319" s="3821"/>
    </row>
    <row r="320" spans="5:5" x14ac:dyDescent="0.25">
      <c r="E320" s="3821"/>
    </row>
    <row r="321" spans="5:5" x14ac:dyDescent="0.25">
      <c r="E321" s="3821"/>
    </row>
    <row r="322" spans="5:5" x14ac:dyDescent="0.25">
      <c r="E322" s="3821"/>
    </row>
    <row r="323" spans="5:5" x14ac:dyDescent="0.25">
      <c r="E323" s="3821"/>
    </row>
    <row r="324" spans="5:5" x14ac:dyDescent="0.25">
      <c r="E324" s="3821"/>
    </row>
    <row r="325" spans="5:5" x14ac:dyDescent="0.25">
      <c r="E325" s="3821"/>
    </row>
    <row r="326" spans="5:5" x14ac:dyDescent="0.25">
      <c r="E326" s="3821"/>
    </row>
    <row r="327" spans="5:5" x14ac:dyDescent="0.25">
      <c r="E327" s="3821"/>
    </row>
    <row r="328" spans="5:5" x14ac:dyDescent="0.25">
      <c r="E328" s="3821"/>
    </row>
    <row r="329" spans="5:5" x14ac:dyDescent="0.25">
      <c r="E329" s="3821"/>
    </row>
    <row r="330" spans="5:5" x14ac:dyDescent="0.25">
      <c r="E330" s="3821"/>
    </row>
    <row r="331" spans="5:5" x14ac:dyDescent="0.25">
      <c r="E331" s="3821"/>
    </row>
    <row r="332" spans="5:5" x14ac:dyDescent="0.25">
      <c r="E332" s="3821"/>
    </row>
    <row r="333" spans="5:5" x14ac:dyDescent="0.25">
      <c r="E333" s="3821"/>
    </row>
    <row r="334" spans="5:5" x14ac:dyDescent="0.25">
      <c r="E334" s="3821"/>
    </row>
    <row r="335" spans="5:5" x14ac:dyDescent="0.25">
      <c r="E335" s="3821"/>
    </row>
    <row r="336" spans="5:5" x14ac:dyDescent="0.25">
      <c r="E336" s="3821"/>
    </row>
    <row r="337" spans="5:5" x14ac:dyDescent="0.25">
      <c r="E337" s="3821"/>
    </row>
    <row r="338" spans="5:5" x14ac:dyDescent="0.25">
      <c r="E338" s="3821"/>
    </row>
    <row r="339" spans="5:5" x14ac:dyDescent="0.25">
      <c r="E339" s="3821"/>
    </row>
    <row r="340" spans="5:5" x14ac:dyDescent="0.25">
      <c r="E340" s="3821"/>
    </row>
    <row r="341" spans="5:5" x14ac:dyDescent="0.25">
      <c r="E341" s="3821"/>
    </row>
    <row r="342" spans="5:5" x14ac:dyDescent="0.25">
      <c r="E342" s="3821"/>
    </row>
    <row r="343" spans="5:5" x14ac:dyDescent="0.25">
      <c r="E343" s="3821"/>
    </row>
    <row r="344" spans="5:5" x14ac:dyDescent="0.25">
      <c r="E344" s="3821"/>
    </row>
    <row r="345" spans="5:5" x14ac:dyDescent="0.25">
      <c r="E345" s="3821"/>
    </row>
    <row r="346" spans="5:5" x14ac:dyDescent="0.25">
      <c r="E346" s="3821"/>
    </row>
    <row r="347" spans="5:5" x14ac:dyDescent="0.25">
      <c r="E347" s="3821"/>
    </row>
    <row r="348" spans="5:5" x14ac:dyDescent="0.25">
      <c r="E348" s="3821"/>
    </row>
    <row r="349" spans="5:5" x14ac:dyDescent="0.25">
      <c r="E349" s="3821"/>
    </row>
    <row r="350" spans="5:5" x14ac:dyDescent="0.25">
      <c r="E350" s="3821"/>
    </row>
    <row r="351" spans="5:5" x14ac:dyDescent="0.25">
      <c r="E351" s="3821"/>
    </row>
    <row r="352" spans="5:5" x14ac:dyDescent="0.25">
      <c r="E352" s="3821"/>
    </row>
    <row r="353" spans="5:5" x14ac:dyDescent="0.25">
      <c r="E353" s="3821"/>
    </row>
    <row r="354" spans="5:5" x14ac:dyDescent="0.25">
      <c r="E354" s="3821"/>
    </row>
    <row r="355" spans="5:5" x14ac:dyDescent="0.25">
      <c r="E355" s="3821"/>
    </row>
    <row r="356" spans="5:5" x14ac:dyDescent="0.25">
      <c r="E356" s="3821"/>
    </row>
    <row r="357" spans="5:5" x14ac:dyDescent="0.25">
      <c r="E357" s="3821"/>
    </row>
    <row r="358" spans="5:5" x14ac:dyDescent="0.25">
      <c r="E358" s="3821"/>
    </row>
    <row r="359" spans="5:5" x14ac:dyDescent="0.25">
      <c r="E359" s="3821"/>
    </row>
    <row r="360" spans="5:5" x14ac:dyDescent="0.25">
      <c r="E360" s="3821"/>
    </row>
    <row r="361" spans="5:5" x14ac:dyDescent="0.25">
      <c r="E361" s="3821"/>
    </row>
    <row r="362" spans="5:5" x14ac:dyDescent="0.25">
      <c r="E362" s="3821"/>
    </row>
    <row r="363" spans="5:5" x14ac:dyDescent="0.25">
      <c r="E363" s="3821"/>
    </row>
    <row r="364" spans="5:5" x14ac:dyDescent="0.25">
      <c r="E364" s="3821"/>
    </row>
    <row r="365" spans="5:5" x14ac:dyDescent="0.25">
      <c r="E365" s="3821"/>
    </row>
    <row r="366" spans="5:5" x14ac:dyDescent="0.25">
      <c r="E366" s="3821"/>
    </row>
    <row r="367" spans="5:5" x14ac:dyDescent="0.25">
      <c r="E367" s="3821"/>
    </row>
    <row r="368" spans="5:5" x14ac:dyDescent="0.25">
      <c r="E368" s="3821"/>
    </row>
    <row r="369" spans="5:5" x14ac:dyDescent="0.25">
      <c r="E369" s="3821"/>
    </row>
    <row r="370" spans="5:5" x14ac:dyDescent="0.25">
      <c r="E370" s="3821"/>
    </row>
    <row r="371" spans="5:5" x14ac:dyDescent="0.25">
      <c r="E371" s="3821"/>
    </row>
    <row r="372" spans="5:5" x14ac:dyDescent="0.25">
      <c r="E372" s="3821"/>
    </row>
    <row r="373" spans="5:5" x14ac:dyDescent="0.25">
      <c r="E373" s="3821"/>
    </row>
    <row r="374" spans="5:5" x14ac:dyDescent="0.25">
      <c r="E374" s="3821"/>
    </row>
    <row r="375" spans="5:5" x14ac:dyDescent="0.25">
      <c r="E375" s="3821"/>
    </row>
    <row r="376" spans="5:5" x14ac:dyDescent="0.25">
      <c r="E376" s="3821"/>
    </row>
    <row r="377" spans="5:5" x14ac:dyDescent="0.25">
      <c r="E377" s="3821"/>
    </row>
    <row r="378" spans="5:5" x14ac:dyDescent="0.25">
      <c r="E378" s="3821"/>
    </row>
    <row r="379" spans="5:5" x14ac:dyDescent="0.25">
      <c r="E379" s="3821"/>
    </row>
    <row r="380" spans="5:5" x14ac:dyDescent="0.25">
      <c r="E380" s="3821"/>
    </row>
    <row r="381" spans="5:5" x14ac:dyDescent="0.25">
      <c r="E381" s="3821"/>
    </row>
    <row r="382" spans="5:5" x14ac:dyDescent="0.25">
      <c r="E382" s="3821"/>
    </row>
    <row r="383" spans="5:5" x14ac:dyDescent="0.25">
      <c r="E383" s="3821"/>
    </row>
    <row r="384" spans="5:5" x14ac:dyDescent="0.25">
      <c r="E384" s="3821"/>
    </row>
    <row r="385" spans="5:5" x14ac:dyDescent="0.25">
      <c r="E385" s="3821"/>
    </row>
    <row r="386" spans="5:5" x14ac:dyDescent="0.25">
      <c r="E386" s="3821"/>
    </row>
    <row r="387" spans="5:5" x14ac:dyDescent="0.25">
      <c r="E387" s="3821"/>
    </row>
    <row r="388" spans="5:5" x14ac:dyDescent="0.25">
      <c r="E388" s="3821"/>
    </row>
    <row r="389" spans="5:5" x14ac:dyDescent="0.25">
      <c r="E389" s="3821"/>
    </row>
    <row r="390" spans="5:5" x14ac:dyDescent="0.25">
      <c r="E390" s="3821"/>
    </row>
    <row r="391" spans="5:5" x14ac:dyDescent="0.25">
      <c r="E391" s="3821"/>
    </row>
    <row r="392" spans="5:5" x14ac:dyDescent="0.25">
      <c r="E392" s="3821"/>
    </row>
    <row r="393" spans="5:5" x14ac:dyDescent="0.25">
      <c r="E393" s="3821"/>
    </row>
    <row r="394" spans="5:5" x14ac:dyDescent="0.25">
      <c r="E394" s="3821"/>
    </row>
    <row r="395" spans="5:5" x14ac:dyDescent="0.25">
      <c r="E395" s="3821"/>
    </row>
    <row r="396" spans="5:5" x14ac:dyDescent="0.25">
      <c r="E396" s="3821"/>
    </row>
    <row r="397" spans="5:5" x14ac:dyDescent="0.25">
      <c r="E397" s="3821"/>
    </row>
    <row r="398" spans="5:5" x14ac:dyDescent="0.25">
      <c r="E398" s="3821"/>
    </row>
    <row r="399" spans="5:5" x14ac:dyDescent="0.25">
      <c r="E399" s="3821"/>
    </row>
    <row r="400" spans="5:5" x14ac:dyDescent="0.25">
      <c r="E400" s="3821"/>
    </row>
    <row r="401" spans="5:5" x14ac:dyDescent="0.25">
      <c r="E401" s="3821"/>
    </row>
    <row r="402" spans="5:5" x14ac:dyDescent="0.25">
      <c r="E402" s="3821"/>
    </row>
    <row r="403" spans="5:5" x14ac:dyDescent="0.25">
      <c r="E403" s="3821"/>
    </row>
    <row r="404" spans="5:5" x14ac:dyDescent="0.25">
      <c r="E404" s="3821"/>
    </row>
    <row r="405" spans="5:5" x14ac:dyDescent="0.25">
      <c r="E405" s="3821"/>
    </row>
    <row r="406" spans="5:5" x14ac:dyDescent="0.25">
      <c r="E406" s="3821"/>
    </row>
    <row r="407" spans="5:5" x14ac:dyDescent="0.25">
      <c r="E407" s="3821"/>
    </row>
    <row r="408" spans="5:5" x14ac:dyDescent="0.25">
      <c r="E408" s="3821"/>
    </row>
    <row r="409" spans="5:5" x14ac:dyDescent="0.25">
      <c r="E409" s="3821"/>
    </row>
    <row r="410" spans="5:5" x14ac:dyDescent="0.25">
      <c r="E410" s="3821"/>
    </row>
    <row r="411" spans="5:5" x14ac:dyDescent="0.25">
      <c r="E411" s="3821"/>
    </row>
    <row r="412" spans="5:5" x14ac:dyDescent="0.25">
      <c r="E412" s="3821"/>
    </row>
    <row r="413" spans="5:5" x14ac:dyDescent="0.25">
      <c r="E413" s="3821"/>
    </row>
    <row r="414" spans="5:5" x14ac:dyDescent="0.25">
      <c r="E414" s="3821"/>
    </row>
    <row r="415" spans="5:5" x14ac:dyDescent="0.25">
      <c r="E415" s="3821"/>
    </row>
    <row r="416" spans="5:5" x14ac:dyDescent="0.25">
      <c r="E416" s="3821"/>
    </row>
    <row r="417" spans="5:5" x14ac:dyDescent="0.25">
      <c r="E417" s="3821"/>
    </row>
    <row r="418" spans="5:5" x14ac:dyDescent="0.25">
      <c r="E418" s="3821"/>
    </row>
    <row r="419" spans="5:5" x14ac:dyDescent="0.25">
      <c r="E419" s="3821"/>
    </row>
    <row r="420" spans="5:5" x14ac:dyDescent="0.25">
      <c r="E420" s="3821"/>
    </row>
    <row r="421" spans="5:5" x14ac:dyDescent="0.25">
      <c r="E421" s="3821"/>
    </row>
    <row r="422" spans="5:5" x14ac:dyDescent="0.25">
      <c r="E422" s="3821"/>
    </row>
    <row r="423" spans="5:5" x14ac:dyDescent="0.25">
      <c r="E423" s="3821"/>
    </row>
    <row r="424" spans="5:5" x14ac:dyDescent="0.25">
      <c r="E424" s="3821"/>
    </row>
    <row r="425" spans="5:5" x14ac:dyDescent="0.25">
      <c r="E425" s="3821"/>
    </row>
    <row r="426" spans="5:5" x14ac:dyDescent="0.25">
      <c r="E426" s="3821"/>
    </row>
    <row r="427" spans="5:5" x14ac:dyDescent="0.25">
      <c r="E427" s="3821"/>
    </row>
    <row r="428" spans="5:5" x14ac:dyDescent="0.25">
      <c r="E428" s="3821"/>
    </row>
    <row r="429" spans="5:5" x14ac:dyDescent="0.25">
      <c r="E429" s="3821"/>
    </row>
    <row r="430" spans="5:5" x14ac:dyDescent="0.25">
      <c r="E430" s="3821"/>
    </row>
    <row r="431" spans="5:5" x14ac:dyDescent="0.25">
      <c r="E431" s="3821"/>
    </row>
    <row r="432" spans="5:5" x14ac:dyDescent="0.25">
      <c r="E432" s="3821"/>
    </row>
    <row r="433" spans="5:5" x14ac:dyDescent="0.25">
      <c r="E433" s="3821"/>
    </row>
    <row r="434" spans="5:5" x14ac:dyDescent="0.25">
      <c r="E434" s="3821"/>
    </row>
    <row r="435" spans="5:5" x14ac:dyDescent="0.25">
      <c r="E435" s="3821"/>
    </row>
    <row r="436" spans="5:5" x14ac:dyDescent="0.25">
      <c r="E436" s="3821"/>
    </row>
    <row r="437" spans="5:5" x14ac:dyDescent="0.25">
      <c r="E437" s="3821"/>
    </row>
    <row r="438" spans="5:5" x14ac:dyDescent="0.25">
      <c r="E438" s="3821"/>
    </row>
    <row r="439" spans="5:5" x14ac:dyDescent="0.25">
      <c r="E439" s="3821"/>
    </row>
    <row r="440" spans="5:5" x14ac:dyDescent="0.25">
      <c r="E440" s="3821"/>
    </row>
    <row r="441" spans="5:5" x14ac:dyDescent="0.25">
      <c r="E441" s="3821"/>
    </row>
    <row r="442" spans="5:5" x14ac:dyDescent="0.25">
      <c r="E442" s="3821"/>
    </row>
    <row r="443" spans="5:5" x14ac:dyDescent="0.25">
      <c r="E443" s="3821"/>
    </row>
    <row r="444" spans="5:5" x14ac:dyDescent="0.25">
      <c r="E444" s="3821"/>
    </row>
    <row r="445" spans="5:5" x14ac:dyDescent="0.25">
      <c r="E445" s="3821"/>
    </row>
    <row r="446" spans="5:5" x14ac:dyDescent="0.25">
      <c r="E446" s="3821"/>
    </row>
    <row r="447" spans="5:5" x14ac:dyDescent="0.25">
      <c r="E447" s="3821"/>
    </row>
    <row r="448" spans="5:5" x14ac:dyDescent="0.25">
      <c r="E448" s="3821"/>
    </row>
    <row r="449" spans="5:5" x14ac:dyDescent="0.25">
      <c r="E449" s="3821"/>
    </row>
    <row r="450" spans="5:5" x14ac:dyDescent="0.25">
      <c r="E450" s="3821"/>
    </row>
    <row r="451" spans="5:5" x14ac:dyDescent="0.25">
      <c r="E451" s="3821"/>
    </row>
    <row r="452" spans="5:5" x14ac:dyDescent="0.25">
      <c r="E452" s="3821"/>
    </row>
    <row r="453" spans="5:5" x14ac:dyDescent="0.25">
      <c r="E453" s="3821"/>
    </row>
    <row r="454" spans="5:5" x14ac:dyDescent="0.25">
      <c r="E454" s="3821"/>
    </row>
    <row r="455" spans="5:5" x14ac:dyDescent="0.25">
      <c r="E455" s="3821"/>
    </row>
    <row r="456" spans="5:5" x14ac:dyDescent="0.25">
      <c r="E456" s="3821"/>
    </row>
    <row r="457" spans="5:5" x14ac:dyDescent="0.25">
      <c r="E457" s="3821"/>
    </row>
    <row r="458" spans="5:5" x14ac:dyDescent="0.25">
      <c r="E458" s="3821"/>
    </row>
    <row r="459" spans="5:5" x14ac:dyDescent="0.25">
      <c r="E459" s="3821"/>
    </row>
    <row r="460" spans="5:5" x14ac:dyDescent="0.25">
      <c r="E460" s="3821"/>
    </row>
    <row r="461" spans="5:5" x14ac:dyDescent="0.25">
      <c r="E461" s="3821"/>
    </row>
    <row r="462" spans="5:5" x14ac:dyDescent="0.25">
      <c r="E462" s="3821"/>
    </row>
    <row r="463" spans="5:5" x14ac:dyDescent="0.25">
      <c r="E463" s="3821"/>
    </row>
    <row r="464" spans="5:5" x14ac:dyDescent="0.25">
      <c r="E464" s="3821"/>
    </row>
    <row r="465" spans="5:5" x14ac:dyDescent="0.25">
      <c r="E465" s="3821"/>
    </row>
    <row r="466" spans="5:5" x14ac:dyDescent="0.25">
      <c r="E466" s="3821"/>
    </row>
    <row r="467" spans="5:5" x14ac:dyDescent="0.25">
      <c r="E467" s="3821"/>
    </row>
    <row r="468" spans="5:5" x14ac:dyDescent="0.25">
      <c r="E468" s="3821"/>
    </row>
    <row r="469" spans="5:5" x14ac:dyDescent="0.25">
      <c r="E469" s="3821"/>
    </row>
    <row r="470" spans="5:5" x14ac:dyDescent="0.25">
      <c r="E470" s="3821"/>
    </row>
    <row r="471" spans="5:5" x14ac:dyDescent="0.25">
      <c r="E471" s="3821"/>
    </row>
    <row r="472" spans="5:5" x14ac:dyDescent="0.25">
      <c r="E472" s="3821"/>
    </row>
    <row r="473" spans="5:5" x14ac:dyDescent="0.25">
      <c r="E473" s="3821"/>
    </row>
    <row r="474" spans="5:5" x14ac:dyDescent="0.25">
      <c r="E474" s="3821"/>
    </row>
    <row r="475" spans="5:5" x14ac:dyDescent="0.25">
      <c r="E475" s="3821"/>
    </row>
    <row r="476" spans="5:5" x14ac:dyDescent="0.25">
      <c r="E476" s="3821"/>
    </row>
    <row r="477" spans="5:5" x14ac:dyDescent="0.25">
      <c r="E477" s="3821"/>
    </row>
    <row r="478" spans="5:5" x14ac:dyDescent="0.25">
      <c r="E478" s="3821"/>
    </row>
    <row r="479" spans="5:5" x14ac:dyDescent="0.25">
      <c r="E479" s="3821"/>
    </row>
    <row r="480" spans="5:5" x14ac:dyDescent="0.25">
      <c r="E480" s="3821"/>
    </row>
    <row r="481" spans="5:5" x14ac:dyDescent="0.25">
      <c r="E481" s="3821"/>
    </row>
    <row r="482" spans="5:5" x14ac:dyDescent="0.25">
      <c r="E482" s="3821"/>
    </row>
  </sheetData>
  <mergeCells count="7">
    <mergeCell ref="D38:AC38"/>
    <mergeCell ref="D39:AC39"/>
    <mergeCell ref="D2:AC2"/>
    <mergeCell ref="D3:AC3"/>
    <mergeCell ref="D4:AC4"/>
    <mergeCell ref="D36:AC36"/>
    <mergeCell ref="D37:AC37"/>
  </mergeCells>
  <pageMargins left="0.74803149606299202" right="0.74803149606299202" top="0.98425196850393704" bottom="0.98425196850393704" header="0.511811023622047" footer="0.511811023622047"/>
  <pageSetup paperSize="9" scale="72"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1650B-22AC-424D-B7FD-AB02098E7DF3}">
  <sheetPr>
    <tabColor theme="4" tint="-0.249977111117893"/>
    <pageSetUpPr fitToPage="1"/>
  </sheetPr>
  <dimension ref="A1:W279"/>
  <sheetViews>
    <sheetView showGridLines="0" view="pageBreakPreview" topLeftCell="A9" zoomScale="130" zoomScaleNormal="100" zoomScaleSheetLayoutView="130" workbookViewId="0">
      <selection activeCell="I8" sqref="I8"/>
    </sheetView>
  </sheetViews>
  <sheetFormatPr defaultColWidth="9.140625" defaultRowHeight="15" x14ac:dyDescent="0.25"/>
  <cols>
    <col min="1" max="1" width="3.85546875" style="1119" customWidth="1"/>
    <col min="2" max="2" width="4.140625" style="1119" customWidth="1"/>
    <col min="3" max="3" width="7.42578125" style="1119" customWidth="1"/>
    <col min="4" max="4" width="13.5703125" style="113" customWidth="1"/>
    <col min="5" max="6" width="7.5703125" style="113" customWidth="1"/>
    <col min="7" max="7" width="6.85546875" style="113" customWidth="1"/>
    <col min="8" max="8" width="7.42578125" style="113" customWidth="1"/>
    <col min="9" max="11" width="7.85546875" style="113" customWidth="1"/>
    <col min="12" max="12" width="8" style="113" customWidth="1"/>
    <col min="13" max="13" width="8.5703125" style="113" customWidth="1"/>
    <col min="14" max="14" width="7.85546875" style="113" customWidth="1"/>
    <col min="15" max="15" width="8" style="113" customWidth="1"/>
    <col min="16" max="16" width="6.85546875" style="113" customWidth="1"/>
    <col min="17" max="17" width="9" style="113" customWidth="1"/>
    <col min="18" max="18" width="8" style="113" customWidth="1"/>
    <col min="19" max="19" width="7.85546875" style="113" customWidth="1"/>
    <col min="20" max="16384" width="9.140625" style="113"/>
  </cols>
  <sheetData>
    <row r="1" spans="1:23" x14ac:dyDescent="0.25">
      <c r="D1" s="1137"/>
      <c r="E1" s="1137"/>
      <c r="F1" s="1137"/>
      <c r="G1" s="1137"/>
      <c r="H1" s="1137"/>
      <c r="I1" s="1137"/>
      <c r="J1" s="1137"/>
      <c r="K1" s="1137"/>
      <c r="L1" s="1137"/>
      <c r="M1" s="1137"/>
    </row>
    <row r="2" spans="1:23" ht="15.75" customHeight="1" x14ac:dyDescent="0.25">
      <c r="A2" s="509">
        <v>1</v>
      </c>
      <c r="B2" s="509" t="s">
        <v>1820</v>
      </c>
      <c r="C2" s="509">
        <v>68</v>
      </c>
      <c r="D2" s="4603" t="s">
        <v>1821</v>
      </c>
      <c r="E2" s="4604"/>
      <c r="F2" s="4604"/>
      <c r="G2" s="4604"/>
      <c r="H2" s="4604"/>
      <c r="I2" s="4604"/>
      <c r="J2" s="4604"/>
      <c r="K2" s="4604"/>
      <c r="L2" s="4604"/>
      <c r="M2" s="4604"/>
      <c r="N2" s="4604"/>
      <c r="O2" s="4604"/>
      <c r="P2" s="4604"/>
      <c r="Q2" s="4604"/>
      <c r="R2" s="4604"/>
      <c r="S2" s="4604"/>
      <c r="T2" s="4604"/>
      <c r="U2" s="4604"/>
      <c r="V2" s="4604"/>
      <c r="W2" s="4605"/>
    </row>
    <row r="3" spans="1:23" ht="15" customHeight="1" x14ac:dyDescent="0.25">
      <c r="A3" s="509">
        <v>2</v>
      </c>
      <c r="B3" s="509" t="s">
        <v>1822</v>
      </c>
      <c r="C3" s="509"/>
      <c r="D3" s="4603" t="s">
        <v>1789</v>
      </c>
      <c r="E3" s="4604"/>
      <c r="F3" s="4604"/>
      <c r="G3" s="4604"/>
      <c r="H3" s="4604"/>
      <c r="I3" s="4604"/>
      <c r="J3" s="4604"/>
      <c r="K3" s="4604"/>
      <c r="L3" s="4604"/>
      <c r="M3" s="4604"/>
      <c r="N3" s="4604"/>
      <c r="O3" s="4604"/>
      <c r="P3" s="4604"/>
      <c r="Q3" s="4604"/>
      <c r="R3" s="4604"/>
      <c r="S3" s="4604"/>
      <c r="T3" s="4604"/>
      <c r="U3" s="4604"/>
      <c r="V3" s="4604"/>
      <c r="W3" s="4605"/>
    </row>
    <row r="4" spans="1:23" ht="12.75" customHeight="1" x14ac:dyDescent="0.25">
      <c r="A4" s="509">
        <v>3</v>
      </c>
      <c r="B4" s="509" t="s">
        <v>4</v>
      </c>
      <c r="C4" s="1881"/>
      <c r="D4" s="4603" t="s">
        <v>1823</v>
      </c>
      <c r="E4" s="4604"/>
      <c r="F4" s="4604"/>
      <c r="G4" s="4604"/>
      <c r="H4" s="4604"/>
      <c r="I4" s="4604"/>
      <c r="J4" s="4604"/>
      <c r="K4" s="4604"/>
      <c r="L4" s="4604"/>
      <c r="M4" s="4604"/>
      <c r="N4" s="4604"/>
      <c r="O4" s="4604"/>
      <c r="P4" s="4604"/>
      <c r="Q4" s="4604"/>
      <c r="R4" s="4604"/>
      <c r="S4" s="4604"/>
      <c r="T4" s="4604"/>
      <c r="U4" s="4604"/>
      <c r="V4" s="4604"/>
      <c r="W4" s="4605"/>
    </row>
    <row r="5" spans="1:23" ht="12.75" customHeight="1" x14ac:dyDescent="0.25">
      <c r="A5" s="509"/>
      <c r="B5" s="509"/>
      <c r="D5" s="880"/>
      <c r="E5" s="880"/>
      <c r="F5" s="880"/>
      <c r="G5" s="880"/>
      <c r="H5" s="880"/>
      <c r="I5" s="880"/>
      <c r="J5" s="880"/>
      <c r="K5" s="880"/>
      <c r="L5" s="880"/>
      <c r="M5" s="880"/>
      <c r="N5" s="880"/>
      <c r="O5" s="880"/>
      <c r="P5" s="880"/>
      <c r="Q5" s="880"/>
      <c r="R5" s="880"/>
      <c r="S5" s="880"/>
      <c r="T5" s="880"/>
      <c r="U5" s="880"/>
      <c r="V5" s="880"/>
      <c r="W5" s="880"/>
    </row>
    <row r="6" spans="1:23" x14ac:dyDescent="0.25">
      <c r="A6" s="509">
        <v>4</v>
      </c>
      <c r="B6" s="509" t="s">
        <v>6</v>
      </c>
      <c r="D6" s="999" t="s">
        <v>1824</v>
      </c>
      <c r="E6" s="999"/>
      <c r="F6" s="999"/>
      <c r="G6" s="999"/>
      <c r="H6" s="999"/>
      <c r="I6" s="999"/>
      <c r="J6" s="999"/>
      <c r="K6" s="999"/>
    </row>
    <row r="7" spans="1:23" ht="12.75" customHeight="1" x14ac:dyDescent="0.25">
      <c r="A7" s="860"/>
      <c r="D7" s="3133"/>
      <c r="E7" s="3134">
        <v>2007</v>
      </c>
      <c r="F7" s="3134">
        <v>2011</v>
      </c>
      <c r="G7" s="3134">
        <v>2012</v>
      </c>
      <c r="H7" s="3134" t="s">
        <v>26</v>
      </c>
      <c r="I7" s="3134" t="s">
        <v>27</v>
      </c>
      <c r="J7" s="3134" t="s">
        <v>28</v>
      </c>
      <c r="K7" s="3134" t="s">
        <v>29</v>
      </c>
      <c r="L7" s="3135" t="s">
        <v>30</v>
      </c>
      <c r="M7" s="3135" t="s">
        <v>31</v>
      </c>
      <c r="N7" s="3135" t="s">
        <v>32</v>
      </c>
      <c r="O7" s="3135" t="s">
        <v>33</v>
      </c>
      <c r="P7" s="3135" t="s">
        <v>59</v>
      </c>
    </row>
    <row r="8" spans="1:23" ht="14.1" customHeight="1" x14ac:dyDescent="0.25">
      <c r="A8" s="860"/>
      <c r="D8" s="1017" t="s">
        <v>1825</v>
      </c>
      <c r="E8" s="769">
        <v>76</v>
      </c>
      <c r="F8" s="769">
        <v>88.4</v>
      </c>
      <c r="G8" s="769">
        <v>85.1</v>
      </c>
      <c r="H8" s="769">
        <v>86.8</v>
      </c>
      <c r="I8" s="769">
        <v>85.4</v>
      </c>
      <c r="J8" s="769">
        <v>83.7</v>
      </c>
      <c r="K8" s="773">
        <v>84.8</v>
      </c>
      <c r="L8" s="3136">
        <v>79.099999999999994</v>
      </c>
      <c r="M8" s="3136">
        <v>82.6</v>
      </c>
      <c r="N8" s="3136">
        <v>86.9</v>
      </c>
      <c r="O8" s="3136">
        <v>84.8</v>
      </c>
      <c r="P8" s="3137">
        <v>81.3</v>
      </c>
    </row>
    <row r="9" spans="1:23" ht="14.1" customHeight="1" x14ac:dyDescent="0.25">
      <c r="A9" s="860"/>
      <c r="D9" s="1882" t="s">
        <v>1826</v>
      </c>
      <c r="E9" s="746">
        <v>23</v>
      </c>
      <c r="F9" s="746">
        <v>37.6</v>
      </c>
      <c r="G9" s="746">
        <v>36.5</v>
      </c>
      <c r="H9" s="746">
        <v>35</v>
      </c>
      <c r="I9" s="746">
        <v>31.2</v>
      </c>
      <c r="J9" s="746">
        <v>30.7</v>
      </c>
      <c r="K9" s="746">
        <v>29.4</v>
      </c>
      <c r="L9" s="1883">
        <v>32</v>
      </c>
      <c r="M9" s="1883">
        <v>35.1</v>
      </c>
      <c r="N9" s="1883">
        <v>41.8</v>
      </c>
      <c r="O9" s="1883">
        <v>40</v>
      </c>
      <c r="P9" s="3138">
        <v>36</v>
      </c>
    </row>
    <row r="10" spans="1:23" ht="14.1" customHeight="1" x14ac:dyDescent="0.25">
      <c r="A10" s="860"/>
      <c r="D10" s="1017"/>
      <c r="E10" s="769"/>
      <c r="F10" s="769"/>
      <c r="G10" s="769"/>
      <c r="H10" s="773"/>
      <c r="I10" s="773"/>
      <c r="J10" s="773"/>
      <c r="K10" s="773"/>
    </row>
    <row r="11" spans="1:23" ht="14.1" customHeight="1" x14ac:dyDescent="0.25">
      <c r="A11" s="860"/>
      <c r="D11" s="1017"/>
      <c r="E11" s="769"/>
      <c r="F11" s="769"/>
      <c r="G11" s="769"/>
      <c r="H11" s="773"/>
      <c r="I11" s="773"/>
      <c r="J11" s="773"/>
      <c r="K11" s="773"/>
    </row>
    <row r="12" spans="1:23" ht="14.1" customHeight="1" x14ac:dyDescent="0.25">
      <c r="A12" s="860"/>
      <c r="D12" s="1017"/>
      <c r="E12" s="773"/>
      <c r="F12" s="773"/>
      <c r="G12" s="773"/>
      <c r="H12" s="773"/>
      <c r="I12" s="773"/>
      <c r="J12" s="773"/>
      <c r="K12" s="773"/>
    </row>
    <row r="13" spans="1:23" ht="14.1" customHeight="1" x14ac:dyDescent="0.25">
      <c r="A13" s="860"/>
      <c r="D13" s="1017"/>
      <c r="E13" s="773"/>
      <c r="F13" s="773"/>
      <c r="G13" s="773"/>
      <c r="H13" s="773"/>
      <c r="I13" s="773"/>
      <c r="J13" s="773"/>
      <c r="K13" s="773"/>
    </row>
    <row r="14" spans="1:23" ht="14.1" customHeight="1" x14ac:dyDescent="0.25">
      <c r="A14" s="860"/>
      <c r="D14" s="999" t="s">
        <v>1827</v>
      </c>
      <c r="E14" s="773"/>
      <c r="F14" s="773"/>
      <c r="G14" s="773"/>
      <c r="H14" s="773"/>
      <c r="I14" s="671"/>
      <c r="J14" s="671"/>
      <c r="K14" s="671"/>
    </row>
    <row r="15" spans="1:23" ht="14.1" customHeight="1" x14ac:dyDescent="0.25">
      <c r="A15" s="860"/>
      <c r="D15" s="3139"/>
      <c r="E15" s="1884"/>
      <c r="F15" s="5073" t="s">
        <v>1828</v>
      </c>
      <c r="G15" s="5074"/>
      <c r="H15" s="5074"/>
      <c r="I15" s="5075" t="s">
        <v>1829</v>
      </c>
      <c r="J15" s="5076"/>
      <c r="K15" s="5076"/>
      <c r="L15" s="5075" t="s">
        <v>28</v>
      </c>
      <c r="M15" s="5076"/>
      <c r="N15" s="5077"/>
      <c r="O15" s="5075" t="s">
        <v>29</v>
      </c>
      <c r="P15" s="5076"/>
      <c r="Q15" s="5077"/>
      <c r="R15" s="5075" t="s">
        <v>30</v>
      </c>
      <c r="S15" s="5076"/>
      <c r="T15" s="5076"/>
      <c r="U15" s="5078" t="s">
        <v>31</v>
      </c>
      <c r="V15" s="5079"/>
      <c r="W15" s="5080"/>
    </row>
    <row r="16" spans="1:23" ht="24.6" customHeight="1" x14ac:dyDescent="0.25">
      <c r="A16" s="860"/>
      <c r="D16" s="1885"/>
      <c r="E16" s="3767" t="s">
        <v>1830</v>
      </c>
      <c r="F16" s="3140" t="s">
        <v>1831</v>
      </c>
      <c r="G16" s="3140" t="s">
        <v>1832</v>
      </c>
      <c r="H16" s="3767" t="s">
        <v>1830</v>
      </c>
      <c r="I16" s="3140" t="s">
        <v>1831</v>
      </c>
      <c r="J16" s="3140" t="s">
        <v>1832</v>
      </c>
      <c r="K16" s="3768" t="s">
        <v>1830</v>
      </c>
      <c r="L16" s="3140" t="s">
        <v>1831</v>
      </c>
      <c r="M16" s="3140" t="s">
        <v>1832</v>
      </c>
      <c r="N16" s="3141" t="s">
        <v>1830</v>
      </c>
      <c r="O16" s="3140" t="s">
        <v>1831</v>
      </c>
      <c r="P16" s="3140" t="s">
        <v>1832</v>
      </c>
      <c r="Q16" s="3141" t="s">
        <v>1830</v>
      </c>
      <c r="R16" s="3141" t="s">
        <v>1830</v>
      </c>
      <c r="S16" s="3140" t="s">
        <v>1831</v>
      </c>
      <c r="T16" s="3140" t="s">
        <v>1832</v>
      </c>
      <c r="U16" s="4383" t="s">
        <v>1830</v>
      </c>
      <c r="V16" s="4384" t="s">
        <v>1831</v>
      </c>
      <c r="W16" s="4385" t="s">
        <v>1832</v>
      </c>
    </row>
    <row r="17" spans="1:23" ht="14.1" customHeight="1" x14ac:dyDescent="0.25">
      <c r="A17" s="860"/>
      <c r="D17" s="88" t="s">
        <v>276</v>
      </c>
      <c r="E17" s="736">
        <v>28.3</v>
      </c>
      <c r="F17" s="3142">
        <v>40.299999999999997</v>
      </c>
      <c r="G17" s="3142">
        <v>27.4</v>
      </c>
      <c r="H17" s="769">
        <v>32.299999999999997</v>
      </c>
      <c r="I17" s="3142">
        <v>50.6</v>
      </c>
      <c r="J17" s="3142">
        <v>20.6</v>
      </c>
      <c r="K17" s="769">
        <v>28.8</v>
      </c>
      <c r="L17" s="3142">
        <v>45.8</v>
      </c>
      <c r="M17" s="3142">
        <v>18.8</v>
      </c>
      <c r="N17" s="3142">
        <v>35.6</v>
      </c>
      <c r="O17" s="3142">
        <v>47.1</v>
      </c>
      <c r="P17" s="3142">
        <v>17.399999999999999</v>
      </c>
      <c r="Q17" s="3142">
        <v>35.5</v>
      </c>
      <c r="R17" s="3142">
        <v>31.1</v>
      </c>
      <c r="S17" s="3142">
        <v>44.2</v>
      </c>
      <c r="T17" s="3142">
        <v>21.7</v>
      </c>
      <c r="U17" s="5081" t="s">
        <v>1833</v>
      </c>
      <c r="V17" s="5082"/>
      <c r="W17" s="5083"/>
    </row>
    <row r="18" spans="1:23" ht="14.1" customHeight="1" x14ac:dyDescent="0.25">
      <c r="A18" s="860"/>
      <c r="D18" s="88" t="s">
        <v>1834</v>
      </c>
      <c r="E18" s="736">
        <v>29.2</v>
      </c>
      <c r="F18" s="3142">
        <v>50.3</v>
      </c>
      <c r="G18" s="3142">
        <v>28.8</v>
      </c>
      <c r="H18" s="769">
        <v>20.9</v>
      </c>
      <c r="I18" s="3142">
        <v>46.8</v>
      </c>
      <c r="J18" s="3142">
        <v>30.4</v>
      </c>
      <c r="K18" s="769">
        <v>22.9</v>
      </c>
      <c r="L18" s="3142">
        <v>48</v>
      </c>
      <c r="M18" s="3142">
        <v>31</v>
      </c>
      <c r="N18" s="3142">
        <v>21</v>
      </c>
      <c r="O18" s="3142">
        <v>42.4</v>
      </c>
      <c r="P18" s="3142">
        <v>31.2</v>
      </c>
      <c r="Q18" s="3142">
        <v>26.4</v>
      </c>
      <c r="R18" s="3142">
        <v>23</v>
      </c>
      <c r="S18" s="3142">
        <v>47.3</v>
      </c>
      <c r="T18" s="3142">
        <v>27.1</v>
      </c>
      <c r="U18" s="5084"/>
      <c r="V18" s="5085"/>
      <c r="W18" s="5086"/>
    </row>
    <row r="19" spans="1:23" ht="14.1" customHeight="1" x14ac:dyDescent="0.25">
      <c r="A19" s="860"/>
      <c r="D19" s="88" t="s">
        <v>1751</v>
      </c>
      <c r="E19" s="736">
        <v>30.8</v>
      </c>
      <c r="F19" s="3142">
        <v>33.6</v>
      </c>
      <c r="G19" s="3142">
        <v>41.5</v>
      </c>
      <c r="H19" s="769">
        <v>24.8</v>
      </c>
      <c r="I19" s="3142">
        <v>40.6</v>
      </c>
      <c r="J19" s="3142">
        <v>34.6</v>
      </c>
      <c r="K19" s="769">
        <v>24.8</v>
      </c>
      <c r="L19" s="3142">
        <v>36.6</v>
      </c>
      <c r="M19" s="3142">
        <v>33.6</v>
      </c>
      <c r="N19" s="3142">
        <v>29.8</v>
      </c>
      <c r="O19" s="3142">
        <v>33</v>
      </c>
      <c r="P19" s="3142">
        <v>33</v>
      </c>
      <c r="Q19" s="3142">
        <v>34</v>
      </c>
      <c r="R19" s="3142">
        <v>28.1</v>
      </c>
      <c r="S19" s="3142">
        <v>37.700000000000003</v>
      </c>
      <c r="T19" s="3142">
        <v>26.5</v>
      </c>
      <c r="U19" s="5084"/>
      <c r="V19" s="5085"/>
      <c r="W19" s="5086"/>
    </row>
    <row r="20" spans="1:23" ht="14.1" customHeight="1" x14ac:dyDescent="0.25">
      <c r="A20" s="860"/>
      <c r="D20" s="88" t="s">
        <v>1835</v>
      </c>
      <c r="E20" s="736">
        <v>25.6</v>
      </c>
      <c r="F20" s="3142">
        <v>38.700000000000003</v>
      </c>
      <c r="G20" s="3142">
        <v>34.4</v>
      </c>
      <c r="H20" s="769">
        <v>26.9</v>
      </c>
      <c r="I20" s="3142">
        <v>43.1</v>
      </c>
      <c r="J20" s="3142">
        <v>33</v>
      </c>
      <c r="K20" s="769">
        <v>23.9</v>
      </c>
      <c r="L20" s="3142">
        <v>35.6</v>
      </c>
      <c r="M20" s="3142">
        <v>33.1</v>
      </c>
      <c r="N20" s="3142">
        <v>31.3</v>
      </c>
      <c r="O20" s="3142">
        <v>35.4</v>
      </c>
      <c r="P20" s="3142">
        <v>32.700000000000003</v>
      </c>
      <c r="Q20" s="3142">
        <v>32</v>
      </c>
      <c r="R20" s="3142">
        <v>29.1</v>
      </c>
      <c r="S20" s="3142">
        <v>38.6</v>
      </c>
      <c r="T20" s="3142">
        <v>28.8</v>
      </c>
      <c r="U20" s="5084"/>
      <c r="V20" s="5085"/>
      <c r="W20" s="5086"/>
    </row>
    <row r="21" spans="1:23" ht="14.1" customHeight="1" x14ac:dyDescent="0.25">
      <c r="A21" s="860"/>
      <c r="D21" s="88" t="s">
        <v>280</v>
      </c>
      <c r="E21" s="736">
        <v>24.3</v>
      </c>
      <c r="F21" s="3142">
        <v>46.1</v>
      </c>
      <c r="G21" s="3142">
        <v>32.700000000000003</v>
      </c>
      <c r="H21" s="769">
        <v>21.2</v>
      </c>
      <c r="I21" s="3142">
        <v>51.2</v>
      </c>
      <c r="J21" s="3142">
        <v>25.9</v>
      </c>
      <c r="K21" s="769">
        <v>22.8</v>
      </c>
      <c r="L21" s="3142">
        <v>45.8</v>
      </c>
      <c r="M21" s="3142">
        <v>29.6</v>
      </c>
      <c r="N21" s="3142">
        <v>24.6</v>
      </c>
      <c r="O21" s="3142">
        <v>45.2</v>
      </c>
      <c r="P21" s="3142">
        <v>25.8</v>
      </c>
      <c r="Q21" s="3142">
        <v>29</v>
      </c>
      <c r="R21" s="3142">
        <v>24.5</v>
      </c>
      <c r="S21" s="3142">
        <v>46.1</v>
      </c>
      <c r="T21" s="3142">
        <v>26.4</v>
      </c>
      <c r="U21" s="5084"/>
      <c r="V21" s="5085"/>
      <c r="W21" s="5086"/>
    </row>
    <row r="22" spans="1:23" ht="14.1" customHeight="1" x14ac:dyDescent="0.25">
      <c r="A22" s="860"/>
      <c r="D22" s="88" t="s">
        <v>1836</v>
      </c>
      <c r="E22" s="736">
        <v>21.4</v>
      </c>
      <c r="F22" s="3142">
        <v>37.299999999999997</v>
      </c>
      <c r="G22" s="3142">
        <v>32.200000000000003</v>
      </c>
      <c r="H22" s="769">
        <v>30.6</v>
      </c>
      <c r="I22" s="3142">
        <v>40.299999999999997</v>
      </c>
      <c r="J22" s="3142">
        <v>29.8</v>
      </c>
      <c r="K22" s="769">
        <v>29.9</v>
      </c>
      <c r="L22" s="3142">
        <v>38.4</v>
      </c>
      <c r="M22" s="3142">
        <v>31.8</v>
      </c>
      <c r="N22" s="3142">
        <v>29.8</v>
      </c>
      <c r="O22" s="3142">
        <v>32.799999999999997</v>
      </c>
      <c r="P22" s="3142">
        <v>35.5</v>
      </c>
      <c r="Q22" s="3142">
        <v>31.7</v>
      </c>
      <c r="R22" s="3142">
        <v>29.3</v>
      </c>
      <c r="S22" s="3142">
        <v>35.4</v>
      </c>
      <c r="T22" s="3142">
        <v>31.7</v>
      </c>
      <c r="U22" s="5084"/>
      <c r="V22" s="5085"/>
      <c r="W22" s="5086"/>
    </row>
    <row r="23" spans="1:23" ht="14.1" customHeight="1" x14ac:dyDescent="0.25">
      <c r="A23" s="860"/>
      <c r="D23" s="88" t="s">
        <v>282</v>
      </c>
      <c r="E23" s="736">
        <v>36.200000000000003</v>
      </c>
      <c r="F23" s="3142">
        <v>49.3</v>
      </c>
      <c r="G23" s="3142">
        <v>25.7</v>
      </c>
      <c r="H23" s="769">
        <v>25</v>
      </c>
      <c r="I23" s="3142">
        <v>53.9</v>
      </c>
      <c r="J23" s="3142">
        <v>23.9</v>
      </c>
      <c r="K23" s="769">
        <v>22.2</v>
      </c>
      <c r="L23" s="3142">
        <v>47.4</v>
      </c>
      <c r="M23" s="3142">
        <v>25.8</v>
      </c>
      <c r="N23" s="3142">
        <v>26.8</v>
      </c>
      <c r="O23" s="3142">
        <v>47.7</v>
      </c>
      <c r="P23" s="3142">
        <v>21.1</v>
      </c>
      <c r="Q23" s="3142">
        <v>31.2</v>
      </c>
      <c r="R23" s="3142">
        <v>30.7</v>
      </c>
      <c r="S23" s="3142">
        <v>47.5</v>
      </c>
      <c r="T23" s="3142">
        <v>17.399999999999999</v>
      </c>
      <c r="U23" s="5084"/>
      <c r="V23" s="5085"/>
      <c r="W23" s="5086"/>
    </row>
    <row r="24" spans="1:23" ht="14.1" customHeight="1" x14ac:dyDescent="0.25">
      <c r="A24" s="860"/>
      <c r="D24" s="88" t="s">
        <v>1837</v>
      </c>
      <c r="E24" s="736">
        <v>28.4</v>
      </c>
      <c r="F24" s="3142">
        <v>50.8</v>
      </c>
      <c r="G24" s="3142">
        <v>21.5</v>
      </c>
      <c r="H24" s="769">
        <v>27.8</v>
      </c>
      <c r="I24" s="3142">
        <v>53.4</v>
      </c>
      <c r="J24" s="3142">
        <v>20.2</v>
      </c>
      <c r="K24" s="769">
        <v>26.3</v>
      </c>
      <c r="L24" s="3142">
        <v>43.8</v>
      </c>
      <c r="M24" s="3142">
        <v>23.1</v>
      </c>
      <c r="N24" s="3142">
        <v>33.1</v>
      </c>
      <c r="O24" s="3142">
        <v>42.8</v>
      </c>
      <c r="P24" s="3142">
        <v>26.5</v>
      </c>
      <c r="Q24" s="3142">
        <v>30.7</v>
      </c>
      <c r="R24" s="3142">
        <v>22.1</v>
      </c>
      <c r="S24" s="3142">
        <v>43.1</v>
      </c>
      <c r="T24" s="3142">
        <v>23.6</v>
      </c>
      <c r="U24" s="5084"/>
      <c r="V24" s="5085"/>
      <c r="W24" s="5086"/>
    </row>
    <row r="25" spans="1:23" ht="14.1" customHeight="1" x14ac:dyDescent="0.25">
      <c r="A25" s="860"/>
      <c r="D25" s="3435" t="s">
        <v>284</v>
      </c>
      <c r="E25" s="3520">
        <v>34.6</v>
      </c>
      <c r="F25" s="3143">
        <v>51.7</v>
      </c>
      <c r="G25" s="3143">
        <v>13.8</v>
      </c>
      <c r="H25" s="3521">
        <v>34.4</v>
      </c>
      <c r="I25" s="3143">
        <v>57.7</v>
      </c>
      <c r="J25" s="3143">
        <v>12.3</v>
      </c>
      <c r="K25" s="3521">
        <v>29.9</v>
      </c>
      <c r="L25" s="3143">
        <v>52.2</v>
      </c>
      <c r="M25" s="3143">
        <v>12.9</v>
      </c>
      <c r="N25" s="3143">
        <v>34.9</v>
      </c>
      <c r="O25" s="3143">
        <v>47.1</v>
      </c>
      <c r="P25" s="3143">
        <v>14</v>
      </c>
      <c r="Q25" s="3143">
        <v>38.799999999999997</v>
      </c>
      <c r="R25" s="3143">
        <v>32.299999999999997</v>
      </c>
      <c r="S25" s="3143">
        <v>51.7</v>
      </c>
      <c r="T25" s="3143">
        <v>12.6</v>
      </c>
      <c r="U25" s="4386"/>
      <c r="V25" s="4386"/>
      <c r="W25" s="4387"/>
    </row>
    <row r="26" spans="1:23" ht="14.1" customHeight="1" x14ac:dyDescent="0.25">
      <c r="A26" s="860"/>
      <c r="D26" s="1886" t="s">
        <v>103</v>
      </c>
      <c r="E26" s="3144">
        <v>28.8</v>
      </c>
      <c r="F26" s="1887">
        <v>41.3</v>
      </c>
      <c r="G26" s="1887">
        <v>31.6</v>
      </c>
      <c r="H26" s="1888">
        <v>27</v>
      </c>
      <c r="I26" s="1887">
        <v>46.5</v>
      </c>
      <c r="J26" s="1887">
        <v>27.7</v>
      </c>
      <c r="K26" s="1888">
        <v>25.8</v>
      </c>
      <c r="L26" s="3144">
        <v>41.8</v>
      </c>
      <c r="M26" s="3144">
        <v>28.1</v>
      </c>
      <c r="N26" s="3144">
        <v>30.1</v>
      </c>
      <c r="O26" s="3144">
        <v>39.4</v>
      </c>
      <c r="P26" s="3144">
        <v>27.6</v>
      </c>
      <c r="Q26" s="3144">
        <v>33</v>
      </c>
      <c r="R26" s="3144">
        <v>28.6</v>
      </c>
      <c r="S26" s="3144">
        <v>42.1</v>
      </c>
      <c r="T26" s="3144">
        <v>24.5</v>
      </c>
      <c r="U26" s="4388"/>
      <c r="V26" s="4389"/>
      <c r="W26" s="4390"/>
    </row>
    <row r="27" spans="1:23" ht="14.1" customHeight="1" x14ac:dyDescent="0.25">
      <c r="A27" s="860"/>
      <c r="D27" s="1017"/>
      <c r="E27" s="773"/>
      <c r="F27" s="773"/>
      <c r="G27" s="773"/>
      <c r="H27" s="773"/>
      <c r="I27" s="773"/>
      <c r="J27" s="773"/>
      <c r="K27" s="773"/>
    </row>
    <row r="28" spans="1:23" ht="14.1" customHeight="1" x14ac:dyDescent="0.25">
      <c r="A28" s="860"/>
      <c r="D28" s="1327"/>
      <c r="E28" s="1331"/>
      <c r="F28" s="1331"/>
      <c r="G28" s="1331"/>
      <c r="H28" s="1331"/>
      <c r="I28" s="1331"/>
      <c r="J28" s="1331"/>
      <c r="K28" s="1331"/>
      <c r="L28" s="617"/>
      <c r="M28" s="617"/>
      <c r="N28" s="617"/>
      <c r="O28" s="617"/>
      <c r="P28" s="617"/>
      <c r="Q28" s="617"/>
      <c r="R28" s="617"/>
      <c r="S28" s="617"/>
    </row>
    <row r="29" spans="1:23" x14ac:dyDescent="0.25">
      <c r="A29" s="860"/>
      <c r="D29" s="1889" t="s">
        <v>1838</v>
      </c>
      <c r="E29" s="3145" t="s">
        <v>1839</v>
      </c>
      <c r="F29" s="3146"/>
      <c r="G29" s="1327"/>
      <c r="H29" s="1331"/>
      <c r="I29" s="1331"/>
      <c r="J29" s="1331"/>
      <c r="K29" s="1331"/>
      <c r="L29" s="617"/>
      <c r="M29" s="617"/>
      <c r="N29" s="617"/>
      <c r="O29" s="617"/>
      <c r="P29" s="617"/>
      <c r="Q29" s="617"/>
      <c r="R29" s="617"/>
      <c r="S29" s="617"/>
    </row>
    <row r="30" spans="1:23" x14ac:dyDescent="0.25">
      <c r="A30" s="860"/>
      <c r="D30" s="1017"/>
      <c r="E30" s="3135" t="s">
        <v>26</v>
      </c>
      <c r="F30" s="3135" t="s">
        <v>27</v>
      </c>
      <c r="G30" s="3135" t="s">
        <v>28</v>
      </c>
      <c r="H30" s="3135" t="s">
        <v>29</v>
      </c>
      <c r="I30" s="3135" t="s">
        <v>30</v>
      </c>
      <c r="J30" s="3135" t="s">
        <v>31</v>
      </c>
      <c r="K30" s="1331"/>
      <c r="L30" s="1331"/>
      <c r="M30" s="617"/>
      <c r="N30" s="617"/>
      <c r="O30" s="617"/>
      <c r="P30" s="617"/>
      <c r="Q30" s="617"/>
      <c r="R30" s="617"/>
      <c r="S30" s="617"/>
    </row>
    <row r="31" spans="1:23" ht="14.1" customHeight="1" x14ac:dyDescent="0.25">
      <c r="A31" s="860"/>
      <c r="D31" s="1017" t="s">
        <v>276</v>
      </c>
      <c r="E31" s="769">
        <v>66</v>
      </c>
      <c r="F31" s="769">
        <v>64.900000000000006</v>
      </c>
      <c r="G31" s="769">
        <v>64.900000000000006</v>
      </c>
      <c r="H31" s="769">
        <v>59</v>
      </c>
      <c r="I31" s="769">
        <v>56</v>
      </c>
      <c r="J31" s="5087" t="s">
        <v>1840</v>
      </c>
      <c r="K31" s="1331"/>
      <c r="L31" s="1331"/>
      <c r="M31" s="617"/>
      <c r="N31" s="617"/>
      <c r="O31" s="617"/>
      <c r="P31" s="617"/>
      <c r="Q31" s="617"/>
      <c r="R31" s="617"/>
      <c r="S31" s="617"/>
    </row>
    <row r="32" spans="1:23" ht="14.1" customHeight="1" x14ac:dyDescent="0.25">
      <c r="A32" s="860"/>
      <c r="D32" s="1017" t="s">
        <v>277</v>
      </c>
      <c r="E32" s="769">
        <v>60.9</v>
      </c>
      <c r="F32" s="769">
        <v>58.7</v>
      </c>
      <c r="G32" s="769">
        <v>58.7</v>
      </c>
      <c r="H32" s="769">
        <v>64</v>
      </c>
      <c r="I32" s="769">
        <v>64</v>
      </c>
      <c r="J32" s="5088"/>
      <c r="K32" s="1331"/>
      <c r="L32" s="1331"/>
      <c r="M32" s="617"/>
      <c r="N32" s="617"/>
      <c r="O32" s="617"/>
      <c r="P32" s="617"/>
      <c r="Q32" s="617"/>
      <c r="R32" s="617"/>
      <c r="S32" s="617"/>
    </row>
    <row r="33" spans="1:19" ht="14.1" customHeight="1" x14ac:dyDescent="0.25">
      <c r="A33" s="860"/>
      <c r="D33" s="1017" t="s">
        <v>278</v>
      </c>
      <c r="E33" s="769">
        <v>59.1</v>
      </c>
      <c r="F33" s="769">
        <v>57.5</v>
      </c>
      <c r="G33" s="769">
        <v>57.5</v>
      </c>
      <c r="H33" s="769">
        <v>57</v>
      </c>
      <c r="I33" s="769">
        <v>53</v>
      </c>
      <c r="J33" s="5088"/>
      <c r="K33" s="1331"/>
      <c r="L33" s="1331"/>
      <c r="M33" s="617"/>
      <c r="N33" s="617"/>
      <c r="O33" s="617"/>
      <c r="P33" s="617"/>
      <c r="Q33" s="617"/>
      <c r="R33" s="617"/>
      <c r="S33" s="617"/>
    </row>
    <row r="34" spans="1:19" ht="14.1" customHeight="1" x14ac:dyDescent="0.25">
      <c r="A34" s="860"/>
      <c r="D34" s="1017" t="s">
        <v>279</v>
      </c>
      <c r="E34" s="769">
        <v>56.5</v>
      </c>
      <c r="F34" s="769">
        <v>53</v>
      </c>
      <c r="G34" s="769">
        <v>53</v>
      </c>
      <c r="H34" s="769">
        <v>51</v>
      </c>
      <c r="I34" s="769">
        <v>50</v>
      </c>
      <c r="J34" s="5088"/>
      <c r="K34" s="1331"/>
      <c r="L34" s="1331"/>
      <c r="M34" s="617"/>
      <c r="N34" s="617"/>
      <c r="O34" s="617"/>
      <c r="P34" s="617"/>
      <c r="Q34" s="617"/>
      <c r="R34" s="617"/>
      <c r="S34" s="617"/>
    </row>
    <row r="35" spans="1:19" ht="14.1" customHeight="1" x14ac:dyDescent="0.25">
      <c r="A35" s="860"/>
      <c r="D35" s="1017" t="s">
        <v>280</v>
      </c>
      <c r="E35" s="769">
        <v>59.1</v>
      </c>
      <c r="F35" s="769">
        <v>58.8</v>
      </c>
      <c r="G35" s="769">
        <v>58.8</v>
      </c>
      <c r="H35" s="769">
        <v>65</v>
      </c>
      <c r="I35" s="769">
        <v>58</v>
      </c>
      <c r="J35" s="5088"/>
      <c r="K35" s="1331"/>
      <c r="L35" s="1331"/>
      <c r="M35" s="617"/>
      <c r="N35" s="617"/>
      <c r="O35" s="617"/>
      <c r="P35" s="617"/>
      <c r="Q35" s="617"/>
      <c r="R35" s="617"/>
      <c r="S35" s="617"/>
    </row>
    <row r="36" spans="1:19" ht="14.1" customHeight="1" x14ac:dyDescent="0.25">
      <c r="A36" s="860"/>
      <c r="D36" s="1017" t="s">
        <v>281</v>
      </c>
      <c r="E36" s="769">
        <v>56.5</v>
      </c>
      <c r="F36" s="769">
        <v>53.6</v>
      </c>
      <c r="G36" s="769">
        <v>53.6</v>
      </c>
      <c r="H36" s="769">
        <v>57</v>
      </c>
      <c r="I36" s="769">
        <v>56</v>
      </c>
      <c r="J36" s="5088"/>
      <c r="K36" s="1331"/>
      <c r="L36" s="1331"/>
      <c r="M36" s="617"/>
      <c r="N36" s="617"/>
      <c r="O36" s="617"/>
      <c r="P36" s="617"/>
      <c r="Q36" s="617"/>
      <c r="R36" s="617"/>
      <c r="S36" s="617"/>
    </row>
    <row r="37" spans="1:19" ht="14.1" customHeight="1" x14ac:dyDescent="0.25">
      <c r="A37" s="860"/>
      <c r="D37" s="1017" t="s">
        <v>282</v>
      </c>
      <c r="E37" s="769">
        <v>50.7</v>
      </c>
      <c r="F37" s="769">
        <v>47.5</v>
      </c>
      <c r="G37" s="769">
        <v>47.5</v>
      </c>
      <c r="H37" s="769">
        <v>50</v>
      </c>
      <c r="I37" s="769">
        <v>47</v>
      </c>
      <c r="J37" s="5088"/>
      <c r="K37" s="1331"/>
      <c r="L37" s="1331"/>
      <c r="M37" s="617"/>
      <c r="N37" s="617"/>
      <c r="O37" s="617"/>
      <c r="P37" s="617"/>
      <c r="Q37" s="617"/>
      <c r="R37" s="617"/>
      <c r="S37" s="617"/>
    </row>
    <row r="38" spans="1:19" ht="14.1" customHeight="1" x14ac:dyDescent="0.25">
      <c r="A38" s="860"/>
      <c r="D38" s="1017" t="s">
        <v>283</v>
      </c>
      <c r="E38" s="769">
        <v>60</v>
      </c>
      <c r="F38" s="769">
        <v>50.2</v>
      </c>
      <c r="G38" s="769">
        <v>50.2</v>
      </c>
      <c r="H38" s="769">
        <v>60</v>
      </c>
      <c r="I38" s="769">
        <v>52</v>
      </c>
      <c r="J38" s="5088"/>
      <c r="K38" s="1331"/>
      <c r="L38" s="1331"/>
      <c r="M38" s="617"/>
      <c r="N38" s="617"/>
      <c r="O38" s="617"/>
      <c r="P38" s="617"/>
      <c r="Q38" s="617"/>
      <c r="R38" s="617"/>
      <c r="S38" s="617"/>
    </row>
    <row r="39" spans="1:19" ht="14.1" customHeight="1" x14ac:dyDescent="0.25">
      <c r="A39" s="860"/>
      <c r="D39" s="3522" t="s">
        <v>284</v>
      </c>
      <c r="E39" s="3521">
        <v>65.5</v>
      </c>
      <c r="F39" s="3521">
        <v>60.4</v>
      </c>
      <c r="G39" s="3521">
        <v>60.4</v>
      </c>
      <c r="H39" s="3521">
        <v>58</v>
      </c>
      <c r="I39" s="3521">
        <v>58</v>
      </c>
      <c r="J39" s="5088"/>
      <c r="K39" s="1331"/>
      <c r="L39" s="1331"/>
      <c r="M39" s="617"/>
      <c r="N39" s="617"/>
      <c r="O39" s="617"/>
      <c r="P39" s="617"/>
      <c r="Q39" s="617"/>
      <c r="R39" s="617"/>
      <c r="S39" s="617"/>
    </row>
    <row r="40" spans="1:19" ht="14.1" customHeight="1" x14ac:dyDescent="0.25">
      <c r="A40" s="860"/>
      <c r="D40" s="1886" t="s">
        <v>103</v>
      </c>
      <c r="E40" s="1888">
        <v>59.9</v>
      </c>
      <c r="F40" s="1888">
        <v>56.9</v>
      </c>
      <c r="G40" s="1888">
        <v>58.8</v>
      </c>
      <c r="H40" s="1888">
        <v>57.3</v>
      </c>
      <c r="I40" s="1888">
        <v>54.3</v>
      </c>
      <c r="J40" s="5089"/>
      <c r="K40" s="1331"/>
      <c r="L40" s="1331"/>
      <c r="M40" s="617"/>
      <c r="N40" s="617"/>
      <c r="O40" s="617"/>
      <c r="P40" s="617"/>
      <c r="Q40" s="617"/>
      <c r="R40" s="617"/>
      <c r="S40" s="617"/>
    </row>
    <row r="41" spans="1:19" ht="14.1" customHeight="1" x14ac:dyDescent="0.25">
      <c r="A41" s="860"/>
      <c r="D41" s="1327"/>
      <c r="E41" s="1331"/>
      <c r="F41" s="1331"/>
      <c r="G41" s="616"/>
      <c r="H41" s="1331"/>
      <c r="I41" s="1331"/>
      <c r="J41" s="1331"/>
      <c r="K41" s="1331"/>
      <c r="L41" s="617"/>
      <c r="M41" s="617"/>
      <c r="N41" s="617"/>
      <c r="O41" s="617"/>
      <c r="P41" s="617"/>
      <c r="Q41" s="617"/>
      <c r="R41" s="617"/>
      <c r="S41" s="617"/>
    </row>
    <row r="42" spans="1:19" ht="14.1" customHeight="1" x14ac:dyDescent="0.25">
      <c r="A42" s="860"/>
      <c r="D42" s="617"/>
      <c r="E42" s="617"/>
      <c r="F42" s="617"/>
      <c r="G42" s="616"/>
      <c r="H42" s="617"/>
      <c r="I42" s="617"/>
      <c r="J42" s="617"/>
      <c r="K42" s="617"/>
      <c r="L42" s="617"/>
      <c r="M42" s="617"/>
      <c r="N42" s="617"/>
      <c r="O42" s="617"/>
      <c r="P42" s="617"/>
      <c r="Q42" s="617"/>
      <c r="R42" s="38"/>
      <c r="S42" s="617"/>
    </row>
    <row r="43" spans="1:19" ht="14.1" customHeight="1" x14ac:dyDescent="0.25">
      <c r="A43" s="2754">
        <v>5</v>
      </c>
      <c r="B43" s="531" t="s">
        <v>51</v>
      </c>
      <c r="C43" s="3147"/>
      <c r="D43" s="1889" t="s">
        <v>1841</v>
      </c>
      <c r="E43" s="617" t="s">
        <v>1842</v>
      </c>
      <c r="F43" s="617"/>
      <c r="G43" s="616"/>
      <c r="H43" s="617"/>
      <c r="I43" s="617"/>
      <c r="J43" s="617"/>
      <c r="K43" s="617"/>
      <c r="L43" s="617"/>
      <c r="M43" s="617"/>
      <c r="N43" s="617"/>
      <c r="O43" s="617"/>
      <c r="P43" s="617"/>
      <c r="Q43" s="617"/>
      <c r="R43" s="38"/>
      <c r="S43" s="617"/>
    </row>
    <row r="44" spans="1:19" ht="14.1" customHeight="1" x14ac:dyDescent="0.25">
      <c r="A44" s="860"/>
      <c r="B44" s="3147"/>
      <c r="C44" s="3147"/>
      <c r="D44" s="1017"/>
      <c r="E44" s="3135" t="s">
        <v>26</v>
      </c>
      <c r="F44" s="3135" t="s">
        <v>27</v>
      </c>
      <c r="G44" s="3135" t="s">
        <v>28</v>
      </c>
      <c r="H44" s="3135" t="s">
        <v>29</v>
      </c>
      <c r="I44" s="3135" t="s">
        <v>30</v>
      </c>
      <c r="J44" s="3135" t="s">
        <v>31</v>
      </c>
      <c r="K44" s="617"/>
      <c r="S44" s="38"/>
    </row>
    <row r="45" spans="1:19" ht="14.1" customHeight="1" x14ac:dyDescent="0.25">
      <c r="A45" s="860"/>
      <c r="B45" s="3147"/>
      <c r="C45" s="3147"/>
      <c r="D45" s="1017" t="s">
        <v>276</v>
      </c>
      <c r="E45" s="768">
        <v>68.900000000000006</v>
      </c>
      <c r="F45" s="768">
        <v>56</v>
      </c>
      <c r="G45" s="426">
        <v>56</v>
      </c>
      <c r="H45" s="769">
        <v>42.9</v>
      </c>
      <c r="I45" s="769">
        <v>37.9</v>
      </c>
      <c r="J45" s="769">
        <v>50.7</v>
      </c>
      <c r="K45" s="617"/>
      <c r="S45" s="478"/>
    </row>
    <row r="46" spans="1:19" ht="14.1" customHeight="1" x14ac:dyDescent="0.25">
      <c r="B46" s="3147"/>
      <c r="C46" s="3147"/>
      <c r="D46" s="1017" t="s">
        <v>277</v>
      </c>
      <c r="E46" s="768">
        <v>69.7</v>
      </c>
      <c r="F46" s="768">
        <v>59.9</v>
      </c>
      <c r="G46" s="426">
        <v>59.9</v>
      </c>
      <c r="H46" s="769">
        <v>48</v>
      </c>
      <c r="I46" s="769">
        <v>43.6</v>
      </c>
      <c r="J46" s="769">
        <v>56.47</v>
      </c>
      <c r="K46" s="617"/>
    </row>
    <row r="47" spans="1:19" ht="14.1" customHeight="1" x14ac:dyDescent="0.25">
      <c r="A47" s="860"/>
      <c r="B47" s="3147"/>
      <c r="C47" s="3147"/>
      <c r="D47" s="1017" t="s">
        <v>278</v>
      </c>
      <c r="E47" s="768">
        <v>57.4</v>
      </c>
      <c r="F47" s="768">
        <v>49.4</v>
      </c>
      <c r="G47" s="426">
        <v>49.4</v>
      </c>
      <c r="H47" s="769">
        <v>43.2</v>
      </c>
      <c r="I47" s="769">
        <v>39.700000000000003</v>
      </c>
      <c r="J47" s="769">
        <v>42.82</v>
      </c>
      <c r="K47" s="617"/>
    </row>
    <row r="48" spans="1:19" ht="14.1" customHeight="1" x14ac:dyDescent="0.25">
      <c r="A48" s="860"/>
      <c r="B48" s="3147"/>
      <c r="C48" s="3147"/>
      <c r="D48" s="1017" t="s">
        <v>279</v>
      </c>
      <c r="E48" s="768">
        <v>70.8</v>
      </c>
      <c r="F48" s="768">
        <v>59.8</v>
      </c>
      <c r="G48" s="426">
        <v>59.8</v>
      </c>
      <c r="H48" s="769">
        <v>45.2</v>
      </c>
      <c r="I48" s="769">
        <v>39.700000000000003</v>
      </c>
      <c r="J48" s="769">
        <v>54.07</v>
      </c>
      <c r="K48" s="617"/>
    </row>
    <row r="49" spans="1:23" ht="14.1" customHeight="1" x14ac:dyDescent="0.25">
      <c r="A49" s="860"/>
      <c r="B49" s="3147"/>
      <c r="C49" s="3147"/>
      <c r="D49" s="1017" t="s">
        <v>280</v>
      </c>
      <c r="E49" s="768">
        <v>76.2</v>
      </c>
      <c r="F49" s="768">
        <v>71.599999999999994</v>
      </c>
      <c r="G49" s="426">
        <v>71.599999999999994</v>
      </c>
      <c r="H49" s="769">
        <v>68.2</v>
      </c>
      <c r="I49" s="769">
        <v>64.2</v>
      </c>
      <c r="J49" s="769">
        <v>61.33</v>
      </c>
      <c r="K49" s="617"/>
    </row>
    <row r="50" spans="1:23" ht="14.1" customHeight="1" x14ac:dyDescent="0.25">
      <c r="A50" s="860"/>
      <c r="B50" s="3147"/>
      <c r="C50" s="3147"/>
      <c r="D50" s="1017" t="s">
        <v>281</v>
      </c>
      <c r="E50" s="768">
        <v>72.3</v>
      </c>
      <c r="F50" s="768">
        <v>60.3</v>
      </c>
      <c r="G50" s="426">
        <v>60.3</v>
      </c>
      <c r="H50" s="769">
        <v>50.6</v>
      </c>
      <c r="I50" s="769">
        <v>44.3</v>
      </c>
      <c r="J50" s="769">
        <v>56.9</v>
      </c>
      <c r="K50" s="617"/>
    </row>
    <row r="51" spans="1:23" ht="14.1" customHeight="1" x14ac:dyDescent="0.25">
      <c r="B51" s="3147"/>
      <c r="C51" s="3147"/>
      <c r="D51" s="1017" t="s">
        <v>282</v>
      </c>
      <c r="E51" s="768">
        <v>64.8</v>
      </c>
      <c r="F51" s="768">
        <v>53.5</v>
      </c>
      <c r="G51" s="426">
        <v>53.5</v>
      </c>
      <c r="H51" s="769">
        <v>43.5</v>
      </c>
      <c r="I51" s="769">
        <v>39.700000000000003</v>
      </c>
      <c r="J51" s="769">
        <v>48.57</v>
      </c>
      <c r="K51" s="617"/>
      <c r="M51" s="38" t="s">
        <v>85</v>
      </c>
    </row>
    <row r="52" spans="1:23" s="1893" customFormat="1" x14ac:dyDescent="0.25">
      <c r="A52" s="506"/>
      <c r="B52" s="1891"/>
      <c r="C52" s="1891"/>
      <c r="D52" s="1017" t="s">
        <v>283</v>
      </c>
      <c r="E52" s="768">
        <v>71.2</v>
      </c>
      <c r="F52" s="768">
        <v>61.9</v>
      </c>
      <c r="G52" s="1892">
        <v>61.9</v>
      </c>
      <c r="H52" s="769">
        <v>47.9</v>
      </c>
      <c r="I52" s="769">
        <v>41</v>
      </c>
      <c r="J52" s="769">
        <v>48.93</v>
      </c>
      <c r="K52" s="1129"/>
      <c r="L52" s="113"/>
      <c r="M52" s="113"/>
    </row>
    <row r="53" spans="1:23" x14ac:dyDescent="0.25">
      <c r="A53" s="506"/>
      <c r="B53" s="3148"/>
      <c r="C53" s="531"/>
      <c r="D53" s="3522" t="s">
        <v>284</v>
      </c>
      <c r="E53" s="3523">
        <v>45.1</v>
      </c>
      <c r="F53" s="3523">
        <v>32.299999999999997</v>
      </c>
      <c r="G53" s="3513">
        <v>32.299999999999997</v>
      </c>
      <c r="H53" s="3435">
        <v>24.5</v>
      </c>
      <c r="I53" s="3435">
        <v>21.3</v>
      </c>
      <c r="J53" s="3435">
        <v>37.51</v>
      </c>
      <c r="K53" s="88"/>
      <c r="L53" s="88"/>
      <c r="M53" s="88"/>
      <c r="N53" s="88"/>
      <c r="O53" s="1894"/>
    </row>
    <row r="54" spans="1:23" x14ac:dyDescent="0.25">
      <c r="B54" s="3147"/>
      <c r="C54" s="3147"/>
      <c r="D54" s="1886" t="s">
        <v>103</v>
      </c>
      <c r="E54" s="1890">
        <v>64.2</v>
      </c>
      <c r="F54" s="1890">
        <v>54.4</v>
      </c>
      <c r="G54" s="1890">
        <v>52.3</v>
      </c>
      <c r="H54" s="1890">
        <v>44.9</v>
      </c>
      <c r="I54" s="1890">
        <v>41.1</v>
      </c>
      <c r="J54" s="1888">
        <v>49.15</v>
      </c>
      <c r="K54" s="88"/>
      <c r="L54" s="88"/>
      <c r="M54" s="88"/>
      <c r="N54" s="88"/>
      <c r="O54" s="1894"/>
    </row>
    <row r="55" spans="1:23" x14ac:dyDescent="0.25">
      <c r="A55" s="506"/>
      <c r="B55" s="3147"/>
      <c r="C55" s="3147"/>
      <c r="D55" s="616"/>
      <c r="E55" s="88"/>
      <c r="F55" s="88"/>
      <c r="G55" s="617"/>
      <c r="H55" s="88"/>
      <c r="I55" s="88"/>
      <c r="J55" s="88"/>
      <c r="K55" s="88"/>
      <c r="L55" s="88"/>
      <c r="M55" s="88"/>
      <c r="N55" s="1894"/>
    </row>
    <row r="56" spans="1:23" ht="13.5" customHeight="1" x14ac:dyDescent="0.25">
      <c r="D56" s="1137"/>
      <c r="E56" s="1137"/>
      <c r="F56" s="1137"/>
      <c r="G56" s="1137"/>
      <c r="H56" s="1137"/>
      <c r="I56" s="1137"/>
      <c r="J56" s="1137"/>
      <c r="K56" s="1137"/>
      <c r="L56" s="1137"/>
      <c r="M56" s="1137"/>
    </row>
    <row r="57" spans="1:23" x14ac:dyDescent="0.25">
      <c r="A57" s="860">
        <v>6</v>
      </c>
      <c r="B57" s="509" t="s">
        <v>52</v>
      </c>
      <c r="C57" s="509"/>
      <c r="D57" s="4603" t="s">
        <v>1843</v>
      </c>
      <c r="E57" s="4604"/>
      <c r="F57" s="4604"/>
      <c r="G57" s="4604"/>
      <c r="H57" s="4604"/>
      <c r="I57" s="4604"/>
      <c r="J57" s="4604"/>
      <c r="K57" s="4604"/>
      <c r="L57" s="4604"/>
      <c r="M57" s="4604"/>
      <c r="N57" s="4604"/>
      <c r="O57" s="4604"/>
      <c r="P57" s="4604"/>
      <c r="Q57" s="4604"/>
      <c r="R57" s="4604"/>
      <c r="S57" s="4604"/>
      <c r="T57" s="4604"/>
      <c r="U57" s="4604"/>
      <c r="V57" s="4604"/>
      <c r="W57" s="4605"/>
    </row>
    <row r="58" spans="1:23" ht="53.45" customHeight="1" x14ac:dyDescent="0.25">
      <c r="A58" s="860">
        <v>7</v>
      </c>
      <c r="B58" s="546" t="s">
        <v>54</v>
      </c>
      <c r="C58" s="546"/>
      <c r="D58" s="4742" t="s">
        <v>2255</v>
      </c>
      <c r="E58" s="4743"/>
      <c r="F58" s="4743"/>
      <c r="G58" s="4743"/>
      <c r="H58" s="4743"/>
      <c r="I58" s="4743"/>
      <c r="J58" s="4743"/>
      <c r="K58" s="4743"/>
      <c r="L58" s="4743"/>
      <c r="M58" s="4743"/>
      <c r="N58" s="4743"/>
      <c r="O58" s="4743"/>
      <c r="P58" s="4743"/>
      <c r="Q58" s="4743"/>
      <c r="R58" s="4743"/>
      <c r="S58" s="4743"/>
      <c r="T58" s="4743"/>
      <c r="U58" s="4743"/>
      <c r="V58" s="4743"/>
      <c r="W58" s="4847"/>
    </row>
    <row r="59" spans="1:23" ht="27" customHeight="1" x14ac:dyDescent="0.25">
      <c r="A59" s="860">
        <v>8</v>
      </c>
      <c r="B59" s="509" t="s">
        <v>56</v>
      </c>
      <c r="C59" s="509"/>
      <c r="D59" s="4742" t="s">
        <v>2256</v>
      </c>
      <c r="E59" s="4743"/>
      <c r="F59" s="4743"/>
      <c r="G59" s="4743"/>
      <c r="H59" s="4743"/>
      <c r="I59" s="4743"/>
      <c r="J59" s="4743"/>
      <c r="K59" s="4743"/>
      <c r="L59" s="4743"/>
      <c r="M59" s="4743"/>
      <c r="N59" s="4743"/>
      <c r="O59" s="4743"/>
      <c r="P59" s="4743"/>
      <c r="Q59" s="4743"/>
      <c r="R59" s="4743"/>
      <c r="S59" s="4743"/>
      <c r="T59" s="4743"/>
      <c r="U59" s="4743"/>
      <c r="V59" s="4743"/>
      <c r="W59" s="4847"/>
    </row>
    <row r="60" spans="1:23" ht="72.95" customHeight="1" x14ac:dyDescent="0.25">
      <c r="A60" s="860">
        <v>9</v>
      </c>
      <c r="B60" s="509" t="s">
        <v>409</v>
      </c>
      <c r="C60" s="509"/>
      <c r="D60" s="4603" t="s">
        <v>1844</v>
      </c>
      <c r="E60" s="4604"/>
      <c r="F60" s="4604"/>
      <c r="G60" s="4604"/>
      <c r="H60" s="4604"/>
      <c r="I60" s="4604"/>
      <c r="J60" s="4604"/>
      <c r="K60" s="4604"/>
      <c r="L60" s="4604"/>
      <c r="M60" s="4604"/>
      <c r="N60" s="4604"/>
      <c r="O60" s="4604"/>
      <c r="P60" s="4604"/>
      <c r="Q60" s="4604"/>
      <c r="R60" s="4604"/>
      <c r="S60" s="4604"/>
      <c r="T60" s="4604"/>
      <c r="U60" s="4604"/>
      <c r="V60" s="4604"/>
      <c r="W60" s="4605"/>
    </row>
    <row r="62" spans="1:23" ht="13.5" customHeight="1" x14ac:dyDescent="0.25"/>
    <row r="63" spans="1:23" ht="9.75" customHeight="1" x14ac:dyDescent="0.25">
      <c r="D63" s="1137"/>
      <c r="E63" s="1137"/>
      <c r="F63" s="1137"/>
      <c r="G63" s="1137"/>
      <c r="H63" s="1137"/>
      <c r="I63" s="1137"/>
      <c r="J63" s="1137"/>
      <c r="K63" s="1137"/>
      <c r="L63" s="1137"/>
      <c r="M63" s="1137"/>
    </row>
    <row r="64" spans="1:23" ht="13.5" customHeight="1" x14ac:dyDescent="0.25"/>
    <row r="65" ht="13.5" customHeight="1" x14ac:dyDescent="0.25"/>
    <row r="66" ht="12.75" customHeight="1" x14ac:dyDescent="0.25"/>
    <row r="67" ht="27.75" customHeight="1" x14ac:dyDescent="0.25"/>
    <row r="234" spans="1:12" s="751" customFormat="1" x14ac:dyDescent="0.2">
      <c r="A234" s="1119"/>
      <c r="B234" s="1119"/>
      <c r="C234" s="1119"/>
      <c r="L234" s="1895"/>
    </row>
    <row r="235" spans="1:12" s="751" customFormat="1" x14ac:dyDescent="0.2">
      <c r="A235" s="1119"/>
      <c r="B235" s="1119"/>
      <c r="C235" s="1119"/>
      <c r="L235" s="1895"/>
    </row>
    <row r="236" spans="1:12" s="751" customFormat="1" x14ac:dyDescent="0.2">
      <c r="A236" s="1119"/>
      <c r="B236" s="1119"/>
      <c r="C236" s="1119"/>
      <c r="L236" s="1895"/>
    </row>
    <row r="237" spans="1:12" s="751" customFormat="1" x14ac:dyDescent="0.2">
      <c r="A237" s="1119"/>
      <c r="B237" s="1119"/>
      <c r="C237" s="1119"/>
      <c r="L237" s="1895"/>
    </row>
    <row r="238" spans="1:12" s="751" customFormat="1" x14ac:dyDescent="0.2">
      <c r="A238" s="1119"/>
      <c r="B238" s="1119"/>
      <c r="C238" s="1119"/>
      <c r="L238" s="1895"/>
    </row>
    <row r="239" spans="1:12" s="751" customFormat="1" x14ac:dyDescent="0.25">
      <c r="A239" s="1119"/>
      <c r="B239" s="1119"/>
      <c r="C239" s="1119"/>
      <c r="L239" s="1896"/>
    </row>
    <row r="240" spans="1:12" s="751" customFormat="1" x14ac:dyDescent="0.25">
      <c r="A240" s="1119"/>
      <c r="B240" s="1119"/>
      <c r="C240" s="1119"/>
      <c r="L240" s="1896"/>
    </row>
    <row r="241" spans="1:21" s="751" customFormat="1" x14ac:dyDescent="0.2">
      <c r="A241" s="1119"/>
      <c r="B241" s="531"/>
      <c r="C241" s="531"/>
      <c r="D241" s="548"/>
      <c r="E241" s="3132"/>
      <c r="F241" s="3132"/>
      <c r="G241" s="3132"/>
      <c r="H241" s="548"/>
      <c r="I241" s="548"/>
      <c r="J241" s="548"/>
      <c r="K241" s="548"/>
      <c r="L241" s="1192"/>
    </row>
    <row r="242" spans="1:21" s="751" customFormat="1" x14ac:dyDescent="0.2">
      <c r="A242" s="1119"/>
      <c r="B242" s="1897"/>
      <c r="C242" s="1897"/>
      <c r="D242" s="1897"/>
      <c r="E242" s="1897"/>
      <c r="F242" s="1897"/>
      <c r="G242" s="1897"/>
      <c r="H242" s="1897"/>
      <c r="I242" s="1897"/>
      <c r="J242" s="1897"/>
      <c r="K242" s="1897"/>
      <c r="L242" s="1897"/>
    </row>
    <row r="243" spans="1:21" s="751" customFormat="1" x14ac:dyDescent="0.2">
      <c r="A243" s="1119"/>
      <c r="B243" s="1897"/>
      <c r="C243" s="1897"/>
      <c r="D243" s="1897"/>
      <c r="E243" s="1897"/>
      <c r="F243" s="1897"/>
      <c r="G243" s="1897"/>
      <c r="H243" s="1897"/>
      <c r="I243" s="1897"/>
      <c r="J243" s="1897"/>
      <c r="K243" s="1897"/>
      <c r="L243" s="1897"/>
    </row>
    <row r="244" spans="1:21" s="751" customFormat="1" x14ac:dyDescent="0.2">
      <c r="A244" s="1119"/>
      <c r="B244" s="1897"/>
      <c r="C244" s="1897"/>
      <c r="D244" s="1897"/>
      <c r="E244" s="1897"/>
      <c r="F244" s="1897"/>
      <c r="G244" s="1897"/>
      <c r="H244" s="1897"/>
      <c r="I244" s="1897"/>
      <c r="J244" s="1897"/>
      <c r="K244" s="1897"/>
      <c r="L244" s="1897"/>
    </row>
    <row r="245" spans="1:21" s="751" customFormat="1" x14ac:dyDescent="0.2">
      <c r="A245" s="1119"/>
      <c r="B245" s="1897"/>
      <c r="C245" s="1897"/>
      <c r="D245" s="1897"/>
      <c r="E245" s="1897"/>
      <c r="F245" s="1897"/>
      <c r="G245" s="1897"/>
      <c r="H245" s="1897"/>
      <c r="I245" s="1897"/>
      <c r="J245" s="1897"/>
      <c r="K245" s="1897"/>
      <c r="L245" s="1897"/>
    </row>
    <row r="246" spans="1:21" s="751" customFormat="1" x14ac:dyDescent="0.25">
      <c r="A246" s="1119"/>
      <c r="B246" s="1897"/>
      <c r="C246" s="1897"/>
      <c r="D246" s="1897"/>
      <c r="E246" s="1897"/>
      <c r="F246" s="1897"/>
      <c r="G246" s="1897"/>
      <c r="H246" s="1897"/>
      <c r="I246" s="1897"/>
      <c r="J246" s="1897"/>
      <c r="K246" s="1897"/>
      <c r="L246" s="1897"/>
      <c r="N246" s="1137"/>
      <c r="O246" s="1137"/>
      <c r="Q246" s="3149"/>
      <c r="R246" s="1137"/>
      <c r="S246" s="1137"/>
      <c r="U246" s="1137"/>
    </row>
    <row r="247" spans="1:21" s="751" customFormat="1" x14ac:dyDescent="0.2">
      <c r="A247" s="1119"/>
      <c r="B247" s="1897"/>
      <c r="C247" s="1897"/>
      <c r="D247" s="1897"/>
      <c r="E247" s="1897"/>
      <c r="F247" s="1897"/>
      <c r="G247" s="1897"/>
      <c r="H247" s="1897"/>
      <c r="I247" s="1897"/>
      <c r="J247" s="1897"/>
      <c r="K247" s="1897"/>
      <c r="L247" s="1897"/>
    </row>
    <row r="253" spans="1:21" x14ac:dyDescent="0.25">
      <c r="D253" s="531"/>
    </row>
    <row r="254" spans="1:21" x14ac:dyDescent="0.25">
      <c r="D254" s="1119"/>
    </row>
    <row r="263" spans="4:4" x14ac:dyDescent="0.25">
      <c r="D263" s="162"/>
    </row>
    <row r="264" spans="4:4" x14ac:dyDescent="0.25">
      <c r="D264" s="88"/>
    </row>
    <row r="265" spans="4:4" x14ac:dyDescent="0.25">
      <c r="D265" s="88"/>
    </row>
    <row r="266" spans="4:4" x14ac:dyDescent="0.25">
      <c r="D266" s="88"/>
    </row>
    <row r="267" spans="4:4" x14ac:dyDescent="0.25">
      <c r="D267" s="88"/>
    </row>
    <row r="268" spans="4:4" x14ac:dyDescent="0.25">
      <c r="D268" s="88"/>
    </row>
    <row r="270" spans="4:4" x14ac:dyDescent="0.25">
      <c r="D270" s="162"/>
    </row>
    <row r="274" spans="4:4" x14ac:dyDescent="0.25">
      <c r="D274" s="1898"/>
    </row>
    <row r="279" spans="4:4" x14ac:dyDescent="0.25">
      <c r="D279" s="71"/>
    </row>
  </sheetData>
  <mergeCells count="15">
    <mergeCell ref="D60:W60"/>
    <mergeCell ref="D2:W2"/>
    <mergeCell ref="D3:W3"/>
    <mergeCell ref="D4:W4"/>
    <mergeCell ref="F15:H15"/>
    <mergeCell ref="I15:K15"/>
    <mergeCell ref="L15:N15"/>
    <mergeCell ref="O15:Q15"/>
    <mergeCell ref="R15:T15"/>
    <mergeCell ref="U15:W15"/>
    <mergeCell ref="U17:W24"/>
    <mergeCell ref="J31:J40"/>
    <mergeCell ref="D57:W57"/>
    <mergeCell ref="D58:W58"/>
    <mergeCell ref="D59:W59"/>
  </mergeCells>
  <pageMargins left="0.74803149606299202" right="0.74803149606299202" top="0.98425196850393704" bottom="0.98425196850393704" header="0.511811023622047" footer="0.511811023622047"/>
  <pageSetup paperSize="9" scale="64" fitToHeight="0" orientation="landscape" r:id="rId1"/>
  <headerFooter alignWithMargins="0">
    <oddHeader>&amp;C&amp;"-,Bold"DEVELOPMENT INDICATORS 2014</oddHeader>
    <oddFooter>&amp;LDepartment of Planning, Monitoring and Evaluation (DPME). &amp;CPage &amp;P of &amp;N&amp;R&amp;D</oddFooter>
  </headerFooter>
  <rowBreaks count="2" manualBreakCount="2">
    <brk id="41" max="24" man="1"/>
    <brk id="60" max="15" man="1"/>
  </rowBreaks>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694B1-D2FF-41A4-8E8C-707D2F68A100}">
  <sheetPr>
    <tabColor theme="4" tint="-0.249977111117893"/>
    <pageSetUpPr fitToPage="1"/>
  </sheetPr>
  <dimension ref="A1:AF481"/>
  <sheetViews>
    <sheetView showGridLines="0" view="pageBreakPreview" zoomScaleNormal="100" workbookViewId="0">
      <selection activeCell="AA1" sqref="AA1:AA1048576"/>
    </sheetView>
  </sheetViews>
  <sheetFormatPr defaultColWidth="9.140625" defaultRowHeight="15" x14ac:dyDescent="0.25"/>
  <cols>
    <col min="1" max="1" width="3.85546875" style="1119" customWidth="1"/>
    <col min="2" max="2" width="10.140625" style="1119" customWidth="1"/>
    <col min="3" max="3" width="5.140625" style="1119" customWidth="1"/>
    <col min="4" max="4" width="23.140625" style="113" customWidth="1"/>
    <col min="5" max="5" width="8.85546875" style="113" customWidth="1"/>
    <col min="6" max="24" width="6.85546875" style="113" customWidth="1"/>
    <col min="25" max="26" width="7.140625" style="113" customWidth="1"/>
    <col min="27" max="27" width="6.5703125" style="113" customWidth="1"/>
    <col min="28" max="28" width="7.140625" style="113" customWidth="1"/>
    <col min="29" max="29" width="6.85546875" style="113" customWidth="1"/>
    <col min="30" max="30" width="6.5703125" style="113" customWidth="1"/>
    <col min="31" max="31" width="6.42578125" style="113" customWidth="1"/>
    <col min="32" max="32" width="6.85546875" style="113" customWidth="1"/>
    <col min="33" max="257" width="9.140625" style="113"/>
    <col min="258" max="258" width="3.85546875" style="113" customWidth="1"/>
    <col min="259" max="259" width="13.85546875" style="113" customWidth="1"/>
    <col min="260" max="260" width="3.42578125" style="113" customWidth="1"/>
    <col min="261" max="261" width="18" style="113" customWidth="1"/>
    <col min="262" max="262" width="8.85546875" style="113" customWidth="1"/>
    <col min="263" max="263" width="10.140625" style="113" customWidth="1"/>
    <col min="264" max="275" width="8.85546875" style="113" customWidth="1"/>
    <col min="276" max="276" width="8.42578125" style="113" customWidth="1"/>
    <col min="277" max="278" width="8.85546875" style="113" customWidth="1"/>
    <col min="279" max="513" width="9.140625" style="113"/>
    <col min="514" max="514" width="3.85546875" style="113" customWidth="1"/>
    <col min="515" max="515" width="13.85546875" style="113" customWidth="1"/>
    <col min="516" max="516" width="3.42578125" style="113" customWidth="1"/>
    <col min="517" max="517" width="18" style="113" customWidth="1"/>
    <col min="518" max="518" width="8.85546875" style="113" customWidth="1"/>
    <col min="519" max="519" width="10.140625" style="113" customWidth="1"/>
    <col min="520" max="531" width="8.85546875" style="113" customWidth="1"/>
    <col min="532" max="532" width="8.42578125" style="113" customWidth="1"/>
    <col min="533" max="534" width="8.85546875" style="113" customWidth="1"/>
    <col min="535" max="769" width="9.140625" style="113"/>
    <col min="770" max="770" width="3.85546875" style="113" customWidth="1"/>
    <col min="771" max="771" width="13.85546875" style="113" customWidth="1"/>
    <col min="772" max="772" width="3.42578125" style="113" customWidth="1"/>
    <col min="773" max="773" width="18" style="113" customWidth="1"/>
    <col min="774" max="774" width="8.85546875" style="113" customWidth="1"/>
    <col min="775" max="775" width="10.140625" style="113" customWidth="1"/>
    <col min="776" max="787" width="8.85546875" style="113" customWidth="1"/>
    <col min="788" max="788" width="8.42578125" style="113" customWidth="1"/>
    <col min="789" max="790" width="8.85546875" style="113" customWidth="1"/>
    <col min="791" max="1025" width="9.140625" style="113"/>
    <col min="1026" max="1026" width="3.85546875" style="113" customWidth="1"/>
    <col min="1027" max="1027" width="13.85546875" style="113" customWidth="1"/>
    <col min="1028" max="1028" width="3.42578125" style="113" customWidth="1"/>
    <col min="1029" max="1029" width="18" style="113" customWidth="1"/>
    <col min="1030" max="1030" width="8.85546875" style="113" customWidth="1"/>
    <col min="1031" max="1031" width="10.140625" style="113" customWidth="1"/>
    <col min="1032" max="1043" width="8.85546875" style="113" customWidth="1"/>
    <col min="1044" max="1044" width="8.42578125" style="113" customWidth="1"/>
    <col min="1045" max="1046" width="8.85546875" style="113" customWidth="1"/>
    <col min="1047" max="1281" width="9.140625" style="113"/>
    <col min="1282" max="1282" width="3.85546875" style="113" customWidth="1"/>
    <col min="1283" max="1283" width="13.85546875" style="113" customWidth="1"/>
    <col min="1284" max="1284" width="3.42578125" style="113" customWidth="1"/>
    <col min="1285" max="1285" width="18" style="113" customWidth="1"/>
    <col min="1286" max="1286" width="8.85546875" style="113" customWidth="1"/>
    <col min="1287" max="1287" width="10.140625" style="113" customWidth="1"/>
    <col min="1288" max="1299" width="8.85546875" style="113" customWidth="1"/>
    <col min="1300" max="1300" width="8.42578125" style="113" customWidth="1"/>
    <col min="1301" max="1302" width="8.85546875" style="113" customWidth="1"/>
    <col min="1303" max="1537" width="9.140625" style="113"/>
    <col min="1538" max="1538" width="3.85546875" style="113" customWidth="1"/>
    <col min="1539" max="1539" width="13.85546875" style="113" customWidth="1"/>
    <col min="1540" max="1540" width="3.42578125" style="113" customWidth="1"/>
    <col min="1541" max="1541" width="18" style="113" customWidth="1"/>
    <col min="1542" max="1542" width="8.85546875" style="113" customWidth="1"/>
    <col min="1543" max="1543" width="10.140625" style="113" customWidth="1"/>
    <col min="1544" max="1555" width="8.85546875" style="113" customWidth="1"/>
    <col min="1556" max="1556" width="8.42578125" style="113" customWidth="1"/>
    <col min="1557" max="1558" width="8.85546875" style="113" customWidth="1"/>
    <col min="1559" max="1793" width="9.140625" style="113"/>
    <col min="1794" max="1794" width="3.85546875" style="113" customWidth="1"/>
    <col min="1795" max="1795" width="13.85546875" style="113" customWidth="1"/>
    <col min="1796" max="1796" width="3.42578125" style="113" customWidth="1"/>
    <col min="1797" max="1797" width="18" style="113" customWidth="1"/>
    <col min="1798" max="1798" width="8.85546875" style="113" customWidth="1"/>
    <col min="1799" max="1799" width="10.140625" style="113" customWidth="1"/>
    <col min="1800" max="1811" width="8.85546875" style="113" customWidth="1"/>
    <col min="1812" max="1812" width="8.42578125" style="113" customWidth="1"/>
    <col min="1813" max="1814" width="8.85546875" style="113" customWidth="1"/>
    <col min="1815" max="2049" width="9.140625" style="113"/>
    <col min="2050" max="2050" width="3.85546875" style="113" customWidth="1"/>
    <col min="2051" max="2051" width="13.85546875" style="113" customWidth="1"/>
    <col min="2052" max="2052" width="3.42578125" style="113" customWidth="1"/>
    <col min="2053" max="2053" width="18" style="113" customWidth="1"/>
    <col min="2054" max="2054" width="8.85546875" style="113" customWidth="1"/>
    <col min="2055" max="2055" width="10.140625" style="113" customWidth="1"/>
    <col min="2056" max="2067" width="8.85546875" style="113" customWidth="1"/>
    <col min="2068" max="2068" width="8.42578125" style="113" customWidth="1"/>
    <col min="2069" max="2070" width="8.85546875" style="113" customWidth="1"/>
    <col min="2071" max="2305" width="9.140625" style="113"/>
    <col min="2306" max="2306" width="3.85546875" style="113" customWidth="1"/>
    <col min="2307" max="2307" width="13.85546875" style="113" customWidth="1"/>
    <col min="2308" max="2308" width="3.42578125" style="113" customWidth="1"/>
    <col min="2309" max="2309" width="18" style="113" customWidth="1"/>
    <col min="2310" max="2310" width="8.85546875" style="113" customWidth="1"/>
    <col min="2311" max="2311" width="10.140625" style="113" customWidth="1"/>
    <col min="2312" max="2323" width="8.85546875" style="113" customWidth="1"/>
    <col min="2324" max="2324" width="8.42578125" style="113" customWidth="1"/>
    <col min="2325" max="2326" width="8.85546875" style="113" customWidth="1"/>
    <col min="2327" max="2561" width="9.140625" style="113"/>
    <col min="2562" max="2562" width="3.85546875" style="113" customWidth="1"/>
    <col min="2563" max="2563" width="13.85546875" style="113" customWidth="1"/>
    <col min="2564" max="2564" width="3.42578125" style="113" customWidth="1"/>
    <col min="2565" max="2565" width="18" style="113" customWidth="1"/>
    <col min="2566" max="2566" width="8.85546875" style="113" customWidth="1"/>
    <col min="2567" max="2567" width="10.140625" style="113" customWidth="1"/>
    <col min="2568" max="2579" width="8.85546875" style="113" customWidth="1"/>
    <col min="2580" max="2580" width="8.42578125" style="113" customWidth="1"/>
    <col min="2581" max="2582" width="8.85546875" style="113" customWidth="1"/>
    <col min="2583" max="2817" width="9.140625" style="113"/>
    <col min="2818" max="2818" width="3.85546875" style="113" customWidth="1"/>
    <col min="2819" max="2819" width="13.85546875" style="113" customWidth="1"/>
    <col min="2820" max="2820" width="3.42578125" style="113" customWidth="1"/>
    <col min="2821" max="2821" width="18" style="113" customWidth="1"/>
    <col min="2822" max="2822" width="8.85546875" style="113" customWidth="1"/>
    <col min="2823" max="2823" width="10.140625" style="113" customWidth="1"/>
    <col min="2824" max="2835" width="8.85546875" style="113" customWidth="1"/>
    <col min="2836" max="2836" width="8.42578125" style="113" customWidth="1"/>
    <col min="2837" max="2838" width="8.85546875" style="113" customWidth="1"/>
    <col min="2839" max="3073" width="9.140625" style="113"/>
    <col min="3074" max="3074" width="3.85546875" style="113" customWidth="1"/>
    <col min="3075" max="3075" width="13.85546875" style="113" customWidth="1"/>
    <col min="3076" max="3076" width="3.42578125" style="113" customWidth="1"/>
    <col min="3077" max="3077" width="18" style="113" customWidth="1"/>
    <col min="3078" max="3078" width="8.85546875" style="113" customWidth="1"/>
    <col min="3079" max="3079" width="10.140625" style="113" customWidth="1"/>
    <col min="3080" max="3091" width="8.85546875" style="113" customWidth="1"/>
    <col min="3092" max="3092" width="8.42578125" style="113" customWidth="1"/>
    <col min="3093" max="3094" width="8.85546875" style="113" customWidth="1"/>
    <col min="3095" max="3329" width="9.140625" style="113"/>
    <col min="3330" max="3330" width="3.85546875" style="113" customWidth="1"/>
    <col min="3331" max="3331" width="13.85546875" style="113" customWidth="1"/>
    <col min="3332" max="3332" width="3.42578125" style="113" customWidth="1"/>
    <col min="3333" max="3333" width="18" style="113" customWidth="1"/>
    <col min="3334" max="3334" width="8.85546875" style="113" customWidth="1"/>
    <col min="3335" max="3335" width="10.140625" style="113" customWidth="1"/>
    <col min="3336" max="3347" width="8.85546875" style="113" customWidth="1"/>
    <col min="3348" max="3348" width="8.42578125" style="113" customWidth="1"/>
    <col min="3349" max="3350" width="8.85546875" style="113" customWidth="1"/>
    <col min="3351" max="3585" width="9.140625" style="113"/>
    <col min="3586" max="3586" width="3.85546875" style="113" customWidth="1"/>
    <col min="3587" max="3587" width="13.85546875" style="113" customWidth="1"/>
    <col min="3588" max="3588" width="3.42578125" style="113" customWidth="1"/>
    <col min="3589" max="3589" width="18" style="113" customWidth="1"/>
    <col min="3590" max="3590" width="8.85546875" style="113" customWidth="1"/>
    <col min="3591" max="3591" width="10.140625" style="113" customWidth="1"/>
    <col min="3592" max="3603" width="8.85546875" style="113" customWidth="1"/>
    <col min="3604" max="3604" width="8.42578125" style="113" customWidth="1"/>
    <col min="3605" max="3606" width="8.85546875" style="113" customWidth="1"/>
    <col min="3607" max="3841" width="9.140625" style="113"/>
    <col min="3842" max="3842" width="3.85546875" style="113" customWidth="1"/>
    <col min="3843" max="3843" width="13.85546875" style="113" customWidth="1"/>
    <col min="3844" max="3844" width="3.42578125" style="113" customWidth="1"/>
    <col min="3845" max="3845" width="18" style="113" customWidth="1"/>
    <col min="3846" max="3846" width="8.85546875" style="113" customWidth="1"/>
    <col min="3847" max="3847" width="10.140625" style="113" customWidth="1"/>
    <col min="3848" max="3859" width="8.85546875" style="113" customWidth="1"/>
    <col min="3860" max="3860" width="8.42578125" style="113" customWidth="1"/>
    <col min="3861" max="3862" width="8.85546875" style="113" customWidth="1"/>
    <col min="3863" max="4097" width="9.140625" style="113"/>
    <col min="4098" max="4098" width="3.85546875" style="113" customWidth="1"/>
    <col min="4099" max="4099" width="13.85546875" style="113" customWidth="1"/>
    <col min="4100" max="4100" width="3.42578125" style="113" customWidth="1"/>
    <col min="4101" max="4101" width="18" style="113" customWidth="1"/>
    <col min="4102" max="4102" width="8.85546875" style="113" customWidth="1"/>
    <col min="4103" max="4103" width="10.140625" style="113" customWidth="1"/>
    <col min="4104" max="4115" width="8.85546875" style="113" customWidth="1"/>
    <col min="4116" max="4116" width="8.42578125" style="113" customWidth="1"/>
    <col min="4117" max="4118" width="8.85546875" style="113" customWidth="1"/>
    <col min="4119" max="4353" width="9.140625" style="113"/>
    <col min="4354" max="4354" width="3.85546875" style="113" customWidth="1"/>
    <col min="4355" max="4355" width="13.85546875" style="113" customWidth="1"/>
    <col min="4356" max="4356" width="3.42578125" style="113" customWidth="1"/>
    <col min="4357" max="4357" width="18" style="113" customWidth="1"/>
    <col min="4358" max="4358" width="8.85546875" style="113" customWidth="1"/>
    <col min="4359" max="4359" width="10.140625" style="113" customWidth="1"/>
    <col min="4360" max="4371" width="8.85546875" style="113" customWidth="1"/>
    <col min="4372" max="4372" width="8.42578125" style="113" customWidth="1"/>
    <col min="4373" max="4374" width="8.85546875" style="113" customWidth="1"/>
    <col min="4375" max="4609" width="9.140625" style="113"/>
    <col min="4610" max="4610" width="3.85546875" style="113" customWidth="1"/>
    <col min="4611" max="4611" width="13.85546875" style="113" customWidth="1"/>
    <col min="4612" max="4612" width="3.42578125" style="113" customWidth="1"/>
    <col min="4613" max="4613" width="18" style="113" customWidth="1"/>
    <col min="4614" max="4614" width="8.85546875" style="113" customWidth="1"/>
    <col min="4615" max="4615" width="10.140625" style="113" customWidth="1"/>
    <col min="4616" max="4627" width="8.85546875" style="113" customWidth="1"/>
    <col min="4628" max="4628" width="8.42578125" style="113" customWidth="1"/>
    <col min="4629" max="4630" width="8.85546875" style="113" customWidth="1"/>
    <col min="4631" max="4865" width="9.140625" style="113"/>
    <col min="4866" max="4866" width="3.85546875" style="113" customWidth="1"/>
    <col min="4867" max="4867" width="13.85546875" style="113" customWidth="1"/>
    <col min="4868" max="4868" width="3.42578125" style="113" customWidth="1"/>
    <col min="4869" max="4869" width="18" style="113" customWidth="1"/>
    <col min="4870" max="4870" width="8.85546875" style="113" customWidth="1"/>
    <col min="4871" max="4871" width="10.140625" style="113" customWidth="1"/>
    <col min="4872" max="4883" width="8.85546875" style="113" customWidth="1"/>
    <col min="4884" max="4884" width="8.42578125" style="113" customWidth="1"/>
    <col min="4885" max="4886" width="8.85546875" style="113" customWidth="1"/>
    <col min="4887" max="5121" width="9.140625" style="113"/>
    <col min="5122" max="5122" width="3.85546875" style="113" customWidth="1"/>
    <col min="5123" max="5123" width="13.85546875" style="113" customWidth="1"/>
    <col min="5124" max="5124" width="3.42578125" style="113" customWidth="1"/>
    <col min="5125" max="5125" width="18" style="113" customWidth="1"/>
    <col min="5126" max="5126" width="8.85546875" style="113" customWidth="1"/>
    <col min="5127" max="5127" width="10.140625" style="113" customWidth="1"/>
    <col min="5128" max="5139" width="8.85546875" style="113" customWidth="1"/>
    <col min="5140" max="5140" width="8.42578125" style="113" customWidth="1"/>
    <col min="5141" max="5142" width="8.85546875" style="113" customWidth="1"/>
    <col min="5143" max="5377" width="9.140625" style="113"/>
    <col min="5378" max="5378" width="3.85546875" style="113" customWidth="1"/>
    <col min="5379" max="5379" width="13.85546875" style="113" customWidth="1"/>
    <col min="5380" max="5380" width="3.42578125" style="113" customWidth="1"/>
    <col min="5381" max="5381" width="18" style="113" customWidth="1"/>
    <col min="5382" max="5382" width="8.85546875" style="113" customWidth="1"/>
    <col min="5383" max="5383" width="10.140625" style="113" customWidth="1"/>
    <col min="5384" max="5395" width="8.85546875" style="113" customWidth="1"/>
    <col min="5396" max="5396" width="8.42578125" style="113" customWidth="1"/>
    <col min="5397" max="5398" width="8.85546875" style="113" customWidth="1"/>
    <col min="5399" max="5633" width="9.140625" style="113"/>
    <col min="5634" max="5634" width="3.85546875" style="113" customWidth="1"/>
    <col min="5635" max="5635" width="13.85546875" style="113" customWidth="1"/>
    <col min="5636" max="5636" width="3.42578125" style="113" customWidth="1"/>
    <col min="5637" max="5637" width="18" style="113" customWidth="1"/>
    <col min="5638" max="5638" width="8.85546875" style="113" customWidth="1"/>
    <col min="5639" max="5639" width="10.140625" style="113" customWidth="1"/>
    <col min="5640" max="5651" width="8.85546875" style="113" customWidth="1"/>
    <col min="5652" max="5652" width="8.42578125" style="113" customWidth="1"/>
    <col min="5653" max="5654" width="8.85546875" style="113" customWidth="1"/>
    <col min="5655" max="5889" width="9.140625" style="113"/>
    <col min="5890" max="5890" width="3.85546875" style="113" customWidth="1"/>
    <col min="5891" max="5891" width="13.85546875" style="113" customWidth="1"/>
    <col min="5892" max="5892" width="3.42578125" style="113" customWidth="1"/>
    <col min="5893" max="5893" width="18" style="113" customWidth="1"/>
    <col min="5894" max="5894" width="8.85546875" style="113" customWidth="1"/>
    <col min="5895" max="5895" width="10.140625" style="113" customWidth="1"/>
    <col min="5896" max="5907" width="8.85546875" style="113" customWidth="1"/>
    <col min="5908" max="5908" width="8.42578125" style="113" customWidth="1"/>
    <col min="5909" max="5910" width="8.85546875" style="113" customWidth="1"/>
    <col min="5911" max="6145" width="9.140625" style="113"/>
    <col min="6146" max="6146" width="3.85546875" style="113" customWidth="1"/>
    <col min="6147" max="6147" width="13.85546875" style="113" customWidth="1"/>
    <col min="6148" max="6148" width="3.42578125" style="113" customWidth="1"/>
    <col min="6149" max="6149" width="18" style="113" customWidth="1"/>
    <col min="6150" max="6150" width="8.85546875" style="113" customWidth="1"/>
    <col min="6151" max="6151" width="10.140625" style="113" customWidth="1"/>
    <col min="6152" max="6163" width="8.85546875" style="113" customWidth="1"/>
    <col min="6164" max="6164" width="8.42578125" style="113" customWidth="1"/>
    <col min="6165" max="6166" width="8.85546875" style="113" customWidth="1"/>
    <col min="6167" max="6401" width="9.140625" style="113"/>
    <col min="6402" max="6402" width="3.85546875" style="113" customWidth="1"/>
    <col min="6403" max="6403" width="13.85546875" style="113" customWidth="1"/>
    <col min="6404" max="6404" width="3.42578125" style="113" customWidth="1"/>
    <col min="6405" max="6405" width="18" style="113" customWidth="1"/>
    <col min="6406" max="6406" width="8.85546875" style="113" customWidth="1"/>
    <col min="6407" max="6407" width="10.140625" style="113" customWidth="1"/>
    <col min="6408" max="6419" width="8.85546875" style="113" customWidth="1"/>
    <col min="6420" max="6420" width="8.42578125" style="113" customWidth="1"/>
    <col min="6421" max="6422" width="8.85546875" style="113" customWidth="1"/>
    <col min="6423" max="6657" width="9.140625" style="113"/>
    <col min="6658" max="6658" width="3.85546875" style="113" customWidth="1"/>
    <col min="6659" max="6659" width="13.85546875" style="113" customWidth="1"/>
    <col min="6660" max="6660" width="3.42578125" style="113" customWidth="1"/>
    <col min="6661" max="6661" width="18" style="113" customWidth="1"/>
    <col min="6662" max="6662" width="8.85546875" style="113" customWidth="1"/>
    <col min="6663" max="6663" width="10.140625" style="113" customWidth="1"/>
    <col min="6664" max="6675" width="8.85546875" style="113" customWidth="1"/>
    <col min="6676" max="6676" width="8.42578125" style="113" customWidth="1"/>
    <col min="6677" max="6678" width="8.85546875" style="113" customWidth="1"/>
    <col min="6679" max="6913" width="9.140625" style="113"/>
    <col min="6914" max="6914" width="3.85546875" style="113" customWidth="1"/>
    <col min="6915" max="6915" width="13.85546875" style="113" customWidth="1"/>
    <col min="6916" max="6916" width="3.42578125" style="113" customWidth="1"/>
    <col min="6917" max="6917" width="18" style="113" customWidth="1"/>
    <col min="6918" max="6918" width="8.85546875" style="113" customWidth="1"/>
    <col min="6919" max="6919" width="10.140625" style="113" customWidth="1"/>
    <col min="6920" max="6931" width="8.85546875" style="113" customWidth="1"/>
    <col min="6932" max="6932" width="8.42578125" style="113" customWidth="1"/>
    <col min="6933" max="6934" width="8.85546875" style="113" customWidth="1"/>
    <col min="6935" max="7169" width="9.140625" style="113"/>
    <col min="7170" max="7170" width="3.85546875" style="113" customWidth="1"/>
    <col min="7171" max="7171" width="13.85546875" style="113" customWidth="1"/>
    <col min="7172" max="7172" width="3.42578125" style="113" customWidth="1"/>
    <col min="7173" max="7173" width="18" style="113" customWidth="1"/>
    <col min="7174" max="7174" width="8.85546875" style="113" customWidth="1"/>
    <col min="7175" max="7175" width="10.140625" style="113" customWidth="1"/>
    <col min="7176" max="7187" width="8.85546875" style="113" customWidth="1"/>
    <col min="7188" max="7188" width="8.42578125" style="113" customWidth="1"/>
    <col min="7189" max="7190" width="8.85546875" style="113" customWidth="1"/>
    <col min="7191" max="7425" width="9.140625" style="113"/>
    <col min="7426" max="7426" width="3.85546875" style="113" customWidth="1"/>
    <col min="7427" max="7427" width="13.85546875" style="113" customWidth="1"/>
    <col min="7428" max="7428" width="3.42578125" style="113" customWidth="1"/>
    <col min="7429" max="7429" width="18" style="113" customWidth="1"/>
    <col min="7430" max="7430" width="8.85546875" style="113" customWidth="1"/>
    <col min="7431" max="7431" width="10.140625" style="113" customWidth="1"/>
    <col min="7432" max="7443" width="8.85546875" style="113" customWidth="1"/>
    <col min="7444" max="7444" width="8.42578125" style="113" customWidth="1"/>
    <col min="7445" max="7446" width="8.85546875" style="113" customWidth="1"/>
    <col min="7447" max="7681" width="9.140625" style="113"/>
    <col min="7682" max="7682" width="3.85546875" style="113" customWidth="1"/>
    <col min="7683" max="7683" width="13.85546875" style="113" customWidth="1"/>
    <col min="7684" max="7684" width="3.42578125" style="113" customWidth="1"/>
    <col min="7685" max="7685" width="18" style="113" customWidth="1"/>
    <col min="7686" max="7686" width="8.85546875" style="113" customWidth="1"/>
    <col min="7687" max="7687" width="10.140625" style="113" customWidth="1"/>
    <col min="7688" max="7699" width="8.85546875" style="113" customWidth="1"/>
    <col min="7700" max="7700" width="8.42578125" style="113" customWidth="1"/>
    <col min="7701" max="7702" width="8.85546875" style="113" customWidth="1"/>
    <col min="7703" max="7937" width="9.140625" style="113"/>
    <col min="7938" max="7938" width="3.85546875" style="113" customWidth="1"/>
    <col min="7939" max="7939" width="13.85546875" style="113" customWidth="1"/>
    <col min="7940" max="7940" width="3.42578125" style="113" customWidth="1"/>
    <col min="7941" max="7941" width="18" style="113" customWidth="1"/>
    <col min="7942" max="7942" width="8.85546875" style="113" customWidth="1"/>
    <col min="7943" max="7943" width="10.140625" style="113" customWidth="1"/>
    <col min="7944" max="7955" width="8.85546875" style="113" customWidth="1"/>
    <col min="7956" max="7956" width="8.42578125" style="113" customWidth="1"/>
    <col min="7957" max="7958" width="8.85546875" style="113" customWidth="1"/>
    <col min="7959" max="8193" width="9.140625" style="113"/>
    <col min="8194" max="8194" width="3.85546875" style="113" customWidth="1"/>
    <col min="8195" max="8195" width="13.85546875" style="113" customWidth="1"/>
    <col min="8196" max="8196" width="3.42578125" style="113" customWidth="1"/>
    <col min="8197" max="8197" width="18" style="113" customWidth="1"/>
    <col min="8198" max="8198" width="8.85546875" style="113" customWidth="1"/>
    <col min="8199" max="8199" width="10.140625" style="113" customWidth="1"/>
    <col min="8200" max="8211" width="8.85546875" style="113" customWidth="1"/>
    <col min="8212" max="8212" width="8.42578125" style="113" customWidth="1"/>
    <col min="8213" max="8214" width="8.85546875" style="113" customWidth="1"/>
    <col min="8215" max="8449" width="9.140625" style="113"/>
    <col min="8450" max="8450" width="3.85546875" style="113" customWidth="1"/>
    <col min="8451" max="8451" width="13.85546875" style="113" customWidth="1"/>
    <col min="8452" max="8452" width="3.42578125" style="113" customWidth="1"/>
    <col min="8453" max="8453" width="18" style="113" customWidth="1"/>
    <col min="8454" max="8454" width="8.85546875" style="113" customWidth="1"/>
    <col min="8455" max="8455" width="10.140625" style="113" customWidth="1"/>
    <col min="8456" max="8467" width="8.85546875" style="113" customWidth="1"/>
    <col min="8468" max="8468" width="8.42578125" style="113" customWidth="1"/>
    <col min="8469" max="8470" width="8.85546875" style="113" customWidth="1"/>
    <col min="8471" max="8705" width="9.140625" style="113"/>
    <col min="8706" max="8706" width="3.85546875" style="113" customWidth="1"/>
    <col min="8707" max="8707" width="13.85546875" style="113" customWidth="1"/>
    <col min="8708" max="8708" width="3.42578125" style="113" customWidth="1"/>
    <col min="8709" max="8709" width="18" style="113" customWidth="1"/>
    <col min="8710" max="8710" width="8.85546875" style="113" customWidth="1"/>
    <col min="8711" max="8711" width="10.140625" style="113" customWidth="1"/>
    <col min="8712" max="8723" width="8.85546875" style="113" customWidth="1"/>
    <col min="8724" max="8724" width="8.42578125" style="113" customWidth="1"/>
    <col min="8725" max="8726" width="8.85546875" style="113" customWidth="1"/>
    <col min="8727" max="8961" width="9.140625" style="113"/>
    <col min="8962" max="8962" width="3.85546875" style="113" customWidth="1"/>
    <col min="8963" max="8963" width="13.85546875" style="113" customWidth="1"/>
    <col min="8964" max="8964" width="3.42578125" style="113" customWidth="1"/>
    <col min="8965" max="8965" width="18" style="113" customWidth="1"/>
    <col min="8966" max="8966" width="8.85546875" style="113" customWidth="1"/>
    <col min="8967" max="8967" width="10.140625" style="113" customWidth="1"/>
    <col min="8968" max="8979" width="8.85546875" style="113" customWidth="1"/>
    <col min="8980" max="8980" width="8.42578125" style="113" customWidth="1"/>
    <col min="8981" max="8982" width="8.85546875" style="113" customWidth="1"/>
    <col min="8983" max="9217" width="9.140625" style="113"/>
    <col min="9218" max="9218" width="3.85546875" style="113" customWidth="1"/>
    <col min="9219" max="9219" width="13.85546875" style="113" customWidth="1"/>
    <col min="9220" max="9220" width="3.42578125" style="113" customWidth="1"/>
    <col min="9221" max="9221" width="18" style="113" customWidth="1"/>
    <col min="9222" max="9222" width="8.85546875" style="113" customWidth="1"/>
    <col min="9223" max="9223" width="10.140625" style="113" customWidth="1"/>
    <col min="9224" max="9235" width="8.85546875" style="113" customWidth="1"/>
    <col min="9236" max="9236" width="8.42578125" style="113" customWidth="1"/>
    <col min="9237" max="9238" width="8.85546875" style="113" customWidth="1"/>
    <col min="9239" max="9473" width="9.140625" style="113"/>
    <col min="9474" max="9474" width="3.85546875" style="113" customWidth="1"/>
    <col min="9475" max="9475" width="13.85546875" style="113" customWidth="1"/>
    <col min="9476" max="9476" width="3.42578125" style="113" customWidth="1"/>
    <col min="9477" max="9477" width="18" style="113" customWidth="1"/>
    <col min="9478" max="9478" width="8.85546875" style="113" customWidth="1"/>
    <col min="9479" max="9479" width="10.140625" style="113" customWidth="1"/>
    <col min="9480" max="9491" width="8.85546875" style="113" customWidth="1"/>
    <col min="9492" max="9492" width="8.42578125" style="113" customWidth="1"/>
    <col min="9493" max="9494" width="8.85546875" style="113" customWidth="1"/>
    <col min="9495" max="9729" width="9.140625" style="113"/>
    <col min="9730" max="9730" width="3.85546875" style="113" customWidth="1"/>
    <col min="9731" max="9731" width="13.85546875" style="113" customWidth="1"/>
    <col min="9732" max="9732" width="3.42578125" style="113" customWidth="1"/>
    <col min="9733" max="9733" width="18" style="113" customWidth="1"/>
    <col min="9734" max="9734" width="8.85546875" style="113" customWidth="1"/>
    <col min="9735" max="9735" width="10.140625" style="113" customWidth="1"/>
    <col min="9736" max="9747" width="8.85546875" style="113" customWidth="1"/>
    <col min="9748" max="9748" width="8.42578125" style="113" customWidth="1"/>
    <col min="9749" max="9750" width="8.85546875" style="113" customWidth="1"/>
    <col min="9751" max="9985" width="9.140625" style="113"/>
    <col min="9986" max="9986" width="3.85546875" style="113" customWidth="1"/>
    <col min="9987" max="9987" width="13.85546875" style="113" customWidth="1"/>
    <col min="9988" max="9988" width="3.42578125" style="113" customWidth="1"/>
    <col min="9989" max="9989" width="18" style="113" customWidth="1"/>
    <col min="9990" max="9990" width="8.85546875" style="113" customWidth="1"/>
    <col min="9991" max="9991" width="10.140625" style="113" customWidth="1"/>
    <col min="9992" max="10003" width="8.85546875" style="113" customWidth="1"/>
    <col min="10004" max="10004" width="8.42578125" style="113" customWidth="1"/>
    <col min="10005" max="10006" width="8.85546875" style="113" customWidth="1"/>
    <col min="10007" max="10241" width="9.140625" style="113"/>
    <col min="10242" max="10242" width="3.85546875" style="113" customWidth="1"/>
    <col min="10243" max="10243" width="13.85546875" style="113" customWidth="1"/>
    <col min="10244" max="10244" width="3.42578125" style="113" customWidth="1"/>
    <col min="10245" max="10245" width="18" style="113" customWidth="1"/>
    <col min="10246" max="10246" width="8.85546875" style="113" customWidth="1"/>
    <col min="10247" max="10247" width="10.140625" style="113" customWidth="1"/>
    <col min="10248" max="10259" width="8.85546875" style="113" customWidth="1"/>
    <col min="10260" max="10260" width="8.42578125" style="113" customWidth="1"/>
    <col min="10261" max="10262" width="8.85546875" style="113" customWidth="1"/>
    <col min="10263" max="10497" width="9.140625" style="113"/>
    <col min="10498" max="10498" width="3.85546875" style="113" customWidth="1"/>
    <col min="10499" max="10499" width="13.85546875" style="113" customWidth="1"/>
    <col min="10500" max="10500" width="3.42578125" style="113" customWidth="1"/>
    <col min="10501" max="10501" width="18" style="113" customWidth="1"/>
    <col min="10502" max="10502" width="8.85546875" style="113" customWidth="1"/>
    <col min="10503" max="10503" width="10.140625" style="113" customWidth="1"/>
    <col min="10504" max="10515" width="8.85546875" style="113" customWidth="1"/>
    <col min="10516" max="10516" width="8.42578125" style="113" customWidth="1"/>
    <col min="10517" max="10518" width="8.85546875" style="113" customWidth="1"/>
    <col min="10519" max="10753" width="9.140625" style="113"/>
    <col min="10754" max="10754" width="3.85546875" style="113" customWidth="1"/>
    <col min="10755" max="10755" width="13.85546875" style="113" customWidth="1"/>
    <col min="10756" max="10756" width="3.42578125" style="113" customWidth="1"/>
    <col min="10757" max="10757" width="18" style="113" customWidth="1"/>
    <col min="10758" max="10758" width="8.85546875" style="113" customWidth="1"/>
    <col min="10759" max="10759" width="10.140625" style="113" customWidth="1"/>
    <col min="10760" max="10771" width="8.85546875" style="113" customWidth="1"/>
    <col min="10772" max="10772" width="8.42578125" style="113" customWidth="1"/>
    <col min="10773" max="10774" width="8.85546875" style="113" customWidth="1"/>
    <col min="10775" max="11009" width="9.140625" style="113"/>
    <col min="11010" max="11010" width="3.85546875" style="113" customWidth="1"/>
    <col min="11011" max="11011" width="13.85546875" style="113" customWidth="1"/>
    <col min="11012" max="11012" width="3.42578125" style="113" customWidth="1"/>
    <col min="11013" max="11013" width="18" style="113" customWidth="1"/>
    <col min="11014" max="11014" width="8.85546875" style="113" customWidth="1"/>
    <col min="11015" max="11015" width="10.140625" style="113" customWidth="1"/>
    <col min="11016" max="11027" width="8.85546875" style="113" customWidth="1"/>
    <col min="11028" max="11028" width="8.42578125" style="113" customWidth="1"/>
    <col min="11029" max="11030" width="8.85546875" style="113" customWidth="1"/>
    <col min="11031" max="11265" width="9.140625" style="113"/>
    <col min="11266" max="11266" width="3.85546875" style="113" customWidth="1"/>
    <col min="11267" max="11267" width="13.85546875" style="113" customWidth="1"/>
    <col min="11268" max="11268" width="3.42578125" style="113" customWidth="1"/>
    <col min="11269" max="11269" width="18" style="113" customWidth="1"/>
    <col min="11270" max="11270" width="8.85546875" style="113" customWidth="1"/>
    <col min="11271" max="11271" width="10.140625" style="113" customWidth="1"/>
    <col min="11272" max="11283" width="8.85546875" style="113" customWidth="1"/>
    <col min="11284" max="11284" width="8.42578125" style="113" customWidth="1"/>
    <col min="11285" max="11286" width="8.85546875" style="113" customWidth="1"/>
    <col min="11287" max="11521" width="9.140625" style="113"/>
    <col min="11522" max="11522" width="3.85546875" style="113" customWidth="1"/>
    <col min="11523" max="11523" width="13.85546875" style="113" customWidth="1"/>
    <col min="11524" max="11524" width="3.42578125" style="113" customWidth="1"/>
    <col min="11525" max="11525" width="18" style="113" customWidth="1"/>
    <col min="11526" max="11526" width="8.85546875" style="113" customWidth="1"/>
    <col min="11527" max="11527" width="10.140625" style="113" customWidth="1"/>
    <col min="11528" max="11539" width="8.85546875" style="113" customWidth="1"/>
    <col min="11540" max="11540" width="8.42578125" style="113" customWidth="1"/>
    <col min="11541" max="11542" width="8.85546875" style="113" customWidth="1"/>
    <col min="11543" max="11777" width="9.140625" style="113"/>
    <col min="11778" max="11778" width="3.85546875" style="113" customWidth="1"/>
    <col min="11779" max="11779" width="13.85546875" style="113" customWidth="1"/>
    <col min="11780" max="11780" width="3.42578125" style="113" customWidth="1"/>
    <col min="11781" max="11781" width="18" style="113" customWidth="1"/>
    <col min="11782" max="11782" width="8.85546875" style="113" customWidth="1"/>
    <col min="11783" max="11783" width="10.140625" style="113" customWidth="1"/>
    <col min="11784" max="11795" width="8.85546875" style="113" customWidth="1"/>
    <col min="11796" max="11796" width="8.42578125" style="113" customWidth="1"/>
    <col min="11797" max="11798" width="8.85546875" style="113" customWidth="1"/>
    <col min="11799" max="12033" width="9.140625" style="113"/>
    <col min="12034" max="12034" width="3.85546875" style="113" customWidth="1"/>
    <col min="12035" max="12035" width="13.85546875" style="113" customWidth="1"/>
    <col min="12036" max="12036" width="3.42578125" style="113" customWidth="1"/>
    <col min="12037" max="12037" width="18" style="113" customWidth="1"/>
    <col min="12038" max="12038" width="8.85546875" style="113" customWidth="1"/>
    <col min="12039" max="12039" width="10.140625" style="113" customWidth="1"/>
    <col min="12040" max="12051" width="8.85546875" style="113" customWidth="1"/>
    <col min="12052" max="12052" width="8.42578125" style="113" customWidth="1"/>
    <col min="12053" max="12054" width="8.85546875" style="113" customWidth="1"/>
    <col min="12055" max="12289" width="9.140625" style="113"/>
    <col min="12290" max="12290" width="3.85546875" style="113" customWidth="1"/>
    <col min="12291" max="12291" width="13.85546875" style="113" customWidth="1"/>
    <col min="12292" max="12292" width="3.42578125" style="113" customWidth="1"/>
    <col min="12293" max="12293" width="18" style="113" customWidth="1"/>
    <col min="12294" max="12294" width="8.85546875" style="113" customWidth="1"/>
    <col min="12295" max="12295" width="10.140625" style="113" customWidth="1"/>
    <col min="12296" max="12307" width="8.85546875" style="113" customWidth="1"/>
    <col min="12308" max="12308" width="8.42578125" style="113" customWidth="1"/>
    <col min="12309" max="12310" width="8.85546875" style="113" customWidth="1"/>
    <col min="12311" max="12545" width="9.140625" style="113"/>
    <col min="12546" max="12546" width="3.85546875" style="113" customWidth="1"/>
    <col min="12547" max="12547" width="13.85546875" style="113" customWidth="1"/>
    <col min="12548" max="12548" width="3.42578125" style="113" customWidth="1"/>
    <col min="12549" max="12549" width="18" style="113" customWidth="1"/>
    <col min="12550" max="12550" width="8.85546875" style="113" customWidth="1"/>
    <col min="12551" max="12551" width="10.140625" style="113" customWidth="1"/>
    <col min="12552" max="12563" width="8.85546875" style="113" customWidth="1"/>
    <col min="12564" max="12564" width="8.42578125" style="113" customWidth="1"/>
    <col min="12565" max="12566" width="8.85546875" style="113" customWidth="1"/>
    <col min="12567" max="12801" width="9.140625" style="113"/>
    <col min="12802" max="12802" width="3.85546875" style="113" customWidth="1"/>
    <col min="12803" max="12803" width="13.85546875" style="113" customWidth="1"/>
    <col min="12804" max="12804" width="3.42578125" style="113" customWidth="1"/>
    <col min="12805" max="12805" width="18" style="113" customWidth="1"/>
    <col min="12806" max="12806" width="8.85546875" style="113" customWidth="1"/>
    <col min="12807" max="12807" width="10.140625" style="113" customWidth="1"/>
    <col min="12808" max="12819" width="8.85546875" style="113" customWidth="1"/>
    <col min="12820" max="12820" width="8.42578125" style="113" customWidth="1"/>
    <col min="12821" max="12822" width="8.85546875" style="113" customWidth="1"/>
    <col min="12823" max="13057" width="9.140625" style="113"/>
    <col min="13058" max="13058" width="3.85546875" style="113" customWidth="1"/>
    <col min="13059" max="13059" width="13.85546875" style="113" customWidth="1"/>
    <col min="13060" max="13060" width="3.42578125" style="113" customWidth="1"/>
    <col min="13061" max="13061" width="18" style="113" customWidth="1"/>
    <col min="13062" max="13062" width="8.85546875" style="113" customWidth="1"/>
    <col min="13063" max="13063" width="10.140625" style="113" customWidth="1"/>
    <col min="13064" max="13075" width="8.85546875" style="113" customWidth="1"/>
    <col min="13076" max="13076" width="8.42578125" style="113" customWidth="1"/>
    <col min="13077" max="13078" width="8.85546875" style="113" customWidth="1"/>
    <col min="13079" max="13313" width="9.140625" style="113"/>
    <col min="13314" max="13314" width="3.85546875" style="113" customWidth="1"/>
    <col min="13315" max="13315" width="13.85546875" style="113" customWidth="1"/>
    <col min="13316" max="13316" width="3.42578125" style="113" customWidth="1"/>
    <col min="13317" max="13317" width="18" style="113" customWidth="1"/>
    <col min="13318" max="13318" width="8.85546875" style="113" customWidth="1"/>
    <col min="13319" max="13319" width="10.140625" style="113" customWidth="1"/>
    <col min="13320" max="13331" width="8.85546875" style="113" customWidth="1"/>
    <col min="13332" max="13332" width="8.42578125" style="113" customWidth="1"/>
    <col min="13333" max="13334" width="8.85546875" style="113" customWidth="1"/>
    <col min="13335" max="13569" width="9.140625" style="113"/>
    <col min="13570" max="13570" width="3.85546875" style="113" customWidth="1"/>
    <col min="13571" max="13571" width="13.85546875" style="113" customWidth="1"/>
    <col min="13572" max="13572" width="3.42578125" style="113" customWidth="1"/>
    <col min="13573" max="13573" width="18" style="113" customWidth="1"/>
    <col min="13574" max="13574" width="8.85546875" style="113" customWidth="1"/>
    <col min="13575" max="13575" width="10.140625" style="113" customWidth="1"/>
    <col min="13576" max="13587" width="8.85546875" style="113" customWidth="1"/>
    <col min="13588" max="13588" width="8.42578125" style="113" customWidth="1"/>
    <col min="13589" max="13590" width="8.85546875" style="113" customWidth="1"/>
    <col min="13591" max="13825" width="9.140625" style="113"/>
    <col min="13826" max="13826" width="3.85546875" style="113" customWidth="1"/>
    <col min="13827" max="13827" width="13.85546875" style="113" customWidth="1"/>
    <col min="13828" max="13828" width="3.42578125" style="113" customWidth="1"/>
    <col min="13829" max="13829" width="18" style="113" customWidth="1"/>
    <col min="13830" max="13830" width="8.85546875" style="113" customWidth="1"/>
    <col min="13831" max="13831" width="10.140625" style="113" customWidth="1"/>
    <col min="13832" max="13843" width="8.85546875" style="113" customWidth="1"/>
    <col min="13844" max="13844" width="8.42578125" style="113" customWidth="1"/>
    <col min="13845" max="13846" width="8.85546875" style="113" customWidth="1"/>
    <col min="13847" max="14081" width="9.140625" style="113"/>
    <col min="14082" max="14082" width="3.85546875" style="113" customWidth="1"/>
    <col min="14083" max="14083" width="13.85546875" style="113" customWidth="1"/>
    <col min="14084" max="14084" width="3.42578125" style="113" customWidth="1"/>
    <col min="14085" max="14085" width="18" style="113" customWidth="1"/>
    <col min="14086" max="14086" width="8.85546875" style="113" customWidth="1"/>
    <col min="14087" max="14087" width="10.140625" style="113" customWidth="1"/>
    <col min="14088" max="14099" width="8.85546875" style="113" customWidth="1"/>
    <col min="14100" max="14100" width="8.42578125" style="113" customWidth="1"/>
    <col min="14101" max="14102" width="8.85546875" style="113" customWidth="1"/>
    <col min="14103" max="14337" width="9.140625" style="113"/>
    <col min="14338" max="14338" width="3.85546875" style="113" customWidth="1"/>
    <col min="14339" max="14339" width="13.85546875" style="113" customWidth="1"/>
    <col min="14340" max="14340" width="3.42578125" style="113" customWidth="1"/>
    <col min="14341" max="14341" width="18" style="113" customWidth="1"/>
    <col min="14342" max="14342" width="8.85546875" style="113" customWidth="1"/>
    <col min="14343" max="14343" width="10.140625" style="113" customWidth="1"/>
    <col min="14344" max="14355" width="8.85546875" style="113" customWidth="1"/>
    <col min="14356" max="14356" width="8.42578125" style="113" customWidth="1"/>
    <col min="14357" max="14358" width="8.85546875" style="113" customWidth="1"/>
    <col min="14359" max="14593" width="9.140625" style="113"/>
    <col min="14594" max="14594" width="3.85546875" style="113" customWidth="1"/>
    <col min="14595" max="14595" width="13.85546875" style="113" customWidth="1"/>
    <col min="14596" max="14596" width="3.42578125" style="113" customWidth="1"/>
    <col min="14597" max="14597" width="18" style="113" customWidth="1"/>
    <col min="14598" max="14598" width="8.85546875" style="113" customWidth="1"/>
    <col min="14599" max="14599" width="10.140625" style="113" customWidth="1"/>
    <col min="14600" max="14611" width="8.85546875" style="113" customWidth="1"/>
    <col min="14612" max="14612" width="8.42578125" style="113" customWidth="1"/>
    <col min="14613" max="14614" width="8.85546875" style="113" customWidth="1"/>
    <col min="14615" max="14849" width="9.140625" style="113"/>
    <col min="14850" max="14850" width="3.85546875" style="113" customWidth="1"/>
    <col min="14851" max="14851" width="13.85546875" style="113" customWidth="1"/>
    <col min="14852" max="14852" width="3.42578125" style="113" customWidth="1"/>
    <col min="14853" max="14853" width="18" style="113" customWidth="1"/>
    <col min="14854" max="14854" width="8.85546875" style="113" customWidth="1"/>
    <col min="14855" max="14855" width="10.140625" style="113" customWidth="1"/>
    <col min="14856" max="14867" width="8.85546875" style="113" customWidth="1"/>
    <col min="14868" max="14868" width="8.42578125" style="113" customWidth="1"/>
    <col min="14869" max="14870" width="8.85546875" style="113" customWidth="1"/>
    <col min="14871" max="15105" width="9.140625" style="113"/>
    <col min="15106" max="15106" width="3.85546875" style="113" customWidth="1"/>
    <col min="15107" max="15107" width="13.85546875" style="113" customWidth="1"/>
    <col min="15108" max="15108" width="3.42578125" style="113" customWidth="1"/>
    <col min="15109" max="15109" width="18" style="113" customWidth="1"/>
    <col min="15110" max="15110" width="8.85546875" style="113" customWidth="1"/>
    <col min="15111" max="15111" width="10.140625" style="113" customWidth="1"/>
    <col min="15112" max="15123" width="8.85546875" style="113" customWidth="1"/>
    <col min="15124" max="15124" width="8.42578125" style="113" customWidth="1"/>
    <col min="15125" max="15126" width="8.85546875" style="113" customWidth="1"/>
    <col min="15127" max="15361" width="9.140625" style="113"/>
    <col min="15362" max="15362" width="3.85546875" style="113" customWidth="1"/>
    <col min="15363" max="15363" width="13.85546875" style="113" customWidth="1"/>
    <col min="15364" max="15364" width="3.42578125" style="113" customWidth="1"/>
    <col min="15365" max="15365" width="18" style="113" customWidth="1"/>
    <col min="15366" max="15366" width="8.85546875" style="113" customWidth="1"/>
    <col min="15367" max="15367" width="10.140625" style="113" customWidth="1"/>
    <col min="15368" max="15379" width="8.85546875" style="113" customWidth="1"/>
    <col min="15380" max="15380" width="8.42578125" style="113" customWidth="1"/>
    <col min="15381" max="15382" width="8.85546875" style="113" customWidth="1"/>
    <col min="15383" max="15617" width="9.140625" style="113"/>
    <col min="15618" max="15618" width="3.85546875" style="113" customWidth="1"/>
    <col min="15619" max="15619" width="13.85546875" style="113" customWidth="1"/>
    <col min="15620" max="15620" width="3.42578125" style="113" customWidth="1"/>
    <col min="15621" max="15621" width="18" style="113" customWidth="1"/>
    <col min="15622" max="15622" width="8.85546875" style="113" customWidth="1"/>
    <col min="15623" max="15623" width="10.140625" style="113" customWidth="1"/>
    <col min="15624" max="15635" width="8.85546875" style="113" customWidth="1"/>
    <col min="15636" max="15636" width="8.42578125" style="113" customWidth="1"/>
    <col min="15637" max="15638" width="8.85546875" style="113" customWidth="1"/>
    <col min="15639" max="15873" width="9.140625" style="113"/>
    <col min="15874" max="15874" width="3.85546875" style="113" customWidth="1"/>
    <col min="15875" max="15875" width="13.85546875" style="113" customWidth="1"/>
    <col min="15876" max="15876" width="3.42578125" style="113" customWidth="1"/>
    <col min="15877" max="15877" width="18" style="113" customWidth="1"/>
    <col min="15878" max="15878" width="8.85546875" style="113" customWidth="1"/>
    <col min="15879" max="15879" width="10.140625" style="113" customWidth="1"/>
    <col min="15880" max="15891" width="8.85546875" style="113" customWidth="1"/>
    <col min="15892" max="15892" width="8.42578125" style="113" customWidth="1"/>
    <col min="15893" max="15894" width="8.85546875" style="113" customWidth="1"/>
    <col min="15895" max="16129" width="9.140625" style="113"/>
    <col min="16130" max="16130" width="3.85546875" style="113" customWidth="1"/>
    <col min="16131" max="16131" width="13.85546875" style="113" customWidth="1"/>
    <col min="16132" max="16132" width="3.42578125" style="113" customWidth="1"/>
    <col min="16133" max="16133" width="18" style="113" customWidth="1"/>
    <col min="16134" max="16134" width="8.85546875" style="113" customWidth="1"/>
    <col min="16135" max="16135" width="10.140625" style="113" customWidth="1"/>
    <col min="16136" max="16147" width="8.85546875" style="113" customWidth="1"/>
    <col min="16148" max="16148" width="8.42578125" style="113" customWidth="1"/>
    <col min="16149" max="16150" width="8.85546875" style="113" customWidth="1"/>
    <col min="16151" max="16384" width="9.140625" style="113"/>
  </cols>
  <sheetData>
    <row r="1" spans="1:32" x14ac:dyDescent="0.25">
      <c r="D1" s="1137"/>
      <c r="E1" s="1137"/>
      <c r="F1" s="1137"/>
      <c r="G1" s="1137"/>
      <c r="H1" s="1137"/>
      <c r="I1" s="1137"/>
      <c r="J1" s="1137"/>
      <c r="K1" s="1137"/>
      <c r="L1" s="1137"/>
      <c r="M1" s="1137"/>
      <c r="N1" s="1137"/>
      <c r="O1" s="1137"/>
      <c r="P1" s="1137"/>
      <c r="Q1" s="1137"/>
      <c r="R1" s="1137"/>
      <c r="S1" s="1137"/>
    </row>
    <row r="2" spans="1:32" ht="15" customHeight="1" x14ac:dyDescent="0.25">
      <c r="A2" s="509">
        <v>1</v>
      </c>
      <c r="B2" s="509" t="s">
        <v>1786</v>
      </c>
      <c r="C2" s="509">
        <v>69</v>
      </c>
      <c r="D2" s="5032" t="s">
        <v>1845</v>
      </c>
      <c r="E2" s="5030"/>
      <c r="F2" s="5030"/>
      <c r="G2" s="5030"/>
      <c r="H2" s="5030"/>
      <c r="I2" s="5030"/>
      <c r="J2" s="5030"/>
      <c r="K2" s="5030"/>
      <c r="L2" s="5030"/>
      <c r="M2" s="5030"/>
      <c r="N2" s="5030"/>
      <c r="O2" s="5030"/>
      <c r="P2" s="5030"/>
      <c r="Q2" s="5030"/>
      <c r="R2" s="5030"/>
      <c r="S2" s="5030"/>
      <c r="T2" s="5030"/>
      <c r="U2" s="5030"/>
      <c r="V2" s="5030"/>
      <c r="W2" s="5030"/>
      <c r="X2" s="5030"/>
      <c r="Y2" s="5030"/>
      <c r="Z2" s="5030"/>
      <c r="AA2" s="5030"/>
      <c r="AB2" s="5030"/>
      <c r="AC2" s="5031"/>
    </row>
    <row r="3" spans="1:32" ht="15" customHeight="1" x14ac:dyDescent="0.25">
      <c r="A3" s="509">
        <v>2</v>
      </c>
      <c r="B3" s="509" t="s">
        <v>1788</v>
      </c>
      <c r="C3" s="509"/>
      <c r="D3" s="5032" t="s">
        <v>1789</v>
      </c>
      <c r="E3" s="5030"/>
      <c r="F3" s="5030"/>
      <c r="G3" s="5030"/>
      <c r="H3" s="5030"/>
      <c r="I3" s="5030"/>
      <c r="J3" s="5030"/>
      <c r="K3" s="5030"/>
      <c r="L3" s="5030"/>
      <c r="M3" s="5030"/>
      <c r="N3" s="5030"/>
      <c r="O3" s="5030"/>
      <c r="P3" s="5030"/>
      <c r="Q3" s="5030"/>
      <c r="R3" s="5030"/>
      <c r="S3" s="5030"/>
      <c r="T3" s="5030"/>
      <c r="U3" s="5030"/>
      <c r="V3" s="5030"/>
      <c r="W3" s="5030"/>
      <c r="X3" s="5030"/>
      <c r="Y3" s="5030"/>
      <c r="Z3" s="5030"/>
      <c r="AA3" s="5030"/>
      <c r="AB3" s="5030"/>
      <c r="AC3" s="5031"/>
    </row>
    <row r="4" spans="1:32" ht="12.75" customHeight="1" x14ac:dyDescent="0.25">
      <c r="A4" s="509">
        <v>3</v>
      </c>
      <c r="B4" s="509" t="s">
        <v>4</v>
      </c>
      <c r="C4" s="546"/>
      <c r="D4" s="5032" t="s">
        <v>1846</v>
      </c>
      <c r="E4" s="5030"/>
      <c r="F4" s="5030"/>
      <c r="G4" s="5030"/>
      <c r="H4" s="5030"/>
      <c r="I4" s="5030"/>
      <c r="J4" s="5030"/>
      <c r="K4" s="5030"/>
      <c r="L4" s="5030"/>
      <c r="M4" s="5030"/>
      <c r="N4" s="5030"/>
      <c r="O4" s="5030"/>
      <c r="P4" s="5030"/>
      <c r="Q4" s="5030"/>
      <c r="R4" s="5030"/>
      <c r="S4" s="5030"/>
      <c r="T4" s="5030"/>
      <c r="U4" s="5030"/>
      <c r="V4" s="5030"/>
      <c r="W4" s="5030"/>
      <c r="X4" s="5030"/>
      <c r="Y4" s="5030"/>
      <c r="Z4" s="5030"/>
      <c r="AA4" s="5030"/>
      <c r="AB4" s="5030"/>
      <c r="AC4" s="5031"/>
    </row>
    <row r="5" spans="1:32" ht="12.75" customHeight="1" x14ac:dyDescent="0.25">
      <c r="A5" s="509"/>
      <c r="B5" s="509"/>
      <c r="C5" s="546"/>
      <c r="D5" s="180"/>
      <c r="E5" s="180"/>
      <c r="F5" s="180"/>
      <c r="G5" s="180"/>
      <c r="H5" s="180"/>
      <c r="I5" s="180"/>
      <c r="J5" s="180"/>
      <c r="K5" s="180"/>
      <c r="L5" s="180"/>
      <c r="M5" s="180"/>
      <c r="N5" s="180"/>
      <c r="O5" s="180"/>
      <c r="P5" s="180"/>
      <c r="Q5" s="180"/>
      <c r="R5" s="180"/>
      <c r="S5" s="180"/>
      <c r="T5" s="180"/>
      <c r="U5" s="180"/>
      <c r="V5" s="180"/>
    </row>
    <row r="6" spans="1:32" ht="12.75" customHeight="1" x14ac:dyDescent="0.25">
      <c r="A6" s="509"/>
      <c r="B6" s="506"/>
      <c r="C6" s="506"/>
      <c r="D6" s="1899"/>
      <c r="E6" s="1900"/>
      <c r="F6" s="1900"/>
      <c r="G6" s="1900"/>
      <c r="H6" s="1900"/>
      <c r="I6" s="1900"/>
      <c r="J6" s="1900"/>
      <c r="K6" s="1900"/>
      <c r="L6" s="1900"/>
      <c r="M6" s="1900"/>
      <c r="N6" s="1900"/>
      <c r="O6" s="1900"/>
      <c r="P6" s="1900"/>
      <c r="Q6" s="1900"/>
      <c r="R6" s="1900"/>
    </row>
    <row r="7" spans="1:32" x14ac:dyDescent="0.25">
      <c r="A7" s="509">
        <v>4</v>
      </c>
      <c r="B7" s="509" t="s">
        <v>6</v>
      </c>
      <c r="D7" s="1901" t="s">
        <v>7</v>
      </c>
      <c r="E7" s="1901" t="s">
        <v>1847</v>
      </c>
      <c r="F7" s="1901"/>
      <c r="G7" s="1901"/>
      <c r="H7" s="1901"/>
      <c r="I7" s="1901"/>
      <c r="J7" s="1901"/>
      <c r="K7" s="1901"/>
      <c r="L7" s="1901"/>
      <c r="M7" s="512"/>
      <c r="N7" s="512"/>
      <c r="O7" s="512"/>
      <c r="P7" s="512"/>
      <c r="Q7" s="512"/>
      <c r="R7" s="512"/>
      <c r="S7" s="207"/>
      <c r="T7" s="207"/>
      <c r="U7" s="207"/>
      <c r="V7" s="207"/>
      <c r="W7" s="1902"/>
      <c r="X7" s="207"/>
      <c r="Y7" s="207"/>
      <c r="Z7" s="207"/>
      <c r="AA7" s="207"/>
      <c r="AB7" s="207"/>
      <c r="AC7" s="207"/>
    </row>
    <row r="8" spans="1:32" x14ac:dyDescent="0.25">
      <c r="A8" s="860"/>
      <c r="D8" s="3150"/>
      <c r="E8" s="3151" t="s">
        <v>395</v>
      </c>
      <c r="F8" s="3151" t="s">
        <v>396</v>
      </c>
      <c r="G8" s="3151" t="s">
        <v>9</v>
      </c>
      <c r="H8" s="3151" t="s">
        <v>10</v>
      </c>
      <c r="I8" s="3151" t="s">
        <v>11</v>
      </c>
      <c r="J8" s="3152" t="s">
        <v>12</v>
      </c>
      <c r="K8" s="3152" t="s">
        <v>13</v>
      </c>
      <c r="L8" s="3151" t="s">
        <v>14</v>
      </c>
      <c r="M8" s="3153" t="s">
        <v>15</v>
      </c>
      <c r="N8" s="3152" t="s">
        <v>16</v>
      </c>
      <c r="O8" s="3152" t="s">
        <v>17</v>
      </c>
      <c r="P8" s="3152" t="s">
        <v>1791</v>
      </c>
      <c r="Q8" s="3152" t="s">
        <v>19</v>
      </c>
      <c r="R8" s="3152" t="s">
        <v>20</v>
      </c>
      <c r="S8" s="3152" t="s">
        <v>21</v>
      </c>
      <c r="T8" s="3152" t="s">
        <v>22</v>
      </c>
      <c r="U8" s="3152" t="s">
        <v>23</v>
      </c>
      <c r="V8" s="3152" t="s">
        <v>24</v>
      </c>
      <c r="W8" s="3152" t="s">
        <v>25</v>
      </c>
      <c r="X8" s="3152" t="s">
        <v>26</v>
      </c>
      <c r="Y8" s="3152" t="s">
        <v>27</v>
      </c>
      <c r="Z8" s="3152" t="s">
        <v>28</v>
      </c>
      <c r="AA8" s="3152" t="s">
        <v>29</v>
      </c>
      <c r="AB8" s="3152" t="s">
        <v>30</v>
      </c>
      <c r="AC8" s="3152" t="s">
        <v>31</v>
      </c>
      <c r="AD8" s="3152" t="s">
        <v>32</v>
      </c>
      <c r="AE8" s="3152" t="s">
        <v>33</v>
      </c>
      <c r="AF8" s="3524" t="s">
        <v>59</v>
      </c>
    </row>
    <row r="9" spans="1:32" ht="18.75" customHeight="1" x14ac:dyDescent="0.25">
      <c r="A9" s="860"/>
      <c r="D9" s="512" t="s">
        <v>1848</v>
      </c>
      <c r="E9" s="1903">
        <v>1689.1</v>
      </c>
      <c r="F9" s="1903">
        <v>1693.4</v>
      </c>
      <c r="G9" s="1903">
        <v>1591.3</v>
      </c>
      <c r="H9" s="1903">
        <v>1615.9</v>
      </c>
      <c r="I9" s="1903">
        <v>1684.8</v>
      </c>
      <c r="J9" s="1903">
        <v>1679</v>
      </c>
      <c r="K9" s="1903">
        <v>1686.4</v>
      </c>
      <c r="L9" s="1903">
        <v>1623.3</v>
      </c>
      <c r="M9" s="1903">
        <v>1605.4</v>
      </c>
      <c r="N9" s="1903">
        <v>1434.3</v>
      </c>
      <c r="O9" s="1903">
        <v>1282</v>
      </c>
      <c r="P9" s="1903">
        <v>1217.0999999999999</v>
      </c>
      <c r="Q9" s="1903">
        <v>1154.7</v>
      </c>
      <c r="R9" s="1903">
        <v>1090</v>
      </c>
      <c r="S9" s="1903">
        <v>1093</v>
      </c>
      <c r="T9" s="1903">
        <v>1122</v>
      </c>
      <c r="U9" s="1903">
        <f>(528957/51029719.02)*100000</f>
        <v>1036.566554075453</v>
      </c>
      <c r="V9" s="1903">
        <f>(530624/51759547.67)*100000</f>
        <v>1025.1712464395266</v>
      </c>
      <c r="W9" s="1903">
        <f>(558334/52517864.18)*100000</f>
        <v>1063.1315814488632</v>
      </c>
      <c r="X9" s="1903">
        <f>(558228/53304520.02)*100000</f>
        <v>1047.2432727854061</v>
      </c>
      <c r="Y9" s="1903">
        <f>(553487/54120306.16)*100000</f>
        <v>1022.6974665732379</v>
      </c>
      <c r="Z9" s="1903">
        <f>(543524/54965281.74)*100000</f>
        <v>988.84965708173593</v>
      </c>
      <c r="AA9" s="1903">
        <f>(540653/55843010.66)*100000</f>
        <v>968.1659237388975</v>
      </c>
      <c r="AB9" s="1903">
        <f>(507975/56753326.89)*100000</f>
        <v>895.05766064527529</v>
      </c>
      <c r="AC9" s="1903">
        <f>(495161/57698414)*100000</f>
        <v>858.18823373550617</v>
      </c>
      <c r="AD9" s="1903">
        <f>(469224/58678234.75)*100000</f>
        <v>799.65595761211966</v>
      </c>
      <c r="AE9" s="1903">
        <f>(369745/59695848)*100000</f>
        <v>619.38143503715696</v>
      </c>
      <c r="AF9" s="3286">
        <f>(362274/60356785)*100000</f>
        <v>600.22083681229867</v>
      </c>
    </row>
    <row r="10" spans="1:32" x14ac:dyDescent="0.25">
      <c r="A10" s="506"/>
      <c r="D10" s="512" t="s">
        <v>1849</v>
      </c>
      <c r="E10" s="1903">
        <v>1625.8</v>
      </c>
      <c r="F10" s="1903">
        <v>1656.3</v>
      </c>
      <c r="G10" s="1903">
        <v>1618.5</v>
      </c>
      <c r="H10" s="1903">
        <v>1624.4</v>
      </c>
      <c r="I10" s="1903">
        <v>1675.1</v>
      </c>
      <c r="J10" s="1903">
        <v>1790.7</v>
      </c>
      <c r="K10" s="1903">
        <v>1901.9</v>
      </c>
      <c r="L10" s="1903">
        <v>1873.9</v>
      </c>
      <c r="M10" s="1903">
        <v>1951.7</v>
      </c>
      <c r="N10" s="1903">
        <v>1910.5</v>
      </c>
      <c r="O10" s="1903">
        <v>1818.8</v>
      </c>
      <c r="P10" s="1903">
        <v>1612.6</v>
      </c>
      <c r="Q10" s="1903">
        <v>1541.1</v>
      </c>
      <c r="R10" s="1903">
        <v>1447.4</v>
      </c>
      <c r="S10" s="1903">
        <v>1405.3</v>
      </c>
      <c r="T10" s="1903">
        <v>1371.4</v>
      </c>
      <c r="U10" s="1903">
        <f>(633228/51029719.02)*100000</f>
        <v>1240.9004246169177</v>
      </c>
      <c r="V10" s="1903">
        <f>(615935/51759547.67)*100000</f>
        <v>1189.993011389854</v>
      </c>
      <c r="W10" s="1903">
        <f>(608724/52517864.18)*100000</f>
        <v>1159.0798854912612</v>
      </c>
      <c r="X10" s="1903">
        <f>(611574/53304520.02)*100000</f>
        <v>1147.3210897885128</v>
      </c>
      <c r="Y10" s="1903">
        <f>(616973/54120306.16)*100000</f>
        <v>1140.0027896664064</v>
      </c>
      <c r="Z10" s="1903">
        <f>(623223/54965281.74)*100000</f>
        <v>1133.8484590109188</v>
      </c>
      <c r="AA10" s="1903">
        <f>(608321/55843010.66)*100000</f>
        <v>1089.3413388897682</v>
      </c>
      <c r="AB10" s="1903">
        <f>(601366/56753326.89)*100000</f>
        <v>1059.6136525451186</v>
      </c>
      <c r="AC10" s="1903">
        <f>(617210/57698414.32)*100000</f>
        <v>1069.7174389869783</v>
      </c>
      <c r="AD10" s="1903">
        <f>(621282/58678234.75)*100000</f>
        <v>1058.7946325362147</v>
      </c>
      <c r="AE10" s="1903">
        <f>(535217/59695848)*100000</f>
        <v>896.57324241377728</v>
      </c>
      <c r="AF10" s="3286">
        <f>(607163/60356785)*100000</f>
        <v>1005.9564968544961</v>
      </c>
    </row>
    <row r="11" spans="1:32" x14ac:dyDescent="0.25">
      <c r="A11" s="509"/>
      <c r="D11" s="512" t="s">
        <v>1850</v>
      </c>
      <c r="E11" s="1903">
        <v>1328.9</v>
      </c>
      <c r="F11" s="1903">
        <v>1293.4000000000001</v>
      </c>
      <c r="G11" s="1903">
        <v>1229.9000000000001</v>
      </c>
      <c r="H11" s="1903">
        <v>1277.3</v>
      </c>
      <c r="I11" s="1903">
        <v>1356.1</v>
      </c>
      <c r="J11" s="1903">
        <v>1463.9</v>
      </c>
      <c r="K11" s="1903">
        <v>1588.4</v>
      </c>
      <c r="L11" s="1903">
        <v>1569.7</v>
      </c>
      <c r="M11" s="1903">
        <v>1640.1</v>
      </c>
      <c r="N11" s="1903">
        <v>1582.8</v>
      </c>
      <c r="O11" s="1903">
        <v>1409.7</v>
      </c>
      <c r="P11" s="1903">
        <v>1175.8</v>
      </c>
      <c r="Q11" s="1903">
        <v>1144.4000000000001</v>
      </c>
      <c r="R11" s="1903">
        <v>1102.5</v>
      </c>
      <c r="S11" s="1903">
        <v>1134.5</v>
      </c>
      <c r="T11" s="1903">
        <v>1096.7</v>
      </c>
      <c r="U11" s="1903">
        <f>(525194/51029719.02)*100000</f>
        <v>1029.192419801805</v>
      </c>
      <c r="V11" s="1903">
        <f>(528296/51759547.67)*100000</f>
        <v>1020.6735255265803</v>
      </c>
      <c r="W11" s="1903">
        <f>(517252/52517864.18)*100000</f>
        <v>984.90677044132599</v>
      </c>
      <c r="X11" s="1903">
        <f>(510748/53304520.02)*100000</f>
        <v>958.17015106479892</v>
      </c>
      <c r="Y11" s="1903">
        <f>(499698/54120306.16)*100000</f>
        <v>923.30963265932871</v>
      </c>
      <c r="Z11" s="1903">
        <f>(479075/54965281.74)*100000</f>
        <v>871.595641529045</v>
      </c>
      <c r="AA11" s="1903">
        <f>(469276/55843010.66)*100000</f>
        <v>840.34867471094196</v>
      </c>
      <c r="AB11" s="1903">
        <f>(438113/56753326.89)*100000</f>
        <v>771.96003125800189</v>
      </c>
      <c r="AC11" s="1903">
        <f>(444447/57698414.32)*100000</f>
        <v>770.29326583406873</v>
      </c>
      <c r="AD11" s="1903">
        <f>(426569/58678234.75)*100000</f>
        <v>726.96290510000392</v>
      </c>
      <c r="AE11" s="1903">
        <f>(354566/59695848)*100000</f>
        <v>593.95420599436</v>
      </c>
      <c r="AF11" s="3286">
        <f>(393821/60356785)*100000</f>
        <v>652.48836564107921</v>
      </c>
    </row>
    <row r="12" spans="1:32" x14ac:dyDescent="0.25">
      <c r="A12" s="506"/>
      <c r="D12" s="512" t="s">
        <v>1851</v>
      </c>
      <c r="E12" s="1903">
        <v>346</v>
      </c>
      <c r="F12" s="1903">
        <v>352</v>
      </c>
      <c r="G12" s="1903">
        <v>344.7</v>
      </c>
      <c r="H12" s="1903">
        <v>331.4</v>
      </c>
      <c r="I12" s="1903">
        <v>331.5</v>
      </c>
      <c r="J12" s="1903">
        <v>334.3</v>
      </c>
      <c r="K12" s="1903">
        <v>339.7</v>
      </c>
      <c r="L12" s="1903">
        <v>344</v>
      </c>
      <c r="M12" s="1903">
        <v>365.8</v>
      </c>
      <c r="N12" s="1903">
        <v>360.2</v>
      </c>
      <c r="O12" s="1903">
        <v>341.3</v>
      </c>
      <c r="P12" s="1903">
        <v>324</v>
      </c>
      <c r="Q12" s="1903">
        <v>319.10000000000002</v>
      </c>
      <c r="R12" s="1903">
        <v>301.7</v>
      </c>
      <c r="S12" s="512">
        <v>289.89999999999998</v>
      </c>
      <c r="T12" s="512">
        <v>281.5</v>
      </c>
      <c r="U12" s="1903">
        <f>(128971/51029719.02)*100000</f>
        <v>252.73703731241906</v>
      </c>
      <c r="V12" s="512">
        <f>(125903/51759547.67)*100000</f>
        <v>243.2459433430748</v>
      </c>
      <c r="W12" s="512">
        <f>(124691/52517864.18)*100000</f>
        <v>237.42587774063585</v>
      </c>
      <c r="X12" s="512">
        <f>(123441/53304520.02)*100000</f>
        <v>231.57698437896937</v>
      </c>
      <c r="Y12" s="2218">
        <f>(125789/54120306.16)*100000</f>
        <v>232.42477532946759</v>
      </c>
      <c r="Z12" s="2218">
        <f>(124804/54965281.74)*100000</f>
        <v>227.05969304470264</v>
      </c>
      <c r="AA12" s="1903">
        <f>(120730/55843010.66)*100000</f>
        <v>216.19536370462589</v>
      </c>
      <c r="AB12" s="3525">
        <f>(115361/56753326.89)*100000</f>
        <v>203.26737888616489</v>
      </c>
      <c r="AC12" s="3525">
        <f>(117172/57698414.32)*100000</f>
        <v>203.0766380340277</v>
      </c>
      <c r="AD12" s="3525">
        <f>(112244/58678234.75)*100000</f>
        <v>191.28728135435261</v>
      </c>
      <c r="AE12" s="3525">
        <f>(102269/59695848)*100000</f>
        <v>171.31677231555534</v>
      </c>
      <c r="AF12" s="3526">
        <f>(117505/60356785)*100000</f>
        <v>194.6839945169379</v>
      </c>
    </row>
    <row r="13" spans="1:32" x14ac:dyDescent="0.25">
      <c r="A13" s="506"/>
      <c r="D13" s="3616" t="s">
        <v>1815</v>
      </c>
      <c r="E13" s="3617">
        <v>4989.8</v>
      </c>
      <c r="F13" s="3617">
        <v>4995.1000000000004</v>
      </c>
      <c r="G13" s="3617">
        <v>4784.3999999999996</v>
      </c>
      <c r="H13" s="3617">
        <v>4849</v>
      </c>
      <c r="I13" s="3617">
        <v>5047.5</v>
      </c>
      <c r="J13" s="3617">
        <v>5267.9</v>
      </c>
      <c r="K13" s="3617">
        <v>5516.4</v>
      </c>
      <c r="L13" s="3617">
        <v>5410.9</v>
      </c>
      <c r="M13" s="3617">
        <v>5563</v>
      </c>
      <c r="N13" s="3617">
        <v>5287.8</v>
      </c>
      <c r="O13" s="3617">
        <v>4851.8</v>
      </c>
      <c r="P13" s="3617">
        <v>4329.5</v>
      </c>
      <c r="Q13" s="3617">
        <v>4159.3</v>
      </c>
      <c r="R13" s="3617">
        <v>3941.6</v>
      </c>
      <c r="S13" s="3617">
        <v>3922.7</v>
      </c>
      <c r="T13" s="3618">
        <v>3871.6</v>
      </c>
      <c r="U13" s="3618">
        <f>(1816350/51029719.02)*100000</f>
        <v>3559.3964358065946</v>
      </c>
      <c r="V13" s="3618">
        <f>SUM(V9:V12)</f>
        <v>3479.0837266990357</v>
      </c>
      <c r="W13" s="3618">
        <f>(1809001/52517864.18)*100000</f>
        <v>3444.5441151220862</v>
      </c>
      <c r="X13" s="3618">
        <f>(1795947/53304520.02)*100000</f>
        <v>3369.2208452982145</v>
      </c>
      <c r="Y13" s="3618">
        <f>(1770626/54120306.16)*100000</f>
        <v>3271.6481587620056</v>
      </c>
      <c r="Z13" s="3618">
        <f>(1770626/54965281.74)*100000</f>
        <v>3221.3534506664028</v>
      </c>
      <c r="AA13" s="3618">
        <f>(1738980/55843010.66)*100000</f>
        <v>3114.0513010442337</v>
      </c>
      <c r="AB13" s="3154">
        <f>(1662815/56753326.89)*100000</f>
        <v>2929.8987233345611</v>
      </c>
      <c r="AC13" s="3154">
        <f>(1673990/57698414.32)*100000</f>
        <v>2901.2755718310004</v>
      </c>
      <c r="AD13" s="3154">
        <f>SUM(AD9:AD12)</f>
        <v>2776.7007766026909</v>
      </c>
      <c r="AE13" s="3154">
        <f>(1361797/59695848)*100000</f>
        <v>2281.2256557608498</v>
      </c>
      <c r="AF13" s="3287">
        <f>(1480763/60356785)*100000</f>
        <v>2453.3496938248122</v>
      </c>
    </row>
    <row r="14" spans="1:32" s="1893" customFormat="1" hidden="1" x14ac:dyDescent="0.25">
      <c r="A14" s="506"/>
      <c r="B14" s="1891"/>
      <c r="C14" s="1891"/>
      <c r="D14" s="1129"/>
      <c r="E14" s="1129"/>
      <c r="F14" s="1129"/>
      <c r="G14" s="1129"/>
      <c r="H14" s="1129"/>
      <c r="I14" s="1129"/>
      <c r="J14" s="1129"/>
      <c r="K14" s="1129"/>
      <c r="L14" s="1129"/>
      <c r="M14" s="1129"/>
      <c r="N14" s="1129"/>
      <c r="O14" s="1129"/>
      <c r="P14" s="1129"/>
      <c r="Q14" s="1129"/>
      <c r="R14" s="1129"/>
      <c r="S14" s="113"/>
      <c r="U14" s="1905"/>
      <c r="V14" s="1905"/>
      <c r="W14" s="1905"/>
      <c r="X14" s="1905"/>
      <c r="Y14" s="1905"/>
      <c r="Z14" s="1905"/>
      <c r="AA14" s="1905"/>
      <c r="AB14" s="1905"/>
      <c r="AC14" s="1905"/>
      <c r="AD14" s="1905"/>
    </row>
    <row r="15" spans="1:32" hidden="1" x14ac:dyDescent="0.25">
      <c r="A15" s="506"/>
      <c r="B15" s="1640"/>
      <c r="C15" s="509"/>
      <c r="D15" s="1137"/>
      <c r="E15" s="1906"/>
      <c r="F15" s="1906"/>
      <c r="G15" s="1906"/>
      <c r="H15" s="1906"/>
      <c r="I15" s="88"/>
      <c r="J15" s="88"/>
      <c r="K15" s="88"/>
      <c r="L15" s="88"/>
      <c r="M15" s="88"/>
      <c r="N15" s="88"/>
      <c r="O15" s="88"/>
      <c r="P15" s="88"/>
      <c r="Q15" s="88"/>
      <c r="R15" s="88"/>
      <c r="S15" s="88"/>
      <c r="T15" s="1894"/>
      <c r="U15" s="1907"/>
      <c r="V15" s="1907"/>
      <c r="W15" s="1907"/>
      <c r="X15" s="1907"/>
      <c r="Y15" s="570"/>
      <c r="Z15" s="570"/>
      <c r="AA15" s="570"/>
      <c r="AB15" s="570"/>
      <c r="AC15" s="570"/>
      <c r="AD15" s="570"/>
    </row>
    <row r="16" spans="1:32" x14ac:dyDescent="0.25">
      <c r="A16" s="506">
        <v>5</v>
      </c>
      <c r="B16" s="509" t="s">
        <v>51</v>
      </c>
      <c r="D16" s="1137"/>
      <c r="E16" s="88"/>
      <c r="F16" s="88"/>
      <c r="G16" s="88"/>
      <c r="H16" s="88"/>
      <c r="I16" s="88"/>
      <c r="J16" s="88"/>
      <c r="K16" s="88"/>
      <c r="L16" s="88"/>
      <c r="M16" s="88"/>
      <c r="N16" s="88"/>
      <c r="O16" s="88"/>
      <c r="P16" s="88"/>
      <c r="Q16" s="88"/>
      <c r="R16" s="88"/>
      <c r="S16" s="88"/>
      <c r="T16" s="1894"/>
      <c r="U16" s="1907"/>
      <c r="V16" s="1907"/>
      <c r="W16" s="1907"/>
      <c r="X16" s="1907"/>
      <c r="Y16" s="570"/>
      <c r="Z16" s="570"/>
      <c r="AA16" s="570"/>
      <c r="AB16" s="570"/>
      <c r="AC16" s="570"/>
      <c r="AD16" s="570"/>
    </row>
    <row r="17" spans="1:24" x14ac:dyDescent="0.25">
      <c r="A17" s="506"/>
      <c r="D17" s="1137"/>
      <c r="E17" s="88"/>
      <c r="F17" s="88"/>
      <c r="G17" s="88"/>
      <c r="H17" s="88"/>
      <c r="I17" s="88"/>
      <c r="J17" s="88"/>
      <c r="K17" s="88"/>
      <c r="L17" s="88"/>
      <c r="M17" s="88"/>
      <c r="N17" s="88"/>
      <c r="O17" s="88"/>
      <c r="P17" s="88"/>
      <c r="Q17" s="88"/>
      <c r="R17" s="88"/>
      <c r="S17" s="88"/>
      <c r="T17" s="1894"/>
      <c r="U17" s="1894"/>
      <c r="V17" s="1894"/>
      <c r="W17" s="1894"/>
      <c r="X17" s="1894"/>
    </row>
    <row r="18" spans="1:24" x14ac:dyDescent="0.25">
      <c r="A18" s="506"/>
      <c r="D18" s="1137"/>
      <c r="E18" s="88"/>
      <c r="F18" s="88"/>
      <c r="G18" s="88"/>
      <c r="H18" s="88"/>
      <c r="I18" s="88"/>
      <c r="J18" s="88"/>
      <c r="K18" s="88"/>
      <c r="L18" s="88"/>
      <c r="M18" s="88"/>
      <c r="N18" s="88"/>
      <c r="O18" s="88"/>
      <c r="P18" s="88"/>
      <c r="Q18" s="88"/>
      <c r="R18" s="88"/>
      <c r="S18" s="88"/>
      <c r="T18" s="1894"/>
      <c r="U18" s="1894"/>
      <c r="V18" s="1894"/>
      <c r="W18" s="1894"/>
      <c r="X18" s="1894"/>
    </row>
    <row r="19" spans="1:24" x14ac:dyDescent="0.25">
      <c r="A19" s="506"/>
      <c r="D19" s="1137"/>
      <c r="E19" s="88"/>
      <c r="F19" s="88"/>
      <c r="G19" s="88"/>
      <c r="H19" s="88"/>
      <c r="I19" s="88"/>
      <c r="J19" s="88"/>
      <c r="K19" s="88"/>
      <c r="L19" s="88"/>
      <c r="M19" s="88"/>
      <c r="N19" s="88"/>
      <c r="O19" s="88"/>
      <c r="P19" s="88"/>
      <c r="Q19" s="88"/>
      <c r="R19" s="88"/>
      <c r="S19" s="88"/>
    </row>
    <row r="20" spans="1:24" x14ac:dyDescent="0.25">
      <c r="A20" s="506"/>
      <c r="B20" s="1908"/>
      <c r="C20" s="1908"/>
      <c r="D20" s="1137"/>
      <c r="E20" s="88"/>
      <c r="F20" s="88"/>
      <c r="G20" s="88"/>
      <c r="H20" s="88"/>
      <c r="I20" s="88"/>
      <c r="J20" s="1906"/>
      <c r="K20" s="88"/>
      <c r="L20" s="88"/>
      <c r="M20" s="88"/>
      <c r="N20" s="88"/>
      <c r="O20" s="88"/>
      <c r="P20" s="88"/>
      <c r="Q20" s="88"/>
      <c r="R20" s="88"/>
      <c r="S20" s="88"/>
    </row>
    <row r="21" spans="1:24" x14ac:dyDescent="0.25">
      <c r="A21" s="506"/>
      <c r="D21" s="1137"/>
      <c r="E21" s="88"/>
      <c r="F21" s="88"/>
      <c r="G21" s="88"/>
      <c r="H21" s="88"/>
      <c r="I21" s="88"/>
      <c r="J21" s="88"/>
      <c r="K21" s="88"/>
      <c r="L21" s="88"/>
      <c r="M21" s="88"/>
      <c r="N21" s="88"/>
      <c r="O21" s="88"/>
      <c r="P21" s="88"/>
      <c r="Q21" s="88"/>
      <c r="R21" s="88"/>
      <c r="S21" s="88"/>
    </row>
    <row r="22" spans="1:24" x14ac:dyDescent="0.25">
      <c r="A22" s="506"/>
      <c r="D22" s="1137"/>
      <c r="E22" s="88"/>
      <c r="F22" s="88"/>
      <c r="G22" s="88"/>
      <c r="H22" s="88"/>
      <c r="I22" s="88"/>
      <c r="J22" s="88"/>
      <c r="K22" s="88"/>
      <c r="L22" s="88"/>
      <c r="M22" s="88"/>
      <c r="N22" s="88"/>
      <c r="O22" s="88"/>
      <c r="P22" s="88"/>
      <c r="Q22" s="88"/>
      <c r="R22" s="88"/>
      <c r="S22" s="88"/>
    </row>
    <row r="23" spans="1:24" x14ac:dyDescent="0.25">
      <c r="A23" s="506"/>
      <c r="D23" s="1137"/>
      <c r="E23" s="88"/>
      <c r="F23" s="88"/>
      <c r="G23" s="88"/>
      <c r="H23" s="88"/>
      <c r="I23" s="88"/>
      <c r="J23" s="88"/>
      <c r="K23" s="88"/>
      <c r="L23" s="88"/>
      <c r="M23" s="88"/>
      <c r="N23" s="88"/>
      <c r="O23" s="88"/>
      <c r="P23" s="88"/>
      <c r="Q23" s="88"/>
      <c r="R23" s="88"/>
      <c r="S23" s="88"/>
    </row>
    <row r="24" spans="1:24" x14ac:dyDescent="0.25">
      <c r="A24" s="506"/>
      <c r="D24" s="1137"/>
      <c r="E24" s="88"/>
      <c r="F24" s="88"/>
      <c r="G24" s="88"/>
      <c r="H24" s="88"/>
      <c r="I24" s="88"/>
      <c r="J24" s="88"/>
      <c r="K24" s="88"/>
      <c r="L24" s="88"/>
      <c r="M24" s="88"/>
      <c r="N24" s="88"/>
      <c r="O24" s="88"/>
      <c r="P24" s="88"/>
      <c r="Q24" s="88"/>
      <c r="R24" s="88"/>
      <c r="S24" s="88"/>
    </row>
    <row r="25" spans="1:24" x14ac:dyDescent="0.25">
      <c r="A25" s="506"/>
      <c r="D25" s="1137"/>
      <c r="E25" s="1137"/>
      <c r="F25" s="1137"/>
      <c r="G25" s="1137"/>
      <c r="H25" s="1137"/>
      <c r="I25" s="1137"/>
      <c r="J25" s="1137"/>
      <c r="K25" s="1137"/>
      <c r="L25" s="1137"/>
      <c r="M25" s="1137"/>
      <c r="N25" s="1137"/>
      <c r="O25" s="1137"/>
      <c r="P25" s="1137"/>
      <c r="Q25" s="1137"/>
      <c r="R25" s="1137"/>
      <c r="S25" s="1137"/>
    </row>
    <row r="26" spans="1:24" x14ac:dyDescent="0.25">
      <c r="A26" s="506"/>
      <c r="D26" s="1137"/>
      <c r="E26" s="1137"/>
      <c r="F26" s="1137"/>
      <c r="G26" s="1137"/>
      <c r="H26" s="1137"/>
      <c r="I26" s="1137"/>
      <c r="J26" s="1137"/>
      <c r="K26" s="1137"/>
      <c r="L26" s="1137"/>
      <c r="M26" s="1137"/>
      <c r="N26" s="1137"/>
      <c r="O26" s="1137"/>
      <c r="P26" s="1137"/>
      <c r="Q26" s="1137"/>
      <c r="R26" s="1137"/>
      <c r="S26" s="1137"/>
    </row>
    <row r="27" spans="1:24" x14ac:dyDescent="0.25">
      <c r="D27" s="1137"/>
      <c r="E27" s="1137"/>
      <c r="F27" s="1137"/>
      <c r="G27" s="1137"/>
      <c r="H27" s="1137"/>
      <c r="I27" s="1137"/>
      <c r="J27" s="1137"/>
      <c r="K27" s="1137"/>
      <c r="L27" s="1137"/>
      <c r="M27" s="1137"/>
      <c r="N27" s="1137"/>
      <c r="O27" s="1137"/>
      <c r="P27" s="1137"/>
      <c r="Q27" s="1137"/>
      <c r="R27" s="1137"/>
      <c r="S27" s="1137"/>
    </row>
    <row r="28" spans="1:24" x14ac:dyDescent="0.25">
      <c r="A28" s="509"/>
      <c r="D28" s="1137"/>
      <c r="E28" s="1137"/>
      <c r="F28" s="1137"/>
      <c r="G28" s="1137"/>
      <c r="H28" s="1137"/>
      <c r="I28" s="1137"/>
      <c r="J28" s="1137"/>
      <c r="K28" s="1137"/>
      <c r="L28" s="1137"/>
      <c r="M28" s="1137"/>
      <c r="N28" s="1137"/>
      <c r="O28" s="1137"/>
      <c r="P28" s="1137"/>
      <c r="Q28" s="1137"/>
      <c r="R28" s="1137"/>
      <c r="S28" s="1137"/>
    </row>
    <row r="29" spans="1:24" x14ac:dyDescent="0.25">
      <c r="A29" s="546"/>
      <c r="D29" s="1137"/>
      <c r="E29" s="1137"/>
      <c r="F29" s="1137"/>
      <c r="G29" s="1137"/>
      <c r="H29" s="1137"/>
      <c r="I29" s="1137"/>
      <c r="J29" s="1137"/>
      <c r="K29" s="1137"/>
      <c r="L29" s="1137"/>
      <c r="M29" s="1137"/>
      <c r="N29" s="1137"/>
      <c r="O29" s="1137"/>
      <c r="P29" s="1137"/>
      <c r="Q29" s="1137"/>
      <c r="R29" s="1137"/>
      <c r="S29" s="1137"/>
    </row>
    <row r="30" spans="1:24" x14ac:dyDescent="0.25">
      <c r="A30" s="509"/>
      <c r="B30" s="1908"/>
      <c r="C30" s="1908"/>
      <c r="D30" s="1137"/>
      <c r="E30" s="1137"/>
      <c r="F30" s="1137"/>
      <c r="G30" s="1137"/>
      <c r="H30" s="1137"/>
      <c r="I30" s="1137"/>
      <c r="J30" s="1137"/>
      <c r="K30" s="1137"/>
      <c r="L30" s="1137"/>
      <c r="M30" s="1137"/>
      <c r="N30" s="1137"/>
      <c r="O30" s="1137"/>
      <c r="P30" s="1137"/>
      <c r="Q30" s="1137"/>
      <c r="R30" s="1137"/>
      <c r="S30" s="1137"/>
    </row>
    <row r="31" spans="1:24" x14ac:dyDescent="0.25">
      <c r="D31" s="1137"/>
      <c r="E31" s="1137"/>
      <c r="F31" s="1137"/>
      <c r="G31" s="1137"/>
      <c r="H31" s="1137"/>
      <c r="I31" s="1137"/>
      <c r="J31" s="1137"/>
      <c r="K31" s="1137"/>
      <c r="L31" s="1137"/>
      <c r="M31" s="1137"/>
      <c r="N31" s="1137"/>
      <c r="O31" s="1137"/>
      <c r="P31" s="1137"/>
      <c r="Q31" s="1137"/>
      <c r="R31" s="1137"/>
      <c r="S31" s="1137"/>
    </row>
    <row r="32" spans="1:24" x14ac:dyDescent="0.25">
      <c r="D32" s="1137"/>
      <c r="E32" s="1137"/>
      <c r="F32" s="1137"/>
      <c r="G32" s="1137"/>
      <c r="H32" s="1137"/>
      <c r="I32" s="1137"/>
      <c r="J32" s="1137"/>
      <c r="K32" s="1137"/>
      <c r="L32" s="1137"/>
      <c r="M32" s="1137"/>
      <c r="N32" s="1137"/>
      <c r="O32" s="1137"/>
      <c r="P32" s="1137"/>
      <c r="Q32" s="1137"/>
      <c r="R32" s="1137"/>
      <c r="S32" s="1137"/>
    </row>
    <row r="33" spans="1:32" ht="13.5" customHeight="1" x14ac:dyDescent="0.25">
      <c r="D33" s="1137"/>
      <c r="E33" s="1137"/>
      <c r="F33" s="1137"/>
      <c r="G33" s="1137"/>
      <c r="H33" s="1137"/>
      <c r="I33" s="1137"/>
      <c r="J33" s="1137"/>
      <c r="K33" s="1137"/>
      <c r="L33" s="1137"/>
      <c r="M33" s="1137"/>
      <c r="N33" s="1137"/>
      <c r="O33" s="1137"/>
      <c r="P33" s="1137"/>
      <c r="Q33" s="1137"/>
      <c r="R33" s="1137"/>
      <c r="S33" s="1137"/>
    </row>
    <row r="34" spans="1:32" ht="9.75" customHeight="1" x14ac:dyDescent="0.25">
      <c r="D34" s="1137"/>
      <c r="E34" s="1137"/>
      <c r="F34" s="1137"/>
      <c r="G34" s="1137"/>
      <c r="H34" s="1137"/>
      <c r="I34" s="1137"/>
      <c r="J34" s="1137"/>
      <c r="K34" s="1137"/>
      <c r="L34" s="1137"/>
      <c r="M34" s="1137"/>
      <c r="N34" s="1137"/>
      <c r="O34" s="1137"/>
      <c r="P34" s="1137"/>
      <c r="Q34" s="1137"/>
      <c r="R34" s="1137"/>
      <c r="S34" s="1137"/>
    </row>
    <row r="35" spans="1:32" ht="13.5" customHeight="1" x14ac:dyDescent="0.25">
      <c r="A35" s="506">
        <v>6</v>
      </c>
      <c r="B35" s="509" t="s">
        <v>52</v>
      </c>
      <c r="C35" s="509"/>
      <c r="D35" s="5032" t="s">
        <v>1852</v>
      </c>
      <c r="E35" s="5030"/>
      <c r="F35" s="5030"/>
      <c r="G35" s="5030"/>
      <c r="H35" s="5030"/>
      <c r="I35" s="5030"/>
      <c r="J35" s="5030"/>
      <c r="K35" s="5030"/>
      <c r="L35" s="5030"/>
      <c r="M35" s="5030"/>
      <c r="N35" s="5030"/>
      <c r="O35" s="5030"/>
      <c r="P35" s="5030"/>
      <c r="Q35" s="5030"/>
      <c r="R35" s="5030"/>
      <c r="S35" s="5030"/>
      <c r="T35" s="5030"/>
      <c r="U35" s="5030"/>
      <c r="V35" s="5030"/>
      <c r="W35" s="5030"/>
      <c r="X35" s="5030"/>
      <c r="Y35" s="5030"/>
      <c r="Z35" s="5030"/>
      <c r="AA35" s="5030"/>
      <c r="AB35" s="5030"/>
      <c r="AC35" s="5031"/>
    </row>
    <row r="36" spans="1:32" ht="30" customHeight="1" x14ac:dyDescent="0.25">
      <c r="A36" s="506">
        <v>7</v>
      </c>
      <c r="B36" s="546" t="s">
        <v>54</v>
      </c>
      <c r="C36" s="546"/>
      <c r="D36" s="4734" t="s">
        <v>1853</v>
      </c>
      <c r="E36" s="4735"/>
      <c r="F36" s="4735"/>
      <c r="G36" s="4735"/>
      <c r="H36" s="4735"/>
      <c r="I36" s="4735"/>
      <c r="J36" s="4735"/>
      <c r="K36" s="4735"/>
      <c r="L36" s="4735"/>
      <c r="M36" s="4735"/>
      <c r="N36" s="4735"/>
      <c r="O36" s="4735"/>
      <c r="P36" s="4735"/>
      <c r="Q36" s="4735"/>
      <c r="R36" s="4735"/>
      <c r="S36" s="4735"/>
      <c r="T36" s="4735"/>
      <c r="U36" s="4735"/>
      <c r="V36" s="4735"/>
      <c r="W36" s="4735"/>
      <c r="X36" s="4735"/>
      <c r="Y36" s="4735"/>
      <c r="Z36" s="4735"/>
      <c r="AA36" s="4735"/>
      <c r="AB36" s="4735"/>
      <c r="AC36" s="4736"/>
    </row>
    <row r="37" spans="1:32" ht="12.75" customHeight="1" x14ac:dyDescent="0.25">
      <c r="A37" s="506">
        <v>8</v>
      </c>
      <c r="B37" s="509" t="s">
        <v>56</v>
      </c>
      <c r="C37" s="509"/>
      <c r="D37" s="4734" t="s">
        <v>1854</v>
      </c>
      <c r="E37" s="4735"/>
      <c r="F37" s="4735"/>
      <c r="G37" s="4735"/>
      <c r="H37" s="4735"/>
      <c r="I37" s="4735"/>
      <c r="J37" s="4735"/>
      <c r="K37" s="4735"/>
      <c r="L37" s="4735"/>
      <c r="M37" s="4735"/>
      <c r="N37" s="4735"/>
      <c r="O37" s="4735"/>
      <c r="P37" s="4735"/>
      <c r="Q37" s="4735"/>
      <c r="R37" s="4735"/>
      <c r="S37" s="4735"/>
      <c r="T37" s="4735"/>
      <c r="U37" s="4735"/>
      <c r="V37" s="4735"/>
      <c r="W37" s="4735"/>
      <c r="X37" s="4735"/>
      <c r="Y37" s="4735"/>
      <c r="Z37" s="4735"/>
      <c r="AA37" s="4735"/>
      <c r="AB37" s="4735"/>
      <c r="AC37" s="4736"/>
    </row>
    <row r="38" spans="1:32" ht="27.75" customHeight="1" x14ac:dyDescent="0.25">
      <c r="A38" s="506">
        <v>9</v>
      </c>
      <c r="B38" s="509" t="s">
        <v>409</v>
      </c>
      <c r="C38" s="509"/>
      <c r="D38" s="4734" t="s">
        <v>1855</v>
      </c>
      <c r="E38" s="4735"/>
      <c r="F38" s="4735"/>
      <c r="G38" s="4735"/>
      <c r="H38" s="4735"/>
      <c r="I38" s="4735"/>
      <c r="J38" s="4735"/>
      <c r="K38" s="4735"/>
      <c r="L38" s="4735"/>
      <c r="M38" s="4735"/>
      <c r="N38" s="4735"/>
      <c r="O38" s="4735"/>
      <c r="P38" s="4735"/>
      <c r="Q38" s="4735"/>
      <c r="R38" s="4735"/>
      <c r="S38" s="4735"/>
      <c r="T38" s="4735"/>
      <c r="U38" s="4735"/>
      <c r="V38" s="4735"/>
      <c r="W38" s="4735"/>
      <c r="X38" s="4735"/>
      <c r="Y38" s="4735"/>
      <c r="Z38" s="4735"/>
      <c r="AA38" s="4735"/>
      <c r="AB38" s="4735"/>
      <c r="AC38" s="4736"/>
    </row>
    <row r="42" spans="1:32" x14ac:dyDescent="0.25">
      <c r="D42" s="71" t="s">
        <v>7</v>
      </c>
      <c r="E42" s="71" t="s">
        <v>1847</v>
      </c>
      <c r="F42" s="71"/>
      <c r="G42" s="71"/>
      <c r="H42" s="71"/>
      <c r="I42" s="71"/>
      <c r="J42" s="71"/>
      <c r="K42" s="71"/>
      <c r="L42" s="71"/>
      <c r="M42" s="88"/>
      <c r="N42" s="88"/>
      <c r="O42" s="88"/>
      <c r="P42" s="88"/>
      <c r="Q42" s="88"/>
      <c r="R42" s="88"/>
    </row>
    <row r="43" spans="1:32" x14ac:dyDescent="0.25">
      <c r="D43" s="2186"/>
      <c r="E43" s="2424" t="s">
        <v>395</v>
      </c>
      <c r="F43" s="2424" t="s">
        <v>396</v>
      </c>
      <c r="G43" s="2424" t="s">
        <v>9</v>
      </c>
      <c r="H43" s="2424" t="s">
        <v>10</v>
      </c>
      <c r="I43" s="2424" t="s">
        <v>11</v>
      </c>
      <c r="J43" s="3155" t="s">
        <v>12</v>
      </c>
      <c r="K43" s="3155" t="s">
        <v>13</v>
      </c>
      <c r="L43" s="2424" t="s">
        <v>14</v>
      </c>
      <c r="M43" s="3099" t="s">
        <v>15</v>
      </c>
      <c r="N43" s="3155" t="s">
        <v>16</v>
      </c>
      <c r="O43" s="3155" t="s">
        <v>17</v>
      </c>
      <c r="P43" s="3155" t="s">
        <v>1791</v>
      </c>
      <c r="Q43" s="3155" t="s">
        <v>19</v>
      </c>
      <c r="R43" s="3155" t="s">
        <v>20</v>
      </c>
      <c r="S43" s="3155" t="s">
        <v>21</v>
      </c>
      <c r="T43" s="3155" t="s">
        <v>22</v>
      </c>
      <c r="U43" s="3155" t="s">
        <v>23</v>
      </c>
      <c r="V43" s="3155" t="s">
        <v>24</v>
      </c>
      <c r="W43" s="3155" t="s">
        <v>25</v>
      </c>
      <c r="X43" s="3156" t="s">
        <v>26</v>
      </c>
      <c r="Y43" s="3156" t="s">
        <v>27</v>
      </c>
      <c r="Z43" s="3156" t="s">
        <v>28</v>
      </c>
      <c r="AA43" s="3156" t="s">
        <v>29</v>
      </c>
      <c r="AB43" s="3155" t="s">
        <v>30</v>
      </c>
      <c r="AC43" s="3155" t="s">
        <v>31</v>
      </c>
      <c r="AD43" s="3155" t="s">
        <v>32</v>
      </c>
      <c r="AE43" s="3155" t="s">
        <v>33</v>
      </c>
      <c r="AF43" s="3155" t="s">
        <v>59</v>
      </c>
    </row>
    <row r="44" spans="1:32" x14ac:dyDescent="0.25">
      <c r="D44" s="88" t="s">
        <v>1848</v>
      </c>
      <c r="E44" s="1909">
        <v>1689.1</v>
      </c>
      <c r="F44" s="1909">
        <v>1693.4</v>
      </c>
      <c r="G44" s="1909">
        <v>1591.3</v>
      </c>
      <c r="H44" s="1909">
        <v>1615.9</v>
      </c>
      <c r="I44" s="1909">
        <v>1684.8</v>
      </c>
      <c r="J44" s="1909">
        <v>1679</v>
      </c>
      <c r="K44" s="1909">
        <v>1686.4</v>
      </c>
      <c r="L44" s="1909">
        <v>1623.3</v>
      </c>
      <c r="M44" s="1909">
        <v>1605.4</v>
      </c>
      <c r="N44" s="1909">
        <v>1434.3</v>
      </c>
      <c r="O44" s="1909">
        <v>1282</v>
      </c>
      <c r="P44" s="1909">
        <v>1217.0999999999999</v>
      </c>
      <c r="Q44" s="1909">
        <v>1154.7</v>
      </c>
      <c r="R44" s="1909">
        <v>1090</v>
      </c>
      <c r="S44" s="1909">
        <v>1093</v>
      </c>
      <c r="T44" s="1909">
        <v>1122</v>
      </c>
      <c r="U44" s="1909">
        <v>1069</v>
      </c>
      <c r="V44" s="1909">
        <v>1059.8</v>
      </c>
      <c r="W44" s="1909">
        <v>1078.4000000000001</v>
      </c>
      <c r="X44" s="1910">
        <v>1062.1010045753101</v>
      </c>
      <c r="Y44" s="1911">
        <v>1024.9000000000001</v>
      </c>
      <c r="Z44" s="1912">
        <v>989</v>
      </c>
      <c r="AA44" s="1909">
        <f>(540653/55910000)*100000</f>
        <v>967.00590234305128</v>
      </c>
      <c r="AB44" s="1909">
        <f>(507975/56753327)*100000</f>
        <v>895.05765891046349</v>
      </c>
      <c r="AC44" s="1909">
        <f>(495161/57698414)*100000</f>
        <v>858.18823373550617</v>
      </c>
      <c r="AD44" s="1909">
        <f>(469224/58678235)*100000</f>
        <v>799.65595420516661</v>
      </c>
      <c r="AE44" s="1909">
        <f>(369745/59695848)*100000</f>
        <v>619.38143503715696</v>
      </c>
      <c r="AF44" s="1909">
        <f>(362274/60356785)*100000</f>
        <v>600.22083681229867</v>
      </c>
    </row>
    <row r="45" spans="1:32" x14ac:dyDescent="0.25">
      <c r="D45" s="88" t="s">
        <v>1849</v>
      </c>
      <c r="E45" s="1909">
        <v>1625.8</v>
      </c>
      <c r="F45" s="1909">
        <v>1656.3</v>
      </c>
      <c r="G45" s="1909">
        <v>1618.5</v>
      </c>
      <c r="H45" s="1909">
        <v>1624.4</v>
      </c>
      <c r="I45" s="1909">
        <v>1675.1</v>
      </c>
      <c r="J45" s="1909">
        <v>1790.7</v>
      </c>
      <c r="K45" s="1909">
        <v>1901.9</v>
      </c>
      <c r="L45" s="1909">
        <v>1873.9</v>
      </c>
      <c r="M45" s="1909">
        <v>1951.7</v>
      </c>
      <c r="N45" s="1909">
        <v>1910.5</v>
      </c>
      <c r="O45" s="1909">
        <v>1818.8</v>
      </c>
      <c r="P45" s="1909">
        <v>1612.6</v>
      </c>
      <c r="Q45" s="1909">
        <v>1541.1</v>
      </c>
      <c r="R45" s="1909">
        <v>1447.4</v>
      </c>
      <c r="S45" s="1909">
        <v>1405.3</v>
      </c>
      <c r="T45" s="1909">
        <v>1371.4</v>
      </c>
      <c r="U45" s="1909">
        <v>1277.2</v>
      </c>
      <c r="V45" s="1909">
        <v>1232.5</v>
      </c>
      <c r="W45" s="1909">
        <v>1180.8</v>
      </c>
      <c r="X45" s="1910">
        <v>1170.9000000000001</v>
      </c>
      <c r="Y45" s="1911">
        <v>1142.5</v>
      </c>
      <c r="Z45" s="1912">
        <v>1134</v>
      </c>
      <c r="AA45" s="1909">
        <v>1088</v>
      </c>
      <c r="AB45" s="1909">
        <f>(601366/56753327)*100000</f>
        <v>1059.6136504913625</v>
      </c>
      <c r="AC45" s="1909">
        <f>(617210/57698414)*100000</f>
        <v>1069.7174449197166</v>
      </c>
      <c r="AD45" s="1909">
        <f>(621282/58678235)*100000</f>
        <v>1058.7946280251954</v>
      </c>
      <c r="AE45" s="1909">
        <f>(535217/59695848)*100000</f>
        <v>896.57324241377728</v>
      </c>
      <c r="AF45" s="1909">
        <f>(607163/60356785)*100000</f>
        <v>1005.9564968544961</v>
      </c>
    </row>
    <row r="46" spans="1:32" x14ac:dyDescent="0.25">
      <c r="D46" s="88" t="s">
        <v>1850</v>
      </c>
      <c r="E46" s="1909">
        <v>1328.9</v>
      </c>
      <c r="F46" s="1909">
        <v>1293.4000000000001</v>
      </c>
      <c r="G46" s="1909">
        <v>1229.9000000000001</v>
      </c>
      <c r="H46" s="1909">
        <v>1277.3</v>
      </c>
      <c r="I46" s="1909">
        <v>1356.1</v>
      </c>
      <c r="J46" s="1909">
        <v>1463.9</v>
      </c>
      <c r="K46" s="1909">
        <v>1588.4</v>
      </c>
      <c r="L46" s="1909">
        <v>1569.7</v>
      </c>
      <c r="M46" s="1909">
        <v>1640.1</v>
      </c>
      <c r="N46" s="1909">
        <v>1582.8</v>
      </c>
      <c r="O46" s="1909">
        <v>1409.7</v>
      </c>
      <c r="P46" s="1909">
        <v>1175.8</v>
      </c>
      <c r="Q46" s="1909">
        <v>1144.4000000000001</v>
      </c>
      <c r="R46" s="1909">
        <v>1102.5</v>
      </c>
      <c r="S46" s="1909">
        <v>1134.5</v>
      </c>
      <c r="T46" s="1909">
        <v>1096.7</v>
      </c>
      <c r="U46" s="1909">
        <v>1069.9000000000001</v>
      </c>
      <c r="V46" s="1909">
        <v>1062.2</v>
      </c>
      <c r="W46" s="1909">
        <v>1005.7</v>
      </c>
      <c r="X46" s="1913">
        <v>978.2</v>
      </c>
      <c r="Y46" s="1910">
        <v>925.3</v>
      </c>
      <c r="Z46" s="1911">
        <v>871.7</v>
      </c>
      <c r="AA46" s="1909">
        <f>(469276/55910000)*100000</f>
        <v>839.34179932033624</v>
      </c>
      <c r="AB46" s="1909">
        <f>(438113/56753327)*100000</f>
        <v>771.96002976177942</v>
      </c>
      <c r="AC46" s="1909">
        <f>(444447/57698414)*100000</f>
        <v>770.29327010617658</v>
      </c>
      <c r="AD46" s="1909">
        <f>(426569/58678235)*100000</f>
        <v>726.96290200276133</v>
      </c>
      <c r="AE46" s="1909">
        <f>(354566/59695848)*100000</f>
        <v>593.95420599436</v>
      </c>
      <c r="AF46" s="1909">
        <f>(393821/60356785)*100000</f>
        <v>652.48836564107921</v>
      </c>
    </row>
    <row r="47" spans="1:32" x14ac:dyDescent="0.25">
      <c r="D47" s="88" t="s">
        <v>1851</v>
      </c>
      <c r="E47" s="1909">
        <v>346</v>
      </c>
      <c r="F47" s="1909">
        <v>352</v>
      </c>
      <c r="G47" s="1909">
        <v>344.7</v>
      </c>
      <c r="H47" s="1909">
        <v>331.4</v>
      </c>
      <c r="I47" s="1909">
        <v>331.5</v>
      </c>
      <c r="J47" s="1909">
        <v>334.3</v>
      </c>
      <c r="K47" s="1909">
        <v>339.7</v>
      </c>
      <c r="L47" s="1909">
        <v>344</v>
      </c>
      <c r="M47" s="1909">
        <v>365.8</v>
      </c>
      <c r="N47" s="1909">
        <v>360.2</v>
      </c>
      <c r="O47" s="1909">
        <v>341.3</v>
      </c>
      <c r="P47" s="1909">
        <v>324</v>
      </c>
      <c r="Q47" s="1909">
        <v>319.10000000000002</v>
      </c>
      <c r="R47" s="1909">
        <v>301.7</v>
      </c>
      <c r="S47" s="88">
        <v>289.89999999999998</v>
      </c>
      <c r="T47" s="3435">
        <v>281.5</v>
      </c>
      <c r="U47" s="3513">
        <v>263.8</v>
      </c>
      <c r="V47" s="3513">
        <v>254.3</v>
      </c>
      <c r="W47" s="3513">
        <v>243.3</v>
      </c>
      <c r="X47" s="3515">
        <v>237</v>
      </c>
      <c r="Y47" s="3516">
        <v>232.9</v>
      </c>
      <c r="Z47" s="3516">
        <v>227.1</v>
      </c>
      <c r="AA47" s="3517">
        <f>(120730/55910000)*100000</f>
        <v>215.93632623859776</v>
      </c>
      <c r="AB47" s="3517">
        <f>(115361/56753327)*100000</f>
        <v>203.26737849218952</v>
      </c>
      <c r="AC47" s="3517">
        <f>(117172/57698414)*100000</f>
        <v>203.07663916030688</v>
      </c>
      <c r="AD47" s="3517">
        <f>(112244/58678235)*100000</f>
        <v>191.28728053936862</v>
      </c>
      <c r="AE47" s="3517">
        <f>(102269/59695848)*100000</f>
        <v>171.31677231555534</v>
      </c>
      <c r="AF47" s="1909">
        <f>(117505/60356785)*100000</f>
        <v>194.6839945169379</v>
      </c>
    </row>
    <row r="48" spans="1:32" x14ac:dyDescent="0.25">
      <c r="D48" s="3604" t="s">
        <v>1815</v>
      </c>
      <c r="E48" s="3615">
        <v>4989.8</v>
      </c>
      <c r="F48" s="3615">
        <v>4995.1000000000004</v>
      </c>
      <c r="G48" s="3615">
        <v>4784.3999999999996</v>
      </c>
      <c r="H48" s="3615">
        <v>4849</v>
      </c>
      <c r="I48" s="3615">
        <v>5047.5</v>
      </c>
      <c r="J48" s="3615">
        <v>5267.9</v>
      </c>
      <c r="K48" s="3615">
        <v>5516.4</v>
      </c>
      <c r="L48" s="3615">
        <v>5410.9</v>
      </c>
      <c r="M48" s="3615">
        <v>5563</v>
      </c>
      <c r="N48" s="3615">
        <v>5287.8</v>
      </c>
      <c r="O48" s="3615">
        <v>4851.8</v>
      </c>
      <c r="P48" s="3615">
        <v>4329.5</v>
      </c>
      <c r="Q48" s="3615">
        <v>4159.3</v>
      </c>
      <c r="R48" s="3615">
        <v>3941.6</v>
      </c>
      <c r="S48" s="3615">
        <v>3922.7</v>
      </c>
      <c r="T48" s="3120">
        <v>3871.6</v>
      </c>
      <c r="U48" s="3120">
        <v>3679.9</v>
      </c>
      <c r="V48" s="3120">
        <v>3608.8</v>
      </c>
      <c r="W48" s="3120">
        <v>3508.2</v>
      </c>
      <c r="X48" s="3121">
        <v>3448.20100457531</v>
      </c>
      <c r="Y48" s="1914">
        <v>3257</v>
      </c>
      <c r="Z48" s="1914">
        <v>3221.8</v>
      </c>
      <c r="AA48" s="1915">
        <f>SUM(AA44:AA47)</f>
        <v>3110.2840279019852</v>
      </c>
      <c r="AB48" s="1915">
        <f>(1662815/56753327)*100000</f>
        <v>2929.8987176557948</v>
      </c>
      <c r="AC48" s="1915">
        <f>(1673990/57698414)*100000</f>
        <v>2901.2755879217061</v>
      </c>
      <c r="AD48" s="1915">
        <f>(1629319/58678235)*100000</f>
        <v>2776.7007647724918</v>
      </c>
      <c r="AE48" s="1915">
        <f>(1361797/59695848)*100000</f>
        <v>2281.2256557608498</v>
      </c>
      <c r="AF48" s="1915">
        <f>(1480763/59695848)*100000</f>
        <v>2480.5125475393197</v>
      </c>
    </row>
    <row r="49" spans="4:32" x14ac:dyDescent="0.25">
      <c r="D49" s="1916"/>
      <c r="E49" s="1917"/>
      <c r="F49" s="1917"/>
      <c r="G49" s="1917"/>
      <c r="H49" s="1917"/>
      <c r="I49" s="1917"/>
      <c r="J49" s="1917"/>
      <c r="K49" s="1917"/>
      <c r="L49" s="1917"/>
      <c r="M49" s="1917"/>
      <c r="N49" s="1917"/>
      <c r="O49" s="1917"/>
      <c r="P49" s="1918"/>
      <c r="Q49" s="1918"/>
      <c r="R49" s="1917"/>
      <c r="S49" s="1917"/>
      <c r="T49" s="1917"/>
      <c r="U49" s="1917"/>
      <c r="V49" s="1917"/>
      <c r="W49" s="1917"/>
      <c r="X49" s="1917"/>
      <c r="AD49" s="570"/>
    </row>
    <row r="50" spans="4:32" x14ac:dyDescent="0.25">
      <c r="D50" s="1916"/>
      <c r="E50" s="1917"/>
      <c r="F50" s="1917"/>
      <c r="G50" s="1917"/>
      <c r="H50" s="1917"/>
      <c r="I50" s="1917"/>
      <c r="J50" s="1917"/>
      <c r="K50" s="1917"/>
      <c r="L50" s="1917"/>
      <c r="M50" s="1917"/>
      <c r="N50" s="1917"/>
      <c r="O50" s="1917"/>
      <c r="P50" s="1918"/>
      <c r="Q50" s="1918"/>
      <c r="R50" s="1917"/>
      <c r="S50" s="1917"/>
      <c r="T50" s="1917"/>
      <c r="U50" s="1917"/>
      <c r="V50" s="1917"/>
      <c r="W50" s="1917"/>
      <c r="X50" s="1917"/>
      <c r="AD50" s="570"/>
    </row>
    <row r="51" spans="4:32" x14ac:dyDescent="0.25">
      <c r="D51" s="3122"/>
      <c r="E51" s="3123" t="s">
        <v>395</v>
      </c>
      <c r="F51" s="3123" t="s">
        <v>396</v>
      </c>
      <c r="G51" s="3123" t="s">
        <v>9</v>
      </c>
      <c r="H51" s="3123" t="s">
        <v>10</v>
      </c>
      <c r="I51" s="3123" t="s">
        <v>11</v>
      </c>
      <c r="J51" s="3157" t="s">
        <v>12</v>
      </c>
      <c r="K51" s="3157" t="s">
        <v>13</v>
      </c>
      <c r="L51" s="3123" t="s">
        <v>14</v>
      </c>
      <c r="M51" s="3158" t="s">
        <v>15</v>
      </c>
      <c r="N51" s="3157" t="s">
        <v>16</v>
      </c>
      <c r="O51" s="3157" t="s">
        <v>17</v>
      </c>
      <c r="P51" s="3157" t="s">
        <v>1791</v>
      </c>
      <c r="Q51" s="3157" t="s">
        <v>19</v>
      </c>
      <c r="R51" s="3157" t="s">
        <v>20</v>
      </c>
      <c r="S51" s="3157" t="s">
        <v>21</v>
      </c>
      <c r="T51" s="3157" t="s">
        <v>22</v>
      </c>
      <c r="U51" s="3157" t="s">
        <v>23</v>
      </c>
      <c r="V51" s="3157" t="s">
        <v>24</v>
      </c>
      <c r="W51" s="3155" t="s">
        <v>25</v>
      </c>
      <c r="X51" s="3155" t="s">
        <v>26</v>
      </c>
      <c r="Y51" s="3159" t="s">
        <v>27</v>
      </c>
      <c r="Z51" s="3159" t="s">
        <v>28</v>
      </c>
      <c r="AA51" s="3155" t="s">
        <v>29</v>
      </c>
      <c r="AB51" s="3160" t="s">
        <v>30</v>
      </c>
      <c r="AC51" s="3160" t="s">
        <v>31</v>
      </c>
      <c r="AD51" s="3160" t="s">
        <v>32</v>
      </c>
      <c r="AE51" s="3160" t="s">
        <v>33</v>
      </c>
      <c r="AF51" s="3160" t="s">
        <v>59</v>
      </c>
    </row>
    <row r="52" spans="4:32" x14ac:dyDescent="0.25">
      <c r="D52" s="1919" t="s">
        <v>1848</v>
      </c>
      <c r="E52" s="3127">
        <f>E44/E44*100</f>
        <v>100</v>
      </c>
      <c r="F52" s="3127">
        <f>F44/E44*100</f>
        <v>100.25457344147772</v>
      </c>
      <c r="G52" s="3127">
        <f>G44/E44*100</f>
        <v>94.209934284530235</v>
      </c>
      <c r="H52" s="3127">
        <f>H44/E44*100</f>
        <v>95.666331182286442</v>
      </c>
      <c r="I52" s="3127">
        <f>I44/E44*100</f>
        <v>99.745426558522283</v>
      </c>
      <c r="J52" s="3127">
        <f>J44/E44*100</f>
        <v>99.402048428157002</v>
      </c>
      <c r="K52" s="3127">
        <f>K44/E44*100</f>
        <v>99.840151560002383</v>
      </c>
      <c r="L52" s="3127">
        <f>L44/E44*100</f>
        <v>96.104434314131794</v>
      </c>
      <c r="M52" s="3127">
        <f>M44/E44*100</f>
        <v>95.044698360073426</v>
      </c>
      <c r="N52" s="3127">
        <f>N44/E44*100</f>
        <v>84.915043514297565</v>
      </c>
      <c r="O52" s="3127">
        <f>O44/E44*100</f>
        <v>75.898407435912617</v>
      </c>
      <c r="P52" s="3127">
        <f>P44/E44*100</f>
        <v>72.05612456337694</v>
      </c>
      <c r="Q52" s="3127">
        <f>Q44/E44*100</f>
        <v>68.361849505653907</v>
      </c>
      <c r="R52" s="3127">
        <f>R44/E44*100</f>
        <v>64.531407258303247</v>
      </c>
      <c r="S52" s="3127">
        <f>S44/E44*100</f>
        <v>64.709016636078388</v>
      </c>
      <c r="T52" s="3127">
        <f>T44/E44*100</f>
        <v>66.425907287904806</v>
      </c>
      <c r="U52" s="3127">
        <f>U44/E44*100</f>
        <v>63.288141613877215</v>
      </c>
      <c r="V52" s="3127">
        <f>V44/E44*100</f>
        <v>62.743472855366768</v>
      </c>
      <c r="W52" s="3127">
        <f>W44/E44*100</f>
        <v>63.844650997572685</v>
      </c>
      <c r="X52" s="3127">
        <f>X44/E44*100</f>
        <v>62.879699518992958</v>
      </c>
      <c r="Y52" s="1920">
        <f>Y44/E44*100</f>
        <v>60.677283760582569</v>
      </c>
      <c r="Z52" s="1920">
        <f>Z44/E44*100</f>
        <v>58.55189153987331</v>
      </c>
      <c r="AA52" s="1920">
        <f>AA44/E44*100</f>
        <v>57.249772206681151</v>
      </c>
      <c r="AB52" s="1920">
        <f>AB44/E44*100</f>
        <v>52.990211290655587</v>
      </c>
      <c r="AC52" s="1920">
        <f t="shared" ref="AC52:AF56" si="0">AC44/E44*100</f>
        <v>50.807426069238424</v>
      </c>
      <c r="AD52" s="1920">
        <f t="shared" si="0"/>
        <v>47.221917692521941</v>
      </c>
      <c r="AE52" s="1920">
        <f t="shared" si="0"/>
        <v>38.922983412125745</v>
      </c>
      <c r="AF52" s="1920">
        <f t="shared" si="0"/>
        <v>37.144677072362065</v>
      </c>
    </row>
    <row r="53" spans="4:32" x14ac:dyDescent="0.25">
      <c r="D53" s="1919" t="s">
        <v>1849</v>
      </c>
      <c r="E53" s="3127">
        <f>E45/E45*100</f>
        <v>100</v>
      </c>
      <c r="F53" s="3127">
        <f>F45/E45*100</f>
        <v>101.87599950793455</v>
      </c>
      <c r="G53" s="3127">
        <f>G45/E45*100</f>
        <v>99.55099028170747</v>
      </c>
      <c r="H53" s="3127">
        <f>H45/E45*100</f>
        <v>99.913888547176782</v>
      </c>
      <c r="I53" s="3127">
        <f>I45/E45*100</f>
        <v>103.03235330298929</v>
      </c>
      <c r="J53" s="3127">
        <f>J45/E45*100</f>
        <v>110.14269897896421</v>
      </c>
      <c r="K53" s="3127">
        <f>K45/E45*100</f>
        <v>116.98240866035184</v>
      </c>
      <c r="L53" s="3127">
        <f>L45/E45*100</f>
        <v>115.26017960388732</v>
      </c>
      <c r="M53" s="3127">
        <f>M45/E45*100</f>
        <v>120.04551605363514</v>
      </c>
      <c r="N53" s="3127">
        <f>N45/E45*100</f>
        <v>117.51137901340878</v>
      </c>
      <c r="O53" s="3127">
        <f>O45/E45*100</f>
        <v>111.8710788534875</v>
      </c>
      <c r="P53" s="3127">
        <f>P45/E45*100</f>
        <v>99.188092016238159</v>
      </c>
      <c r="Q53" s="3127">
        <f>Q45/E45*100</f>
        <v>94.790257104194851</v>
      </c>
      <c r="R53" s="3127">
        <f>R45/E45*100</f>
        <v>89.026940583097556</v>
      </c>
      <c r="S53" s="3127">
        <f>S45/E45*100</f>
        <v>86.437446180341979</v>
      </c>
      <c r="T53" s="3127">
        <f>T45/E45*100</f>
        <v>84.352318858408182</v>
      </c>
      <c r="U53" s="3127">
        <f>U45/E45*100</f>
        <v>78.558248247016863</v>
      </c>
      <c r="V53" s="3127">
        <f>V45/E45*100</f>
        <v>75.808832574732449</v>
      </c>
      <c r="W53" s="3127">
        <f>W45/E45*100</f>
        <v>72.628859638331903</v>
      </c>
      <c r="X53" s="3127">
        <f>X45/E45*100</f>
        <v>72.019928650510522</v>
      </c>
      <c r="Y53" s="1920">
        <f>Y45/E45*100</f>
        <v>70.273096321810797</v>
      </c>
      <c r="Z53" s="1920">
        <f>Z45/E45*100</f>
        <v>69.750276786812648</v>
      </c>
      <c r="AA53" s="1920">
        <f>AA45/E45*100</f>
        <v>66.920900479763816</v>
      </c>
      <c r="AB53" s="1920">
        <f>AB45/E45*100</f>
        <v>65.174907767951922</v>
      </c>
      <c r="AC53" s="1920">
        <f t="shared" si="0"/>
        <v>65.796373780275346</v>
      </c>
      <c r="AD53" s="1920">
        <f t="shared" si="0"/>
        <v>63.925293003996586</v>
      </c>
      <c r="AE53" s="1920">
        <f t="shared" si="0"/>
        <v>55.395319271781105</v>
      </c>
      <c r="AF53" s="1920">
        <f t="shared" si="0"/>
        <v>61.92788087013642</v>
      </c>
    </row>
    <row r="54" spans="4:32" x14ac:dyDescent="0.25">
      <c r="D54" s="1919" t="s">
        <v>1850</v>
      </c>
      <c r="E54" s="3127">
        <f>E46/E46*100</f>
        <v>100</v>
      </c>
      <c r="F54" s="3127">
        <f>F46/E46*100</f>
        <v>97.328617653698544</v>
      </c>
      <c r="G54" s="3127">
        <f>G46/E46*100</f>
        <v>92.550229513131171</v>
      </c>
      <c r="H54" s="3127">
        <f>H46/E46*100</f>
        <v>96.117089321995635</v>
      </c>
      <c r="I54" s="3127">
        <f>I46/E46*100</f>
        <v>102.04680562871546</v>
      </c>
      <c r="J54" s="3127">
        <f>J46/E46*100</f>
        <v>110.15877793663932</v>
      </c>
      <c r="K54" s="3127">
        <f>K46/E46*100</f>
        <v>119.52742870042891</v>
      </c>
      <c r="L54" s="3127">
        <f>L46/E46*100</f>
        <v>118.12024983068703</v>
      </c>
      <c r="M54" s="3127">
        <f>M46/E46*100</f>
        <v>123.41786439912707</v>
      </c>
      <c r="N54" s="3127">
        <f>N46/E46*100</f>
        <v>119.10602754157573</v>
      </c>
      <c r="O54" s="3127">
        <f>O46/E46*100</f>
        <v>106.08021672059597</v>
      </c>
      <c r="P54" s="3127">
        <f>P46/E46*100</f>
        <v>88.479193317781608</v>
      </c>
      <c r="Q54" s="3127">
        <f>Q46/E46*100</f>
        <v>86.116336819926261</v>
      </c>
      <c r="R54" s="3127">
        <f>R46/E46*100</f>
        <v>82.963353149221149</v>
      </c>
      <c r="S54" s="3127">
        <f>S46/E46*100</f>
        <v>85.371359771239369</v>
      </c>
      <c r="T54" s="3127">
        <f>T46/E46*100</f>
        <v>82.526901948980353</v>
      </c>
      <c r="U54" s="3127">
        <f>U46/E46*100</f>
        <v>80.510196403040112</v>
      </c>
      <c r="V54" s="3127">
        <f>V46/E46*100</f>
        <v>79.930769809616976</v>
      </c>
      <c r="W54" s="3127">
        <f>W46/E46*100</f>
        <v>75.679133117616075</v>
      </c>
      <c r="X54" s="3127">
        <f>X46/E46*100</f>
        <v>73.609752426819171</v>
      </c>
      <c r="Y54" s="1920">
        <f>Y46/E46*100</f>
        <v>69.629016479795311</v>
      </c>
      <c r="Z54" s="1920">
        <f>Z46/E46*100</f>
        <v>65.595605387914816</v>
      </c>
      <c r="AA54" s="1920">
        <f>AA46/E46*100</f>
        <v>63.160644090626548</v>
      </c>
      <c r="AB54" s="1920">
        <f>AB46/E46*100</f>
        <v>58.090151987491865</v>
      </c>
      <c r="AC54" s="1920">
        <f t="shared" si="0"/>
        <v>57.964727978491723</v>
      </c>
      <c r="AD54" s="1920">
        <f t="shared" si="0"/>
        <v>56.205574609769691</v>
      </c>
      <c r="AE54" s="1920">
        <f t="shared" si="0"/>
        <v>48.292886087841289</v>
      </c>
      <c r="AF54" s="1920">
        <f t="shared" si="0"/>
        <v>51.083407628676056</v>
      </c>
    </row>
    <row r="55" spans="4:32" x14ac:dyDescent="0.25">
      <c r="D55" s="3518" t="s">
        <v>1851</v>
      </c>
      <c r="E55" s="3519">
        <f>E47/E47*100</f>
        <v>100</v>
      </c>
      <c r="F55" s="3519">
        <f>F47/E47*100</f>
        <v>101.73410404624276</v>
      </c>
      <c r="G55" s="3519">
        <f>G47/F47*100</f>
        <v>97.92613636363636</v>
      </c>
      <c r="H55" s="3519">
        <f>H47/E47*100</f>
        <v>95.780346820809243</v>
      </c>
      <c r="I55" s="3519">
        <f>I47/E47*100</f>
        <v>95.809248554913296</v>
      </c>
      <c r="J55" s="3519">
        <f>J47/E47*100</f>
        <v>96.618497109826592</v>
      </c>
      <c r="K55" s="3519">
        <f>K47/E47*100</f>
        <v>98.179190751445077</v>
      </c>
      <c r="L55" s="3519">
        <f>L47/E47*100</f>
        <v>99.421965317919074</v>
      </c>
      <c r="M55" s="3519">
        <f>M47/E47*100</f>
        <v>105.72254335260116</v>
      </c>
      <c r="N55" s="3519">
        <f>N47/E47*100</f>
        <v>104.10404624277456</v>
      </c>
      <c r="O55" s="3519">
        <f>O47/E47*100</f>
        <v>98.641618497109832</v>
      </c>
      <c r="P55" s="3519">
        <f>P47/E47*100</f>
        <v>93.641618497109818</v>
      </c>
      <c r="Q55" s="3519">
        <f>Q47/E47*100</f>
        <v>92.225433526011571</v>
      </c>
      <c r="R55" s="3519">
        <f>R47/E47*100</f>
        <v>87.196531791907518</v>
      </c>
      <c r="S55" s="3519">
        <f>S47/E47*100</f>
        <v>83.786127167630056</v>
      </c>
      <c r="T55" s="3519">
        <f>T47/E47*100</f>
        <v>81.358381502890182</v>
      </c>
      <c r="U55" s="3519">
        <f>U47/E47*100</f>
        <v>76.242774566473997</v>
      </c>
      <c r="V55" s="3519">
        <f>V47/E47*100</f>
        <v>73.497109826589607</v>
      </c>
      <c r="W55" s="3128">
        <f>W47/E47*100</f>
        <v>70.317919075144502</v>
      </c>
      <c r="X55" s="3128">
        <f>X47/E47*100</f>
        <v>68.497109826589593</v>
      </c>
      <c r="Y55" s="1921">
        <f>Y47/E47*100</f>
        <v>67.312138728323703</v>
      </c>
      <c r="Z55" s="1921">
        <f>Z47/E47*100</f>
        <v>65.635838150289018</v>
      </c>
      <c r="AA55" s="1921">
        <f>AA47/E47*100</f>
        <v>62.409342843525359</v>
      </c>
      <c r="AB55" s="1921">
        <f>AB47/E47*100</f>
        <v>58.747797252077895</v>
      </c>
      <c r="AC55" s="1920">
        <f t="shared" si="0"/>
        <v>58.692670277545346</v>
      </c>
      <c r="AD55" s="1920">
        <f t="shared" si="0"/>
        <v>54.342977425956995</v>
      </c>
      <c r="AE55" s="1920">
        <f t="shared" si="0"/>
        <v>49.700253065145155</v>
      </c>
      <c r="AF55" s="1920">
        <f t="shared" si="0"/>
        <v>58.745924718448371</v>
      </c>
    </row>
    <row r="56" spans="4:32" x14ac:dyDescent="0.25">
      <c r="D56" s="1922" t="s">
        <v>1815</v>
      </c>
      <c r="E56" s="1923">
        <f>E48/E48*100</f>
        <v>100</v>
      </c>
      <c r="F56" s="1923">
        <f>F48/E48*100</f>
        <v>100.10621668203135</v>
      </c>
      <c r="G56" s="1923">
        <f>G48/E48*100</f>
        <v>95.883602549200347</v>
      </c>
      <c r="H56" s="1923">
        <f>H48/E48*100</f>
        <v>97.178243616978634</v>
      </c>
      <c r="I56" s="1923">
        <f>I48/E48*100</f>
        <v>101.15635897230351</v>
      </c>
      <c r="J56" s="1923">
        <f>J48/E48*100</f>
        <v>105.57336967413522</v>
      </c>
      <c r="K56" s="1923">
        <f>K48/E48*100</f>
        <v>110.55352919956711</v>
      </c>
      <c r="L56" s="1923">
        <f>L48/E48*100</f>
        <v>108.43921600064131</v>
      </c>
      <c r="M56" s="1923">
        <f>M48/E48*100</f>
        <v>111.48743436610687</v>
      </c>
      <c r="N56" s="1923">
        <f>N48/E48*100</f>
        <v>105.97218325383784</v>
      </c>
      <c r="O56" s="1923">
        <f>O48/E48*100</f>
        <v>97.234358090504628</v>
      </c>
      <c r="P56" s="1923">
        <f>P48/E48*100</f>
        <v>86.767004689566718</v>
      </c>
      <c r="Q56" s="1923">
        <f>Q48/E48*100</f>
        <v>83.356046334522432</v>
      </c>
      <c r="R56" s="1923">
        <f>R48/E48*100</f>
        <v>78.993146017876455</v>
      </c>
      <c r="S56" s="1923">
        <f>S48/E48*100</f>
        <v>78.614373321575997</v>
      </c>
      <c r="T56" s="1923">
        <f>T48/E48*100</f>
        <v>77.590284179726638</v>
      </c>
      <c r="U56" s="1923">
        <f>U48/E48*100</f>
        <v>73.748446831536327</v>
      </c>
      <c r="V56" s="1923">
        <f>V48/E48*100</f>
        <v>72.323540021644149</v>
      </c>
      <c r="W56" s="1923">
        <f>W48/E48*100</f>
        <v>70.307427151388822</v>
      </c>
      <c r="X56" s="1923">
        <f>X48/E48*100</f>
        <v>69.104994279837058</v>
      </c>
      <c r="Y56" s="1924">
        <f>Y48/E48*100</f>
        <v>65.27315724077117</v>
      </c>
      <c r="Z56" s="1924">
        <f>Z48/E48*100</f>
        <v>64.567718145015832</v>
      </c>
      <c r="AA56" s="1924">
        <f>AA48/E48*100</f>
        <v>62.332839550723172</v>
      </c>
      <c r="AB56" s="3129">
        <f>AB48/E48*100</f>
        <v>58.717758580620362</v>
      </c>
      <c r="AC56" s="3129">
        <f t="shared" si="0"/>
        <v>58.144125775015155</v>
      </c>
      <c r="AD56" s="3129">
        <f t="shared" si="0"/>
        <v>55.588492017627111</v>
      </c>
      <c r="AE56" s="3129">
        <f t="shared" si="0"/>
        <v>47.68049610736665</v>
      </c>
      <c r="AF56" s="3129">
        <f t="shared" si="0"/>
        <v>51.155136059792113</v>
      </c>
    </row>
    <row r="57" spans="4:32" x14ac:dyDescent="0.25">
      <c r="E57" s="3130"/>
    </row>
    <row r="58" spans="4:32" x14ac:dyDescent="0.25">
      <c r="D58" s="1137"/>
      <c r="E58" s="3131"/>
      <c r="F58" s="1137"/>
      <c r="G58" s="1137"/>
      <c r="H58" s="1137"/>
      <c r="I58" s="1137"/>
      <c r="J58" s="1137"/>
      <c r="K58" s="1137"/>
      <c r="L58" s="1137"/>
      <c r="M58" s="1137"/>
      <c r="N58" s="1137"/>
      <c r="O58" s="1137"/>
      <c r="P58" s="1137"/>
      <c r="Q58" s="1137"/>
      <c r="R58" s="1137"/>
      <c r="S58" s="1137"/>
      <c r="T58" s="1137"/>
      <c r="U58" s="1137"/>
      <c r="V58" s="1137"/>
      <c r="W58" s="1137"/>
      <c r="X58" s="1137"/>
    </row>
    <row r="194" spans="1:28" s="751" customFormat="1" x14ac:dyDescent="0.2">
      <c r="A194" s="1119"/>
      <c r="B194" s="1119"/>
      <c r="C194" s="1119"/>
      <c r="N194" s="1895"/>
      <c r="O194" s="1925"/>
      <c r="P194" s="1909"/>
      <c r="R194" s="88"/>
    </row>
    <row r="195" spans="1:28" s="751" customFormat="1" x14ac:dyDescent="0.2">
      <c r="A195" s="1119"/>
      <c r="B195" s="1119"/>
      <c r="C195" s="1119"/>
      <c r="N195" s="1895"/>
      <c r="O195" s="1925"/>
      <c r="P195" s="1909"/>
      <c r="R195" s="88"/>
    </row>
    <row r="196" spans="1:28" s="751" customFormat="1" x14ac:dyDescent="0.2">
      <c r="A196" s="1119"/>
      <c r="B196" s="1119"/>
      <c r="C196" s="1119"/>
      <c r="N196" s="1895"/>
      <c r="O196" s="1925"/>
      <c r="P196" s="88"/>
      <c r="R196" s="88"/>
    </row>
    <row r="197" spans="1:28" s="751" customFormat="1" x14ac:dyDescent="0.2">
      <c r="A197" s="1119"/>
      <c r="B197" s="1119"/>
      <c r="C197" s="1119"/>
      <c r="N197" s="1895"/>
      <c r="O197" s="1925"/>
      <c r="P197" s="1909"/>
      <c r="R197" s="88"/>
    </row>
    <row r="198" spans="1:28" s="751" customFormat="1" x14ac:dyDescent="0.2">
      <c r="A198" s="1119"/>
      <c r="B198" s="1119"/>
      <c r="C198" s="1119"/>
      <c r="N198" s="1895"/>
      <c r="O198" s="1926"/>
      <c r="P198" s="1926"/>
    </row>
    <row r="199" spans="1:28" s="751" customFormat="1" x14ac:dyDescent="0.25">
      <c r="A199" s="1119"/>
      <c r="B199" s="1119"/>
      <c r="C199" s="1119"/>
      <c r="N199" s="1896"/>
      <c r="O199" s="1137"/>
      <c r="P199" s="1137"/>
    </row>
    <row r="200" spans="1:28" s="751" customFormat="1" x14ac:dyDescent="0.25">
      <c r="A200" s="1119"/>
      <c r="B200" s="1119"/>
      <c r="C200" s="1119"/>
      <c r="N200" s="1896"/>
    </row>
    <row r="201" spans="1:28" s="751" customFormat="1" x14ac:dyDescent="0.2">
      <c r="A201" s="1119"/>
      <c r="B201" s="531"/>
      <c r="C201" s="531"/>
      <c r="D201" s="548"/>
      <c r="E201" s="548"/>
      <c r="F201" s="548"/>
      <c r="G201" s="548"/>
      <c r="H201" s="548"/>
      <c r="I201" s="548"/>
      <c r="J201" s="3132"/>
      <c r="K201" s="548"/>
      <c r="L201" s="548"/>
      <c r="M201" s="548"/>
      <c r="N201" s="1192"/>
      <c r="O201" s="548"/>
      <c r="P201" s="548"/>
    </row>
    <row r="202" spans="1:28" s="751" customFormat="1" x14ac:dyDescent="0.25">
      <c r="A202" s="1119"/>
      <c r="B202" s="1897"/>
      <c r="C202" s="1897"/>
      <c r="D202" s="1897"/>
      <c r="E202" s="1897"/>
      <c r="F202" s="1897"/>
      <c r="G202" s="1897"/>
      <c r="H202" s="1897"/>
      <c r="I202" s="1897"/>
      <c r="J202" s="1897"/>
      <c r="K202" s="1897"/>
      <c r="L202" s="1897"/>
      <c r="M202" s="1897"/>
      <c r="N202" s="1897"/>
      <c r="O202" s="1897"/>
      <c r="P202" s="1927"/>
    </row>
    <row r="203" spans="1:28" s="751" customFormat="1" x14ac:dyDescent="0.25">
      <c r="A203" s="1119"/>
      <c r="B203" s="1897"/>
      <c r="C203" s="1897"/>
      <c r="D203" s="1897"/>
      <c r="E203" s="1897"/>
      <c r="F203" s="1897"/>
      <c r="G203" s="1897"/>
      <c r="H203" s="1897"/>
      <c r="I203" s="1897"/>
      <c r="J203" s="1897"/>
      <c r="K203" s="1897"/>
      <c r="L203" s="1897"/>
      <c r="M203" s="1897"/>
      <c r="N203" s="1897"/>
      <c r="O203" s="1897"/>
      <c r="P203" s="1927"/>
    </row>
    <row r="204" spans="1:28" s="751" customFormat="1" x14ac:dyDescent="0.25">
      <c r="A204" s="1119"/>
      <c r="B204" s="1897"/>
      <c r="C204" s="1897"/>
      <c r="D204" s="1897"/>
      <c r="E204" s="1897"/>
      <c r="F204" s="1897"/>
      <c r="G204" s="1897"/>
      <c r="H204" s="1897"/>
      <c r="I204" s="1897"/>
      <c r="J204" s="1897"/>
      <c r="K204" s="1897"/>
      <c r="L204" s="1897"/>
      <c r="M204" s="1897"/>
      <c r="N204" s="1897"/>
      <c r="O204" s="1897"/>
      <c r="P204" s="1927"/>
    </row>
    <row r="205" spans="1:28" s="751" customFormat="1" x14ac:dyDescent="0.25">
      <c r="A205" s="1119"/>
      <c r="B205" s="1897"/>
      <c r="C205" s="1897"/>
      <c r="D205" s="1897"/>
      <c r="E205" s="1897"/>
      <c r="F205" s="1897"/>
      <c r="G205" s="1897"/>
      <c r="H205" s="1897"/>
      <c r="I205" s="1897"/>
      <c r="J205" s="1897"/>
      <c r="K205" s="1897"/>
      <c r="L205" s="1897"/>
      <c r="M205" s="1897"/>
      <c r="N205" s="1897"/>
      <c r="O205" s="1897"/>
      <c r="P205" s="1927"/>
    </row>
    <row r="206" spans="1:28" s="751" customFormat="1" x14ac:dyDescent="0.25">
      <c r="A206" s="1119"/>
      <c r="B206" s="1897"/>
      <c r="C206" s="1897"/>
      <c r="D206" s="1897"/>
      <c r="E206" s="1897"/>
      <c r="F206" s="1897"/>
      <c r="G206" s="1897"/>
      <c r="H206" s="1897"/>
      <c r="I206" s="1897"/>
      <c r="J206" s="1897"/>
      <c r="K206" s="1897"/>
      <c r="L206" s="1897"/>
      <c r="M206" s="1897"/>
      <c r="N206" s="1897"/>
      <c r="O206" s="1897"/>
      <c r="P206" s="1927"/>
      <c r="T206" s="1137"/>
      <c r="U206" s="1137"/>
      <c r="V206" s="1137"/>
      <c r="W206" s="1137"/>
      <c r="X206" s="1137"/>
      <c r="Y206" s="1137"/>
      <c r="Z206" s="1137"/>
      <c r="AB206" s="1137"/>
    </row>
    <row r="207" spans="1:28" s="751" customFormat="1" x14ac:dyDescent="0.25">
      <c r="A207" s="1119"/>
      <c r="B207" s="1897"/>
      <c r="C207" s="1897"/>
      <c r="D207" s="1897"/>
      <c r="E207" s="1897"/>
      <c r="F207" s="1897"/>
      <c r="G207" s="1897"/>
      <c r="H207" s="1897"/>
      <c r="I207" s="1897"/>
      <c r="J207" s="1897"/>
      <c r="K207" s="1897"/>
      <c r="L207" s="1897"/>
      <c r="M207" s="1897"/>
      <c r="N207" s="1897"/>
      <c r="O207" s="1897"/>
      <c r="P207" s="1927"/>
    </row>
    <row r="212" spans="4:6" x14ac:dyDescent="0.25">
      <c r="E212" s="1119"/>
    </row>
    <row r="213" spans="4:6" x14ac:dyDescent="0.25">
      <c r="D213" s="531"/>
      <c r="E213" s="1928"/>
      <c r="F213" s="1928"/>
    </row>
    <row r="214" spans="4:6" x14ac:dyDescent="0.25">
      <c r="D214" s="1119"/>
      <c r="E214" s="1929"/>
    </row>
    <row r="215" spans="4:6" x14ac:dyDescent="0.25">
      <c r="E215" s="1929"/>
    </row>
    <row r="216" spans="4:6" x14ac:dyDescent="0.25">
      <c r="E216" s="1929"/>
    </row>
    <row r="217" spans="4:6" x14ac:dyDescent="0.25">
      <c r="E217" s="1929"/>
    </row>
    <row r="218" spans="4:6" x14ac:dyDescent="0.25">
      <c r="E218" s="1929"/>
    </row>
    <row r="219" spans="4:6" x14ac:dyDescent="0.25">
      <c r="E219" s="1929"/>
    </row>
    <row r="220" spans="4:6" x14ac:dyDescent="0.25">
      <c r="E220" s="1929"/>
    </row>
    <row r="221" spans="4:6" x14ac:dyDescent="0.25">
      <c r="E221" s="1929"/>
    </row>
    <row r="222" spans="4:6" x14ac:dyDescent="0.25">
      <c r="E222" s="1929"/>
    </row>
    <row r="223" spans="4:6" x14ac:dyDescent="0.25">
      <c r="D223" s="162"/>
      <c r="E223" s="1928"/>
      <c r="F223" s="162"/>
    </row>
    <row r="224" spans="4:6" x14ac:dyDescent="0.25">
      <c r="D224" s="1930"/>
      <c r="E224" s="1929"/>
    </row>
    <row r="225" spans="4:6" x14ac:dyDescent="0.25">
      <c r="D225" s="1930"/>
      <c r="E225" s="1929"/>
    </row>
    <row r="226" spans="4:6" x14ac:dyDescent="0.25">
      <c r="D226" s="1930"/>
      <c r="E226" s="1929"/>
    </row>
    <row r="227" spans="4:6" x14ac:dyDescent="0.25">
      <c r="D227" s="1930"/>
      <c r="E227" s="1929"/>
    </row>
    <row r="228" spans="4:6" x14ac:dyDescent="0.25">
      <c r="D228" s="1931"/>
      <c r="E228" s="1929"/>
    </row>
    <row r="229" spans="4:6" x14ac:dyDescent="0.25">
      <c r="E229" s="1929"/>
    </row>
    <row r="230" spans="4:6" x14ac:dyDescent="0.25">
      <c r="D230" s="162"/>
      <c r="E230" s="1928"/>
      <c r="F230" s="162"/>
    </row>
    <row r="231" spans="4:6" x14ac:dyDescent="0.25">
      <c r="E231" s="1929"/>
    </row>
    <row r="232" spans="4:6" x14ac:dyDescent="0.25">
      <c r="E232" s="1929"/>
    </row>
    <row r="233" spans="4:6" x14ac:dyDescent="0.25">
      <c r="E233" s="1929"/>
    </row>
    <row r="234" spans="4:6" x14ac:dyDescent="0.25">
      <c r="D234" s="1898"/>
      <c r="E234" s="1928"/>
      <c r="F234" s="162"/>
    </row>
    <row r="235" spans="4:6" x14ac:dyDescent="0.25">
      <c r="E235" s="1929"/>
    </row>
    <row r="236" spans="4:6" x14ac:dyDescent="0.25">
      <c r="E236" s="1929"/>
    </row>
    <row r="237" spans="4:6" x14ac:dyDescent="0.25">
      <c r="E237" s="1929"/>
    </row>
    <row r="238" spans="4:6" x14ac:dyDescent="0.25">
      <c r="E238" s="1929"/>
    </row>
    <row r="239" spans="4:6" x14ac:dyDescent="0.25">
      <c r="D239" s="71"/>
      <c r="E239" s="1928"/>
      <c r="F239" s="162"/>
    </row>
    <row r="240" spans="4:6" x14ac:dyDescent="0.25">
      <c r="E240" s="1929"/>
    </row>
    <row r="241" spans="5:5" x14ac:dyDescent="0.25">
      <c r="E241" s="1929"/>
    </row>
    <row r="242" spans="5:5" x14ac:dyDescent="0.25">
      <c r="E242" s="1929"/>
    </row>
    <row r="243" spans="5:5" x14ac:dyDescent="0.25">
      <c r="E243" s="1929"/>
    </row>
    <row r="244" spans="5:5" x14ac:dyDescent="0.25">
      <c r="E244" s="1929"/>
    </row>
    <row r="245" spans="5:5" x14ac:dyDescent="0.25">
      <c r="E245" s="1929"/>
    </row>
    <row r="246" spans="5:5" x14ac:dyDescent="0.25">
      <c r="E246" s="1929"/>
    </row>
    <row r="247" spans="5:5" x14ac:dyDescent="0.25">
      <c r="E247" s="1929"/>
    </row>
    <row r="248" spans="5:5" x14ac:dyDescent="0.25">
      <c r="E248" s="1929"/>
    </row>
    <row r="249" spans="5:5" x14ac:dyDescent="0.25">
      <c r="E249" s="1929"/>
    </row>
    <row r="250" spans="5:5" x14ac:dyDescent="0.25">
      <c r="E250" s="1929"/>
    </row>
    <row r="251" spans="5:5" x14ac:dyDescent="0.25">
      <c r="E251" s="1929"/>
    </row>
    <row r="252" spans="5:5" x14ac:dyDescent="0.25">
      <c r="E252" s="1929"/>
    </row>
    <row r="253" spans="5:5" x14ac:dyDescent="0.25">
      <c r="E253" s="1929"/>
    </row>
    <row r="254" spans="5:5" x14ac:dyDescent="0.25">
      <c r="E254" s="1929"/>
    </row>
    <row r="255" spans="5:5" x14ac:dyDescent="0.25">
      <c r="E255" s="1929"/>
    </row>
    <row r="256" spans="5:5" x14ac:dyDescent="0.25">
      <c r="E256" s="1929"/>
    </row>
    <row r="257" spans="5:5" x14ac:dyDescent="0.25">
      <c r="E257" s="1929"/>
    </row>
    <row r="258" spans="5:5" x14ac:dyDescent="0.25">
      <c r="E258" s="1929"/>
    </row>
    <row r="259" spans="5:5" x14ac:dyDescent="0.25">
      <c r="E259" s="1929"/>
    </row>
    <row r="260" spans="5:5" x14ac:dyDescent="0.25">
      <c r="E260" s="1929"/>
    </row>
    <row r="261" spans="5:5" x14ac:dyDescent="0.25">
      <c r="E261" s="1929"/>
    </row>
    <row r="262" spans="5:5" x14ac:dyDescent="0.25">
      <c r="E262" s="1929"/>
    </row>
    <row r="263" spans="5:5" x14ac:dyDescent="0.25">
      <c r="E263" s="1929"/>
    </row>
    <row r="264" spans="5:5" x14ac:dyDescent="0.25">
      <c r="E264" s="1929"/>
    </row>
    <row r="265" spans="5:5" x14ac:dyDescent="0.25">
      <c r="E265" s="1929"/>
    </row>
    <row r="266" spans="5:5" x14ac:dyDescent="0.25">
      <c r="E266" s="1929"/>
    </row>
    <row r="267" spans="5:5" x14ac:dyDescent="0.25">
      <c r="E267" s="1929"/>
    </row>
    <row r="268" spans="5:5" x14ac:dyDescent="0.25">
      <c r="E268" s="1929"/>
    </row>
    <row r="269" spans="5:5" x14ac:dyDescent="0.25">
      <c r="E269" s="1929"/>
    </row>
    <row r="270" spans="5:5" x14ac:dyDescent="0.25">
      <c r="E270" s="1929"/>
    </row>
    <row r="271" spans="5:5" x14ac:dyDescent="0.25">
      <c r="E271" s="1929"/>
    </row>
    <row r="272" spans="5:5" x14ac:dyDescent="0.25">
      <c r="E272" s="1929"/>
    </row>
    <row r="273" spans="5:5" x14ac:dyDescent="0.25">
      <c r="E273" s="1929"/>
    </row>
    <row r="274" spans="5:5" x14ac:dyDescent="0.25">
      <c r="E274" s="1929"/>
    </row>
    <row r="275" spans="5:5" x14ac:dyDescent="0.25">
      <c r="E275" s="1929"/>
    </row>
    <row r="276" spans="5:5" x14ac:dyDescent="0.25">
      <c r="E276" s="1929"/>
    </row>
    <row r="277" spans="5:5" x14ac:dyDescent="0.25">
      <c r="E277" s="1929"/>
    </row>
    <row r="278" spans="5:5" x14ac:dyDescent="0.25">
      <c r="E278" s="1929"/>
    </row>
    <row r="279" spans="5:5" x14ac:dyDescent="0.25">
      <c r="E279" s="1929"/>
    </row>
    <row r="280" spans="5:5" x14ac:dyDescent="0.25">
      <c r="E280" s="1929"/>
    </row>
    <row r="281" spans="5:5" x14ac:dyDescent="0.25">
      <c r="E281" s="1929"/>
    </row>
    <row r="282" spans="5:5" x14ac:dyDescent="0.25">
      <c r="E282" s="1929"/>
    </row>
    <row r="283" spans="5:5" x14ac:dyDescent="0.25">
      <c r="E283" s="1929"/>
    </row>
    <row r="284" spans="5:5" x14ac:dyDescent="0.25">
      <c r="E284" s="1929"/>
    </row>
    <row r="285" spans="5:5" x14ac:dyDescent="0.25">
      <c r="E285" s="1929"/>
    </row>
    <row r="286" spans="5:5" x14ac:dyDescent="0.25">
      <c r="E286" s="1929"/>
    </row>
    <row r="287" spans="5:5" x14ac:dyDescent="0.25">
      <c r="E287" s="1929"/>
    </row>
    <row r="288" spans="5:5" x14ac:dyDescent="0.25">
      <c r="E288" s="1929"/>
    </row>
    <row r="289" spans="5:5" x14ac:dyDescent="0.25">
      <c r="E289" s="1929"/>
    </row>
    <row r="290" spans="5:5" x14ac:dyDescent="0.25">
      <c r="E290" s="1929"/>
    </row>
    <row r="291" spans="5:5" x14ac:dyDescent="0.25">
      <c r="E291" s="1929"/>
    </row>
    <row r="292" spans="5:5" x14ac:dyDescent="0.25">
      <c r="E292" s="1929"/>
    </row>
    <row r="293" spans="5:5" x14ac:dyDescent="0.25">
      <c r="E293" s="1929"/>
    </row>
    <row r="294" spans="5:5" x14ac:dyDescent="0.25">
      <c r="E294" s="1929"/>
    </row>
    <row r="295" spans="5:5" x14ac:dyDescent="0.25">
      <c r="E295" s="1929"/>
    </row>
    <row r="296" spans="5:5" x14ac:dyDescent="0.25">
      <c r="E296" s="1929"/>
    </row>
    <row r="297" spans="5:5" x14ac:dyDescent="0.25">
      <c r="E297" s="1929"/>
    </row>
    <row r="298" spans="5:5" x14ac:dyDescent="0.25">
      <c r="E298" s="1929"/>
    </row>
    <row r="299" spans="5:5" x14ac:dyDescent="0.25">
      <c r="E299" s="1929"/>
    </row>
    <row r="300" spans="5:5" x14ac:dyDescent="0.25">
      <c r="E300" s="1929"/>
    </row>
    <row r="301" spans="5:5" x14ac:dyDescent="0.25">
      <c r="E301" s="1929"/>
    </row>
    <row r="302" spans="5:5" x14ac:dyDescent="0.25">
      <c r="E302" s="1929"/>
    </row>
    <row r="303" spans="5:5" x14ac:dyDescent="0.25">
      <c r="E303" s="1929"/>
    </row>
    <row r="304" spans="5:5" x14ac:dyDescent="0.25">
      <c r="E304" s="1929"/>
    </row>
    <row r="305" spans="5:5" x14ac:dyDescent="0.25">
      <c r="E305" s="1929"/>
    </row>
    <row r="306" spans="5:5" x14ac:dyDescent="0.25">
      <c r="E306" s="1929"/>
    </row>
    <row r="307" spans="5:5" x14ac:dyDescent="0.25">
      <c r="E307" s="1929"/>
    </row>
    <row r="308" spans="5:5" x14ac:dyDescent="0.25">
      <c r="E308" s="1929"/>
    </row>
    <row r="309" spans="5:5" x14ac:dyDescent="0.25">
      <c r="E309" s="1929"/>
    </row>
    <row r="310" spans="5:5" x14ac:dyDescent="0.25">
      <c r="E310" s="1929"/>
    </row>
    <row r="311" spans="5:5" x14ac:dyDescent="0.25">
      <c r="E311" s="1929"/>
    </row>
    <row r="312" spans="5:5" x14ac:dyDescent="0.25">
      <c r="E312" s="1929"/>
    </row>
    <row r="313" spans="5:5" x14ac:dyDescent="0.25">
      <c r="E313" s="1929"/>
    </row>
    <row r="314" spans="5:5" x14ac:dyDescent="0.25">
      <c r="E314" s="1929"/>
    </row>
    <row r="315" spans="5:5" x14ac:dyDescent="0.25">
      <c r="E315" s="1929"/>
    </row>
    <row r="316" spans="5:5" x14ac:dyDescent="0.25">
      <c r="E316" s="1929"/>
    </row>
    <row r="317" spans="5:5" x14ac:dyDescent="0.25">
      <c r="E317" s="1929"/>
    </row>
    <row r="318" spans="5:5" x14ac:dyDescent="0.25">
      <c r="E318" s="1929"/>
    </row>
    <row r="319" spans="5:5" x14ac:dyDescent="0.25">
      <c r="E319" s="1929"/>
    </row>
    <row r="320" spans="5:5" x14ac:dyDescent="0.25">
      <c r="E320" s="1929"/>
    </row>
    <row r="321" spans="5:5" x14ac:dyDescent="0.25">
      <c r="E321" s="1929"/>
    </row>
    <row r="322" spans="5:5" x14ac:dyDescent="0.25">
      <c r="E322" s="1929"/>
    </row>
    <row r="323" spans="5:5" x14ac:dyDescent="0.25">
      <c r="E323" s="1929"/>
    </row>
    <row r="324" spans="5:5" x14ac:dyDescent="0.25">
      <c r="E324" s="1929"/>
    </row>
    <row r="325" spans="5:5" x14ac:dyDescent="0.25">
      <c r="E325" s="1929"/>
    </row>
    <row r="326" spans="5:5" x14ac:dyDescent="0.25">
      <c r="E326" s="1929"/>
    </row>
    <row r="327" spans="5:5" x14ac:dyDescent="0.25">
      <c r="E327" s="1929"/>
    </row>
    <row r="328" spans="5:5" x14ac:dyDescent="0.25">
      <c r="E328" s="1929"/>
    </row>
    <row r="329" spans="5:5" x14ac:dyDescent="0.25">
      <c r="E329" s="1929"/>
    </row>
    <row r="330" spans="5:5" x14ac:dyDescent="0.25">
      <c r="E330" s="1929"/>
    </row>
    <row r="331" spans="5:5" x14ac:dyDescent="0.25">
      <c r="E331" s="1929"/>
    </row>
    <row r="332" spans="5:5" x14ac:dyDescent="0.25">
      <c r="E332" s="1929"/>
    </row>
    <row r="333" spans="5:5" x14ac:dyDescent="0.25">
      <c r="E333" s="1929"/>
    </row>
    <row r="334" spans="5:5" x14ac:dyDescent="0.25">
      <c r="E334" s="1929"/>
    </row>
    <row r="335" spans="5:5" x14ac:dyDescent="0.25">
      <c r="E335" s="1929"/>
    </row>
    <row r="336" spans="5:5" x14ac:dyDescent="0.25">
      <c r="E336" s="1929"/>
    </row>
    <row r="337" spans="5:5" x14ac:dyDescent="0.25">
      <c r="E337" s="1929"/>
    </row>
    <row r="338" spans="5:5" x14ac:dyDescent="0.25">
      <c r="E338" s="1929"/>
    </row>
    <row r="339" spans="5:5" x14ac:dyDescent="0.25">
      <c r="E339" s="1929"/>
    </row>
    <row r="340" spans="5:5" x14ac:dyDescent="0.25">
      <c r="E340" s="1929"/>
    </row>
    <row r="341" spans="5:5" x14ac:dyDescent="0.25">
      <c r="E341" s="1929"/>
    </row>
    <row r="342" spans="5:5" x14ac:dyDescent="0.25">
      <c r="E342" s="1929"/>
    </row>
    <row r="343" spans="5:5" x14ac:dyDescent="0.25">
      <c r="E343" s="1929"/>
    </row>
    <row r="344" spans="5:5" x14ac:dyDescent="0.25">
      <c r="E344" s="1929"/>
    </row>
    <row r="345" spans="5:5" x14ac:dyDescent="0.25">
      <c r="E345" s="1929"/>
    </row>
    <row r="346" spans="5:5" x14ac:dyDescent="0.25">
      <c r="E346" s="1929"/>
    </row>
    <row r="347" spans="5:5" x14ac:dyDescent="0.25">
      <c r="E347" s="1929"/>
    </row>
    <row r="348" spans="5:5" x14ac:dyDescent="0.25">
      <c r="E348" s="1929"/>
    </row>
    <row r="349" spans="5:5" x14ac:dyDescent="0.25">
      <c r="E349" s="1929"/>
    </row>
    <row r="350" spans="5:5" x14ac:dyDescent="0.25">
      <c r="E350" s="1929"/>
    </row>
    <row r="351" spans="5:5" x14ac:dyDescent="0.25">
      <c r="E351" s="1929"/>
    </row>
    <row r="352" spans="5:5" x14ac:dyDescent="0.25">
      <c r="E352" s="1929"/>
    </row>
    <row r="353" spans="5:5" x14ac:dyDescent="0.25">
      <c r="E353" s="1929"/>
    </row>
    <row r="354" spans="5:5" x14ac:dyDescent="0.25">
      <c r="E354" s="1929"/>
    </row>
    <row r="355" spans="5:5" x14ac:dyDescent="0.25">
      <c r="E355" s="1929"/>
    </row>
    <row r="356" spans="5:5" x14ac:dyDescent="0.25">
      <c r="E356" s="1929"/>
    </row>
    <row r="357" spans="5:5" x14ac:dyDescent="0.25">
      <c r="E357" s="1929"/>
    </row>
    <row r="358" spans="5:5" x14ac:dyDescent="0.25">
      <c r="E358" s="1929"/>
    </row>
    <row r="359" spans="5:5" x14ac:dyDescent="0.25">
      <c r="E359" s="1929"/>
    </row>
    <row r="360" spans="5:5" x14ac:dyDescent="0.25">
      <c r="E360" s="1929"/>
    </row>
    <row r="361" spans="5:5" x14ac:dyDescent="0.25">
      <c r="E361" s="1929"/>
    </row>
    <row r="362" spans="5:5" x14ac:dyDescent="0.25">
      <c r="E362" s="1929"/>
    </row>
    <row r="363" spans="5:5" x14ac:dyDescent="0.25">
      <c r="E363" s="1929"/>
    </row>
    <row r="364" spans="5:5" x14ac:dyDescent="0.25">
      <c r="E364" s="1929"/>
    </row>
    <row r="365" spans="5:5" x14ac:dyDescent="0.25">
      <c r="E365" s="1929"/>
    </row>
    <row r="366" spans="5:5" x14ac:dyDescent="0.25">
      <c r="E366" s="1929"/>
    </row>
    <row r="367" spans="5:5" x14ac:dyDescent="0.25">
      <c r="E367" s="1929"/>
    </row>
    <row r="368" spans="5:5" x14ac:dyDescent="0.25">
      <c r="E368" s="1929"/>
    </row>
    <row r="369" spans="5:5" x14ac:dyDescent="0.25">
      <c r="E369" s="1929"/>
    </row>
    <row r="370" spans="5:5" x14ac:dyDescent="0.25">
      <c r="E370" s="1929"/>
    </row>
    <row r="371" spans="5:5" x14ac:dyDescent="0.25">
      <c r="E371" s="1929"/>
    </row>
    <row r="372" spans="5:5" x14ac:dyDescent="0.25">
      <c r="E372" s="1929"/>
    </row>
    <row r="373" spans="5:5" x14ac:dyDescent="0.25">
      <c r="E373" s="1929"/>
    </row>
    <row r="374" spans="5:5" x14ac:dyDescent="0.25">
      <c r="E374" s="1929"/>
    </row>
    <row r="375" spans="5:5" x14ac:dyDescent="0.25">
      <c r="E375" s="1929"/>
    </row>
    <row r="376" spans="5:5" x14ac:dyDescent="0.25">
      <c r="E376" s="1929"/>
    </row>
    <row r="377" spans="5:5" x14ac:dyDescent="0.25">
      <c r="E377" s="1929"/>
    </row>
    <row r="378" spans="5:5" x14ac:dyDescent="0.25">
      <c r="E378" s="1929"/>
    </row>
    <row r="379" spans="5:5" x14ac:dyDescent="0.25">
      <c r="E379" s="1929"/>
    </row>
    <row r="380" spans="5:5" x14ac:dyDescent="0.25">
      <c r="E380" s="1929"/>
    </row>
    <row r="381" spans="5:5" x14ac:dyDescent="0.25">
      <c r="E381" s="1929"/>
    </row>
    <row r="382" spans="5:5" x14ac:dyDescent="0.25">
      <c r="E382" s="1929"/>
    </row>
    <row r="383" spans="5:5" x14ac:dyDescent="0.25">
      <c r="E383" s="1929"/>
    </row>
    <row r="384" spans="5:5" x14ac:dyDescent="0.25">
      <c r="E384" s="1929"/>
    </row>
    <row r="385" spans="5:5" x14ac:dyDescent="0.25">
      <c r="E385" s="1929"/>
    </row>
    <row r="386" spans="5:5" x14ac:dyDescent="0.25">
      <c r="E386" s="1929"/>
    </row>
    <row r="387" spans="5:5" x14ac:dyDescent="0.25">
      <c r="E387" s="1929"/>
    </row>
    <row r="388" spans="5:5" x14ac:dyDescent="0.25">
      <c r="E388" s="1929"/>
    </row>
    <row r="389" spans="5:5" x14ac:dyDescent="0.25">
      <c r="E389" s="1929"/>
    </row>
    <row r="390" spans="5:5" x14ac:dyDescent="0.25">
      <c r="E390" s="1929"/>
    </row>
    <row r="391" spans="5:5" x14ac:dyDescent="0.25">
      <c r="E391" s="1929"/>
    </row>
    <row r="392" spans="5:5" x14ac:dyDescent="0.25">
      <c r="E392" s="1929"/>
    </row>
    <row r="393" spans="5:5" x14ac:dyDescent="0.25">
      <c r="E393" s="1929"/>
    </row>
    <row r="394" spans="5:5" x14ac:dyDescent="0.25">
      <c r="E394" s="1929"/>
    </row>
    <row r="395" spans="5:5" x14ac:dyDescent="0.25">
      <c r="E395" s="1929"/>
    </row>
    <row r="396" spans="5:5" x14ac:dyDescent="0.25">
      <c r="E396" s="1929"/>
    </row>
    <row r="397" spans="5:5" x14ac:dyDescent="0.25">
      <c r="E397" s="1929"/>
    </row>
    <row r="398" spans="5:5" x14ac:dyDescent="0.25">
      <c r="E398" s="1929"/>
    </row>
    <row r="399" spans="5:5" x14ac:dyDescent="0.25">
      <c r="E399" s="1929"/>
    </row>
    <row r="400" spans="5:5" x14ac:dyDescent="0.25">
      <c r="E400" s="1929"/>
    </row>
    <row r="401" spans="5:5" x14ac:dyDescent="0.25">
      <c r="E401" s="1929"/>
    </row>
    <row r="402" spans="5:5" x14ac:dyDescent="0.25">
      <c r="E402" s="1929"/>
    </row>
    <row r="403" spans="5:5" x14ac:dyDescent="0.25">
      <c r="E403" s="1929"/>
    </row>
    <row r="404" spans="5:5" x14ac:dyDescent="0.25">
      <c r="E404" s="1929"/>
    </row>
    <row r="405" spans="5:5" x14ac:dyDescent="0.25">
      <c r="E405" s="1929"/>
    </row>
    <row r="406" spans="5:5" x14ac:dyDescent="0.25">
      <c r="E406" s="1929"/>
    </row>
    <row r="407" spans="5:5" x14ac:dyDescent="0.25">
      <c r="E407" s="1929"/>
    </row>
    <row r="408" spans="5:5" x14ac:dyDescent="0.25">
      <c r="E408" s="1929"/>
    </row>
    <row r="409" spans="5:5" x14ac:dyDescent="0.25">
      <c r="E409" s="1929"/>
    </row>
    <row r="410" spans="5:5" x14ac:dyDescent="0.25">
      <c r="E410" s="1929"/>
    </row>
    <row r="411" spans="5:5" x14ac:dyDescent="0.25">
      <c r="E411" s="1929"/>
    </row>
    <row r="412" spans="5:5" x14ac:dyDescent="0.25">
      <c r="E412" s="1929"/>
    </row>
    <row r="413" spans="5:5" x14ac:dyDescent="0.25">
      <c r="E413" s="1929"/>
    </row>
    <row r="414" spans="5:5" x14ac:dyDescent="0.25">
      <c r="E414" s="1929"/>
    </row>
    <row r="415" spans="5:5" x14ac:dyDescent="0.25">
      <c r="E415" s="1929"/>
    </row>
    <row r="416" spans="5:5" x14ac:dyDescent="0.25">
      <c r="E416" s="1929"/>
    </row>
    <row r="417" spans="5:5" x14ac:dyDescent="0.25">
      <c r="E417" s="1929"/>
    </row>
    <row r="418" spans="5:5" x14ac:dyDescent="0.25">
      <c r="E418" s="1929"/>
    </row>
    <row r="419" spans="5:5" x14ac:dyDescent="0.25">
      <c r="E419" s="1929"/>
    </row>
    <row r="420" spans="5:5" x14ac:dyDescent="0.25">
      <c r="E420" s="1929"/>
    </row>
    <row r="421" spans="5:5" x14ac:dyDescent="0.25">
      <c r="E421" s="1929"/>
    </row>
    <row r="422" spans="5:5" x14ac:dyDescent="0.25">
      <c r="E422" s="1929"/>
    </row>
    <row r="423" spans="5:5" x14ac:dyDescent="0.25">
      <c r="E423" s="1929"/>
    </row>
    <row r="424" spans="5:5" x14ac:dyDescent="0.25">
      <c r="E424" s="1929"/>
    </row>
    <row r="425" spans="5:5" x14ac:dyDescent="0.25">
      <c r="E425" s="1929"/>
    </row>
    <row r="426" spans="5:5" x14ac:dyDescent="0.25">
      <c r="E426" s="1929"/>
    </row>
    <row r="427" spans="5:5" x14ac:dyDescent="0.25">
      <c r="E427" s="1929"/>
    </row>
    <row r="428" spans="5:5" x14ac:dyDescent="0.25">
      <c r="E428" s="1929"/>
    </row>
    <row r="429" spans="5:5" x14ac:dyDescent="0.25">
      <c r="E429" s="1929"/>
    </row>
    <row r="430" spans="5:5" x14ac:dyDescent="0.25">
      <c r="E430" s="1929"/>
    </row>
    <row r="431" spans="5:5" x14ac:dyDescent="0.25">
      <c r="E431" s="1929"/>
    </row>
    <row r="432" spans="5:5" x14ac:dyDescent="0.25">
      <c r="E432" s="1929"/>
    </row>
    <row r="433" spans="5:5" x14ac:dyDescent="0.25">
      <c r="E433" s="1929"/>
    </row>
    <row r="434" spans="5:5" x14ac:dyDescent="0.25">
      <c r="E434" s="1929"/>
    </row>
    <row r="435" spans="5:5" x14ac:dyDescent="0.25">
      <c r="E435" s="1929"/>
    </row>
    <row r="436" spans="5:5" x14ac:dyDescent="0.25">
      <c r="E436" s="1929"/>
    </row>
    <row r="437" spans="5:5" x14ac:dyDescent="0.25">
      <c r="E437" s="1929"/>
    </row>
    <row r="438" spans="5:5" x14ac:dyDescent="0.25">
      <c r="E438" s="1929"/>
    </row>
    <row r="439" spans="5:5" x14ac:dyDescent="0.25">
      <c r="E439" s="1929"/>
    </row>
    <row r="440" spans="5:5" x14ac:dyDescent="0.25">
      <c r="E440" s="1929"/>
    </row>
    <row r="441" spans="5:5" x14ac:dyDescent="0.25">
      <c r="E441" s="1929"/>
    </row>
    <row r="442" spans="5:5" x14ac:dyDescent="0.25">
      <c r="E442" s="1929"/>
    </row>
    <row r="443" spans="5:5" x14ac:dyDescent="0.25">
      <c r="E443" s="1929"/>
    </row>
    <row r="444" spans="5:5" x14ac:dyDescent="0.25">
      <c r="E444" s="1929"/>
    </row>
    <row r="445" spans="5:5" x14ac:dyDescent="0.25">
      <c r="E445" s="1929"/>
    </row>
    <row r="446" spans="5:5" x14ac:dyDescent="0.25">
      <c r="E446" s="1929"/>
    </row>
    <row r="447" spans="5:5" x14ac:dyDescent="0.25">
      <c r="E447" s="1929"/>
    </row>
    <row r="448" spans="5:5" x14ac:dyDescent="0.25">
      <c r="E448" s="1929"/>
    </row>
    <row r="449" spans="5:5" x14ac:dyDescent="0.25">
      <c r="E449" s="1929"/>
    </row>
    <row r="450" spans="5:5" x14ac:dyDescent="0.25">
      <c r="E450" s="1929"/>
    </row>
    <row r="451" spans="5:5" x14ac:dyDescent="0.25">
      <c r="E451" s="1929"/>
    </row>
    <row r="452" spans="5:5" x14ac:dyDescent="0.25">
      <c r="E452" s="1929"/>
    </row>
    <row r="453" spans="5:5" x14ac:dyDescent="0.25">
      <c r="E453" s="1929"/>
    </row>
    <row r="454" spans="5:5" x14ac:dyDescent="0.25">
      <c r="E454" s="1929"/>
    </row>
    <row r="455" spans="5:5" x14ac:dyDescent="0.25">
      <c r="E455" s="1929"/>
    </row>
    <row r="456" spans="5:5" x14ac:dyDescent="0.25">
      <c r="E456" s="1929"/>
    </row>
    <row r="457" spans="5:5" x14ac:dyDescent="0.25">
      <c r="E457" s="1929"/>
    </row>
    <row r="458" spans="5:5" x14ac:dyDescent="0.25">
      <c r="E458" s="1929"/>
    </row>
    <row r="459" spans="5:5" x14ac:dyDescent="0.25">
      <c r="E459" s="1929"/>
    </row>
    <row r="460" spans="5:5" x14ac:dyDescent="0.25">
      <c r="E460" s="1929"/>
    </row>
    <row r="461" spans="5:5" x14ac:dyDescent="0.25">
      <c r="E461" s="1929"/>
    </row>
    <row r="462" spans="5:5" x14ac:dyDescent="0.25">
      <c r="E462" s="1929"/>
    </row>
    <row r="463" spans="5:5" x14ac:dyDescent="0.25">
      <c r="E463" s="1929"/>
    </row>
    <row r="464" spans="5:5" x14ac:dyDescent="0.25">
      <c r="E464" s="1929"/>
    </row>
    <row r="465" spans="5:5" x14ac:dyDescent="0.25">
      <c r="E465" s="1929"/>
    </row>
    <row r="466" spans="5:5" x14ac:dyDescent="0.25">
      <c r="E466" s="1929"/>
    </row>
    <row r="467" spans="5:5" x14ac:dyDescent="0.25">
      <c r="E467" s="1929"/>
    </row>
    <row r="468" spans="5:5" x14ac:dyDescent="0.25">
      <c r="E468" s="1929"/>
    </row>
    <row r="469" spans="5:5" x14ac:dyDescent="0.25">
      <c r="E469" s="1929"/>
    </row>
    <row r="470" spans="5:5" x14ac:dyDescent="0.25">
      <c r="E470" s="1929"/>
    </row>
    <row r="471" spans="5:5" x14ac:dyDescent="0.25">
      <c r="E471" s="1929"/>
    </row>
    <row r="472" spans="5:5" x14ac:dyDescent="0.25">
      <c r="E472" s="1929"/>
    </row>
    <row r="473" spans="5:5" x14ac:dyDescent="0.25">
      <c r="E473" s="1929"/>
    </row>
    <row r="474" spans="5:5" x14ac:dyDescent="0.25">
      <c r="E474" s="1929"/>
    </row>
    <row r="475" spans="5:5" x14ac:dyDescent="0.25">
      <c r="E475" s="1929"/>
    </row>
    <row r="476" spans="5:5" x14ac:dyDescent="0.25">
      <c r="E476" s="1929"/>
    </row>
    <row r="477" spans="5:5" x14ac:dyDescent="0.25">
      <c r="E477" s="1929"/>
    </row>
    <row r="478" spans="5:5" x14ac:dyDescent="0.25">
      <c r="E478" s="1929"/>
    </row>
    <row r="479" spans="5:5" x14ac:dyDescent="0.25">
      <c r="E479" s="1929"/>
    </row>
    <row r="480" spans="5:5" x14ac:dyDescent="0.25">
      <c r="E480" s="1929"/>
    </row>
    <row r="481" spans="5:5" x14ac:dyDescent="0.25">
      <c r="E481" s="1929"/>
    </row>
  </sheetData>
  <mergeCells count="7">
    <mergeCell ref="D38:AC38"/>
    <mergeCell ref="D2:AC2"/>
    <mergeCell ref="D3:AC3"/>
    <mergeCell ref="D4:AC4"/>
    <mergeCell ref="D35:AC35"/>
    <mergeCell ref="D36:AC36"/>
    <mergeCell ref="D37:AC37"/>
  </mergeCells>
  <pageMargins left="0.74803149606299202" right="0.74803149606299202" top="0.98425196850393704" bottom="0.98425196850393704" header="0.511811023622047" footer="0.511811023622047"/>
  <pageSetup paperSize="9" scale="51"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81277-0E4F-4A89-B474-C38DDE473EEF}">
  <sheetPr>
    <tabColor rgb="FF0070C0"/>
    <pageSetUpPr fitToPage="1"/>
  </sheetPr>
  <dimension ref="A1:AF127"/>
  <sheetViews>
    <sheetView showGridLines="0" view="pageBreakPreview" topLeftCell="C1" zoomScale="110" zoomScaleNormal="100" zoomScaleSheetLayoutView="110" workbookViewId="0">
      <selection activeCell="AD1" sqref="AD1:AD1048576"/>
    </sheetView>
  </sheetViews>
  <sheetFormatPr defaultColWidth="9.140625" defaultRowHeight="15" x14ac:dyDescent="0.25"/>
  <cols>
    <col min="1" max="1" width="3.85546875" style="3899" customWidth="1"/>
    <col min="2" max="2" width="10.140625" style="3820" customWidth="1"/>
    <col min="3" max="3" width="3.85546875" style="3820" customWidth="1"/>
    <col min="4" max="4" width="23.85546875" style="113" customWidth="1"/>
    <col min="5" max="5" width="7.5703125" style="113" hidden="1" customWidth="1"/>
    <col min="6" max="7" width="6.5703125" style="113" hidden="1" customWidth="1"/>
    <col min="8" max="8" width="7.5703125" style="113" hidden="1" customWidth="1"/>
    <col min="9" max="9" width="6.140625" style="113" hidden="1" customWidth="1"/>
    <col min="10" max="13" width="6.5703125" style="113" hidden="1" customWidth="1"/>
    <col min="14" max="14" width="7" style="113" customWidth="1"/>
    <col min="15" max="17" width="6.5703125" style="113" customWidth="1"/>
    <col min="18" max="18" width="6.85546875" style="113" customWidth="1"/>
    <col min="19" max="20" width="7.42578125" style="113" bestFit="1" customWidth="1"/>
    <col min="21" max="21" width="6.85546875" style="113" customWidth="1"/>
    <col min="22" max="22" width="6.5703125" style="113" customWidth="1"/>
    <col min="23" max="24" width="6.85546875" style="113" customWidth="1"/>
    <col min="25" max="25" width="6.42578125" style="113" customWidth="1"/>
    <col min="26" max="26" width="7.42578125" style="113" bestFit="1" customWidth="1"/>
    <col min="27" max="27" width="7.140625" style="113" customWidth="1"/>
    <col min="28" max="28" width="7.42578125" style="113" bestFit="1" customWidth="1"/>
    <col min="29" max="32" width="7.140625" style="113" customWidth="1"/>
    <col min="33" max="257" width="9.140625" style="113"/>
    <col min="258" max="258" width="3.85546875" style="113" customWidth="1"/>
    <col min="259" max="259" width="14.42578125" style="113" customWidth="1"/>
    <col min="260" max="260" width="3.85546875" style="113" customWidth="1"/>
    <col min="261" max="261" width="20.42578125" style="113" customWidth="1"/>
    <col min="262" max="276" width="7.5703125" style="113" customWidth="1"/>
    <col min="277" max="513" width="9.140625" style="113"/>
    <col min="514" max="514" width="3.85546875" style="113" customWidth="1"/>
    <col min="515" max="515" width="14.42578125" style="113" customWidth="1"/>
    <col min="516" max="516" width="3.85546875" style="113" customWidth="1"/>
    <col min="517" max="517" width="20.42578125" style="113" customWidth="1"/>
    <col min="518" max="532" width="7.5703125" style="113" customWidth="1"/>
    <col min="533" max="769" width="9.140625" style="113"/>
    <col min="770" max="770" width="3.85546875" style="113" customWidth="1"/>
    <col min="771" max="771" width="14.42578125" style="113" customWidth="1"/>
    <col min="772" max="772" width="3.85546875" style="113" customWidth="1"/>
    <col min="773" max="773" width="20.42578125" style="113" customWidth="1"/>
    <col min="774" max="788" width="7.5703125" style="113" customWidth="1"/>
    <col min="789" max="1025" width="9.140625" style="113"/>
    <col min="1026" max="1026" width="3.85546875" style="113" customWidth="1"/>
    <col min="1027" max="1027" width="14.42578125" style="113" customWidth="1"/>
    <col min="1028" max="1028" width="3.85546875" style="113" customWidth="1"/>
    <col min="1029" max="1029" width="20.42578125" style="113" customWidth="1"/>
    <col min="1030" max="1044" width="7.5703125" style="113" customWidth="1"/>
    <col min="1045" max="1281" width="9.140625" style="113"/>
    <col min="1282" max="1282" width="3.85546875" style="113" customWidth="1"/>
    <col min="1283" max="1283" width="14.42578125" style="113" customWidth="1"/>
    <col min="1284" max="1284" width="3.85546875" style="113" customWidth="1"/>
    <col min="1285" max="1285" width="20.42578125" style="113" customWidth="1"/>
    <col min="1286" max="1300" width="7.5703125" style="113" customWidth="1"/>
    <col min="1301" max="1537" width="9.140625" style="113"/>
    <col min="1538" max="1538" width="3.85546875" style="113" customWidth="1"/>
    <col min="1539" max="1539" width="14.42578125" style="113" customWidth="1"/>
    <col min="1540" max="1540" width="3.85546875" style="113" customWidth="1"/>
    <col min="1541" max="1541" width="20.42578125" style="113" customWidth="1"/>
    <col min="1542" max="1556" width="7.5703125" style="113" customWidth="1"/>
    <col min="1557" max="1793" width="9.140625" style="113"/>
    <col min="1794" max="1794" width="3.85546875" style="113" customWidth="1"/>
    <col min="1795" max="1795" width="14.42578125" style="113" customWidth="1"/>
    <col min="1796" max="1796" width="3.85546875" style="113" customWidth="1"/>
    <col min="1797" max="1797" width="20.42578125" style="113" customWidth="1"/>
    <col min="1798" max="1812" width="7.5703125" style="113" customWidth="1"/>
    <col min="1813" max="2049" width="9.140625" style="113"/>
    <col min="2050" max="2050" width="3.85546875" style="113" customWidth="1"/>
    <col min="2051" max="2051" width="14.42578125" style="113" customWidth="1"/>
    <col min="2052" max="2052" width="3.85546875" style="113" customWidth="1"/>
    <col min="2053" max="2053" width="20.42578125" style="113" customWidth="1"/>
    <col min="2054" max="2068" width="7.5703125" style="113" customWidth="1"/>
    <col min="2069" max="2305" width="9.140625" style="113"/>
    <col min="2306" max="2306" width="3.85546875" style="113" customWidth="1"/>
    <col min="2307" max="2307" width="14.42578125" style="113" customWidth="1"/>
    <col min="2308" max="2308" width="3.85546875" style="113" customWidth="1"/>
    <col min="2309" max="2309" width="20.42578125" style="113" customWidth="1"/>
    <col min="2310" max="2324" width="7.5703125" style="113" customWidth="1"/>
    <col min="2325" max="2561" width="9.140625" style="113"/>
    <col min="2562" max="2562" width="3.85546875" style="113" customWidth="1"/>
    <col min="2563" max="2563" width="14.42578125" style="113" customWidth="1"/>
    <col min="2564" max="2564" width="3.85546875" style="113" customWidth="1"/>
    <col min="2565" max="2565" width="20.42578125" style="113" customWidth="1"/>
    <col min="2566" max="2580" width="7.5703125" style="113" customWidth="1"/>
    <col min="2581" max="2817" width="9.140625" style="113"/>
    <col min="2818" max="2818" width="3.85546875" style="113" customWidth="1"/>
    <col min="2819" max="2819" width="14.42578125" style="113" customWidth="1"/>
    <col min="2820" max="2820" width="3.85546875" style="113" customWidth="1"/>
    <col min="2821" max="2821" width="20.42578125" style="113" customWidth="1"/>
    <col min="2822" max="2836" width="7.5703125" style="113" customWidth="1"/>
    <col min="2837" max="3073" width="9.140625" style="113"/>
    <col min="3074" max="3074" width="3.85546875" style="113" customWidth="1"/>
    <col min="3075" max="3075" width="14.42578125" style="113" customWidth="1"/>
    <col min="3076" max="3076" width="3.85546875" style="113" customWidth="1"/>
    <col min="3077" max="3077" width="20.42578125" style="113" customWidth="1"/>
    <col min="3078" max="3092" width="7.5703125" style="113" customWidth="1"/>
    <col min="3093" max="3329" width="9.140625" style="113"/>
    <col min="3330" max="3330" width="3.85546875" style="113" customWidth="1"/>
    <col min="3331" max="3331" width="14.42578125" style="113" customWidth="1"/>
    <col min="3332" max="3332" width="3.85546875" style="113" customWidth="1"/>
    <col min="3333" max="3333" width="20.42578125" style="113" customWidth="1"/>
    <col min="3334" max="3348" width="7.5703125" style="113" customWidth="1"/>
    <col min="3349" max="3585" width="9.140625" style="113"/>
    <col min="3586" max="3586" width="3.85546875" style="113" customWidth="1"/>
    <col min="3587" max="3587" width="14.42578125" style="113" customWidth="1"/>
    <col min="3588" max="3588" width="3.85546875" style="113" customWidth="1"/>
    <col min="3589" max="3589" width="20.42578125" style="113" customWidth="1"/>
    <col min="3590" max="3604" width="7.5703125" style="113" customWidth="1"/>
    <col min="3605" max="3841" width="9.140625" style="113"/>
    <col min="3842" max="3842" width="3.85546875" style="113" customWidth="1"/>
    <col min="3843" max="3843" width="14.42578125" style="113" customWidth="1"/>
    <col min="3844" max="3844" width="3.85546875" style="113" customWidth="1"/>
    <col min="3845" max="3845" width="20.42578125" style="113" customWidth="1"/>
    <col min="3846" max="3860" width="7.5703125" style="113" customWidth="1"/>
    <col min="3861" max="4097" width="9.140625" style="113"/>
    <col min="4098" max="4098" width="3.85546875" style="113" customWidth="1"/>
    <col min="4099" max="4099" width="14.42578125" style="113" customWidth="1"/>
    <col min="4100" max="4100" width="3.85546875" style="113" customWidth="1"/>
    <col min="4101" max="4101" width="20.42578125" style="113" customWidth="1"/>
    <col min="4102" max="4116" width="7.5703125" style="113" customWidth="1"/>
    <col min="4117" max="4353" width="9.140625" style="113"/>
    <col min="4354" max="4354" width="3.85546875" style="113" customWidth="1"/>
    <col min="4355" max="4355" width="14.42578125" style="113" customWidth="1"/>
    <col min="4356" max="4356" width="3.85546875" style="113" customWidth="1"/>
    <col min="4357" max="4357" width="20.42578125" style="113" customWidth="1"/>
    <col min="4358" max="4372" width="7.5703125" style="113" customWidth="1"/>
    <col min="4373" max="4609" width="9.140625" style="113"/>
    <col min="4610" max="4610" width="3.85546875" style="113" customWidth="1"/>
    <col min="4611" max="4611" width="14.42578125" style="113" customWidth="1"/>
    <col min="4612" max="4612" width="3.85546875" style="113" customWidth="1"/>
    <col min="4613" max="4613" width="20.42578125" style="113" customWidth="1"/>
    <col min="4614" max="4628" width="7.5703125" style="113" customWidth="1"/>
    <col min="4629" max="4865" width="9.140625" style="113"/>
    <col min="4866" max="4866" width="3.85546875" style="113" customWidth="1"/>
    <col min="4867" max="4867" width="14.42578125" style="113" customWidth="1"/>
    <col min="4868" max="4868" width="3.85546875" style="113" customWidth="1"/>
    <col min="4869" max="4869" width="20.42578125" style="113" customWidth="1"/>
    <col min="4870" max="4884" width="7.5703125" style="113" customWidth="1"/>
    <col min="4885" max="5121" width="9.140625" style="113"/>
    <col min="5122" max="5122" width="3.85546875" style="113" customWidth="1"/>
    <col min="5123" max="5123" width="14.42578125" style="113" customWidth="1"/>
    <col min="5124" max="5124" width="3.85546875" style="113" customWidth="1"/>
    <col min="5125" max="5125" width="20.42578125" style="113" customWidth="1"/>
    <col min="5126" max="5140" width="7.5703125" style="113" customWidth="1"/>
    <col min="5141" max="5377" width="9.140625" style="113"/>
    <col min="5378" max="5378" width="3.85546875" style="113" customWidth="1"/>
    <col min="5379" max="5379" width="14.42578125" style="113" customWidth="1"/>
    <col min="5380" max="5380" width="3.85546875" style="113" customWidth="1"/>
    <col min="5381" max="5381" width="20.42578125" style="113" customWidth="1"/>
    <col min="5382" max="5396" width="7.5703125" style="113" customWidth="1"/>
    <col min="5397" max="5633" width="9.140625" style="113"/>
    <col min="5634" max="5634" width="3.85546875" style="113" customWidth="1"/>
    <col min="5635" max="5635" width="14.42578125" style="113" customWidth="1"/>
    <col min="5636" max="5636" width="3.85546875" style="113" customWidth="1"/>
    <col min="5637" max="5637" width="20.42578125" style="113" customWidth="1"/>
    <col min="5638" max="5652" width="7.5703125" style="113" customWidth="1"/>
    <col min="5653" max="5889" width="9.140625" style="113"/>
    <col min="5890" max="5890" width="3.85546875" style="113" customWidth="1"/>
    <col min="5891" max="5891" width="14.42578125" style="113" customWidth="1"/>
    <col min="5892" max="5892" width="3.85546875" style="113" customWidth="1"/>
    <col min="5893" max="5893" width="20.42578125" style="113" customWidth="1"/>
    <col min="5894" max="5908" width="7.5703125" style="113" customWidth="1"/>
    <col min="5909" max="6145" width="9.140625" style="113"/>
    <col min="6146" max="6146" width="3.85546875" style="113" customWidth="1"/>
    <col min="6147" max="6147" width="14.42578125" style="113" customWidth="1"/>
    <col min="6148" max="6148" width="3.85546875" style="113" customWidth="1"/>
    <col min="6149" max="6149" width="20.42578125" style="113" customWidth="1"/>
    <col min="6150" max="6164" width="7.5703125" style="113" customWidth="1"/>
    <col min="6165" max="6401" width="9.140625" style="113"/>
    <col min="6402" max="6402" width="3.85546875" style="113" customWidth="1"/>
    <col min="6403" max="6403" width="14.42578125" style="113" customWidth="1"/>
    <col min="6404" max="6404" width="3.85546875" style="113" customWidth="1"/>
    <col min="6405" max="6405" width="20.42578125" style="113" customWidth="1"/>
    <col min="6406" max="6420" width="7.5703125" style="113" customWidth="1"/>
    <col min="6421" max="6657" width="9.140625" style="113"/>
    <col min="6658" max="6658" width="3.85546875" style="113" customWidth="1"/>
    <col min="6659" max="6659" width="14.42578125" style="113" customWidth="1"/>
    <col min="6660" max="6660" width="3.85546875" style="113" customWidth="1"/>
    <col min="6661" max="6661" width="20.42578125" style="113" customWidth="1"/>
    <col min="6662" max="6676" width="7.5703125" style="113" customWidth="1"/>
    <col min="6677" max="6913" width="9.140625" style="113"/>
    <col min="6914" max="6914" width="3.85546875" style="113" customWidth="1"/>
    <col min="6915" max="6915" width="14.42578125" style="113" customWidth="1"/>
    <col min="6916" max="6916" width="3.85546875" style="113" customWidth="1"/>
    <col min="6917" max="6917" width="20.42578125" style="113" customWidth="1"/>
    <col min="6918" max="6932" width="7.5703125" style="113" customWidth="1"/>
    <col min="6933" max="7169" width="9.140625" style="113"/>
    <col min="7170" max="7170" width="3.85546875" style="113" customWidth="1"/>
    <col min="7171" max="7171" width="14.42578125" style="113" customWidth="1"/>
    <col min="7172" max="7172" width="3.85546875" style="113" customWidth="1"/>
    <col min="7173" max="7173" width="20.42578125" style="113" customWidth="1"/>
    <col min="7174" max="7188" width="7.5703125" style="113" customWidth="1"/>
    <col min="7189" max="7425" width="9.140625" style="113"/>
    <col min="7426" max="7426" width="3.85546875" style="113" customWidth="1"/>
    <col min="7427" max="7427" width="14.42578125" style="113" customWidth="1"/>
    <col min="7428" max="7428" width="3.85546875" style="113" customWidth="1"/>
    <col min="7429" max="7429" width="20.42578125" style="113" customWidth="1"/>
    <col min="7430" max="7444" width="7.5703125" style="113" customWidth="1"/>
    <col min="7445" max="7681" width="9.140625" style="113"/>
    <col min="7682" max="7682" width="3.85546875" style="113" customWidth="1"/>
    <col min="7683" max="7683" width="14.42578125" style="113" customWidth="1"/>
    <col min="7684" max="7684" width="3.85546875" style="113" customWidth="1"/>
    <col min="7685" max="7685" width="20.42578125" style="113" customWidth="1"/>
    <col min="7686" max="7700" width="7.5703125" style="113" customWidth="1"/>
    <col min="7701" max="7937" width="9.140625" style="113"/>
    <col min="7938" max="7938" width="3.85546875" style="113" customWidth="1"/>
    <col min="7939" max="7939" width="14.42578125" style="113" customWidth="1"/>
    <col min="7940" max="7940" width="3.85546875" style="113" customWidth="1"/>
    <col min="7941" max="7941" width="20.42578125" style="113" customWidth="1"/>
    <col min="7942" max="7956" width="7.5703125" style="113" customWidth="1"/>
    <col min="7957" max="8193" width="9.140625" style="113"/>
    <col min="8194" max="8194" width="3.85546875" style="113" customWidth="1"/>
    <col min="8195" max="8195" width="14.42578125" style="113" customWidth="1"/>
    <col min="8196" max="8196" width="3.85546875" style="113" customWidth="1"/>
    <col min="8197" max="8197" width="20.42578125" style="113" customWidth="1"/>
    <col min="8198" max="8212" width="7.5703125" style="113" customWidth="1"/>
    <col min="8213" max="8449" width="9.140625" style="113"/>
    <col min="8450" max="8450" width="3.85546875" style="113" customWidth="1"/>
    <col min="8451" max="8451" width="14.42578125" style="113" customWidth="1"/>
    <col min="8452" max="8452" width="3.85546875" style="113" customWidth="1"/>
    <col min="8453" max="8453" width="20.42578125" style="113" customWidth="1"/>
    <col min="8454" max="8468" width="7.5703125" style="113" customWidth="1"/>
    <col min="8469" max="8705" width="9.140625" style="113"/>
    <col min="8706" max="8706" width="3.85546875" style="113" customWidth="1"/>
    <col min="8707" max="8707" width="14.42578125" style="113" customWidth="1"/>
    <col min="8708" max="8708" width="3.85546875" style="113" customWidth="1"/>
    <col min="8709" max="8709" width="20.42578125" style="113" customWidth="1"/>
    <col min="8710" max="8724" width="7.5703125" style="113" customWidth="1"/>
    <col min="8725" max="8961" width="9.140625" style="113"/>
    <col min="8962" max="8962" width="3.85546875" style="113" customWidth="1"/>
    <col min="8963" max="8963" width="14.42578125" style="113" customWidth="1"/>
    <col min="8964" max="8964" width="3.85546875" style="113" customWidth="1"/>
    <col min="8965" max="8965" width="20.42578125" style="113" customWidth="1"/>
    <col min="8966" max="8980" width="7.5703125" style="113" customWidth="1"/>
    <col min="8981" max="9217" width="9.140625" style="113"/>
    <col min="9218" max="9218" width="3.85546875" style="113" customWidth="1"/>
    <col min="9219" max="9219" width="14.42578125" style="113" customWidth="1"/>
    <col min="9220" max="9220" width="3.85546875" style="113" customWidth="1"/>
    <col min="9221" max="9221" width="20.42578125" style="113" customWidth="1"/>
    <col min="9222" max="9236" width="7.5703125" style="113" customWidth="1"/>
    <col min="9237" max="9473" width="9.140625" style="113"/>
    <col min="9474" max="9474" width="3.85546875" style="113" customWidth="1"/>
    <col min="9475" max="9475" width="14.42578125" style="113" customWidth="1"/>
    <col min="9476" max="9476" width="3.85546875" style="113" customWidth="1"/>
    <col min="9477" max="9477" width="20.42578125" style="113" customWidth="1"/>
    <col min="9478" max="9492" width="7.5703125" style="113" customWidth="1"/>
    <col min="9493" max="9729" width="9.140625" style="113"/>
    <col min="9730" max="9730" width="3.85546875" style="113" customWidth="1"/>
    <col min="9731" max="9731" width="14.42578125" style="113" customWidth="1"/>
    <col min="9732" max="9732" width="3.85546875" style="113" customWidth="1"/>
    <col min="9733" max="9733" width="20.42578125" style="113" customWidth="1"/>
    <col min="9734" max="9748" width="7.5703125" style="113" customWidth="1"/>
    <col min="9749" max="9985" width="9.140625" style="113"/>
    <col min="9986" max="9986" width="3.85546875" style="113" customWidth="1"/>
    <col min="9987" max="9987" width="14.42578125" style="113" customWidth="1"/>
    <col min="9988" max="9988" width="3.85546875" style="113" customWidth="1"/>
    <col min="9989" max="9989" width="20.42578125" style="113" customWidth="1"/>
    <col min="9990" max="10004" width="7.5703125" style="113" customWidth="1"/>
    <col min="10005" max="10241" width="9.140625" style="113"/>
    <col min="10242" max="10242" width="3.85546875" style="113" customWidth="1"/>
    <col min="10243" max="10243" width="14.42578125" style="113" customWidth="1"/>
    <col min="10244" max="10244" width="3.85546875" style="113" customWidth="1"/>
    <col min="10245" max="10245" width="20.42578125" style="113" customWidth="1"/>
    <col min="10246" max="10260" width="7.5703125" style="113" customWidth="1"/>
    <col min="10261" max="10497" width="9.140625" style="113"/>
    <col min="10498" max="10498" width="3.85546875" style="113" customWidth="1"/>
    <col min="10499" max="10499" width="14.42578125" style="113" customWidth="1"/>
    <col min="10500" max="10500" width="3.85546875" style="113" customWidth="1"/>
    <col min="10501" max="10501" width="20.42578125" style="113" customWidth="1"/>
    <col min="10502" max="10516" width="7.5703125" style="113" customWidth="1"/>
    <col min="10517" max="10753" width="9.140625" style="113"/>
    <col min="10754" max="10754" width="3.85546875" style="113" customWidth="1"/>
    <col min="10755" max="10755" width="14.42578125" style="113" customWidth="1"/>
    <col min="10756" max="10756" width="3.85546875" style="113" customWidth="1"/>
    <col min="10757" max="10757" width="20.42578125" style="113" customWidth="1"/>
    <col min="10758" max="10772" width="7.5703125" style="113" customWidth="1"/>
    <col min="10773" max="11009" width="9.140625" style="113"/>
    <col min="11010" max="11010" width="3.85546875" style="113" customWidth="1"/>
    <col min="11011" max="11011" width="14.42578125" style="113" customWidth="1"/>
    <col min="11012" max="11012" width="3.85546875" style="113" customWidth="1"/>
    <col min="11013" max="11013" width="20.42578125" style="113" customWidth="1"/>
    <col min="11014" max="11028" width="7.5703125" style="113" customWidth="1"/>
    <col min="11029" max="11265" width="9.140625" style="113"/>
    <col min="11266" max="11266" width="3.85546875" style="113" customWidth="1"/>
    <col min="11267" max="11267" width="14.42578125" style="113" customWidth="1"/>
    <col min="11268" max="11268" width="3.85546875" style="113" customWidth="1"/>
    <col min="11269" max="11269" width="20.42578125" style="113" customWidth="1"/>
    <col min="11270" max="11284" width="7.5703125" style="113" customWidth="1"/>
    <col min="11285" max="11521" width="9.140625" style="113"/>
    <col min="11522" max="11522" width="3.85546875" style="113" customWidth="1"/>
    <col min="11523" max="11523" width="14.42578125" style="113" customWidth="1"/>
    <col min="11524" max="11524" width="3.85546875" style="113" customWidth="1"/>
    <col min="11525" max="11525" width="20.42578125" style="113" customWidth="1"/>
    <col min="11526" max="11540" width="7.5703125" style="113" customWidth="1"/>
    <col min="11541" max="11777" width="9.140625" style="113"/>
    <col min="11778" max="11778" width="3.85546875" style="113" customWidth="1"/>
    <col min="11779" max="11779" width="14.42578125" style="113" customWidth="1"/>
    <col min="11780" max="11780" width="3.85546875" style="113" customWidth="1"/>
    <col min="11781" max="11781" width="20.42578125" style="113" customWidth="1"/>
    <col min="11782" max="11796" width="7.5703125" style="113" customWidth="1"/>
    <col min="11797" max="12033" width="9.140625" style="113"/>
    <col min="12034" max="12034" width="3.85546875" style="113" customWidth="1"/>
    <col min="12035" max="12035" width="14.42578125" style="113" customWidth="1"/>
    <col min="12036" max="12036" width="3.85546875" style="113" customWidth="1"/>
    <col min="12037" max="12037" width="20.42578125" style="113" customWidth="1"/>
    <col min="12038" max="12052" width="7.5703125" style="113" customWidth="1"/>
    <col min="12053" max="12289" width="9.140625" style="113"/>
    <col min="12290" max="12290" width="3.85546875" style="113" customWidth="1"/>
    <col min="12291" max="12291" width="14.42578125" style="113" customWidth="1"/>
    <col min="12292" max="12292" width="3.85546875" style="113" customWidth="1"/>
    <col min="12293" max="12293" width="20.42578125" style="113" customWidth="1"/>
    <col min="12294" max="12308" width="7.5703125" style="113" customWidth="1"/>
    <col min="12309" max="12545" width="9.140625" style="113"/>
    <col min="12546" max="12546" width="3.85546875" style="113" customWidth="1"/>
    <col min="12547" max="12547" width="14.42578125" style="113" customWidth="1"/>
    <col min="12548" max="12548" width="3.85546875" style="113" customWidth="1"/>
    <col min="12549" max="12549" width="20.42578125" style="113" customWidth="1"/>
    <col min="12550" max="12564" width="7.5703125" style="113" customWidth="1"/>
    <col min="12565" max="12801" width="9.140625" style="113"/>
    <col min="12802" max="12802" width="3.85546875" style="113" customWidth="1"/>
    <col min="12803" max="12803" width="14.42578125" style="113" customWidth="1"/>
    <col min="12804" max="12804" width="3.85546875" style="113" customWidth="1"/>
    <col min="12805" max="12805" width="20.42578125" style="113" customWidth="1"/>
    <col min="12806" max="12820" width="7.5703125" style="113" customWidth="1"/>
    <col min="12821" max="13057" width="9.140625" style="113"/>
    <col min="13058" max="13058" width="3.85546875" style="113" customWidth="1"/>
    <col min="13059" max="13059" width="14.42578125" style="113" customWidth="1"/>
    <col min="13060" max="13060" width="3.85546875" style="113" customWidth="1"/>
    <col min="13061" max="13061" width="20.42578125" style="113" customWidth="1"/>
    <col min="13062" max="13076" width="7.5703125" style="113" customWidth="1"/>
    <col min="13077" max="13313" width="9.140625" style="113"/>
    <col min="13314" max="13314" width="3.85546875" style="113" customWidth="1"/>
    <col min="13315" max="13315" width="14.42578125" style="113" customWidth="1"/>
    <col min="13316" max="13316" width="3.85546875" style="113" customWidth="1"/>
    <col min="13317" max="13317" width="20.42578125" style="113" customWidth="1"/>
    <col min="13318" max="13332" width="7.5703125" style="113" customWidth="1"/>
    <col min="13333" max="13569" width="9.140625" style="113"/>
    <col min="13570" max="13570" width="3.85546875" style="113" customWidth="1"/>
    <col min="13571" max="13571" width="14.42578125" style="113" customWidth="1"/>
    <col min="13572" max="13572" width="3.85546875" style="113" customWidth="1"/>
    <col min="13573" max="13573" width="20.42578125" style="113" customWidth="1"/>
    <col min="13574" max="13588" width="7.5703125" style="113" customWidth="1"/>
    <col min="13589" max="13825" width="9.140625" style="113"/>
    <col min="13826" max="13826" width="3.85546875" style="113" customWidth="1"/>
    <col min="13827" max="13827" width="14.42578125" style="113" customWidth="1"/>
    <col min="13828" max="13828" width="3.85546875" style="113" customWidth="1"/>
    <col min="13829" max="13829" width="20.42578125" style="113" customWidth="1"/>
    <col min="13830" max="13844" width="7.5703125" style="113" customWidth="1"/>
    <col min="13845" max="14081" width="9.140625" style="113"/>
    <col min="14082" max="14082" width="3.85546875" style="113" customWidth="1"/>
    <col min="14083" max="14083" width="14.42578125" style="113" customWidth="1"/>
    <col min="14084" max="14084" width="3.85546875" style="113" customWidth="1"/>
    <col min="14085" max="14085" width="20.42578125" style="113" customWidth="1"/>
    <col min="14086" max="14100" width="7.5703125" style="113" customWidth="1"/>
    <col min="14101" max="14337" width="9.140625" style="113"/>
    <col min="14338" max="14338" width="3.85546875" style="113" customWidth="1"/>
    <col min="14339" max="14339" width="14.42578125" style="113" customWidth="1"/>
    <col min="14340" max="14340" width="3.85546875" style="113" customWidth="1"/>
    <col min="14341" max="14341" width="20.42578125" style="113" customWidth="1"/>
    <col min="14342" max="14356" width="7.5703125" style="113" customWidth="1"/>
    <col min="14357" max="14593" width="9.140625" style="113"/>
    <col min="14594" max="14594" width="3.85546875" style="113" customWidth="1"/>
    <col min="14595" max="14595" width="14.42578125" style="113" customWidth="1"/>
    <col min="14596" max="14596" width="3.85546875" style="113" customWidth="1"/>
    <col min="14597" max="14597" width="20.42578125" style="113" customWidth="1"/>
    <col min="14598" max="14612" width="7.5703125" style="113" customWidth="1"/>
    <col min="14613" max="14849" width="9.140625" style="113"/>
    <col min="14850" max="14850" width="3.85546875" style="113" customWidth="1"/>
    <col min="14851" max="14851" width="14.42578125" style="113" customWidth="1"/>
    <col min="14852" max="14852" width="3.85546875" style="113" customWidth="1"/>
    <col min="14853" max="14853" width="20.42578125" style="113" customWidth="1"/>
    <col min="14854" max="14868" width="7.5703125" style="113" customWidth="1"/>
    <col min="14869" max="15105" width="9.140625" style="113"/>
    <col min="15106" max="15106" width="3.85546875" style="113" customWidth="1"/>
    <col min="15107" max="15107" width="14.42578125" style="113" customWidth="1"/>
    <col min="15108" max="15108" width="3.85546875" style="113" customWidth="1"/>
    <col min="15109" max="15109" width="20.42578125" style="113" customWidth="1"/>
    <col min="15110" max="15124" width="7.5703125" style="113" customWidth="1"/>
    <col min="15125" max="15361" width="9.140625" style="113"/>
    <col min="15362" max="15362" width="3.85546875" style="113" customWidth="1"/>
    <col min="15363" max="15363" width="14.42578125" style="113" customWidth="1"/>
    <col min="15364" max="15364" width="3.85546875" style="113" customWidth="1"/>
    <col min="15365" max="15365" width="20.42578125" style="113" customWidth="1"/>
    <col min="15366" max="15380" width="7.5703125" style="113" customWidth="1"/>
    <col min="15381" max="15617" width="9.140625" style="113"/>
    <col min="15618" max="15618" width="3.85546875" style="113" customWidth="1"/>
    <col min="15619" max="15619" width="14.42578125" style="113" customWidth="1"/>
    <col min="15620" max="15620" width="3.85546875" style="113" customWidth="1"/>
    <col min="15621" max="15621" width="20.42578125" style="113" customWidth="1"/>
    <col min="15622" max="15636" width="7.5703125" style="113" customWidth="1"/>
    <col min="15637" max="15873" width="9.140625" style="113"/>
    <col min="15874" max="15874" width="3.85546875" style="113" customWidth="1"/>
    <col min="15875" max="15875" width="14.42578125" style="113" customWidth="1"/>
    <col min="15876" max="15876" width="3.85546875" style="113" customWidth="1"/>
    <col min="15877" max="15877" width="20.42578125" style="113" customWidth="1"/>
    <col min="15878" max="15892" width="7.5703125" style="113" customWidth="1"/>
    <col min="15893" max="16129" width="9.140625" style="113"/>
    <col min="16130" max="16130" width="3.85546875" style="113" customWidth="1"/>
    <col min="16131" max="16131" width="14.42578125" style="113" customWidth="1"/>
    <col min="16132" max="16132" width="3.85546875" style="113" customWidth="1"/>
    <col min="16133" max="16133" width="20.42578125" style="113" customWidth="1"/>
    <col min="16134" max="16148" width="7.5703125" style="113" customWidth="1"/>
    <col min="16149" max="16384" width="9.140625" style="113"/>
  </cols>
  <sheetData>
    <row r="1" spans="1:32" x14ac:dyDescent="0.25">
      <c r="D1" s="3837"/>
      <c r="E1" s="3837"/>
      <c r="F1" s="3837"/>
      <c r="G1" s="3837"/>
      <c r="H1" s="3837"/>
      <c r="I1" s="3837"/>
      <c r="J1" s="3837"/>
      <c r="K1" s="3837"/>
      <c r="L1" s="3837"/>
      <c r="M1" s="3837"/>
      <c r="N1" s="3837"/>
      <c r="O1" s="3837"/>
      <c r="P1" s="3837"/>
      <c r="Q1" s="3837"/>
      <c r="R1" s="3837"/>
    </row>
    <row r="2" spans="1:32" ht="15" customHeight="1" x14ac:dyDescent="0.25">
      <c r="A2" s="3899">
        <v>1</v>
      </c>
      <c r="B2" s="3899" t="s">
        <v>1786</v>
      </c>
      <c r="C2" s="3899">
        <v>63</v>
      </c>
      <c r="D2" s="5090" t="s">
        <v>1856</v>
      </c>
      <c r="E2" s="5091"/>
      <c r="F2" s="5091"/>
      <c r="G2" s="5091"/>
      <c r="H2" s="5091"/>
      <c r="I2" s="5091"/>
      <c r="J2" s="5091"/>
      <c r="K2" s="5091"/>
      <c r="L2" s="5091"/>
      <c r="M2" s="5091"/>
      <c r="N2" s="5091"/>
      <c r="O2" s="5091"/>
      <c r="P2" s="5091"/>
      <c r="Q2" s="5091"/>
      <c r="R2" s="5091"/>
      <c r="S2" s="5091"/>
      <c r="T2" s="5091"/>
      <c r="U2" s="5091"/>
      <c r="V2" s="5091"/>
      <c r="W2" s="5091"/>
      <c r="X2" s="5091"/>
      <c r="Y2" s="5091"/>
      <c r="Z2" s="5091"/>
      <c r="AA2" s="5091"/>
      <c r="AB2" s="5091"/>
      <c r="AC2" s="5092"/>
    </row>
    <row r="3" spans="1:32" ht="15" customHeight="1" x14ac:dyDescent="0.25">
      <c r="A3" s="3899">
        <v>2</v>
      </c>
      <c r="B3" s="3899" t="s">
        <v>1788</v>
      </c>
      <c r="C3" s="3899"/>
      <c r="D3" s="5090" t="s">
        <v>1789</v>
      </c>
      <c r="E3" s="5091"/>
      <c r="F3" s="5091"/>
      <c r="G3" s="5091"/>
      <c r="H3" s="5091"/>
      <c r="I3" s="5091"/>
      <c r="J3" s="5091"/>
      <c r="K3" s="5091"/>
      <c r="L3" s="5091"/>
      <c r="M3" s="5091"/>
      <c r="N3" s="5091"/>
      <c r="O3" s="5091"/>
      <c r="P3" s="5091"/>
      <c r="Q3" s="5091"/>
      <c r="R3" s="5091"/>
      <c r="S3" s="5091"/>
      <c r="T3" s="5091"/>
      <c r="U3" s="5091"/>
      <c r="V3" s="5091"/>
      <c r="W3" s="5091"/>
      <c r="X3" s="5091"/>
      <c r="Y3" s="5091"/>
      <c r="Z3" s="5091"/>
      <c r="AA3" s="5091"/>
      <c r="AB3" s="5091"/>
      <c r="AC3" s="5092"/>
    </row>
    <row r="4" spans="1:32" ht="15" customHeight="1" x14ac:dyDescent="0.25">
      <c r="A4" s="3899">
        <v>3</v>
      </c>
      <c r="B4" s="3899" t="s">
        <v>4</v>
      </c>
      <c r="C4" s="3899"/>
      <c r="D4" s="5090" t="s">
        <v>1857</v>
      </c>
      <c r="E4" s="5091"/>
      <c r="F4" s="5091"/>
      <c r="G4" s="5091"/>
      <c r="H4" s="5091"/>
      <c r="I4" s="5091"/>
      <c r="J4" s="5091"/>
      <c r="K4" s="5091"/>
      <c r="L4" s="5091"/>
      <c r="M4" s="5091"/>
      <c r="N4" s="5091"/>
      <c r="O4" s="5091"/>
      <c r="P4" s="5091"/>
      <c r="Q4" s="5091"/>
      <c r="R4" s="5091"/>
      <c r="S4" s="5091"/>
      <c r="T4" s="5091"/>
      <c r="U4" s="5091"/>
      <c r="V4" s="5091"/>
      <c r="W4" s="5091"/>
      <c r="X4" s="5091"/>
      <c r="Y4" s="5091"/>
      <c r="Z4" s="5091"/>
      <c r="AA4" s="5091"/>
      <c r="AB4" s="5091"/>
      <c r="AC4" s="5092"/>
    </row>
    <row r="5" spans="1:32" ht="15" customHeight="1" x14ac:dyDescent="0.25">
      <c r="B5" s="3899"/>
      <c r="C5" s="3899"/>
      <c r="D5" s="4392"/>
      <c r="E5" s="4392"/>
      <c r="F5" s="4392"/>
      <c r="G5" s="4392"/>
      <c r="H5" s="4392"/>
      <c r="I5" s="4392"/>
      <c r="J5" s="4392"/>
      <c r="K5" s="4392"/>
      <c r="L5" s="4392"/>
      <c r="M5" s="4392"/>
      <c r="N5" s="4392"/>
      <c r="O5" s="4392"/>
      <c r="P5" s="4392"/>
      <c r="Q5" s="4392"/>
      <c r="R5" s="4392"/>
      <c r="S5" s="4392"/>
      <c r="T5" s="4392"/>
      <c r="U5" s="4392"/>
      <c r="V5" s="4392"/>
      <c r="W5" s="4392"/>
      <c r="X5" s="4392"/>
      <c r="Y5" s="4392"/>
      <c r="Z5" s="4392"/>
      <c r="AA5" s="4392"/>
      <c r="AB5" s="4392"/>
      <c r="AC5" s="4392"/>
    </row>
    <row r="6" spans="1:32" x14ac:dyDescent="0.25">
      <c r="A6" s="3899">
        <v>4</v>
      </c>
      <c r="B6" s="3872" t="s">
        <v>6</v>
      </c>
      <c r="C6" s="3872"/>
      <c r="D6" s="3792"/>
      <c r="E6" s="3792"/>
      <c r="F6" s="3792"/>
      <c r="G6" s="3792"/>
      <c r="H6" s="3792"/>
      <c r="I6" s="3792"/>
      <c r="J6" s="3792"/>
      <c r="K6" s="3792"/>
      <c r="L6" s="3792"/>
      <c r="M6" s="3792"/>
      <c r="N6" s="3792"/>
    </row>
    <row r="7" spans="1:32" x14ac:dyDescent="0.25">
      <c r="D7" s="71" t="s">
        <v>365</v>
      </c>
      <c r="E7" s="71" t="s">
        <v>1858</v>
      </c>
      <c r="F7" s="548"/>
      <c r="G7" s="751"/>
      <c r="H7" s="751"/>
      <c r="I7" s="751"/>
      <c r="J7" s="751"/>
      <c r="K7" s="751"/>
      <c r="L7" s="751"/>
      <c r="M7" s="751"/>
      <c r="N7" s="751"/>
      <c r="O7" s="751"/>
      <c r="P7" s="751"/>
      <c r="Q7" s="3860"/>
      <c r="R7" s="3860"/>
      <c r="S7" s="4393"/>
      <c r="T7" s="4393"/>
      <c r="U7" s="4393"/>
      <c r="V7" s="4393"/>
    </row>
    <row r="8" spans="1:32" ht="17.25" customHeight="1" x14ac:dyDescent="0.25">
      <c r="D8" s="4394"/>
      <c r="E8" s="4395">
        <v>1994</v>
      </c>
      <c r="F8" s="4395" t="s">
        <v>396</v>
      </c>
      <c r="G8" s="4395" t="s">
        <v>9</v>
      </c>
      <c r="H8" s="4395" t="s">
        <v>10</v>
      </c>
      <c r="I8" s="4395" t="s">
        <v>11</v>
      </c>
      <c r="J8" s="4396" t="s">
        <v>12</v>
      </c>
      <c r="K8" s="4396" t="s">
        <v>13</v>
      </c>
      <c r="L8" s="4395" t="s">
        <v>14</v>
      </c>
      <c r="M8" s="4397" t="s">
        <v>15</v>
      </c>
      <c r="N8" s="4442" t="s">
        <v>16</v>
      </c>
      <c r="O8" s="4443" t="s">
        <v>17</v>
      </c>
      <c r="P8" s="4443" t="s">
        <v>18</v>
      </c>
      <c r="Q8" s="4443" t="s">
        <v>19</v>
      </c>
      <c r="R8" s="4443" t="s">
        <v>20</v>
      </c>
      <c r="S8" s="4443" t="s">
        <v>21</v>
      </c>
      <c r="T8" s="4443" t="s">
        <v>22</v>
      </c>
      <c r="U8" s="4443" t="s">
        <v>23</v>
      </c>
      <c r="V8" s="4443" t="s">
        <v>24</v>
      </c>
      <c r="W8" s="4443" t="s">
        <v>25</v>
      </c>
      <c r="X8" s="4443" t="s">
        <v>26</v>
      </c>
      <c r="Y8" s="4443" t="s">
        <v>27</v>
      </c>
      <c r="Z8" s="4443" t="s">
        <v>28</v>
      </c>
      <c r="AA8" s="4443" t="s">
        <v>29</v>
      </c>
      <c r="AB8" s="4443" t="s">
        <v>30</v>
      </c>
      <c r="AC8" s="4443" t="s">
        <v>31</v>
      </c>
      <c r="AD8" s="4443" t="s">
        <v>32</v>
      </c>
      <c r="AE8" s="4443" t="s">
        <v>33</v>
      </c>
      <c r="AF8" s="4444" t="s">
        <v>59</v>
      </c>
    </row>
    <row r="9" spans="1:32" x14ac:dyDescent="0.25">
      <c r="D9" s="4398" t="s">
        <v>1859</v>
      </c>
      <c r="E9" s="4399"/>
      <c r="F9" s="4399"/>
      <c r="G9" s="4399"/>
      <c r="H9" s="4399"/>
      <c r="I9" s="4399"/>
      <c r="J9" s="4399"/>
      <c r="K9" s="4399"/>
      <c r="L9" s="4399"/>
      <c r="M9" s="4399"/>
      <c r="N9" s="4445">
        <v>299290</v>
      </c>
      <c r="O9" s="4445">
        <v>276164</v>
      </c>
      <c r="P9" s="4445">
        <v>262535</v>
      </c>
      <c r="Q9" s="4445">
        <v>248462</v>
      </c>
      <c r="R9" s="4445">
        <v>236638</v>
      </c>
      <c r="S9" s="4445">
        <v>245465</v>
      </c>
      <c r="T9" s="4445">
        <v>255278</v>
      </c>
      <c r="U9" s="4445">
        <v>246612</v>
      </c>
      <c r="V9" s="4445">
        <v>244667</v>
      </c>
      <c r="W9" s="4445">
        <v>261319</v>
      </c>
      <c r="X9" s="4445">
        <v>259784</v>
      </c>
      <c r="Y9" s="4445">
        <v>253716</v>
      </c>
      <c r="Z9" s="4445">
        <v>250606</v>
      </c>
      <c r="AA9" s="4446">
        <v>246654</v>
      </c>
      <c r="AB9" s="4445">
        <v>228094</v>
      </c>
      <c r="AC9" s="4445">
        <v>220865</v>
      </c>
      <c r="AD9" s="4445">
        <v>205959</v>
      </c>
      <c r="AE9" s="4445">
        <v>159721</v>
      </c>
      <c r="AF9" s="4447">
        <v>156170</v>
      </c>
    </row>
    <row r="10" spans="1:32" x14ac:dyDescent="0.25">
      <c r="D10" s="4398" t="s">
        <v>1860</v>
      </c>
      <c r="E10" s="4399"/>
      <c r="F10" s="4399"/>
      <c r="G10" s="4399"/>
      <c r="H10" s="4399"/>
      <c r="I10" s="4399"/>
      <c r="J10" s="4399"/>
      <c r="K10" s="4399"/>
      <c r="L10" s="4399"/>
      <c r="M10" s="4399"/>
      <c r="N10" s="4445">
        <v>64629</v>
      </c>
      <c r="O10" s="4445">
        <v>56048</v>
      </c>
      <c r="P10" s="4445">
        <v>54367</v>
      </c>
      <c r="Q10" s="4445">
        <v>58240</v>
      </c>
      <c r="R10" s="4445">
        <v>62756</v>
      </c>
      <c r="S10" s="4445">
        <v>69829</v>
      </c>
      <c r="T10" s="4445">
        <v>71544</v>
      </c>
      <c r="U10" s="4445">
        <v>68907</v>
      </c>
      <c r="V10" s="4445">
        <v>69902</v>
      </c>
      <c r="W10" s="4445">
        <v>73492</v>
      </c>
      <c r="X10" s="4445">
        <v>73464</v>
      </c>
      <c r="Y10" s="4445">
        <v>74358</v>
      </c>
      <c r="Z10" s="4445">
        <v>75008</v>
      </c>
      <c r="AA10" s="4446">
        <v>75618</v>
      </c>
      <c r="AB10" s="4445">
        <v>71195</v>
      </c>
      <c r="AC10" s="4445">
        <v>71224</v>
      </c>
      <c r="AD10" s="4445">
        <v>69713</v>
      </c>
      <c r="AE10" s="4445">
        <v>65508</v>
      </c>
      <c r="AF10" s="4448">
        <v>62197</v>
      </c>
    </row>
    <row r="11" spans="1:32" x14ac:dyDescent="0.25">
      <c r="D11" s="4398" t="s">
        <v>1861</v>
      </c>
      <c r="E11" s="4399"/>
      <c r="F11" s="4399"/>
      <c r="G11" s="4399"/>
      <c r="H11" s="4399"/>
      <c r="I11" s="4399"/>
      <c r="J11" s="4399"/>
      <c r="K11" s="4399"/>
      <c r="L11" s="4399"/>
      <c r="M11" s="4399"/>
      <c r="N11" s="4445">
        <v>88144</v>
      </c>
      <c r="O11" s="4445">
        <v>83857</v>
      </c>
      <c r="P11" s="4445">
        <v>85964</v>
      </c>
      <c r="Q11" s="4445">
        <v>85979</v>
      </c>
      <c r="R11" s="4445">
        <v>79970</v>
      </c>
      <c r="S11" s="4445">
        <v>75630</v>
      </c>
      <c r="T11" s="4445">
        <v>71449</v>
      </c>
      <c r="U11" s="4445">
        <v>64162</v>
      </c>
      <c r="V11" s="4445">
        <v>58800</v>
      </c>
      <c r="W11" s="4445">
        <v>58102</v>
      </c>
      <c r="X11" s="4445">
        <v>56645</v>
      </c>
      <c r="Y11" s="4445">
        <v>55090</v>
      </c>
      <c r="Z11" s="4445">
        <v>53809</v>
      </c>
      <c r="AA11" s="4446">
        <v>53307</v>
      </c>
      <c r="AB11" s="4445">
        <v>50663</v>
      </c>
      <c r="AC11" s="4445">
        <v>48324</v>
      </c>
      <c r="AD11" s="4445">
        <v>46921</v>
      </c>
      <c r="AE11" s="4445">
        <v>35023</v>
      </c>
      <c r="AF11" s="4448">
        <v>37402</v>
      </c>
    </row>
    <row r="12" spans="1:32" x14ac:dyDescent="0.25">
      <c r="D12" s="4398" t="s">
        <v>1862</v>
      </c>
      <c r="E12" s="4399"/>
      <c r="F12" s="4399"/>
      <c r="G12" s="4399"/>
      <c r="H12" s="4399"/>
      <c r="I12" s="4399"/>
      <c r="J12" s="4399"/>
      <c r="K12" s="4399"/>
      <c r="L12" s="4400"/>
      <c r="M12" s="4400"/>
      <c r="N12" s="4445">
        <v>171982</v>
      </c>
      <c r="O12" s="4445">
        <v>148512</v>
      </c>
      <c r="P12" s="4445">
        <v>139090</v>
      </c>
      <c r="Q12" s="4445">
        <v>123361</v>
      </c>
      <c r="R12" s="4445">
        <v>110988</v>
      </c>
      <c r="S12" s="4445">
        <v>108909</v>
      </c>
      <c r="T12" s="4445">
        <v>120054</v>
      </c>
      <c r="U12" s="4445">
        <v>122334</v>
      </c>
      <c r="V12" s="4445">
        <v>129644</v>
      </c>
      <c r="W12" s="4445">
        <v>138956</v>
      </c>
      <c r="X12" s="4445">
        <v>143801</v>
      </c>
      <c r="Y12" s="4445">
        <v>145358</v>
      </c>
      <c r="Z12" s="4445">
        <v>139386</v>
      </c>
      <c r="AA12" s="4446">
        <v>138172</v>
      </c>
      <c r="AB12" s="4445">
        <v>129174</v>
      </c>
      <c r="AC12" s="4445">
        <v>125076</v>
      </c>
      <c r="AD12" s="4445">
        <v>118213</v>
      </c>
      <c r="AE12" s="4445">
        <v>83183</v>
      </c>
      <c r="AF12" s="4448">
        <v>81504</v>
      </c>
    </row>
    <row r="13" spans="1:32" s="162" customFormat="1" ht="12.75" x14ac:dyDescent="0.2">
      <c r="A13" s="3899"/>
      <c r="B13" s="4401"/>
      <c r="C13" s="4401"/>
      <c r="D13" s="4398" t="s">
        <v>1863</v>
      </c>
      <c r="E13" s="4399"/>
      <c r="F13" s="4399"/>
      <c r="G13" s="4399"/>
      <c r="H13" s="4399"/>
      <c r="I13" s="4399"/>
      <c r="J13" s="4399"/>
      <c r="K13" s="4399"/>
      <c r="L13" s="4399"/>
      <c r="M13" s="4402"/>
      <c r="N13" s="4449">
        <v>41273</v>
      </c>
      <c r="O13" s="4449">
        <v>32675</v>
      </c>
      <c r="P13" s="4449">
        <v>28742</v>
      </c>
      <c r="Q13" s="4449">
        <v>26155</v>
      </c>
      <c r="R13" s="4450">
        <v>26053</v>
      </c>
      <c r="S13" s="4451">
        <v>27255</v>
      </c>
      <c r="T13" s="4452">
        <v>29428</v>
      </c>
      <c r="U13" s="4452">
        <v>26942</v>
      </c>
      <c r="V13" s="4452">
        <v>27611</v>
      </c>
      <c r="W13" s="4452">
        <v>26465</v>
      </c>
      <c r="X13" s="4452">
        <v>24534</v>
      </c>
      <c r="Y13" s="4452">
        <v>24965</v>
      </c>
      <c r="Z13" s="4452">
        <v>24715</v>
      </c>
      <c r="AA13" s="4453">
        <v>26902</v>
      </c>
      <c r="AB13" s="4452">
        <v>28849</v>
      </c>
      <c r="AC13" s="4452">
        <v>29672</v>
      </c>
      <c r="AD13" s="4452">
        <v>28418</v>
      </c>
      <c r="AE13" s="4452">
        <v>26310</v>
      </c>
      <c r="AF13" s="4454">
        <v>25001</v>
      </c>
    </row>
    <row r="14" spans="1:32" s="162" customFormat="1" ht="12.75" x14ac:dyDescent="0.2">
      <c r="A14" s="3899"/>
      <c r="B14" s="4401"/>
      <c r="C14" s="4401"/>
      <c r="D14" s="4403" t="s">
        <v>50</v>
      </c>
      <c r="E14" s="4404"/>
      <c r="F14" s="4404"/>
      <c r="G14" s="4404"/>
      <c r="H14" s="4404"/>
      <c r="I14" s="4404"/>
      <c r="J14" s="4404"/>
      <c r="K14" s="4404"/>
      <c r="L14" s="4404"/>
      <c r="M14" s="1940"/>
      <c r="N14" s="4455">
        <v>665318</v>
      </c>
      <c r="O14" s="4455">
        <v>597256</v>
      </c>
      <c r="P14" s="4455">
        <v>570698</v>
      </c>
      <c r="Q14" s="4455">
        <v>542197</v>
      </c>
      <c r="R14" s="4455">
        <v>516405</v>
      </c>
      <c r="S14" s="4455">
        <v>527088</v>
      </c>
      <c r="T14" s="4455">
        <v>547753</v>
      </c>
      <c r="U14" s="4455">
        <v>528957</v>
      </c>
      <c r="V14" s="4455">
        <v>530624</v>
      </c>
      <c r="W14" s="4455">
        <v>558334</v>
      </c>
      <c r="X14" s="4455">
        <v>558228</v>
      </c>
      <c r="Y14" s="4455">
        <v>553487</v>
      </c>
      <c r="Z14" s="4455">
        <v>543524</v>
      </c>
      <c r="AA14" s="4456">
        <v>540653</v>
      </c>
      <c r="AB14" s="4455">
        <v>507975</v>
      </c>
      <c r="AC14" s="4455">
        <v>495161</v>
      </c>
      <c r="AD14" s="4455">
        <v>469224</v>
      </c>
      <c r="AE14" s="4455">
        <v>369745</v>
      </c>
      <c r="AF14" s="4457">
        <v>362274</v>
      </c>
    </row>
    <row r="15" spans="1:32" x14ac:dyDescent="0.25">
      <c r="B15" s="4405"/>
      <c r="C15" s="4405"/>
      <c r="D15" s="751"/>
      <c r="E15" s="5093"/>
      <c r="F15" s="5093"/>
      <c r="G15" s="5093"/>
      <c r="H15" s="5093"/>
      <c r="I15" s="5093"/>
      <c r="J15" s="5093"/>
      <c r="K15" s="5093"/>
      <c r="L15" s="3861"/>
      <c r="M15" s="3861"/>
      <c r="N15" s="3861"/>
      <c r="O15" s="4406"/>
      <c r="P15" s="4406"/>
      <c r="Q15" s="4406"/>
      <c r="R15" s="4406"/>
      <c r="S15" s="4406"/>
      <c r="T15" s="4406"/>
      <c r="U15" s="4406"/>
      <c r="V15" s="4406"/>
    </row>
    <row r="16" spans="1:32" x14ac:dyDescent="0.25">
      <c r="A16" s="3899">
        <v>5</v>
      </c>
      <c r="B16" s="3899" t="s">
        <v>51</v>
      </c>
      <c r="C16" s="3899"/>
      <c r="D16" s="3838"/>
      <c r="E16" s="3861"/>
      <c r="F16" s="3861"/>
      <c r="G16" s="3861"/>
      <c r="H16" s="3861"/>
      <c r="I16" s="3861"/>
      <c r="J16" s="3861"/>
      <c r="K16" s="3861"/>
      <c r="L16" s="3861"/>
      <c r="M16" s="3861"/>
      <c r="N16" s="3861"/>
      <c r="O16" s="3861"/>
      <c r="P16" s="3861"/>
      <c r="Q16" s="3860"/>
      <c r="R16" s="3860"/>
    </row>
    <row r="17" spans="2:32" x14ac:dyDescent="0.25">
      <c r="D17" s="3838"/>
      <c r="E17" s="3861"/>
      <c r="F17" s="3861"/>
      <c r="G17" s="3861"/>
      <c r="H17" s="3861"/>
      <c r="I17" s="3861"/>
      <c r="J17" s="3861"/>
      <c r="K17" s="3861"/>
      <c r="L17" s="3861"/>
      <c r="M17" s="3861"/>
      <c r="N17" s="3861"/>
      <c r="O17" s="3861"/>
      <c r="P17" s="3861"/>
      <c r="Q17" s="3860"/>
      <c r="R17" s="3860"/>
      <c r="AC17" s="4407"/>
      <c r="AF17" s="3792"/>
    </row>
    <row r="18" spans="2:32" x14ac:dyDescent="0.25">
      <c r="D18" s="3838"/>
      <c r="E18" s="3861"/>
      <c r="F18" s="3861"/>
      <c r="G18" s="3861"/>
      <c r="H18" s="3861"/>
      <c r="I18" s="3861"/>
      <c r="J18" s="3861"/>
      <c r="K18" s="3861"/>
      <c r="L18" s="3861"/>
      <c r="M18" s="3861"/>
      <c r="N18" s="3861"/>
      <c r="O18" s="3861"/>
      <c r="P18" s="3861"/>
      <c r="Q18" s="3860"/>
      <c r="R18" s="3860"/>
      <c r="AE18" s="3835"/>
      <c r="AF18" s="4408"/>
    </row>
    <row r="19" spans="2:32" x14ac:dyDescent="0.25">
      <c r="D19" s="3838"/>
      <c r="E19" s="3861"/>
      <c r="F19" s="3861"/>
      <c r="G19" s="3861"/>
      <c r="H19" s="3861"/>
      <c r="I19" s="3861"/>
      <c r="J19" s="3861"/>
      <c r="K19" s="3861"/>
      <c r="L19" s="3861"/>
      <c r="M19" s="3861"/>
      <c r="N19" s="3861"/>
      <c r="O19" s="3861"/>
      <c r="P19" s="3861"/>
      <c r="Q19" s="3860"/>
      <c r="R19" s="3860"/>
      <c r="AF19" s="4408"/>
    </row>
    <row r="20" spans="2:32" x14ac:dyDescent="0.25">
      <c r="D20" s="3838"/>
      <c r="E20" s="3861"/>
      <c r="F20" s="3861"/>
      <c r="G20" s="3861"/>
      <c r="H20" s="3861"/>
      <c r="I20" s="3861"/>
      <c r="J20" s="3861"/>
      <c r="K20" s="3861"/>
      <c r="L20" s="3861"/>
      <c r="M20" s="3861"/>
      <c r="N20" s="3861"/>
      <c r="O20" s="3861"/>
      <c r="P20" s="3861"/>
      <c r="Q20" s="3860"/>
      <c r="R20" s="3860"/>
      <c r="AF20" s="3792"/>
    </row>
    <row r="21" spans="2:32" x14ac:dyDescent="0.25">
      <c r="D21" s="3838"/>
      <c r="E21" s="3838"/>
      <c r="F21" s="3838"/>
      <c r="G21" s="3838"/>
      <c r="H21" s="3838"/>
      <c r="I21" s="3838"/>
      <c r="J21" s="3838"/>
      <c r="K21" s="3838"/>
      <c r="L21" s="3838"/>
      <c r="M21" s="3838"/>
      <c r="N21" s="3838"/>
      <c r="O21" s="3838"/>
      <c r="P21" s="3838"/>
      <c r="Q21" s="3837"/>
      <c r="R21" s="3837"/>
      <c r="AF21" s="3792"/>
    </row>
    <row r="22" spans="2:32" x14ac:dyDescent="0.25">
      <c r="B22" s="4409"/>
      <c r="C22" s="4409"/>
      <c r="D22" s="3838"/>
      <c r="E22" s="3838"/>
      <c r="F22" s="3838"/>
      <c r="G22" s="3838"/>
      <c r="H22" s="3838"/>
      <c r="I22" s="3838"/>
      <c r="J22" s="4410"/>
      <c r="K22" s="3838"/>
      <c r="L22" s="3838"/>
      <c r="M22" s="3838"/>
      <c r="N22" s="3838"/>
      <c r="O22" s="3838"/>
      <c r="P22" s="3838"/>
      <c r="Q22" s="3837"/>
      <c r="R22" s="3837"/>
    </row>
    <row r="23" spans="2:32" x14ac:dyDescent="0.25">
      <c r="B23" s="4409"/>
      <c r="C23" s="4409"/>
      <c r="D23" s="3838"/>
      <c r="E23" s="3838"/>
      <c r="F23" s="3838"/>
      <c r="G23" s="3838"/>
      <c r="H23" s="3838"/>
      <c r="I23" s="3838"/>
      <c r="J23" s="4410"/>
      <c r="K23" s="3838"/>
      <c r="L23" s="3838"/>
      <c r="M23" s="3838"/>
      <c r="N23" s="3838"/>
      <c r="O23" s="3838"/>
      <c r="P23" s="3838"/>
      <c r="Q23" s="3837"/>
      <c r="R23" s="3837"/>
    </row>
    <row r="24" spans="2:32" x14ac:dyDescent="0.25">
      <c r="D24" s="3838"/>
      <c r="E24" s="3838"/>
      <c r="F24" s="3838"/>
      <c r="G24" s="3838"/>
      <c r="H24" s="3838"/>
      <c r="I24" s="3838"/>
      <c r="J24" s="3838"/>
      <c r="K24" s="3838"/>
      <c r="L24" s="3838"/>
      <c r="M24" s="3838"/>
      <c r="N24" s="3838"/>
      <c r="O24" s="3838"/>
      <c r="P24" s="3838"/>
      <c r="Q24" s="3837"/>
      <c r="R24" s="3837"/>
    </row>
    <row r="25" spans="2:32" x14ac:dyDescent="0.25">
      <c r="D25" s="3838"/>
      <c r="E25" s="3838"/>
      <c r="F25" s="3838"/>
      <c r="G25" s="3838"/>
      <c r="H25" s="3838"/>
      <c r="I25" s="3838"/>
      <c r="J25" s="3838"/>
      <c r="K25" s="3838"/>
      <c r="L25" s="3838"/>
      <c r="M25" s="3838"/>
      <c r="N25" s="3838"/>
      <c r="O25" s="3838"/>
      <c r="P25" s="3838"/>
      <c r="Q25" s="3837"/>
      <c r="R25" s="3837"/>
    </row>
    <row r="26" spans="2:32" x14ac:dyDescent="0.25">
      <c r="D26" s="3838"/>
      <c r="E26" s="3838"/>
      <c r="F26" s="3838"/>
      <c r="G26" s="3838"/>
      <c r="H26" s="3838"/>
      <c r="I26" s="3838"/>
      <c r="J26" s="3838"/>
      <c r="K26" s="3838"/>
      <c r="L26" s="3838"/>
      <c r="M26" s="3838"/>
      <c r="N26" s="3838"/>
      <c r="O26" s="3838"/>
      <c r="P26" s="3838"/>
      <c r="Q26" s="3837"/>
      <c r="R26" s="3837"/>
    </row>
    <row r="27" spans="2:32" x14ac:dyDescent="0.25">
      <c r="D27" s="3838"/>
      <c r="E27" s="3838"/>
      <c r="F27" s="3838"/>
      <c r="G27" s="3838"/>
      <c r="H27" s="3838"/>
      <c r="I27" s="3838"/>
      <c r="J27" s="3838"/>
      <c r="K27" s="3838"/>
      <c r="L27" s="3838"/>
      <c r="M27" s="3838"/>
      <c r="N27" s="3838"/>
      <c r="O27" s="3838"/>
      <c r="P27" s="3838"/>
      <c r="Q27" s="3837"/>
      <c r="R27" s="3837"/>
    </row>
    <row r="28" spans="2:32" x14ac:dyDescent="0.25">
      <c r="D28" s="3838"/>
      <c r="E28" s="3838"/>
      <c r="F28" s="3838"/>
      <c r="G28" s="3838"/>
      <c r="H28" s="3838"/>
      <c r="I28" s="3838"/>
      <c r="J28" s="3838"/>
      <c r="K28" s="3838"/>
      <c r="L28" s="3838"/>
      <c r="M28" s="3838"/>
      <c r="N28" s="3838"/>
      <c r="O28" s="3838"/>
      <c r="P28" s="3838"/>
      <c r="Q28" s="3837"/>
      <c r="R28" s="3837"/>
    </row>
    <row r="29" spans="2:32" x14ac:dyDescent="0.25">
      <c r="D29" s="3838"/>
      <c r="E29" s="3838"/>
      <c r="F29" s="3838"/>
      <c r="G29" s="3838"/>
      <c r="H29" s="3838"/>
      <c r="I29" s="3838"/>
      <c r="J29" s="3838"/>
      <c r="K29" s="3838"/>
      <c r="L29" s="3838"/>
      <c r="M29" s="3838"/>
      <c r="N29" s="3838"/>
      <c r="O29" s="3838"/>
      <c r="P29" s="3838"/>
      <c r="Q29" s="3837"/>
      <c r="R29" s="3837"/>
    </row>
    <row r="30" spans="2:32" ht="35.25" customHeight="1" x14ac:dyDescent="0.25">
      <c r="D30" s="3838"/>
      <c r="E30" s="3838"/>
      <c r="F30" s="3838"/>
      <c r="G30" s="3838"/>
      <c r="H30" s="3838"/>
      <c r="I30" s="3838"/>
      <c r="J30" s="3838"/>
      <c r="K30" s="3838"/>
      <c r="L30" s="3838"/>
      <c r="M30" s="3838"/>
      <c r="N30" s="3838"/>
      <c r="O30" s="3838"/>
      <c r="P30" s="3838"/>
      <c r="Q30" s="3837"/>
      <c r="R30" s="3837"/>
    </row>
    <row r="31" spans="2:32" ht="17.25" customHeight="1" x14ac:dyDescent="0.25">
      <c r="D31" s="3838"/>
      <c r="E31" s="3838"/>
      <c r="F31" s="3838"/>
      <c r="G31" s="3838"/>
      <c r="H31" s="3838"/>
      <c r="I31" s="3838"/>
      <c r="J31" s="3838"/>
      <c r="K31" s="3838"/>
      <c r="L31" s="3838"/>
      <c r="M31" s="3838"/>
      <c r="N31" s="3838"/>
      <c r="O31" s="3838"/>
      <c r="P31" s="3838"/>
      <c r="Q31" s="3837"/>
      <c r="R31" s="3837"/>
    </row>
    <row r="32" spans="2:32" ht="22.5" customHeight="1" x14ac:dyDescent="0.25">
      <c r="D32" s="3838"/>
      <c r="E32" s="3838"/>
      <c r="F32" s="3838"/>
      <c r="G32" s="3838"/>
      <c r="H32" s="3838"/>
      <c r="I32" s="3838"/>
      <c r="J32" s="3838"/>
      <c r="K32" s="3838"/>
      <c r="L32" s="3838"/>
      <c r="M32" s="3838"/>
      <c r="N32" s="3838"/>
      <c r="O32" s="3838"/>
      <c r="P32" s="3838"/>
      <c r="Q32" s="3837"/>
      <c r="R32" s="3837"/>
    </row>
    <row r="33" spans="1:31" ht="25.5" customHeight="1" x14ac:dyDescent="0.25">
      <c r="A33" s="3899">
        <v>6</v>
      </c>
      <c r="B33" s="3898" t="s">
        <v>1864</v>
      </c>
      <c r="C33" s="3898"/>
      <c r="D33" s="5090" t="s">
        <v>1865</v>
      </c>
      <c r="E33" s="5091"/>
      <c r="F33" s="5091"/>
      <c r="G33" s="5091"/>
      <c r="H33" s="5091"/>
      <c r="I33" s="5091"/>
      <c r="J33" s="5091"/>
      <c r="K33" s="5091"/>
      <c r="L33" s="5091"/>
      <c r="M33" s="5091"/>
      <c r="N33" s="5091"/>
      <c r="O33" s="5091"/>
      <c r="P33" s="5091"/>
      <c r="Q33" s="5091"/>
      <c r="R33" s="5091"/>
      <c r="S33" s="5091"/>
      <c r="T33" s="5091"/>
      <c r="U33" s="5091"/>
      <c r="V33" s="5091"/>
      <c r="W33" s="5091"/>
      <c r="X33" s="5091"/>
      <c r="Y33" s="5091"/>
      <c r="Z33" s="5091"/>
      <c r="AA33" s="5091"/>
      <c r="AB33" s="5091"/>
      <c r="AC33" s="5092"/>
    </row>
    <row r="34" spans="1:31" ht="21.75" customHeight="1" x14ac:dyDescent="0.25">
      <c r="A34" s="3899">
        <v>7</v>
      </c>
      <c r="B34" s="3898" t="s">
        <v>54</v>
      </c>
      <c r="C34" s="3898"/>
      <c r="D34" s="5090" t="s">
        <v>1866</v>
      </c>
      <c r="E34" s="5091"/>
      <c r="F34" s="5091"/>
      <c r="G34" s="5091"/>
      <c r="H34" s="5091"/>
      <c r="I34" s="5091"/>
      <c r="J34" s="5091"/>
      <c r="K34" s="5091"/>
      <c r="L34" s="5091"/>
      <c r="M34" s="5091"/>
      <c r="N34" s="5091"/>
      <c r="O34" s="5091"/>
      <c r="P34" s="5091"/>
      <c r="Q34" s="5091"/>
      <c r="R34" s="5091"/>
      <c r="S34" s="5091"/>
      <c r="T34" s="5091"/>
      <c r="U34" s="5091"/>
      <c r="V34" s="5091"/>
      <c r="W34" s="5091"/>
      <c r="X34" s="5091"/>
      <c r="Y34" s="5091"/>
      <c r="Z34" s="5091"/>
      <c r="AA34" s="5091"/>
      <c r="AB34" s="5091"/>
      <c r="AC34" s="5092"/>
    </row>
    <row r="35" spans="1:31" ht="24.75" customHeight="1" x14ac:dyDescent="0.25">
      <c r="A35" s="3899">
        <v>8</v>
      </c>
      <c r="B35" s="3898" t="s">
        <v>56</v>
      </c>
      <c r="C35" s="3899"/>
      <c r="D35" s="5090" t="s">
        <v>1867</v>
      </c>
      <c r="E35" s="5091"/>
      <c r="F35" s="5091"/>
      <c r="G35" s="5091"/>
      <c r="H35" s="5091"/>
      <c r="I35" s="5091"/>
      <c r="J35" s="5091"/>
      <c r="K35" s="5091"/>
      <c r="L35" s="5091"/>
      <c r="M35" s="5091"/>
      <c r="N35" s="5091"/>
      <c r="O35" s="5091"/>
      <c r="P35" s="5091"/>
      <c r="Q35" s="5091"/>
      <c r="R35" s="5091"/>
      <c r="S35" s="5091"/>
      <c r="T35" s="5091"/>
      <c r="U35" s="5091"/>
      <c r="V35" s="5091"/>
      <c r="W35" s="5091"/>
      <c r="X35" s="5091"/>
      <c r="Y35" s="5091"/>
      <c r="Z35" s="5091"/>
      <c r="AA35" s="5091"/>
      <c r="AB35" s="5091"/>
      <c r="AC35" s="5092"/>
    </row>
    <row r="36" spans="1:31" ht="27" customHeight="1" x14ac:dyDescent="0.25">
      <c r="A36" s="3899">
        <v>9</v>
      </c>
      <c r="B36" s="3898" t="s">
        <v>355</v>
      </c>
      <c r="D36" s="5090" t="s">
        <v>1868</v>
      </c>
      <c r="E36" s="5091"/>
      <c r="F36" s="5091"/>
      <c r="G36" s="5091"/>
      <c r="H36" s="5091"/>
      <c r="I36" s="5091"/>
      <c r="J36" s="5091"/>
      <c r="K36" s="5091"/>
      <c r="L36" s="5091"/>
      <c r="M36" s="5091"/>
      <c r="N36" s="5091"/>
      <c r="O36" s="5091"/>
      <c r="P36" s="5091"/>
      <c r="Q36" s="5091"/>
      <c r="R36" s="5091"/>
      <c r="S36" s="5091"/>
      <c r="T36" s="5091"/>
      <c r="U36" s="5091"/>
      <c r="V36" s="5091"/>
      <c r="W36" s="5091"/>
      <c r="X36" s="5091"/>
      <c r="Y36" s="5091"/>
      <c r="Z36" s="5091"/>
      <c r="AA36" s="5091"/>
      <c r="AB36" s="5091"/>
      <c r="AC36" s="5092"/>
    </row>
    <row r="39" spans="1:31" x14ac:dyDescent="0.25">
      <c r="D39" s="71" t="s">
        <v>365</v>
      </c>
      <c r="E39" s="71" t="s">
        <v>1869</v>
      </c>
      <c r="F39" s="548"/>
      <c r="G39" s="751"/>
      <c r="H39" s="751"/>
      <c r="I39" s="751"/>
      <c r="J39" s="751"/>
      <c r="K39" s="751"/>
      <c r="L39" s="751"/>
      <c r="M39" s="751"/>
      <c r="N39" s="751"/>
      <c r="O39" s="751"/>
      <c r="P39" s="751"/>
      <c r="Q39" s="3860"/>
      <c r="R39" s="3860"/>
    </row>
    <row r="40" spans="1:31" x14ac:dyDescent="0.25">
      <c r="D40" s="2186"/>
      <c r="E40" s="2424">
        <v>1994</v>
      </c>
      <c r="F40" s="2424" t="s">
        <v>396</v>
      </c>
      <c r="G40" s="2424" t="s">
        <v>9</v>
      </c>
      <c r="H40" s="2424" t="s">
        <v>10</v>
      </c>
      <c r="I40" s="2424" t="s">
        <v>11</v>
      </c>
      <c r="J40" s="3155" t="s">
        <v>12</v>
      </c>
      <c r="K40" s="3155" t="s">
        <v>13</v>
      </c>
      <c r="L40" s="2424" t="s">
        <v>14</v>
      </c>
      <c r="M40" s="3099" t="s">
        <v>15</v>
      </c>
      <c r="N40" s="3155" t="s">
        <v>16</v>
      </c>
      <c r="O40" s="3099" t="s">
        <v>17</v>
      </c>
      <c r="P40" s="3099" t="s">
        <v>18</v>
      </c>
      <c r="Q40" s="3099" t="s">
        <v>19</v>
      </c>
      <c r="R40" s="3099" t="s">
        <v>20</v>
      </c>
      <c r="S40" s="3099" t="s">
        <v>21</v>
      </c>
      <c r="T40" s="3099" t="s">
        <v>22</v>
      </c>
      <c r="U40" s="3099" t="s">
        <v>23</v>
      </c>
      <c r="V40" s="3099" t="s">
        <v>24</v>
      </c>
      <c r="W40" s="3099" t="s">
        <v>25</v>
      </c>
      <c r="X40" s="2952" t="s">
        <v>26</v>
      </c>
      <c r="Y40" s="2952" t="s">
        <v>27</v>
      </c>
      <c r="Z40" s="2952" t="s">
        <v>28</v>
      </c>
      <c r="AA40" s="2952" t="s">
        <v>29</v>
      </c>
      <c r="AB40" s="3165" t="s">
        <v>30</v>
      </c>
      <c r="AC40" s="3165" t="s">
        <v>31</v>
      </c>
      <c r="AD40" s="3165" t="s">
        <v>32</v>
      </c>
      <c r="AE40" s="3165" t="s">
        <v>33</v>
      </c>
    </row>
    <row r="41" spans="1:31" x14ac:dyDescent="0.25">
      <c r="D41" s="4398" t="s">
        <v>1859</v>
      </c>
      <c r="E41" s="4399">
        <v>596.214307803319</v>
      </c>
      <c r="F41" s="4399">
        <v>628.89231391176895</v>
      </c>
      <c r="G41" s="4399">
        <v>602.86707629217403</v>
      </c>
      <c r="H41" s="4399">
        <v>611.103284104159</v>
      </c>
      <c r="I41" s="4399">
        <v>652.69813297770997</v>
      </c>
      <c r="J41" s="4399">
        <v>673.38443050540798</v>
      </c>
      <c r="K41" s="4399">
        <v>693.96165550653097</v>
      </c>
      <c r="L41" s="4399">
        <v>675.27554464906098</v>
      </c>
      <c r="M41" s="4399">
        <v>703.98700093406103</v>
      </c>
      <c r="N41" s="4399">
        <v>645.23084848061399</v>
      </c>
      <c r="O41" s="4399">
        <v>592.79999999999995</v>
      </c>
      <c r="P41" s="4399">
        <v>559.9</v>
      </c>
      <c r="Q41" s="4399">
        <v>526.79999999999995</v>
      </c>
      <c r="R41" s="4399">
        <v>497.1</v>
      </c>
      <c r="S41" s="4399">
        <v>506.5</v>
      </c>
      <c r="T41" s="4399">
        <v>520.20000000000005</v>
      </c>
      <c r="U41" s="4399">
        <v>495.3</v>
      </c>
      <c r="V41" s="4399">
        <v>485.4</v>
      </c>
      <c r="W41" s="4399">
        <v>501.4</v>
      </c>
      <c r="X41" s="4411">
        <v>491.60100457530899</v>
      </c>
      <c r="Y41" s="4412">
        <v>469.82744365139098</v>
      </c>
      <c r="Z41" s="1919">
        <v>456</v>
      </c>
      <c r="AA41" s="4413">
        <f>(246654/55910000)*100000</f>
        <v>441.16258272223217</v>
      </c>
      <c r="AB41" s="4414">
        <f>(228094/56753327)*100000</f>
        <v>401.90419144942814</v>
      </c>
      <c r="AC41" s="4414">
        <f>(220865/57698414)*100000</f>
        <v>382.79215092463369</v>
      </c>
      <c r="AD41" s="4414">
        <f>(205959/58678235)*100000</f>
        <v>350.99726499953522</v>
      </c>
      <c r="AE41" s="4414">
        <f>(159721/59695848)*100000</f>
        <v>267.55797153597683</v>
      </c>
    </row>
    <row r="42" spans="1:31" x14ac:dyDescent="0.25">
      <c r="D42" s="4398" t="s">
        <v>1860</v>
      </c>
      <c r="E42" s="4399">
        <v>225.74992268838301</v>
      </c>
      <c r="F42" s="4399">
        <v>220.77164081055099</v>
      </c>
      <c r="G42" s="4399">
        <v>214.749450473471</v>
      </c>
      <c r="H42" s="4399">
        <v>219.33054799844501</v>
      </c>
      <c r="I42" s="4399">
        <v>224.50228614974299</v>
      </c>
      <c r="J42" s="4399">
        <v>216.185107798855</v>
      </c>
      <c r="K42" s="4399">
        <v>209.324795283692</v>
      </c>
      <c r="L42" s="4399">
        <v>194.365085877935</v>
      </c>
      <c r="M42" s="4399">
        <v>162.750132488178</v>
      </c>
      <c r="N42" s="4399">
        <v>139.33183369458899</v>
      </c>
      <c r="O42" s="4399">
        <v>120.3</v>
      </c>
      <c r="P42" s="4399">
        <v>116</v>
      </c>
      <c r="Q42" s="4399">
        <v>123.3</v>
      </c>
      <c r="R42" s="4399">
        <v>131.69999999999999</v>
      </c>
      <c r="S42" s="4399">
        <v>143.80000000000001</v>
      </c>
      <c r="T42" s="4399">
        <v>145.5</v>
      </c>
      <c r="U42" s="4399">
        <v>138.19999999999999</v>
      </c>
      <c r="V42" s="4399">
        <v>138.5</v>
      </c>
      <c r="W42" s="4399">
        <v>140.9</v>
      </c>
      <c r="X42" s="4411">
        <v>138.9</v>
      </c>
      <c r="Y42" s="4412">
        <v>137.69501748029299</v>
      </c>
      <c r="Z42" s="1919">
        <v>136.5</v>
      </c>
      <c r="AA42" s="4413">
        <f>(75618/55910000)*100000</f>
        <v>135.24950813807905</v>
      </c>
      <c r="AB42" s="4414">
        <f>(71195/56753327)*100000</f>
        <v>125.4463901296923</v>
      </c>
      <c r="AC42" s="4414">
        <f>(71224/57698414)*100000</f>
        <v>123.4418679168547</v>
      </c>
      <c r="AD42" s="4414">
        <f>(69713/58678235)*100000</f>
        <v>118.80555030327683</v>
      </c>
      <c r="AE42" s="4414">
        <f>(65508/59695848)*100000</f>
        <v>109.73627512586805</v>
      </c>
    </row>
    <row r="43" spans="1:31" x14ac:dyDescent="0.25">
      <c r="D43" s="4398" t="s">
        <v>1861</v>
      </c>
      <c r="E43" s="4399">
        <v>272.82496649829898</v>
      </c>
      <c r="F43" s="4399">
        <v>249.302642882409</v>
      </c>
      <c r="G43" s="4399">
        <v>239.83102719910801</v>
      </c>
      <c r="H43" s="4399">
        <v>249.15225417800201</v>
      </c>
      <c r="I43" s="4399">
        <v>255.87730996380299</v>
      </c>
      <c r="J43" s="4399">
        <v>239.32797246045601</v>
      </c>
      <c r="K43" s="4399">
        <v>228.97653531880101</v>
      </c>
      <c r="L43" s="4399">
        <v>216.10771923055901</v>
      </c>
      <c r="M43" s="4399">
        <v>204.89906169681001</v>
      </c>
      <c r="N43" s="4399">
        <v>190.02715730052901</v>
      </c>
      <c r="O43" s="4399">
        <v>180</v>
      </c>
      <c r="P43" s="4399">
        <v>183.3</v>
      </c>
      <c r="Q43" s="4399">
        <v>182.1</v>
      </c>
      <c r="R43" s="4399">
        <v>167.7</v>
      </c>
      <c r="S43" s="4399">
        <v>156</v>
      </c>
      <c r="T43" s="4399">
        <v>145.5</v>
      </c>
      <c r="U43" s="4399">
        <v>129</v>
      </c>
      <c r="V43" s="4399">
        <v>116.8</v>
      </c>
      <c r="W43" s="4399">
        <v>111.7</v>
      </c>
      <c r="X43" s="4411">
        <v>107.3</v>
      </c>
      <c r="Y43" s="4412">
        <v>102.01482709310901</v>
      </c>
      <c r="Z43" s="1919">
        <v>97.9</v>
      </c>
      <c r="AA43" s="4413">
        <f>(53307/55910000)*100000</f>
        <v>95.344303344661057</v>
      </c>
      <c r="AB43" s="4414">
        <f>(50663/56753327)*100000</f>
        <v>89.268775379459242</v>
      </c>
      <c r="AC43" s="4414">
        <f>(48324/57698414)*100000</f>
        <v>83.752735387145989</v>
      </c>
      <c r="AD43" s="4414">
        <f>(46921/58678235)*100000</f>
        <v>79.96320952734861</v>
      </c>
      <c r="AE43" s="4414">
        <f>(35023/59695848)*100000</f>
        <v>58.669071926074324</v>
      </c>
    </row>
    <row r="44" spans="1:31" x14ac:dyDescent="0.25">
      <c r="D44" s="4398" t="s">
        <v>1870</v>
      </c>
      <c r="E44" s="4399">
        <v>472.54664467580699</v>
      </c>
      <c r="F44" s="4399">
        <v>484.69604325635498</v>
      </c>
      <c r="G44" s="4399">
        <v>430.40813582382202</v>
      </c>
      <c r="H44" s="4399">
        <v>435.267683637777</v>
      </c>
      <c r="I44" s="4399">
        <v>452.53143455896401</v>
      </c>
      <c r="J44" s="4399">
        <v>453.870968124049</v>
      </c>
      <c r="K44" s="4399">
        <v>459.03351575077198</v>
      </c>
      <c r="L44" s="4399">
        <v>444.62960079811199</v>
      </c>
      <c r="M44" s="4399">
        <v>430.98479153638601</v>
      </c>
      <c r="N44" s="4399">
        <v>370.771130954569</v>
      </c>
      <c r="O44" s="4399">
        <v>318.8</v>
      </c>
      <c r="P44" s="4399">
        <v>296.60000000000002</v>
      </c>
      <c r="Q44" s="4399">
        <v>261.7</v>
      </c>
      <c r="R44" s="4399">
        <v>233.4</v>
      </c>
      <c r="S44" s="4399">
        <v>225</v>
      </c>
      <c r="T44" s="4399">
        <v>245.1</v>
      </c>
      <c r="U44" s="4399">
        <v>246.2</v>
      </c>
      <c r="V44" s="4399">
        <v>257.89999999999998</v>
      </c>
      <c r="W44" s="4399">
        <v>267.2</v>
      </c>
      <c r="X44" s="4411">
        <v>271.39999999999998</v>
      </c>
      <c r="Y44" s="4412">
        <v>269.17174145217001</v>
      </c>
      <c r="Z44" s="1919">
        <v>253.6</v>
      </c>
      <c r="AA44" s="4413">
        <f>(138172/55910000)*100000</f>
        <v>247.13289214809515</v>
      </c>
      <c r="AB44" s="4414">
        <f>(129174/56753327)*100000</f>
        <v>227.60603973049896</v>
      </c>
      <c r="AC44" s="4414">
        <f>(125076/57698414)*100000</f>
        <v>216.77545590767883</v>
      </c>
      <c r="AD44" s="4414">
        <f>(118213/58678235)*100000</f>
        <v>201.45970648230983</v>
      </c>
      <c r="AE44" s="4414">
        <f>(81183/59695848)*100000</f>
        <v>135.99438272490912</v>
      </c>
    </row>
    <row r="45" spans="1:31" x14ac:dyDescent="0.25">
      <c r="D45" s="4415" t="s">
        <v>1863</v>
      </c>
      <c r="E45" s="1979">
        <v>121.86114833522301</v>
      </c>
      <c r="F45" s="1979">
        <v>109.730153115367</v>
      </c>
      <c r="G45" s="1979">
        <v>103.470436178697</v>
      </c>
      <c r="H45" s="1979">
        <v>100.983773804897</v>
      </c>
      <c r="I45" s="1979">
        <v>98.809297008954104</v>
      </c>
      <c r="J45" s="1979">
        <v>96.224983948760297</v>
      </c>
      <c r="K45" s="1979">
        <v>95.0791699590294</v>
      </c>
      <c r="L45" s="1979">
        <v>92.894257530682097</v>
      </c>
      <c r="M45" s="1979">
        <v>102.699238723192</v>
      </c>
      <c r="N45" s="1979">
        <v>88.979293692874407</v>
      </c>
      <c r="O45" s="1979">
        <v>70.099999999999994</v>
      </c>
      <c r="P45" s="1979">
        <v>61.3</v>
      </c>
      <c r="Q45" s="1979">
        <v>60.8</v>
      </c>
      <c r="R45" s="1979">
        <v>60.1</v>
      </c>
      <c r="S45" s="1979">
        <v>61.7</v>
      </c>
      <c r="T45" s="1979">
        <v>65.7</v>
      </c>
      <c r="U45" s="1979">
        <v>60.3</v>
      </c>
      <c r="V45" s="1979">
        <v>61.2</v>
      </c>
      <c r="W45" s="1979">
        <v>57.2</v>
      </c>
      <c r="X45" s="3167">
        <v>52.9</v>
      </c>
      <c r="Y45" s="3168">
        <v>46.229808647294497</v>
      </c>
      <c r="Z45" s="3169">
        <v>45</v>
      </c>
      <c r="AA45" s="3168">
        <f>(26902/55910000)*100000</f>
        <v>48.116615989983899</v>
      </c>
      <c r="AB45" s="3170">
        <f>(28849/56753327)*100000</f>
        <v>50.832262221384831</v>
      </c>
      <c r="AC45" s="3170">
        <f>(29672/57698414)*100000</f>
        <v>51.426023599192867</v>
      </c>
      <c r="AD45" s="3170">
        <f>(26310/58678235)*100000</f>
        <v>44.837749465368205</v>
      </c>
      <c r="AE45" s="3170">
        <f>(26310/59695848)*100000</f>
        <v>44.073416965280401</v>
      </c>
    </row>
    <row r="46" spans="1:31" s="4417" customFormat="1" ht="12.75" x14ac:dyDescent="0.2">
      <c r="A46" s="4416"/>
      <c r="B46" s="4416"/>
      <c r="C46" s="4416"/>
      <c r="X46" s="1947"/>
      <c r="Y46" s="1947"/>
      <c r="Z46" s="1947"/>
      <c r="AA46" s="1947"/>
      <c r="AB46" s="1947"/>
      <c r="AC46" s="1948"/>
    </row>
    <row r="47" spans="1:31" s="4417" customFormat="1" ht="12.75" x14ac:dyDescent="0.2">
      <c r="A47" s="4416"/>
      <c r="B47" s="4416"/>
      <c r="C47" s="4416"/>
      <c r="J47" s="4418"/>
      <c r="X47" s="1947"/>
      <c r="Y47" s="1947"/>
      <c r="Z47" s="1947"/>
      <c r="AA47" s="1947"/>
      <c r="AB47" s="4419"/>
    </row>
    <row r="48" spans="1:31" s="4417" customFormat="1" x14ac:dyDescent="0.25">
      <c r="A48" s="4416"/>
      <c r="B48" s="4420"/>
      <c r="C48" s="4420"/>
      <c r="D48" s="71" t="s">
        <v>365</v>
      </c>
      <c r="E48" s="71" t="s">
        <v>1869</v>
      </c>
      <c r="F48" s="548"/>
      <c r="G48" s="751"/>
      <c r="H48" s="751"/>
      <c r="I48" s="751"/>
      <c r="J48" s="751"/>
      <c r="K48" s="751"/>
      <c r="L48" s="751"/>
      <c r="M48" s="751"/>
      <c r="N48" s="751"/>
      <c r="O48" s="751"/>
      <c r="P48" s="751"/>
      <c r="Q48" s="3860"/>
      <c r="R48" s="3860"/>
      <c r="S48" s="113"/>
      <c r="T48" s="113"/>
      <c r="U48" s="113"/>
      <c r="V48" s="113"/>
      <c r="X48" s="1947"/>
      <c r="Y48" s="1947"/>
      <c r="Z48" s="1947"/>
      <c r="AA48" s="1947"/>
      <c r="AB48" s="1947"/>
    </row>
    <row r="49" spans="1:31" s="4417" customFormat="1" ht="12.75" x14ac:dyDescent="0.2">
      <c r="A49" s="4416"/>
      <c r="B49" s="4420"/>
      <c r="C49" s="4420"/>
      <c r="D49" s="2186"/>
      <c r="E49" s="2424" t="s">
        <v>395</v>
      </c>
      <c r="F49" s="2424" t="s">
        <v>396</v>
      </c>
      <c r="G49" s="2424" t="s">
        <v>9</v>
      </c>
      <c r="H49" s="2424" t="s">
        <v>10</v>
      </c>
      <c r="I49" s="2424" t="s">
        <v>11</v>
      </c>
      <c r="J49" s="3155" t="s">
        <v>12</v>
      </c>
      <c r="K49" s="3155" t="s">
        <v>13</v>
      </c>
      <c r="L49" s="2424" t="s">
        <v>14</v>
      </c>
      <c r="M49" s="3099" t="s">
        <v>15</v>
      </c>
      <c r="N49" s="3155" t="s">
        <v>16</v>
      </c>
      <c r="O49" s="3155" t="s">
        <v>17</v>
      </c>
      <c r="P49" s="2424" t="s">
        <v>18</v>
      </c>
      <c r="Q49" s="3155" t="s">
        <v>19</v>
      </c>
      <c r="R49" s="3155" t="s">
        <v>20</v>
      </c>
      <c r="S49" s="3155" t="s">
        <v>21</v>
      </c>
      <c r="T49" s="3155" t="s">
        <v>22</v>
      </c>
      <c r="U49" s="3155" t="s">
        <v>23</v>
      </c>
      <c r="V49" s="3155" t="s">
        <v>24</v>
      </c>
      <c r="W49" s="3099" t="s">
        <v>25</v>
      </c>
      <c r="X49" s="2952" t="s">
        <v>26</v>
      </c>
      <c r="Y49" s="2952" t="s">
        <v>27</v>
      </c>
      <c r="Z49" s="2952" t="s">
        <v>28</v>
      </c>
      <c r="AA49" s="2952" t="s">
        <v>29</v>
      </c>
      <c r="AB49" s="3172" t="s">
        <v>30</v>
      </c>
      <c r="AC49" s="3165" t="s">
        <v>31</v>
      </c>
      <c r="AD49" s="3165" t="s">
        <v>32</v>
      </c>
      <c r="AE49" s="3165" t="s">
        <v>33</v>
      </c>
    </row>
    <row r="50" spans="1:31" s="4417" customFormat="1" ht="12.75" x14ac:dyDescent="0.2">
      <c r="A50" s="4416"/>
      <c r="B50" s="4420"/>
      <c r="C50" s="4420"/>
      <c r="D50" s="4398" t="s">
        <v>1859</v>
      </c>
      <c r="E50" s="1952">
        <f>E41/E41*100</f>
        <v>100</v>
      </c>
      <c r="F50" s="1953">
        <f>F41/E41*100</f>
        <v>105.48091612038768</v>
      </c>
      <c r="G50" s="1953">
        <f>G41/E41*100</f>
        <v>101.11583509516342</v>
      </c>
      <c r="H50" s="1953">
        <f>H41/E41*100</f>
        <v>102.49725243188085</v>
      </c>
      <c r="I50" s="1953">
        <f>I41/E41*100</f>
        <v>109.47374533538098</v>
      </c>
      <c r="J50" s="1953">
        <f>J41/E41*100</f>
        <v>112.94335303465178</v>
      </c>
      <c r="K50" s="1953">
        <f>K41/E41*100</f>
        <v>116.39466655259423</v>
      </c>
      <c r="L50" s="1953">
        <f>L41/E41*100</f>
        <v>113.26054001237134</v>
      </c>
      <c r="M50" s="1953">
        <f>M41/E41*100</f>
        <v>118.0761668615129</v>
      </c>
      <c r="N50" s="1953">
        <f>N41/E41*100</f>
        <v>108.22129560390637</v>
      </c>
      <c r="O50" s="1953">
        <f>O41/E41*100</f>
        <v>99.427335480106365</v>
      </c>
      <c r="P50" s="1953">
        <f>P41/E41*100</f>
        <v>93.909185450930423</v>
      </c>
      <c r="Q50" s="1953">
        <f>Q41/E41*100</f>
        <v>88.357490436774683</v>
      </c>
      <c r="R50" s="1953">
        <f>R41/E41*100</f>
        <v>83.37606016727544</v>
      </c>
      <c r="S50" s="1953">
        <f>S41/E41*100</f>
        <v>84.952674461325699</v>
      </c>
      <c r="T50" s="1953">
        <f>T41/E41*100</f>
        <v>87.250505932441527</v>
      </c>
      <c r="U50" s="1953">
        <f>U41/E41*100</f>
        <v>83.074155302457299</v>
      </c>
      <c r="V50" s="1953">
        <f>V41/E41*100</f>
        <v>81.413678545957538</v>
      </c>
      <c r="W50" s="1953">
        <f>W41/E41*100</f>
        <v>84.097277344340981</v>
      </c>
      <c r="X50" s="1954">
        <f>X41/E41*100</f>
        <v>82.453741572649392</v>
      </c>
      <c r="Y50" s="1954">
        <f>Y41/E41*100</f>
        <v>78.801772701902195</v>
      </c>
      <c r="Z50" s="1955">
        <f>Z41/E41*100</f>
        <v>76.482565753927972</v>
      </c>
      <c r="AA50" s="1955">
        <f>AA41/E41*100</f>
        <v>73.993961055319772</v>
      </c>
      <c r="AB50" s="1955">
        <f>AB41/E41*100</f>
        <v>67.409350327434538</v>
      </c>
      <c r="AC50" s="136">
        <f>AC41/F41*100</f>
        <v>60.867678369867605</v>
      </c>
      <c r="AD50" s="3784">
        <f>AD41/G41*100</f>
        <v>58.221335813904616</v>
      </c>
      <c r="AE50" s="3784">
        <f>AE41/H41*100</f>
        <v>43.782774286379571</v>
      </c>
    </row>
    <row r="51" spans="1:31" s="4417" customFormat="1" ht="12.75" x14ac:dyDescent="0.2">
      <c r="A51" s="4416"/>
      <c r="B51" s="4420"/>
      <c r="C51" s="4420"/>
      <c r="D51" s="4398" t="s">
        <v>1860</v>
      </c>
      <c r="E51" s="1952">
        <f>E42/E42*100</f>
        <v>100</v>
      </c>
      <c r="F51" s="1953">
        <f>F42/E42*100</f>
        <v>97.794780251285459</v>
      </c>
      <c r="G51" s="1953">
        <f>G42/E42*100</f>
        <v>95.127142422061127</v>
      </c>
      <c r="H51" s="1953">
        <f>H42/E42*100</f>
        <v>97.156422197849849</v>
      </c>
      <c r="I51" s="1953">
        <f>I42/E42*100</f>
        <v>99.44733689217594</v>
      </c>
      <c r="J51" s="1953">
        <f>J42/E42*100</f>
        <v>95.763092728615931</v>
      </c>
      <c r="K51" s="1953">
        <f>K42/E42*100</f>
        <v>92.724193563794188</v>
      </c>
      <c r="L51" s="1953">
        <f>L42/E42*100</f>
        <v>86.097520461271444</v>
      </c>
      <c r="M51" s="1953">
        <f>M42/E42*100</f>
        <v>72.093106633233432</v>
      </c>
      <c r="N51" s="1953">
        <f>N42/E42*100</f>
        <v>61.719548797771949</v>
      </c>
      <c r="O51" s="1953">
        <f>O42/E42*100</f>
        <v>53.28905479452046</v>
      </c>
      <c r="P51" s="1953">
        <f>P42/E42*100</f>
        <v>51.384292237442843</v>
      </c>
      <c r="Q51" s="1953">
        <f>Q42/E42*100</f>
        <v>54.6179589041095</v>
      </c>
      <c r="R51" s="1953">
        <f>R42/E42*100</f>
        <v>58.338890410958797</v>
      </c>
      <c r="S51" s="1953">
        <f>S42/E42*100</f>
        <v>63.698803652967939</v>
      </c>
      <c r="T51" s="1953">
        <f>T42/E42*100</f>
        <v>64.451849315068387</v>
      </c>
      <c r="U51" s="1953">
        <f>U42/E42*100</f>
        <v>61.218182648401722</v>
      </c>
      <c r="V51" s="1953">
        <f>V42/E42*100</f>
        <v>61.35107305936063</v>
      </c>
      <c r="W51" s="1953">
        <f>W42/E42*100</f>
        <v>62.414196347031869</v>
      </c>
      <c r="X51" s="1954">
        <f>X42/E42*100</f>
        <v>61.528260273972499</v>
      </c>
      <c r="Y51" s="1954">
        <f>Y42/E42*100</f>
        <v>60.994491533165309</v>
      </c>
      <c r="Z51" s="1955">
        <f>Z42/E42*100</f>
        <v>60.465136986301275</v>
      </c>
      <c r="AA51" s="1955">
        <f>AA42/E42*100</f>
        <v>59.911209061529803</v>
      </c>
      <c r="AB51" s="1955">
        <f t="shared" ref="AB51:AC54" si="0">AB42/E42*100</f>
        <v>55.568741125485985</v>
      </c>
      <c r="AC51" s="136">
        <f t="shared" si="0"/>
        <v>55.913824558102043</v>
      </c>
      <c r="AD51" s="3784">
        <f>AD42/G42*100</f>
        <v>55.32286580540211</v>
      </c>
      <c r="AE51" s="3784">
        <f t="shared" ref="AE51:AE54" si="1">AE42/H42*100</f>
        <v>50.032371745428748</v>
      </c>
    </row>
    <row r="52" spans="1:31" s="4417" customFormat="1" ht="12.75" x14ac:dyDescent="0.2">
      <c r="A52" s="4416"/>
      <c r="B52" s="4420"/>
      <c r="C52" s="4420"/>
      <c r="D52" s="4398" t="s">
        <v>1871</v>
      </c>
      <c r="E52" s="1952">
        <f>E43/E43*100</f>
        <v>100</v>
      </c>
      <c r="F52" s="1953">
        <f>F43/E43*100</f>
        <v>91.37823641369836</v>
      </c>
      <c r="G52" s="1953">
        <f>G43/E43*100</f>
        <v>87.906554256134513</v>
      </c>
      <c r="H52" s="1953">
        <f>H43/E43*100</f>
        <v>91.323113634307163</v>
      </c>
      <c r="I52" s="1953">
        <f>I43/E43*100</f>
        <v>93.788084444023326</v>
      </c>
      <c r="J52" s="1953">
        <f>J43/E43*100</f>
        <v>87.72216690144748</v>
      </c>
      <c r="K52" s="1953">
        <f>K43/E43*100</f>
        <v>83.927999060243124</v>
      </c>
      <c r="L52" s="1953">
        <f>L43/E43*100</f>
        <v>79.211122795796769</v>
      </c>
      <c r="M52" s="1953">
        <f>M43/E43*100</f>
        <v>75.102753361132557</v>
      </c>
      <c r="N52" s="1953">
        <f>N43/E43*100</f>
        <v>69.651674382855205</v>
      </c>
      <c r="O52" s="1953">
        <f>O43/E43*100</f>
        <v>65.976366573153143</v>
      </c>
      <c r="P52" s="1953">
        <f>P43/E43*100</f>
        <v>67.185933293660966</v>
      </c>
      <c r="Q52" s="1953">
        <f>Q43/E43*100</f>
        <v>66.746090849839931</v>
      </c>
      <c r="R52" s="1953">
        <f>R43/E43*100</f>
        <v>61.467981523987682</v>
      </c>
      <c r="S52" s="1953">
        <f>S43/E43*100</f>
        <v>57.179517696732731</v>
      </c>
      <c r="T52" s="1953">
        <f>T43/E43*100</f>
        <v>53.330896313298794</v>
      </c>
      <c r="U52" s="1953">
        <f>U43/E43*100</f>
        <v>47.283062710759758</v>
      </c>
      <c r="V52" s="1953">
        <f>V43/E43*100</f>
        <v>42.811331198579374</v>
      </c>
      <c r="W52" s="1953">
        <f>W43/E43*100</f>
        <v>40.942000812340041</v>
      </c>
      <c r="X52" s="1954">
        <f>X43/E43*100</f>
        <v>39.329245184996289</v>
      </c>
      <c r="Y52" s="1954">
        <f>Y43/E43*100</f>
        <v>37.392042378843307</v>
      </c>
      <c r="Z52" s="1955">
        <f>Z43/E43*100</f>
        <v>35.883812708398303</v>
      </c>
      <c r="AA52" s="1955">
        <f>AA43/E43*100</f>
        <v>34.947059489607049</v>
      </c>
      <c r="AB52" s="1955">
        <f t="shared" si="0"/>
        <v>32.720163599842614</v>
      </c>
      <c r="AC52" s="136">
        <f t="shared" si="0"/>
        <v>33.594804458872282</v>
      </c>
      <c r="AD52" s="3784">
        <f>AD43/G43*100</f>
        <v>33.341478148681347</v>
      </c>
      <c r="AE52" s="3784">
        <f t="shared" si="1"/>
        <v>23.547477874376099</v>
      </c>
    </row>
    <row r="53" spans="1:31" s="4417" customFormat="1" ht="12.75" x14ac:dyDescent="0.2">
      <c r="A53" s="4416"/>
      <c r="B53" s="4416"/>
      <c r="C53" s="4416"/>
      <c r="D53" s="4398" t="s">
        <v>1862</v>
      </c>
      <c r="E53" s="1952">
        <f>E44/E44*100</f>
        <v>100</v>
      </c>
      <c r="F53" s="1953">
        <f>F44/E44*100</f>
        <v>102.57104747593398</v>
      </c>
      <c r="G53" s="1953">
        <f>G44/E44*100</f>
        <v>91.082677376559445</v>
      </c>
      <c r="H53" s="1953">
        <f>H44/E44*100</f>
        <v>92.111051584419684</v>
      </c>
      <c r="I53" s="1953">
        <f>I44/E44*100</f>
        <v>95.764394829091529</v>
      </c>
      <c r="J53" s="1953">
        <f>J44/E44*100</f>
        <v>96.047866012344556</v>
      </c>
      <c r="K53" s="1953">
        <f>K44/E44*100</f>
        <v>97.140360834790016</v>
      </c>
      <c r="L53" s="1953">
        <f>L44/E44*100</f>
        <v>94.092214135421997</v>
      </c>
      <c r="M53" s="1953">
        <f>M44/E44*100</f>
        <v>91.204708866796693</v>
      </c>
      <c r="N53" s="1953">
        <f>N44/E44*100</f>
        <v>78.462334910649602</v>
      </c>
      <c r="O53" s="1953">
        <f>O44/E44*100</f>
        <v>67.464239476023451</v>
      </c>
      <c r="P53" s="1953">
        <f>P44/E44*100</f>
        <v>62.766290553916413</v>
      </c>
      <c r="Q53" s="1953">
        <f>Q44/E44*100</f>
        <v>55.380776257450862</v>
      </c>
      <c r="R53" s="1953">
        <f>R44/E44*100</f>
        <v>49.391949478368481</v>
      </c>
      <c r="S53" s="1953">
        <f>S44/E44*100</f>
        <v>47.614347183517168</v>
      </c>
      <c r="T53" s="1953">
        <f>T44/E44*100</f>
        <v>51.867895531911365</v>
      </c>
      <c r="U53" s="1953">
        <f>U44/E44*100</f>
        <v>52.100676784808563</v>
      </c>
      <c r="V53" s="1953">
        <f>V44/E44*100</f>
        <v>54.576622838351454</v>
      </c>
      <c r="W53" s="1953">
        <f>W44/E44*100</f>
        <v>56.544682521936828</v>
      </c>
      <c r="X53" s="1954">
        <f>X44/E44*100</f>
        <v>57.433483669362481</v>
      </c>
      <c r="Y53" s="1954">
        <f>Y44/E44*100</f>
        <v>56.961941108869084</v>
      </c>
      <c r="Z53" s="1955">
        <f>Z44/E44*100</f>
        <v>53.66665975884424</v>
      </c>
      <c r="AA53" s="1955">
        <f>AA44/E44*100</f>
        <v>52.298094787582691</v>
      </c>
      <c r="AB53" s="1955">
        <f t="shared" si="0"/>
        <v>48.165835541303913</v>
      </c>
      <c r="AC53" s="136">
        <f t="shared" si="0"/>
        <v>44.723999488691227</v>
      </c>
      <c r="AD53" s="3784">
        <f>AD44/G44*100</f>
        <v>46.806667837889769</v>
      </c>
      <c r="AE53" s="3784">
        <f t="shared" si="1"/>
        <v>31.243850126507787</v>
      </c>
    </row>
    <row r="54" spans="1:31" s="4417" customFormat="1" ht="12.75" x14ac:dyDescent="0.2">
      <c r="A54" s="4416"/>
      <c r="B54" s="4416"/>
      <c r="C54" s="4416"/>
      <c r="D54" s="4415" t="s">
        <v>1863</v>
      </c>
      <c r="E54" s="1957">
        <f>E45/E45*100</f>
        <v>100</v>
      </c>
      <c r="F54" s="1958">
        <f>F45/E45*100</f>
        <v>90.045231490445715</v>
      </c>
      <c r="G54" s="1958">
        <f>G45/E45*100</f>
        <v>84.908469674078788</v>
      </c>
      <c r="H54" s="1958">
        <f>H45/E45*100</f>
        <v>82.867899395716123</v>
      </c>
      <c r="I54" s="1958">
        <f>I45/E45*100</f>
        <v>81.083510502579145</v>
      </c>
      <c r="J54" s="1958">
        <f>J45/E45*100</f>
        <v>78.962807476636272</v>
      </c>
      <c r="K54" s="1958">
        <f>K45/E45*100</f>
        <v>78.02254554296492</v>
      </c>
      <c r="L54" s="1958">
        <f>L45/E45*100</f>
        <v>76.229593106363126</v>
      </c>
      <c r="M54" s="1958">
        <f>M45/E45*100</f>
        <v>84.275620348399087</v>
      </c>
      <c r="N54" s="1958">
        <f>N45/E45*100</f>
        <v>73.016949953651178</v>
      </c>
      <c r="O54" s="1958">
        <f>O45/E45*100</f>
        <v>57.524486645378289</v>
      </c>
      <c r="P54" s="1958">
        <f>P45/E45*100</f>
        <v>50.30315308647203</v>
      </c>
      <c r="Q54" s="1958">
        <f>Q45/E45*100</f>
        <v>49.892850043352361</v>
      </c>
      <c r="R54" s="1958">
        <f>R45/E45*100</f>
        <v>49.318425782984818</v>
      </c>
      <c r="S54" s="1958">
        <f>S45/E45*100</f>
        <v>50.631395520967779</v>
      </c>
      <c r="T54" s="1958">
        <f>T45/E45*100</f>
        <v>53.91381986592517</v>
      </c>
      <c r="U54" s="1958">
        <f>U45/E45*100</f>
        <v>49.482547000232685</v>
      </c>
      <c r="V54" s="1958">
        <f>V45/E45*100</f>
        <v>50.221092477848103</v>
      </c>
      <c r="W54" s="1958">
        <f>W45/E45*100</f>
        <v>46.938668132890712</v>
      </c>
      <c r="X54" s="1959">
        <f>X45/E45*100</f>
        <v>43.410061962061512</v>
      </c>
      <c r="Y54" s="1959">
        <f>Y45/E45*100</f>
        <v>37.936462341650305</v>
      </c>
      <c r="Z54" s="1959">
        <f>Z45/E45*100</f>
        <v>36.927273880770663</v>
      </c>
      <c r="AA54" s="1959">
        <f>AA45/E45*100</f>
        <v>39.484787930622325</v>
      </c>
      <c r="AB54" s="1959">
        <f t="shared" si="0"/>
        <v>41.713263756182876</v>
      </c>
      <c r="AC54" s="1958">
        <f t="shared" si="0"/>
        <v>46.865899790666546</v>
      </c>
      <c r="AD54" s="188">
        <f>AD45/G45*100</f>
        <v>43.3338749900811</v>
      </c>
      <c r="AE54" s="188">
        <f t="shared" si="1"/>
        <v>43.644058153769606</v>
      </c>
    </row>
    <row r="55" spans="1:31" s="4417" customFormat="1" ht="12.75" x14ac:dyDescent="0.2">
      <c r="A55" s="4416"/>
      <c r="B55" s="4416"/>
      <c r="C55" s="4416"/>
      <c r="J55" s="4418"/>
      <c r="AB55" s="4421"/>
    </row>
    <row r="56" spans="1:31" s="4417" customFormat="1" ht="12.75" x14ac:dyDescent="0.2">
      <c r="A56" s="4416"/>
      <c r="B56" s="4422"/>
      <c r="C56" s="4422"/>
      <c r="D56" s="4423"/>
      <c r="E56" s="4423"/>
      <c r="F56" s="4423"/>
      <c r="G56" s="4423"/>
      <c r="H56" s="4423"/>
      <c r="I56" s="4423"/>
      <c r="J56" s="4423"/>
      <c r="K56" s="4423"/>
      <c r="L56" s="4423"/>
      <c r="M56" s="4423"/>
      <c r="AB56" s="4424"/>
    </row>
    <row r="57" spans="1:31" s="4417" customFormat="1" ht="12.75" x14ac:dyDescent="0.2">
      <c r="A57" s="4416"/>
      <c r="B57" s="4422"/>
      <c r="C57" s="4422"/>
      <c r="D57" s="4423"/>
      <c r="E57" s="4423"/>
      <c r="F57" s="4423"/>
      <c r="G57" s="4423"/>
      <c r="H57" s="4423"/>
      <c r="I57" s="4423"/>
      <c r="J57" s="4423"/>
      <c r="K57" s="4423"/>
      <c r="L57" s="4423"/>
      <c r="M57" s="4423"/>
    </row>
    <row r="58" spans="1:31" s="4417" customFormat="1" ht="12.75" x14ac:dyDescent="0.2">
      <c r="A58" s="4416"/>
      <c r="B58" s="4422"/>
      <c r="C58" s="4422"/>
      <c r="D58" s="4423"/>
      <c r="E58" s="4423"/>
      <c r="F58" s="4423"/>
      <c r="G58" s="4423"/>
      <c r="H58" s="4423"/>
      <c r="I58" s="4423"/>
      <c r="J58" s="4423"/>
      <c r="K58" s="4423"/>
      <c r="L58" s="4423"/>
      <c r="M58" s="4423"/>
    </row>
    <row r="59" spans="1:31" s="4417" customFormat="1" ht="12.75" x14ac:dyDescent="0.2">
      <c r="A59" s="4416"/>
      <c r="B59" s="4422"/>
      <c r="C59" s="4422"/>
      <c r="D59" s="4423"/>
      <c r="E59" s="4423"/>
      <c r="F59" s="4423"/>
      <c r="G59" s="4423"/>
      <c r="H59" s="4423"/>
      <c r="I59" s="4423"/>
      <c r="J59" s="4423"/>
      <c r="K59" s="4423"/>
      <c r="L59" s="4423"/>
      <c r="M59" s="4423"/>
    </row>
    <row r="60" spans="1:31" s="4417" customFormat="1" ht="12.75" x14ac:dyDescent="0.2">
      <c r="A60" s="4416"/>
      <c r="B60" s="4422"/>
      <c r="C60" s="4422"/>
      <c r="D60" s="4423"/>
      <c r="E60" s="4423"/>
      <c r="F60" s="4423"/>
      <c r="G60" s="4423"/>
      <c r="H60" s="4423"/>
      <c r="I60" s="4423"/>
      <c r="J60" s="4423"/>
      <c r="K60" s="4423"/>
      <c r="L60" s="4423"/>
      <c r="M60" s="4423"/>
    </row>
    <row r="61" spans="1:31" s="4417" customFormat="1" ht="12.75" x14ac:dyDescent="0.2">
      <c r="A61" s="4416"/>
      <c r="B61" s="4422"/>
      <c r="C61" s="4422"/>
      <c r="D61" s="4423"/>
      <c r="E61" s="4423"/>
      <c r="F61" s="4423"/>
      <c r="G61" s="4423"/>
      <c r="H61" s="4423"/>
      <c r="I61" s="4423"/>
      <c r="J61" s="4423"/>
      <c r="K61" s="4423"/>
      <c r="L61" s="4423"/>
      <c r="M61" s="4423"/>
    </row>
    <row r="62" spans="1:31" s="4417" customFormat="1" ht="12.75" x14ac:dyDescent="0.2">
      <c r="A62" s="4416"/>
      <c r="B62" s="4422"/>
      <c r="C62" s="4422"/>
      <c r="D62" s="4423"/>
      <c r="E62" s="4423"/>
      <c r="F62" s="4423"/>
      <c r="G62" s="4423"/>
      <c r="H62" s="4423"/>
      <c r="I62" s="4423"/>
      <c r="J62" s="4423"/>
      <c r="K62" s="4423"/>
      <c r="L62" s="4423"/>
      <c r="M62" s="4423"/>
    </row>
    <row r="63" spans="1:31" s="4417" customFormat="1" ht="12.75" x14ac:dyDescent="0.2">
      <c r="A63" s="4416"/>
      <c r="B63" s="4422"/>
      <c r="C63" s="4422"/>
      <c r="D63" s="4423"/>
      <c r="E63" s="4423"/>
      <c r="F63" s="4423"/>
      <c r="G63" s="4423"/>
      <c r="H63" s="4423"/>
      <c r="I63" s="4423"/>
      <c r="J63" s="4423"/>
      <c r="K63" s="4423"/>
      <c r="L63" s="4423"/>
      <c r="M63" s="4423"/>
    </row>
    <row r="64" spans="1:31" s="4417" customFormat="1" ht="12.75" x14ac:dyDescent="0.2">
      <c r="A64" s="4416"/>
      <c r="B64" s="4422"/>
      <c r="C64" s="4422"/>
      <c r="D64" s="4423"/>
      <c r="E64" s="4423"/>
      <c r="F64" s="4423"/>
      <c r="G64" s="4423"/>
      <c r="H64" s="4423"/>
      <c r="I64" s="4423"/>
      <c r="J64" s="4423"/>
      <c r="K64" s="4423"/>
      <c r="L64" s="4423"/>
      <c r="M64" s="4423"/>
    </row>
    <row r="65" spans="1:13" s="4417" customFormat="1" ht="12.75" x14ac:dyDescent="0.2">
      <c r="A65" s="4416"/>
      <c r="B65" s="4422"/>
      <c r="C65" s="4422"/>
      <c r="D65" s="4423"/>
      <c r="E65" s="4423"/>
      <c r="F65" s="4423"/>
      <c r="G65" s="4423"/>
      <c r="H65" s="4423"/>
      <c r="I65" s="4423"/>
      <c r="J65" s="4423"/>
      <c r="K65" s="4423"/>
      <c r="L65" s="4423"/>
      <c r="M65" s="4423"/>
    </row>
    <row r="66" spans="1:13" s="4417" customFormat="1" ht="12.75" x14ac:dyDescent="0.2">
      <c r="A66" s="4416"/>
      <c r="B66" s="4422"/>
      <c r="C66" s="4422"/>
      <c r="D66" s="4423"/>
      <c r="E66" s="4423"/>
      <c r="F66" s="4423"/>
      <c r="G66" s="4423"/>
      <c r="H66" s="4423"/>
      <c r="I66" s="4423"/>
      <c r="J66" s="4423"/>
      <c r="K66" s="4423"/>
      <c r="L66" s="4423"/>
      <c r="M66" s="4423"/>
    </row>
    <row r="67" spans="1:13" s="4417" customFormat="1" ht="12.75" x14ac:dyDescent="0.2">
      <c r="A67" s="4416"/>
      <c r="B67" s="4422"/>
      <c r="C67" s="4422"/>
      <c r="D67" s="4423"/>
      <c r="E67" s="4423"/>
      <c r="F67" s="4423"/>
      <c r="G67" s="4423"/>
      <c r="H67" s="4423"/>
      <c r="I67" s="4423"/>
      <c r="J67" s="4423"/>
      <c r="K67" s="4423"/>
      <c r="L67" s="4423"/>
      <c r="M67" s="4423"/>
    </row>
    <row r="68" spans="1:13" s="4417" customFormat="1" ht="12.75" x14ac:dyDescent="0.2">
      <c r="A68" s="4416"/>
      <c r="B68" s="4422"/>
      <c r="C68" s="4422"/>
      <c r="D68" s="4423"/>
      <c r="E68" s="4423"/>
      <c r="F68" s="4423"/>
      <c r="G68" s="4423"/>
      <c r="H68" s="4423"/>
      <c r="I68" s="4423"/>
      <c r="J68" s="4423"/>
      <c r="K68" s="4423"/>
      <c r="L68" s="4423"/>
      <c r="M68" s="4423"/>
    </row>
    <row r="69" spans="1:13" s="4417" customFormat="1" ht="12.75" x14ac:dyDescent="0.2">
      <c r="A69" s="4416"/>
      <c r="B69" s="4422"/>
      <c r="C69" s="4422"/>
      <c r="D69" s="4423"/>
      <c r="E69" s="4423"/>
      <c r="F69" s="4423"/>
      <c r="G69" s="4423"/>
      <c r="H69" s="4423"/>
      <c r="I69" s="4423"/>
      <c r="J69" s="4423"/>
      <c r="K69" s="4423"/>
      <c r="L69" s="4423"/>
      <c r="M69" s="4423"/>
    </row>
    <row r="70" spans="1:13" s="4417" customFormat="1" ht="12.75" x14ac:dyDescent="0.2">
      <c r="A70" s="4416"/>
      <c r="B70" s="4422"/>
      <c r="C70" s="4422"/>
      <c r="D70" s="4423"/>
      <c r="E70" s="4423"/>
      <c r="F70" s="4423"/>
      <c r="G70" s="4423"/>
      <c r="H70" s="4423"/>
      <c r="I70" s="4423"/>
      <c r="J70" s="4423"/>
      <c r="K70" s="4423"/>
      <c r="L70" s="4423"/>
      <c r="M70" s="4423"/>
    </row>
    <row r="71" spans="1:13" s="4417" customFormat="1" ht="12.75" x14ac:dyDescent="0.2">
      <c r="A71" s="4416"/>
      <c r="B71" s="4422"/>
      <c r="C71" s="4422"/>
      <c r="D71" s="4423"/>
      <c r="E71" s="4423"/>
      <c r="F71" s="4423"/>
      <c r="G71" s="4423"/>
      <c r="H71" s="4423"/>
      <c r="I71" s="4423"/>
      <c r="J71" s="4423"/>
      <c r="K71" s="4423"/>
      <c r="L71" s="4423"/>
      <c r="M71" s="4423"/>
    </row>
    <row r="72" spans="1:13" s="4417" customFormat="1" ht="12.75" x14ac:dyDescent="0.2">
      <c r="A72" s="4416"/>
      <c r="B72" s="4422"/>
      <c r="C72" s="4422"/>
      <c r="D72" s="4423"/>
      <c r="E72" s="4423"/>
      <c r="F72" s="4423"/>
      <c r="G72" s="4423"/>
      <c r="H72" s="4423"/>
      <c r="I72" s="4423"/>
      <c r="J72" s="4423"/>
      <c r="K72" s="4423"/>
      <c r="L72" s="4423"/>
      <c r="M72" s="4423"/>
    </row>
    <row r="73" spans="1:13" s="4417" customFormat="1" ht="12.75" x14ac:dyDescent="0.2">
      <c r="A73" s="4416"/>
      <c r="B73" s="4422"/>
      <c r="C73" s="4422"/>
      <c r="D73" s="4423"/>
      <c r="E73" s="4423"/>
      <c r="F73" s="4423"/>
      <c r="G73" s="4423"/>
      <c r="H73" s="4423"/>
      <c r="I73" s="4423"/>
      <c r="J73" s="4423"/>
      <c r="K73" s="4423"/>
      <c r="L73" s="4423"/>
      <c r="M73" s="4423"/>
    </row>
    <row r="74" spans="1:13" s="4417" customFormat="1" ht="12.75" x14ac:dyDescent="0.2">
      <c r="A74" s="4416"/>
      <c r="B74" s="4422"/>
      <c r="C74" s="4422"/>
      <c r="D74" s="4423"/>
      <c r="E74" s="4423"/>
      <c r="F74" s="4423"/>
      <c r="G74" s="4423"/>
      <c r="H74" s="4423"/>
      <c r="I74" s="4423"/>
      <c r="J74" s="4423"/>
      <c r="K74" s="4423"/>
      <c r="L74" s="4423"/>
      <c r="M74" s="4423"/>
    </row>
    <row r="75" spans="1:13" s="4417" customFormat="1" ht="12.75" x14ac:dyDescent="0.2">
      <c r="A75" s="4416"/>
      <c r="B75" s="4422"/>
      <c r="C75" s="4422"/>
      <c r="D75" s="4423"/>
      <c r="E75" s="4423"/>
      <c r="F75" s="4423"/>
      <c r="G75" s="4423"/>
      <c r="H75" s="4423"/>
      <c r="I75" s="4423"/>
      <c r="J75" s="4423"/>
      <c r="K75" s="4423"/>
      <c r="L75" s="4423"/>
      <c r="M75" s="4423"/>
    </row>
    <row r="76" spans="1:13" s="4417" customFormat="1" ht="12.75" x14ac:dyDescent="0.2">
      <c r="A76" s="4416"/>
      <c r="B76" s="4422"/>
      <c r="C76" s="4422"/>
      <c r="D76" s="4423"/>
      <c r="E76" s="4423"/>
      <c r="F76" s="4423"/>
      <c r="G76" s="4423"/>
      <c r="H76" s="4423"/>
      <c r="I76" s="4423"/>
      <c r="J76" s="4423"/>
      <c r="K76" s="4423"/>
      <c r="L76" s="4423"/>
      <c r="M76" s="4423"/>
    </row>
    <row r="77" spans="1:13" s="4417" customFormat="1" ht="12.75" x14ac:dyDescent="0.2">
      <c r="A77" s="4416"/>
      <c r="B77" s="4422"/>
      <c r="C77" s="4422"/>
      <c r="D77" s="4423"/>
      <c r="E77" s="4423"/>
      <c r="F77" s="4423"/>
      <c r="G77" s="4423"/>
      <c r="H77" s="4423"/>
      <c r="I77" s="4423"/>
      <c r="J77" s="4423"/>
      <c r="K77" s="4423"/>
      <c r="L77" s="4423"/>
      <c r="M77" s="4423"/>
    </row>
    <row r="78" spans="1:13" s="4417" customFormat="1" ht="12.75" x14ac:dyDescent="0.2">
      <c r="A78" s="4416"/>
      <c r="B78" s="4422"/>
      <c r="C78" s="4422"/>
      <c r="D78" s="4423"/>
      <c r="E78" s="4423"/>
      <c r="F78" s="4423"/>
      <c r="G78" s="4423"/>
      <c r="H78" s="4423"/>
      <c r="I78" s="4423"/>
      <c r="J78" s="4423"/>
      <c r="K78" s="4423"/>
      <c r="L78" s="4423"/>
      <c r="M78" s="4423"/>
    </row>
    <row r="79" spans="1:13" s="4417" customFormat="1" ht="12.75" x14ac:dyDescent="0.2">
      <c r="A79" s="4416"/>
      <c r="B79" s="4422"/>
      <c r="C79" s="4422"/>
      <c r="D79" s="4423"/>
      <c r="E79" s="4423"/>
      <c r="F79" s="4423"/>
      <c r="G79" s="4423"/>
      <c r="H79" s="4423"/>
      <c r="I79" s="4423"/>
      <c r="J79" s="4423"/>
      <c r="K79" s="4423"/>
      <c r="L79" s="4423"/>
      <c r="M79" s="4423"/>
    </row>
    <row r="80" spans="1:13" s="4417" customFormat="1" ht="12.75" x14ac:dyDescent="0.2">
      <c r="A80" s="4416"/>
      <c r="B80" s="4422"/>
      <c r="C80" s="4422"/>
      <c r="D80" s="4423"/>
      <c r="E80" s="4423"/>
      <c r="F80" s="4423"/>
      <c r="G80" s="4423"/>
      <c r="H80" s="4423"/>
      <c r="I80" s="4423"/>
      <c r="J80" s="4423"/>
      <c r="K80" s="4423"/>
      <c r="L80" s="4423"/>
      <c r="M80" s="4423"/>
    </row>
    <row r="81" spans="1:13" s="4417" customFormat="1" ht="12.75" x14ac:dyDescent="0.2">
      <c r="A81" s="4416"/>
      <c r="B81" s="4422"/>
      <c r="C81" s="4422"/>
      <c r="D81" s="4423"/>
      <c r="E81" s="4423"/>
      <c r="F81" s="4423"/>
      <c r="G81" s="4423"/>
      <c r="H81" s="4423"/>
      <c r="I81" s="4423"/>
      <c r="J81" s="4423"/>
      <c r="K81" s="4423"/>
      <c r="L81" s="4423"/>
      <c r="M81" s="4423"/>
    </row>
    <row r="82" spans="1:13" s="4417" customFormat="1" ht="12.75" x14ac:dyDescent="0.2">
      <c r="A82" s="4416"/>
      <c r="B82" s="4422"/>
      <c r="C82" s="4422"/>
      <c r="D82" s="4423"/>
      <c r="E82" s="4423"/>
      <c r="F82" s="4423"/>
      <c r="G82" s="4423"/>
      <c r="H82" s="4423"/>
      <c r="I82" s="4423"/>
      <c r="J82" s="4423"/>
      <c r="K82" s="4423"/>
      <c r="L82" s="4423"/>
      <c r="M82" s="4423"/>
    </row>
    <row r="83" spans="1:13" s="4417" customFormat="1" ht="12.75" x14ac:dyDescent="0.2">
      <c r="A83" s="4416"/>
      <c r="B83" s="4422"/>
      <c r="C83" s="4422"/>
      <c r="D83" s="4423"/>
      <c r="E83" s="4423"/>
      <c r="F83" s="4423"/>
      <c r="G83" s="4423"/>
      <c r="H83" s="4423"/>
      <c r="I83" s="4423"/>
      <c r="J83" s="4423"/>
      <c r="K83" s="4423"/>
      <c r="L83" s="4423"/>
      <c r="M83" s="4423"/>
    </row>
    <row r="84" spans="1:13" s="4417" customFormat="1" ht="12.75" x14ac:dyDescent="0.2">
      <c r="A84" s="4416"/>
      <c r="B84" s="4422"/>
      <c r="C84" s="4422"/>
      <c r="D84" s="4423"/>
      <c r="E84" s="4423"/>
      <c r="F84" s="4423"/>
      <c r="G84" s="4423"/>
      <c r="H84" s="4423"/>
      <c r="I84" s="4423"/>
      <c r="J84" s="4423"/>
      <c r="K84" s="4423"/>
      <c r="L84" s="4423"/>
      <c r="M84" s="4423"/>
    </row>
    <row r="85" spans="1:13" s="4417" customFormat="1" ht="12.75" x14ac:dyDescent="0.2">
      <c r="A85" s="4416"/>
      <c r="B85" s="4422"/>
      <c r="C85" s="4422"/>
      <c r="D85" s="4423"/>
      <c r="E85" s="4423"/>
      <c r="F85" s="4423"/>
      <c r="G85" s="4423"/>
      <c r="H85" s="4423"/>
      <c r="I85" s="4423"/>
      <c r="J85" s="4423"/>
      <c r="K85" s="4423"/>
      <c r="L85" s="4423"/>
      <c r="M85" s="4423"/>
    </row>
    <row r="86" spans="1:13" s="4417" customFormat="1" ht="12.75" x14ac:dyDescent="0.2">
      <c r="A86" s="4416"/>
      <c r="B86" s="4422"/>
      <c r="C86" s="4422"/>
      <c r="D86" s="4423"/>
      <c r="E86" s="4423"/>
      <c r="F86" s="4423"/>
      <c r="G86" s="4423"/>
      <c r="H86" s="4423"/>
      <c r="I86" s="4423"/>
      <c r="J86" s="4423"/>
      <c r="K86" s="4423"/>
      <c r="L86" s="4423"/>
      <c r="M86" s="4423"/>
    </row>
    <row r="87" spans="1:13" s="4417" customFormat="1" ht="12.75" x14ac:dyDescent="0.2">
      <c r="A87" s="4416"/>
      <c r="B87" s="4422"/>
      <c r="C87" s="4422"/>
      <c r="D87" s="4423"/>
      <c r="E87" s="4423"/>
      <c r="F87" s="4423"/>
      <c r="G87" s="4423"/>
      <c r="H87" s="4423"/>
      <c r="I87" s="4423"/>
      <c r="J87" s="4423"/>
      <c r="K87" s="4423"/>
      <c r="L87" s="4423"/>
      <c r="M87" s="4423"/>
    </row>
    <row r="88" spans="1:13" s="4417" customFormat="1" ht="12.75" x14ac:dyDescent="0.2">
      <c r="A88" s="4416"/>
      <c r="B88" s="4422"/>
      <c r="C88" s="4422"/>
      <c r="D88" s="4423"/>
      <c r="E88" s="4423"/>
      <c r="F88" s="4423"/>
      <c r="G88" s="4423"/>
      <c r="H88" s="4423"/>
      <c r="I88" s="4423"/>
      <c r="J88" s="4423"/>
      <c r="K88" s="4423"/>
      <c r="L88" s="4423"/>
      <c r="M88" s="4423"/>
    </row>
    <row r="89" spans="1:13" s="4417" customFormat="1" ht="12.75" x14ac:dyDescent="0.2">
      <c r="A89" s="4416"/>
      <c r="B89" s="4422"/>
      <c r="C89" s="4422"/>
      <c r="D89" s="4423"/>
      <c r="E89" s="4423"/>
      <c r="F89" s="4423"/>
      <c r="G89" s="4423"/>
      <c r="H89" s="4423"/>
      <c r="I89" s="4423"/>
      <c r="J89" s="4423"/>
      <c r="K89" s="4423"/>
      <c r="L89" s="4423"/>
      <c r="M89" s="4423"/>
    </row>
    <row r="90" spans="1:13" s="4417" customFormat="1" ht="12.75" x14ac:dyDescent="0.2">
      <c r="A90" s="4416"/>
      <c r="B90" s="4422"/>
      <c r="C90" s="4422"/>
      <c r="D90" s="4423"/>
      <c r="E90" s="4423"/>
      <c r="F90" s="4423"/>
      <c r="G90" s="4423"/>
      <c r="H90" s="4423"/>
      <c r="I90" s="4423"/>
      <c r="J90" s="4423"/>
      <c r="K90" s="4423"/>
      <c r="L90" s="4423"/>
      <c r="M90" s="4423"/>
    </row>
    <row r="91" spans="1:13" s="4417" customFormat="1" ht="12.75" x14ac:dyDescent="0.2">
      <c r="A91" s="4416"/>
      <c r="B91" s="4422"/>
      <c r="C91" s="4422"/>
      <c r="D91" s="4423"/>
      <c r="E91" s="4423"/>
      <c r="F91" s="4423"/>
      <c r="G91" s="4423"/>
      <c r="H91" s="4423"/>
      <c r="I91" s="4423"/>
      <c r="J91" s="4423"/>
      <c r="K91" s="4423"/>
      <c r="L91" s="4423"/>
      <c r="M91" s="4423"/>
    </row>
    <row r="92" spans="1:13" s="4417" customFormat="1" ht="12.75" x14ac:dyDescent="0.2">
      <c r="A92" s="4416"/>
      <c r="B92" s="4422"/>
      <c r="C92" s="4422"/>
      <c r="D92" s="4423"/>
      <c r="E92" s="4423"/>
      <c r="F92" s="4423"/>
      <c r="G92" s="4423"/>
      <c r="H92" s="4423"/>
      <c r="I92" s="4423"/>
      <c r="J92" s="4423"/>
      <c r="K92" s="4423"/>
      <c r="L92" s="4423"/>
      <c r="M92" s="4423"/>
    </row>
    <row r="93" spans="1:13" s="4417" customFormat="1" ht="12.75" x14ac:dyDescent="0.2">
      <c r="A93" s="4416"/>
      <c r="B93" s="4422"/>
      <c r="C93" s="4422"/>
      <c r="D93" s="4423"/>
      <c r="E93" s="4423"/>
      <c r="F93" s="4423"/>
      <c r="G93" s="4423"/>
      <c r="H93" s="4423"/>
      <c r="I93" s="4423"/>
      <c r="J93" s="4423"/>
      <c r="K93" s="4423"/>
      <c r="L93" s="4423"/>
      <c r="M93" s="4423"/>
    </row>
    <row r="94" spans="1:13" s="4417" customFormat="1" ht="12.75" x14ac:dyDescent="0.2">
      <c r="A94" s="4416"/>
      <c r="B94" s="4422"/>
      <c r="C94" s="4422"/>
      <c r="D94" s="4423"/>
      <c r="E94" s="4423"/>
      <c r="F94" s="4423"/>
      <c r="G94" s="4423"/>
      <c r="H94" s="4423"/>
      <c r="I94" s="4423"/>
      <c r="J94" s="4423"/>
      <c r="K94" s="4423"/>
      <c r="L94" s="4423"/>
      <c r="M94" s="4423"/>
    </row>
    <row r="95" spans="1:13" s="4417" customFormat="1" ht="12.75" x14ac:dyDescent="0.2">
      <c r="A95" s="4416"/>
      <c r="B95" s="4422"/>
      <c r="C95" s="4422"/>
      <c r="D95" s="4423"/>
      <c r="E95" s="4423"/>
      <c r="F95" s="4423"/>
      <c r="G95" s="4423"/>
      <c r="H95" s="4423"/>
      <c r="I95" s="4423"/>
      <c r="J95" s="4423"/>
      <c r="K95" s="4423"/>
      <c r="L95" s="4423"/>
      <c r="M95" s="4423"/>
    </row>
    <row r="96" spans="1:13" s="4417" customFormat="1" ht="12.75" x14ac:dyDescent="0.2">
      <c r="A96" s="4416"/>
      <c r="B96" s="4422"/>
      <c r="C96" s="4422"/>
      <c r="D96" s="4423"/>
      <c r="E96" s="4423"/>
      <c r="F96" s="4423"/>
      <c r="G96" s="4423"/>
      <c r="H96" s="4423"/>
      <c r="I96" s="4423"/>
      <c r="J96" s="4423"/>
      <c r="K96" s="4423"/>
      <c r="L96" s="4423"/>
      <c r="M96" s="4423"/>
    </row>
    <row r="97" spans="1:13" s="4417" customFormat="1" ht="12.75" x14ac:dyDescent="0.2">
      <c r="A97" s="4416"/>
      <c r="B97" s="4422"/>
      <c r="C97" s="4422"/>
      <c r="D97" s="4423"/>
      <c r="E97" s="4423"/>
      <c r="F97" s="4423"/>
      <c r="G97" s="4423"/>
      <c r="H97" s="4423"/>
      <c r="I97" s="4423"/>
      <c r="J97" s="4423"/>
      <c r="K97" s="4423"/>
      <c r="L97" s="4423"/>
      <c r="M97" s="4423"/>
    </row>
    <row r="98" spans="1:13" s="4417" customFormat="1" ht="12.75" x14ac:dyDescent="0.2">
      <c r="A98" s="4416"/>
      <c r="B98" s="4422"/>
      <c r="C98" s="4422"/>
      <c r="D98" s="4423"/>
      <c r="E98" s="4423"/>
      <c r="F98" s="4423"/>
      <c r="G98" s="4423"/>
      <c r="H98" s="4423"/>
      <c r="I98" s="4423"/>
      <c r="J98" s="4423"/>
      <c r="K98" s="4423"/>
      <c r="L98" s="4423"/>
      <c r="M98" s="4423"/>
    </row>
    <row r="99" spans="1:13" s="4417" customFormat="1" ht="12.75" x14ac:dyDescent="0.2">
      <c r="A99" s="4416"/>
      <c r="B99" s="4422"/>
      <c r="C99" s="4422"/>
      <c r="D99" s="4423"/>
      <c r="E99" s="4423"/>
      <c r="F99" s="4423"/>
      <c r="G99" s="4423"/>
      <c r="H99" s="4423"/>
      <c r="I99" s="4423"/>
      <c r="J99" s="4423"/>
      <c r="K99" s="4423"/>
      <c r="L99" s="4423"/>
      <c r="M99" s="4423"/>
    </row>
    <row r="100" spans="1:13" s="4417" customFormat="1" ht="12.75" x14ac:dyDescent="0.2">
      <c r="A100" s="4416"/>
      <c r="B100" s="4422"/>
      <c r="C100" s="4422"/>
      <c r="D100" s="4423"/>
      <c r="E100" s="4423"/>
      <c r="F100" s="4423"/>
      <c r="G100" s="4423"/>
      <c r="H100" s="4423"/>
      <c r="I100" s="4423"/>
      <c r="J100" s="4423"/>
      <c r="K100" s="4423"/>
      <c r="L100" s="4423"/>
      <c r="M100" s="4423"/>
    </row>
    <row r="101" spans="1:13" s="4417" customFormat="1" ht="12.75" x14ac:dyDescent="0.2">
      <c r="A101" s="4416"/>
      <c r="B101" s="4422"/>
      <c r="C101" s="4422"/>
      <c r="D101" s="4423"/>
      <c r="E101" s="4423"/>
      <c r="F101" s="4423"/>
      <c r="G101" s="4423"/>
      <c r="H101" s="4423"/>
      <c r="I101" s="4423"/>
      <c r="J101" s="4423"/>
      <c r="K101" s="4423"/>
      <c r="L101" s="4423"/>
      <c r="M101" s="4423"/>
    </row>
    <row r="102" spans="1:13" s="4417" customFormat="1" ht="12.75" x14ac:dyDescent="0.2">
      <c r="A102" s="4416"/>
      <c r="B102" s="4422"/>
      <c r="C102" s="4422"/>
      <c r="D102" s="4423"/>
      <c r="E102" s="4423"/>
      <c r="F102" s="4423"/>
      <c r="G102" s="4423"/>
      <c r="H102" s="4423"/>
      <c r="I102" s="4423"/>
      <c r="J102" s="4423"/>
      <c r="K102" s="4423"/>
      <c r="L102" s="4423"/>
      <c r="M102" s="4423"/>
    </row>
    <row r="103" spans="1:13" s="4417" customFormat="1" ht="12.75" x14ac:dyDescent="0.2">
      <c r="A103" s="4416"/>
      <c r="B103" s="4422"/>
      <c r="C103" s="4422"/>
      <c r="D103" s="4423"/>
      <c r="E103" s="4423"/>
      <c r="F103" s="4423"/>
      <c r="G103" s="4423"/>
      <c r="H103" s="4423"/>
      <c r="I103" s="4423"/>
      <c r="J103" s="4423"/>
      <c r="K103" s="4423"/>
      <c r="L103" s="4423"/>
      <c r="M103" s="4423"/>
    </row>
    <row r="104" spans="1:13" s="4417" customFormat="1" ht="12.75" x14ac:dyDescent="0.2">
      <c r="A104" s="4416"/>
      <c r="B104" s="4422"/>
      <c r="C104" s="4422"/>
      <c r="D104" s="4423"/>
      <c r="E104" s="4423"/>
      <c r="F104" s="4423"/>
      <c r="G104" s="4423"/>
      <c r="H104" s="4423"/>
      <c r="I104" s="4423"/>
      <c r="J104" s="4423"/>
      <c r="K104" s="4423"/>
      <c r="L104" s="4423"/>
      <c r="M104" s="4423"/>
    </row>
    <row r="105" spans="1:13" s="4417" customFormat="1" ht="12.75" x14ac:dyDescent="0.2">
      <c r="A105" s="4416"/>
      <c r="B105" s="4422"/>
      <c r="C105" s="4422"/>
      <c r="D105" s="4423"/>
      <c r="E105" s="4423"/>
      <c r="F105" s="4423"/>
      <c r="G105" s="4423"/>
      <c r="H105" s="4423"/>
      <c r="I105" s="4423"/>
      <c r="J105" s="4423"/>
      <c r="K105" s="4423"/>
      <c r="L105" s="4423"/>
      <c r="M105" s="4423"/>
    </row>
    <row r="106" spans="1:13" s="4417" customFormat="1" ht="12.75" x14ac:dyDescent="0.2">
      <c r="A106" s="4416"/>
      <c r="B106" s="4422"/>
      <c r="C106" s="4422"/>
      <c r="D106" s="4423"/>
      <c r="E106" s="4423"/>
      <c r="F106" s="4423"/>
      <c r="G106" s="4423"/>
      <c r="H106" s="4423"/>
      <c r="I106" s="4423"/>
      <c r="J106" s="4423"/>
      <c r="K106" s="4423"/>
      <c r="L106" s="4423"/>
      <c r="M106" s="4423"/>
    </row>
    <row r="107" spans="1:13" s="4417" customFormat="1" ht="12.75" x14ac:dyDescent="0.2">
      <c r="A107" s="4416"/>
      <c r="B107" s="4422"/>
      <c r="C107" s="4422"/>
      <c r="D107" s="4423"/>
      <c r="E107" s="4423"/>
      <c r="F107" s="4423"/>
      <c r="G107" s="4423"/>
      <c r="H107" s="4423"/>
      <c r="I107" s="4423"/>
      <c r="J107" s="4423"/>
      <c r="K107" s="4423"/>
      <c r="L107" s="4423"/>
      <c r="M107" s="4423"/>
    </row>
    <row r="108" spans="1:13" s="4417" customFormat="1" ht="12.75" x14ac:dyDescent="0.2">
      <c r="A108" s="4416"/>
      <c r="B108" s="4422"/>
      <c r="C108" s="4422"/>
      <c r="D108" s="4423"/>
      <c r="E108" s="4423"/>
      <c r="F108" s="4423"/>
      <c r="G108" s="4423"/>
      <c r="H108" s="4423"/>
      <c r="I108" s="4423"/>
      <c r="J108" s="4423"/>
      <c r="K108" s="4423"/>
      <c r="L108" s="4423"/>
      <c r="M108" s="4423"/>
    </row>
    <row r="109" spans="1:13" s="4417" customFormat="1" ht="12.75" x14ac:dyDescent="0.2">
      <c r="A109" s="4416"/>
      <c r="B109" s="4422"/>
      <c r="C109" s="4422"/>
      <c r="D109" s="4423"/>
      <c r="E109" s="4423"/>
      <c r="F109" s="4423"/>
      <c r="G109" s="4423"/>
      <c r="H109" s="4423"/>
      <c r="I109" s="4423"/>
      <c r="J109" s="4423"/>
      <c r="K109" s="4423"/>
      <c r="L109" s="4423"/>
      <c r="M109" s="4423"/>
    </row>
    <row r="110" spans="1:13" s="751" customFormat="1" x14ac:dyDescent="0.2">
      <c r="A110" s="1119"/>
      <c r="B110" s="1119"/>
      <c r="C110" s="1119"/>
    </row>
    <row r="111" spans="1:13" s="751" customFormat="1" x14ac:dyDescent="0.2">
      <c r="A111" s="1119"/>
      <c r="B111" s="1119"/>
      <c r="C111" s="1119"/>
    </row>
    <row r="112" spans="1:13" s="3829" customFormat="1" x14ac:dyDescent="0.25">
      <c r="A112" s="4425"/>
      <c r="B112" s="4425"/>
      <c r="C112" s="4425"/>
    </row>
    <row r="113" spans="1:16" s="3829" customFormat="1" x14ac:dyDescent="0.25">
      <c r="A113" s="4425"/>
      <c r="B113" s="4425"/>
      <c r="C113" s="4425"/>
      <c r="N113" s="4426"/>
    </row>
    <row r="114" spans="1:16" s="3829" customFormat="1" x14ac:dyDescent="0.25">
      <c r="A114" s="4425"/>
      <c r="B114" s="4427"/>
      <c r="C114" s="4427"/>
      <c r="D114" s="4428"/>
      <c r="E114" s="4428"/>
      <c r="F114" s="4428"/>
      <c r="G114" s="4428"/>
      <c r="H114" s="4428"/>
      <c r="I114" s="4428"/>
      <c r="J114" s="4429"/>
      <c r="K114" s="4428"/>
      <c r="L114" s="4428"/>
      <c r="M114" s="4428"/>
      <c r="N114" s="4430"/>
      <c r="O114" s="4431"/>
      <c r="P114" s="4431"/>
    </row>
    <row r="115" spans="1:16" s="3829" customFormat="1" x14ac:dyDescent="0.25">
      <c r="A115" s="4425"/>
      <c r="B115" s="4432"/>
      <c r="C115" s="4432"/>
      <c r="D115" s="4433"/>
      <c r="E115" s="4433"/>
      <c r="F115" s="4433"/>
      <c r="G115" s="4433"/>
      <c r="H115" s="4433"/>
      <c r="I115" s="4433"/>
      <c r="J115" s="4433"/>
      <c r="K115" s="4433"/>
      <c r="L115" s="4433"/>
      <c r="M115" s="4433"/>
      <c r="N115" s="4434"/>
      <c r="O115" s="4435"/>
      <c r="P115" s="4399"/>
    </row>
    <row r="116" spans="1:16" s="3829" customFormat="1" x14ac:dyDescent="0.25">
      <c r="A116" s="4425"/>
      <c r="B116" s="4432"/>
      <c r="C116" s="4432"/>
      <c r="D116" s="4433"/>
      <c r="E116" s="4433"/>
      <c r="F116" s="4433"/>
      <c r="G116" s="4433"/>
      <c r="H116" s="4433"/>
      <c r="I116" s="4433"/>
      <c r="J116" s="4433"/>
      <c r="K116" s="4433"/>
      <c r="L116" s="4433"/>
      <c r="M116" s="4433"/>
      <c r="N116" s="4434"/>
      <c r="O116" s="4435"/>
      <c r="P116" s="4399"/>
    </row>
    <row r="117" spans="1:16" s="3829" customFormat="1" x14ac:dyDescent="0.25">
      <c r="A117" s="4425"/>
      <c r="B117" s="4432"/>
      <c r="C117" s="4432"/>
      <c r="D117" s="4433"/>
      <c r="E117" s="4433"/>
      <c r="F117" s="4433"/>
      <c r="G117" s="4433"/>
      <c r="H117" s="4433"/>
      <c r="I117" s="4433"/>
      <c r="J117" s="4433"/>
      <c r="K117" s="4433"/>
      <c r="L117" s="4433"/>
      <c r="M117" s="4433"/>
      <c r="N117" s="4434"/>
      <c r="O117" s="4435"/>
      <c r="P117" s="4399"/>
    </row>
    <row r="118" spans="1:16" s="3829" customFormat="1" x14ac:dyDescent="0.25">
      <c r="A118" s="4425"/>
      <c r="B118" s="4432"/>
      <c r="C118" s="4432"/>
      <c r="D118" s="4433"/>
      <c r="E118" s="4433"/>
      <c r="F118" s="4433"/>
      <c r="G118" s="4433"/>
      <c r="H118" s="4433"/>
      <c r="I118" s="4433"/>
      <c r="J118" s="4433"/>
      <c r="K118" s="4433"/>
      <c r="L118" s="4436"/>
      <c r="M118" s="4436"/>
      <c r="N118" s="4437"/>
      <c r="O118" s="4435"/>
      <c r="P118" s="4438"/>
    </row>
    <row r="119" spans="1:16" s="3829" customFormat="1" x14ac:dyDescent="0.25">
      <c r="A119" s="4425"/>
      <c r="B119" s="4432"/>
      <c r="C119" s="4432"/>
      <c r="D119" s="4433"/>
      <c r="E119" s="4433"/>
      <c r="F119" s="4433"/>
      <c r="G119" s="4433"/>
      <c r="H119" s="4433"/>
      <c r="I119" s="4433"/>
      <c r="J119" s="4433"/>
      <c r="K119" s="4433"/>
      <c r="L119" s="4436"/>
      <c r="M119" s="4436"/>
      <c r="N119" s="4437"/>
      <c r="O119" s="4435"/>
      <c r="P119" s="4438"/>
    </row>
    <row r="120" spans="1:16" s="3829" customFormat="1" x14ac:dyDescent="0.25">
      <c r="A120" s="4425"/>
      <c r="B120" s="4425"/>
      <c r="C120" s="4425"/>
      <c r="N120" s="4426"/>
    </row>
    <row r="121" spans="1:16" s="3829" customFormat="1" x14ac:dyDescent="0.25">
      <c r="A121" s="4425"/>
      <c r="B121" s="4425"/>
      <c r="C121" s="4425"/>
      <c r="N121" s="4426"/>
    </row>
    <row r="122" spans="1:16" s="3829" customFormat="1" x14ac:dyDescent="0.25">
      <c r="A122" s="4425"/>
      <c r="B122" s="4427"/>
      <c r="C122" s="4427"/>
      <c r="D122" s="4428"/>
      <c r="E122" s="4428"/>
      <c r="F122" s="4428"/>
      <c r="G122" s="4428"/>
      <c r="H122" s="4428"/>
      <c r="I122" s="4428"/>
      <c r="J122" s="4429"/>
      <c r="K122" s="4428"/>
      <c r="L122" s="4428"/>
      <c r="M122" s="4428"/>
      <c r="N122" s="4439"/>
      <c r="O122" s="4431"/>
      <c r="P122" s="4428"/>
    </row>
    <row r="123" spans="1:16" s="751" customFormat="1" x14ac:dyDescent="0.25">
      <c r="A123" s="4425"/>
      <c r="B123" s="4440"/>
      <c r="C123" s="4440"/>
      <c r="D123" s="4441"/>
      <c r="E123" s="4441"/>
      <c r="F123" s="4441"/>
      <c r="G123" s="4441"/>
      <c r="H123" s="4441"/>
      <c r="I123" s="4441"/>
      <c r="J123" s="4441"/>
      <c r="K123" s="4441"/>
      <c r="L123" s="4441"/>
      <c r="M123" s="4441"/>
      <c r="N123" s="1973"/>
      <c r="O123" s="1897"/>
      <c r="P123" s="1927"/>
    </row>
    <row r="124" spans="1:16" s="751" customFormat="1" x14ac:dyDescent="0.25">
      <c r="A124" s="1119"/>
      <c r="B124" s="1897"/>
      <c r="C124" s="1897"/>
      <c r="D124" s="1927"/>
      <c r="E124" s="1927"/>
      <c r="F124" s="1927"/>
      <c r="G124" s="1927"/>
      <c r="H124" s="1927"/>
      <c r="I124" s="1927"/>
      <c r="J124" s="1927"/>
      <c r="K124" s="1927"/>
      <c r="L124" s="1927"/>
      <c r="M124" s="1927"/>
      <c r="N124" s="1973"/>
      <c r="O124" s="1897"/>
      <c r="P124" s="1927"/>
    </row>
    <row r="125" spans="1:16" s="751" customFormat="1" x14ac:dyDescent="0.25">
      <c r="A125" s="1119"/>
      <c r="B125" s="1897"/>
      <c r="C125" s="1897"/>
      <c r="D125" s="1927"/>
      <c r="E125" s="1927"/>
      <c r="F125" s="1927"/>
      <c r="G125" s="1927"/>
      <c r="H125" s="1927"/>
      <c r="I125" s="1927"/>
      <c r="J125" s="1927"/>
      <c r="K125" s="1927"/>
      <c r="L125" s="1927"/>
      <c r="M125" s="1927"/>
      <c r="N125" s="1973"/>
      <c r="O125" s="1897"/>
      <c r="P125" s="1927"/>
    </row>
    <row r="126" spans="1:16" s="751" customFormat="1" x14ac:dyDescent="0.25">
      <c r="A126" s="1119"/>
      <c r="B126" s="1897"/>
      <c r="C126" s="1897"/>
      <c r="D126" s="1927"/>
      <c r="E126" s="1927"/>
      <c r="F126" s="1927"/>
      <c r="G126" s="1927"/>
      <c r="H126" s="1927"/>
      <c r="I126" s="1927"/>
      <c r="J126" s="1927"/>
      <c r="K126" s="1927"/>
      <c r="L126" s="1927"/>
      <c r="M126" s="1927"/>
      <c r="N126" s="1973"/>
      <c r="O126" s="1897"/>
      <c r="P126" s="1927"/>
    </row>
    <row r="127" spans="1:16" s="751" customFormat="1" x14ac:dyDescent="0.25">
      <c r="A127" s="1119"/>
      <c r="B127" s="1897"/>
      <c r="C127" s="1897"/>
      <c r="D127" s="1927"/>
      <c r="E127" s="1927"/>
      <c r="F127" s="1927"/>
      <c r="G127" s="1927"/>
      <c r="H127" s="1927"/>
      <c r="I127" s="1927"/>
      <c r="J127" s="1927"/>
      <c r="K127" s="1927"/>
      <c r="L127" s="1927"/>
      <c r="M127" s="1927"/>
      <c r="N127" s="1973"/>
      <c r="O127" s="1897"/>
      <c r="P127" s="1927"/>
    </row>
  </sheetData>
  <mergeCells count="8">
    <mergeCell ref="D35:AC35"/>
    <mergeCell ref="D36:AC36"/>
    <mergeCell ref="D2:AC2"/>
    <mergeCell ref="D3:AC3"/>
    <mergeCell ref="D4:AC4"/>
    <mergeCell ref="E15:K15"/>
    <mergeCell ref="D33:AC33"/>
    <mergeCell ref="D34:AC34"/>
  </mergeCells>
  <pageMargins left="0.74803149606299202" right="0.74803149606299202" top="0.98425196850393704" bottom="0.98425196850393704" header="0.511811023622047" footer="0.511811023622047"/>
  <pageSetup paperSize="9" scale="70"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81876-3950-421D-86F4-0653AD9A6520}">
  <sheetPr>
    <tabColor rgb="FFFF0000"/>
    <pageSetUpPr fitToPage="1"/>
  </sheetPr>
  <dimension ref="A1:AF127"/>
  <sheetViews>
    <sheetView showGridLines="0" view="pageBreakPreview" zoomScaleNormal="100" workbookViewId="0">
      <selection activeCell="N13" sqref="N13"/>
    </sheetView>
  </sheetViews>
  <sheetFormatPr defaultColWidth="9.140625" defaultRowHeight="15" x14ac:dyDescent="0.25"/>
  <cols>
    <col min="1" max="1" width="3.85546875" style="509" customWidth="1"/>
    <col min="2" max="2" width="10.140625" style="1119" customWidth="1"/>
    <col min="3" max="3" width="3.85546875" style="1119" customWidth="1"/>
    <col min="4" max="4" width="23.85546875" style="113" customWidth="1"/>
    <col min="5" max="5" width="7.5703125" style="113" customWidth="1"/>
    <col min="6" max="7" width="6.5703125" style="113" customWidth="1"/>
    <col min="8" max="8" width="7.5703125" style="113" customWidth="1"/>
    <col min="9" max="9" width="6.140625" style="113" customWidth="1"/>
    <col min="10" max="13" width="6.5703125" style="113" customWidth="1"/>
    <col min="14" max="14" width="7" style="113" customWidth="1"/>
    <col min="15" max="25" width="6.5703125" style="113" customWidth="1"/>
    <col min="26" max="26" width="6.42578125" style="113" customWidth="1"/>
    <col min="27" max="27" width="7.140625" style="113" customWidth="1"/>
    <col min="28" max="28" width="6.5703125" style="113" customWidth="1"/>
    <col min="29" max="29" width="7.140625" style="113" customWidth="1"/>
    <col min="30" max="31" width="6.85546875" style="113" customWidth="1"/>
    <col min="32" max="32" width="7.140625" style="113" customWidth="1"/>
    <col min="33" max="257" width="9.140625" style="113"/>
    <col min="258" max="258" width="3.85546875" style="113" customWidth="1"/>
    <col min="259" max="259" width="14.42578125" style="113" customWidth="1"/>
    <col min="260" max="260" width="3.85546875" style="113" customWidth="1"/>
    <col min="261" max="261" width="20.42578125" style="113" customWidth="1"/>
    <col min="262" max="276" width="7.5703125" style="113" customWidth="1"/>
    <col min="277" max="513" width="9.140625" style="113"/>
    <col min="514" max="514" width="3.85546875" style="113" customWidth="1"/>
    <col min="515" max="515" width="14.42578125" style="113" customWidth="1"/>
    <col min="516" max="516" width="3.85546875" style="113" customWidth="1"/>
    <col min="517" max="517" width="20.42578125" style="113" customWidth="1"/>
    <col min="518" max="532" width="7.5703125" style="113" customWidth="1"/>
    <col min="533" max="769" width="9.140625" style="113"/>
    <col min="770" max="770" width="3.85546875" style="113" customWidth="1"/>
    <col min="771" max="771" width="14.42578125" style="113" customWidth="1"/>
    <col min="772" max="772" width="3.85546875" style="113" customWidth="1"/>
    <col min="773" max="773" width="20.42578125" style="113" customWidth="1"/>
    <col min="774" max="788" width="7.5703125" style="113" customWidth="1"/>
    <col min="789" max="1025" width="9.140625" style="113"/>
    <col min="1026" max="1026" width="3.85546875" style="113" customWidth="1"/>
    <col min="1027" max="1027" width="14.42578125" style="113" customWidth="1"/>
    <col min="1028" max="1028" width="3.85546875" style="113" customWidth="1"/>
    <col min="1029" max="1029" width="20.42578125" style="113" customWidth="1"/>
    <col min="1030" max="1044" width="7.5703125" style="113" customWidth="1"/>
    <col min="1045" max="1281" width="9.140625" style="113"/>
    <col min="1282" max="1282" width="3.85546875" style="113" customWidth="1"/>
    <col min="1283" max="1283" width="14.42578125" style="113" customWidth="1"/>
    <col min="1284" max="1284" width="3.85546875" style="113" customWidth="1"/>
    <col min="1285" max="1285" width="20.42578125" style="113" customWidth="1"/>
    <col min="1286" max="1300" width="7.5703125" style="113" customWidth="1"/>
    <col min="1301" max="1537" width="9.140625" style="113"/>
    <col min="1538" max="1538" width="3.85546875" style="113" customWidth="1"/>
    <col min="1539" max="1539" width="14.42578125" style="113" customWidth="1"/>
    <col min="1540" max="1540" width="3.85546875" style="113" customWidth="1"/>
    <col min="1541" max="1541" width="20.42578125" style="113" customWidth="1"/>
    <col min="1542" max="1556" width="7.5703125" style="113" customWidth="1"/>
    <col min="1557" max="1793" width="9.140625" style="113"/>
    <col min="1794" max="1794" width="3.85546875" style="113" customWidth="1"/>
    <col min="1795" max="1795" width="14.42578125" style="113" customWidth="1"/>
    <col min="1796" max="1796" width="3.85546875" style="113" customWidth="1"/>
    <col min="1797" max="1797" width="20.42578125" style="113" customWidth="1"/>
    <col min="1798" max="1812" width="7.5703125" style="113" customWidth="1"/>
    <col min="1813" max="2049" width="9.140625" style="113"/>
    <col min="2050" max="2050" width="3.85546875" style="113" customWidth="1"/>
    <col min="2051" max="2051" width="14.42578125" style="113" customWidth="1"/>
    <col min="2052" max="2052" width="3.85546875" style="113" customWidth="1"/>
    <col min="2053" max="2053" width="20.42578125" style="113" customWidth="1"/>
    <col min="2054" max="2068" width="7.5703125" style="113" customWidth="1"/>
    <col min="2069" max="2305" width="9.140625" style="113"/>
    <col min="2306" max="2306" width="3.85546875" style="113" customWidth="1"/>
    <col min="2307" max="2307" width="14.42578125" style="113" customWidth="1"/>
    <col min="2308" max="2308" width="3.85546875" style="113" customWidth="1"/>
    <col min="2309" max="2309" width="20.42578125" style="113" customWidth="1"/>
    <col min="2310" max="2324" width="7.5703125" style="113" customWidth="1"/>
    <col min="2325" max="2561" width="9.140625" style="113"/>
    <col min="2562" max="2562" width="3.85546875" style="113" customWidth="1"/>
    <col min="2563" max="2563" width="14.42578125" style="113" customWidth="1"/>
    <col min="2564" max="2564" width="3.85546875" style="113" customWidth="1"/>
    <col min="2565" max="2565" width="20.42578125" style="113" customWidth="1"/>
    <col min="2566" max="2580" width="7.5703125" style="113" customWidth="1"/>
    <col min="2581" max="2817" width="9.140625" style="113"/>
    <col min="2818" max="2818" width="3.85546875" style="113" customWidth="1"/>
    <col min="2819" max="2819" width="14.42578125" style="113" customWidth="1"/>
    <col min="2820" max="2820" width="3.85546875" style="113" customWidth="1"/>
    <col min="2821" max="2821" width="20.42578125" style="113" customWidth="1"/>
    <col min="2822" max="2836" width="7.5703125" style="113" customWidth="1"/>
    <col min="2837" max="3073" width="9.140625" style="113"/>
    <col min="3074" max="3074" width="3.85546875" style="113" customWidth="1"/>
    <col min="3075" max="3075" width="14.42578125" style="113" customWidth="1"/>
    <col min="3076" max="3076" width="3.85546875" style="113" customWidth="1"/>
    <col min="3077" max="3077" width="20.42578125" style="113" customWidth="1"/>
    <col min="3078" max="3092" width="7.5703125" style="113" customWidth="1"/>
    <col min="3093" max="3329" width="9.140625" style="113"/>
    <col min="3330" max="3330" width="3.85546875" style="113" customWidth="1"/>
    <col min="3331" max="3331" width="14.42578125" style="113" customWidth="1"/>
    <col min="3332" max="3332" width="3.85546875" style="113" customWidth="1"/>
    <col min="3333" max="3333" width="20.42578125" style="113" customWidth="1"/>
    <col min="3334" max="3348" width="7.5703125" style="113" customWidth="1"/>
    <col min="3349" max="3585" width="9.140625" style="113"/>
    <col min="3586" max="3586" width="3.85546875" style="113" customWidth="1"/>
    <col min="3587" max="3587" width="14.42578125" style="113" customWidth="1"/>
    <col min="3588" max="3588" width="3.85546875" style="113" customWidth="1"/>
    <col min="3589" max="3589" width="20.42578125" style="113" customWidth="1"/>
    <col min="3590" max="3604" width="7.5703125" style="113" customWidth="1"/>
    <col min="3605" max="3841" width="9.140625" style="113"/>
    <col min="3842" max="3842" width="3.85546875" style="113" customWidth="1"/>
    <col min="3843" max="3843" width="14.42578125" style="113" customWidth="1"/>
    <col min="3844" max="3844" width="3.85546875" style="113" customWidth="1"/>
    <col min="3845" max="3845" width="20.42578125" style="113" customWidth="1"/>
    <col min="3846" max="3860" width="7.5703125" style="113" customWidth="1"/>
    <col min="3861" max="4097" width="9.140625" style="113"/>
    <col min="4098" max="4098" width="3.85546875" style="113" customWidth="1"/>
    <col min="4099" max="4099" width="14.42578125" style="113" customWidth="1"/>
    <col min="4100" max="4100" width="3.85546875" style="113" customWidth="1"/>
    <col min="4101" max="4101" width="20.42578125" style="113" customWidth="1"/>
    <col min="4102" max="4116" width="7.5703125" style="113" customWidth="1"/>
    <col min="4117" max="4353" width="9.140625" style="113"/>
    <col min="4354" max="4354" width="3.85546875" style="113" customWidth="1"/>
    <col min="4355" max="4355" width="14.42578125" style="113" customWidth="1"/>
    <col min="4356" max="4356" width="3.85546875" style="113" customWidth="1"/>
    <col min="4357" max="4357" width="20.42578125" style="113" customWidth="1"/>
    <col min="4358" max="4372" width="7.5703125" style="113" customWidth="1"/>
    <col min="4373" max="4609" width="9.140625" style="113"/>
    <col min="4610" max="4610" width="3.85546875" style="113" customWidth="1"/>
    <col min="4611" max="4611" width="14.42578125" style="113" customWidth="1"/>
    <col min="4612" max="4612" width="3.85546875" style="113" customWidth="1"/>
    <col min="4613" max="4613" width="20.42578125" style="113" customWidth="1"/>
    <col min="4614" max="4628" width="7.5703125" style="113" customWidth="1"/>
    <col min="4629" max="4865" width="9.140625" style="113"/>
    <col min="4866" max="4866" width="3.85546875" style="113" customWidth="1"/>
    <col min="4867" max="4867" width="14.42578125" style="113" customWidth="1"/>
    <col min="4868" max="4868" width="3.85546875" style="113" customWidth="1"/>
    <col min="4869" max="4869" width="20.42578125" style="113" customWidth="1"/>
    <col min="4870" max="4884" width="7.5703125" style="113" customWidth="1"/>
    <col min="4885" max="5121" width="9.140625" style="113"/>
    <col min="5122" max="5122" width="3.85546875" style="113" customWidth="1"/>
    <col min="5123" max="5123" width="14.42578125" style="113" customWidth="1"/>
    <col min="5124" max="5124" width="3.85546875" style="113" customWidth="1"/>
    <col min="5125" max="5125" width="20.42578125" style="113" customWidth="1"/>
    <col min="5126" max="5140" width="7.5703125" style="113" customWidth="1"/>
    <col min="5141" max="5377" width="9.140625" style="113"/>
    <col min="5378" max="5378" width="3.85546875" style="113" customWidth="1"/>
    <col min="5379" max="5379" width="14.42578125" style="113" customWidth="1"/>
    <col min="5380" max="5380" width="3.85546875" style="113" customWidth="1"/>
    <col min="5381" max="5381" width="20.42578125" style="113" customWidth="1"/>
    <col min="5382" max="5396" width="7.5703125" style="113" customWidth="1"/>
    <col min="5397" max="5633" width="9.140625" style="113"/>
    <col min="5634" max="5634" width="3.85546875" style="113" customWidth="1"/>
    <col min="5635" max="5635" width="14.42578125" style="113" customWidth="1"/>
    <col min="5636" max="5636" width="3.85546875" style="113" customWidth="1"/>
    <col min="5637" max="5637" width="20.42578125" style="113" customWidth="1"/>
    <col min="5638" max="5652" width="7.5703125" style="113" customWidth="1"/>
    <col min="5653" max="5889" width="9.140625" style="113"/>
    <col min="5890" max="5890" width="3.85546875" style="113" customWidth="1"/>
    <col min="5891" max="5891" width="14.42578125" style="113" customWidth="1"/>
    <col min="5892" max="5892" width="3.85546875" style="113" customWidth="1"/>
    <col min="5893" max="5893" width="20.42578125" style="113" customWidth="1"/>
    <col min="5894" max="5908" width="7.5703125" style="113" customWidth="1"/>
    <col min="5909" max="6145" width="9.140625" style="113"/>
    <col min="6146" max="6146" width="3.85546875" style="113" customWidth="1"/>
    <col min="6147" max="6147" width="14.42578125" style="113" customWidth="1"/>
    <col min="6148" max="6148" width="3.85546875" style="113" customWidth="1"/>
    <col min="6149" max="6149" width="20.42578125" style="113" customWidth="1"/>
    <col min="6150" max="6164" width="7.5703125" style="113" customWidth="1"/>
    <col min="6165" max="6401" width="9.140625" style="113"/>
    <col min="6402" max="6402" width="3.85546875" style="113" customWidth="1"/>
    <col min="6403" max="6403" width="14.42578125" style="113" customWidth="1"/>
    <col min="6404" max="6404" width="3.85546875" style="113" customWidth="1"/>
    <col min="6405" max="6405" width="20.42578125" style="113" customWidth="1"/>
    <col min="6406" max="6420" width="7.5703125" style="113" customWidth="1"/>
    <col min="6421" max="6657" width="9.140625" style="113"/>
    <col min="6658" max="6658" width="3.85546875" style="113" customWidth="1"/>
    <col min="6659" max="6659" width="14.42578125" style="113" customWidth="1"/>
    <col min="6660" max="6660" width="3.85546875" style="113" customWidth="1"/>
    <col min="6661" max="6661" width="20.42578125" style="113" customWidth="1"/>
    <col min="6662" max="6676" width="7.5703125" style="113" customWidth="1"/>
    <col min="6677" max="6913" width="9.140625" style="113"/>
    <col min="6914" max="6914" width="3.85546875" style="113" customWidth="1"/>
    <col min="6915" max="6915" width="14.42578125" style="113" customWidth="1"/>
    <col min="6916" max="6916" width="3.85546875" style="113" customWidth="1"/>
    <col min="6917" max="6917" width="20.42578125" style="113" customWidth="1"/>
    <col min="6918" max="6932" width="7.5703125" style="113" customWidth="1"/>
    <col min="6933" max="7169" width="9.140625" style="113"/>
    <col min="7170" max="7170" width="3.85546875" style="113" customWidth="1"/>
    <col min="7171" max="7171" width="14.42578125" style="113" customWidth="1"/>
    <col min="7172" max="7172" width="3.85546875" style="113" customWidth="1"/>
    <col min="7173" max="7173" width="20.42578125" style="113" customWidth="1"/>
    <col min="7174" max="7188" width="7.5703125" style="113" customWidth="1"/>
    <col min="7189" max="7425" width="9.140625" style="113"/>
    <col min="7426" max="7426" width="3.85546875" style="113" customWidth="1"/>
    <col min="7427" max="7427" width="14.42578125" style="113" customWidth="1"/>
    <col min="7428" max="7428" width="3.85546875" style="113" customWidth="1"/>
    <col min="7429" max="7429" width="20.42578125" style="113" customWidth="1"/>
    <col min="7430" max="7444" width="7.5703125" style="113" customWidth="1"/>
    <col min="7445" max="7681" width="9.140625" style="113"/>
    <col min="7682" max="7682" width="3.85546875" style="113" customWidth="1"/>
    <col min="7683" max="7683" width="14.42578125" style="113" customWidth="1"/>
    <col min="7684" max="7684" width="3.85546875" style="113" customWidth="1"/>
    <col min="7685" max="7685" width="20.42578125" style="113" customWidth="1"/>
    <col min="7686" max="7700" width="7.5703125" style="113" customWidth="1"/>
    <col min="7701" max="7937" width="9.140625" style="113"/>
    <col min="7938" max="7938" width="3.85546875" style="113" customWidth="1"/>
    <col min="7939" max="7939" width="14.42578125" style="113" customWidth="1"/>
    <col min="7940" max="7940" width="3.85546875" style="113" customWidth="1"/>
    <col min="7941" max="7941" width="20.42578125" style="113" customWidth="1"/>
    <col min="7942" max="7956" width="7.5703125" style="113" customWidth="1"/>
    <col min="7957" max="8193" width="9.140625" style="113"/>
    <col min="8194" max="8194" width="3.85546875" style="113" customWidth="1"/>
    <col min="8195" max="8195" width="14.42578125" style="113" customWidth="1"/>
    <col min="8196" max="8196" width="3.85546875" style="113" customWidth="1"/>
    <col min="8197" max="8197" width="20.42578125" style="113" customWidth="1"/>
    <col min="8198" max="8212" width="7.5703125" style="113" customWidth="1"/>
    <col min="8213" max="8449" width="9.140625" style="113"/>
    <col min="8450" max="8450" width="3.85546875" style="113" customWidth="1"/>
    <col min="8451" max="8451" width="14.42578125" style="113" customWidth="1"/>
    <col min="8452" max="8452" width="3.85546875" style="113" customWidth="1"/>
    <col min="8453" max="8453" width="20.42578125" style="113" customWidth="1"/>
    <col min="8454" max="8468" width="7.5703125" style="113" customWidth="1"/>
    <col min="8469" max="8705" width="9.140625" style="113"/>
    <col min="8706" max="8706" width="3.85546875" style="113" customWidth="1"/>
    <col min="8707" max="8707" width="14.42578125" style="113" customWidth="1"/>
    <col min="8708" max="8708" width="3.85546875" style="113" customWidth="1"/>
    <col min="8709" max="8709" width="20.42578125" style="113" customWidth="1"/>
    <col min="8710" max="8724" width="7.5703125" style="113" customWidth="1"/>
    <col min="8725" max="8961" width="9.140625" style="113"/>
    <col min="8962" max="8962" width="3.85546875" style="113" customWidth="1"/>
    <col min="8963" max="8963" width="14.42578125" style="113" customWidth="1"/>
    <col min="8964" max="8964" width="3.85546875" style="113" customWidth="1"/>
    <col min="8965" max="8965" width="20.42578125" style="113" customWidth="1"/>
    <col min="8966" max="8980" width="7.5703125" style="113" customWidth="1"/>
    <col min="8981" max="9217" width="9.140625" style="113"/>
    <col min="9218" max="9218" width="3.85546875" style="113" customWidth="1"/>
    <col min="9219" max="9219" width="14.42578125" style="113" customWidth="1"/>
    <col min="9220" max="9220" width="3.85546875" style="113" customWidth="1"/>
    <col min="9221" max="9221" width="20.42578125" style="113" customWidth="1"/>
    <col min="9222" max="9236" width="7.5703125" style="113" customWidth="1"/>
    <col min="9237" max="9473" width="9.140625" style="113"/>
    <col min="9474" max="9474" width="3.85546875" style="113" customWidth="1"/>
    <col min="9475" max="9475" width="14.42578125" style="113" customWidth="1"/>
    <col min="9476" max="9476" width="3.85546875" style="113" customWidth="1"/>
    <col min="9477" max="9477" width="20.42578125" style="113" customWidth="1"/>
    <col min="9478" max="9492" width="7.5703125" style="113" customWidth="1"/>
    <col min="9493" max="9729" width="9.140625" style="113"/>
    <col min="9730" max="9730" width="3.85546875" style="113" customWidth="1"/>
    <col min="9731" max="9731" width="14.42578125" style="113" customWidth="1"/>
    <col min="9732" max="9732" width="3.85546875" style="113" customWidth="1"/>
    <col min="9733" max="9733" width="20.42578125" style="113" customWidth="1"/>
    <col min="9734" max="9748" width="7.5703125" style="113" customWidth="1"/>
    <col min="9749" max="9985" width="9.140625" style="113"/>
    <col min="9986" max="9986" width="3.85546875" style="113" customWidth="1"/>
    <col min="9987" max="9987" width="14.42578125" style="113" customWidth="1"/>
    <col min="9988" max="9988" width="3.85546875" style="113" customWidth="1"/>
    <col min="9989" max="9989" width="20.42578125" style="113" customWidth="1"/>
    <col min="9990" max="10004" width="7.5703125" style="113" customWidth="1"/>
    <col min="10005" max="10241" width="9.140625" style="113"/>
    <col min="10242" max="10242" width="3.85546875" style="113" customWidth="1"/>
    <col min="10243" max="10243" width="14.42578125" style="113" customWidth="1"/>
    <col min="10244" max="10244" width="3.85546875" style="113" customWidth="1"/>
    <col min="10245" max="10245" width="20.42578125" style="113" customWidth="1"/>
    <col min="10246" max="10260" width="7.5703125" style="113" customWidth="1"/>
    <col min="10261" max="10497" width="9.140625" style="113"/>
    <col min="10498" max="10498" width="3.85546875" style="113" customWidth="1"/>
    <col min="10499" max="10499" width="14.42578125" style="113" customWidth="1"/>
    <col min="10500" max="10500" width="3.85546875" style="113" customWidth="1"/>
    <col min="10501" max="10501" width="20.42578125" style="113" customWidth="1"/>
    <col min="10502" max="10516" width="7.5703125" style="113" customWidth="1"/>
    <col min="10517" max="10753" width="9.140625" style="113"/>
    <col min="10754" max="10754" width="3.85546875" style="113" customWidth="1"/>
    <col min="10755" max="10755" width="14.42578125" style="113" customWidth="1"/>
    <col min="10756" max="10756" width="3.85546875" style="113" customWidth="1"/>
    <col min="10757" max="10757" width="20.42578125" style="113" customWidth="1"/>
    <col min="10758" max="10772" width="7.5703125" style="113" customWidth="1"/>
    <col min="10773" max="11009" width="9.140625" style="113"/>
    <col min="11010" max="11010" width="3.85546875" style="113" customWidth="1"/>
    <col min="11011" max="11011" width="14.42578125" style="113" customWidth="1"/>
    <col min="11012" max="11012" width="3.85546875" style="113" customWidth="1"/>
    <col min="11013" max="11013" width="20.42578125" style="113" customWidth="1"/>
    <col min="11014" max="11028" width="7.5703125" style="113" customWidth="1"/>
    <col min="11029" max="11265" width="9.140625" style="113"/>
    <col min="11266" max="11266" width="3.85546875" style="113" customWidth="1"/>
    <col min="11267" max="11267" width="14.42578125" style="113" customWidth="1"/>
    <col min="11268" max="11268" width="3.85546875" style="113" customWidth="1"/>
    <col min="11269" max="11269" width="20.42578125" style="113" customWidth="1"/>
    <col min="11270" max="11284" width="7.5703125" style="113" customWidth="1"/>
    <col min="11285" max="11521" width="9.140625" style="113"/>
    <col min="11522" max="11522" width="3.85546875" style="113" customWidth="1"/>
    <col min="11523" max="11523" width="14.42578125" style="113" customWidth="1"/>
    <col min="11524" max="11524" width="3.85546875" style="113" customWidth="1"/>
    <col min="11525" max="11525" width="20.42578125" style="113" customWidth="1"/>
    <col min="11526" max="11540" width="7.5703125" style="113" customWidth="1"/>
    <col min="11541" max="11777" width="9.140625" style="113"/>
    <col min="11778" max="11778" width="3.85546875" style="113" customWidth="1"/>
    <col min="11779" max="11779" width="14.42578125" style="113" customWidth="1"/>
    <col min="11780" max="11780" width="3.85546875" style="113" customWidth="1"/>
    <col min="11781" max="11781" width="20.42578125" style="113" customWidth="1"/>
    <col min="11782" max="11796" width="7.5703125" style="113" customWidth="1"/>
    <col min="11797" max="12033" width="9.140625" style="113"/>
    <col min="12034" max="12034" width="3.85546875" style="113" customWidth="1"/>
    <col min="12035" max="12035" width="14.42578125" style="113" customWidth="1"/>
    <col min="12036" max="12036" width="3.85546875" style="113" customWidth="1"/>
    <col min="12037" max="12037" width="20.42578125" style="113" customWidth="1"/>
    <col min="12038" max="12052" width="7.5703125" style="113" customWidth="1"/>
    <col min="12053" max="12289" width="9.140625" style="113"/>
    <col min="12290" max="12290" width="3.85546875" style="113" customWidth="1"/>
    <col min="12291" max="12291" width="14.42578125" style="113" customWidth="1"/>
    <col min="12292" max="12292" width="3.85546875" style="113" customWidth="1"/>
    <col min="12293" max="12293" width="20.42578125" style="113" customWidth="1"/>
    <col min="12294" max="12308" width="7.5703125" style="113" customWidth="1"/>
    <col min="12309" max="12545" width="9.140625" style="113"/>
    <col min="12546" max="12546" width="3.85546875" style="113" customWidth="1"/>
    <col min="12547" max="12547" width="14.42578125" style="113" customWidth="1"/>
    <col min="12548" max="12548" width="3.85546875" style="113" customWidth="1"/>
    <col min="12549" max="12549" width="20.42578125" style="113" customWidth="1"/>
    <col min="12550" max="12564" width="7.5703125" style="113" customWidth="1"/>
    <col min="12565" max="12801" width="9.140625" style="113"/>
    <col min="12802" max="12802" width="3.85546875" style="113" customWidth="1"/>
    <col min="12803" max="12803" width="14.42578125" style="113" customWidth="1"/>
    <col min="12804" max="12804" width="3.85546875" style="113" customWidth="1"/>
    <col min="12805" max="12805" width="20.42578125" style="113" customWidth="1"/>
    <col min="12806" max="12820" width="7.5703125" style="113" customWidth="1"/>
    <col min="12821" max="13057" width="9.140625" style="113"/>
    <col min="13058" max="13058" width="3.85546875" style="113" customWidth="1"/>
    <col min="13059" max="13059" width="14.42578125" style="113" customWidth="1"/>
    <col min="13060" max="13060" width="3.85546875" style="113" customWidth="1"/>
    <col min="13061" max="13061" width="20.42578125" style="113" customWidth="1"/>
    <col min="13062" max="13076" width="7.5703125" style="113" customWidth="1"/>
    <col min="13077" max="13313" width="9.140625" style="113"/>
    <col min="13314" max="13314" width="3.85546875" style="113" customWidth="1"/>
    <col min="13315" max="13315" width="14.42578125" style="113" customWidth="1"/>
    <col min="13316" max="13316" width="3.85546875" style="113" customWidth="1"/>
    <col min="13317" max="13317" width="20.42578125" style="113" customWidth="1"/>
    <col min="13318" max="13332" width="7.5703125" style="113" customWidth="1"/>
    <col min="13333" max="13569" width="9.140625" style="113"/>
    <col min="13570" max="13570" width="3.85546875" style="113" customWidth="1"/>
    <col min="13571" max="13571" width="14.42578125" style="113" customWidth="1"/>
    <col min="13572" max="13572" width="3.85546875" style="113" customWidth="1"/>
    <col min="13573" max="13573" width="20.42578125" style="113" customWidth="1"/>
    <col min="13574" max="13588" width="7.5703125" style="113" customWidth="1"/>
    <col min="13589" max="13825" width="9.140625" style="113"/>
    <col min="13826" max="13826" width="3.85546875" style="113" customWidth="1"/>
    <col min="13827" max="13827" width="14.42578125" style="113" customWidth="1"/>
    <col min="13828" max="13828" width="3.85546875" style="113" customWidth="1"/>
    <col min="13829" max="13829" width="20.42578125" style="113" customWidth="1"/>
    <col min="13830" max="13844" width="7.5703125" style="113" customWidth="1"/>
    <col min="13845" max="14081" width="9.140625" style="113"/>
    <col min="14082" max="14082" width="3.85546875" style="113" customWidth="1"/>
    <col min="14083" max="14083" width="14.42578125" style="113" customWidth="1"/>
    <col min="14084" max="14084" width="3.85546875" style="113" customWidth="1"/>
    <col min="14085" max="14085" width="20.42578125" style="113" customWidth="1"/>
    <col min="14086" max="14100" width="7.5703125" style="113" customWidth="1"/>
    <col min="14101" max="14337" width="9.140625" style="113"/>
    <col min="14338" max="14338" width="3.85546875" style="113" customWidth="1"/>
    <col min="14339" max="14339" width="14.42578125" style="113" customWidth="1"/>
    <col min="14340" max="14340" width="3.85546875" style="113" customWidth="1"/>
    <col min="14341" max="14341" width="20.42578125" style="113" customWidth="1"/>
    <col min="14342" max="14356" width="7.5703125" style="113" customWidth="1"/>
    <col min="14357" max="14593" width="9.140625" style="113"/>
    <col min="14594" max="14594" width="3.85546875" style="113" customWidth="1"/>
    <col min="14595" max="14595" width="14.42578125" style="113" customWidth="1"/>
    <col min="14596" max="14596" width="3.85546875" style="113" customWidth="1"/>
    <col min="14597" max="14597" width="20.42578125" style="113" customWidth="1"/>
    <col min="14598" max="14612" width="7.5703125" style="113" customWidth="1"/>
    <col min="14613" max="14849" width="9.140625" style="113"/>
    <col min="14850" max="14850" width="3.85546875" style="113" customWidth="1"/>
    <col min="14851" max="14851" width="14.42578125" style="113" customWidth="1"/>
    <col min="14852" max="14852" width="3.85546875" style="113" customWidth="1"/>
    <col min="14853" max="14853" width="20.42578125" style="113" customWidth="1"/>
    <col min="14854" max="14868" width="7.5703125" style="113" customWidth="1"/>
    <col min="14869" max="15105" width="9.140625" style="113"/>
    <col min="15106" max="15106" width="3.85546875" style="113" customWidth="1"/>
    <col min="15107" max="15107" width="14.42578125" style="113" customWidth="1"/>
    <col min="15108" max="15108" width="3.85546875" style="113" customWidth="1"/>
    <col min="15109" max="15109" width="20.42578125" style="113" customWidth="1"/>
    <col min="15110" max="15124" width="7.5703125" style="113" customWidth="1"/>
    <col min="15125" max="15361" width="9.140625" style="113"/>
    <col min="15362" max="15362" width="3.85546875" style="113" customWidth="1"/>
    <col min="15363" max="15363" width="14.42578125" style="113" customWidth="1"/>
    <col min="15364" max="15364" width="3.85546875" style="113" customWidth="1"/>
    <col min="15365" max="15365" width="20.42578125" style="113" customWidth="1"/>
    <col min="15366" max="15380" width="7.5703125" style="113" customWidth="1"/>
    <col min="15381" max="15617" width="9.140625" style="113"/>
    <col min="15618" max="15618" width="3.85546875" style="113" customWidth="1"/>
    <col min="15619" max="15619" width="14.42578125" style="113" customWidth="1"/>
    <col min="15620" max="15620" width="3.85546875" style="113" customWidth="1"/>
    <col min="15621" max="15621" width="20.42578125" style="113" customWidth="1"/>
    <col min="15622" max="15636" width="7.5703125" style="113" customWidth="1"/>
    <col min="15637" max="15873" width="9.140625" style="113"/>
    <col min="15874" max="15874" width="3.85546875" style="113" customWidth="1"/>
    <col min="15875" max="15875" width="14.42578125" style="113" customWidth="1"/>
    <col min="15876" max="15876" width="3.85546875" style="113" customWidth="1"/>
    <col min="15877" max="15877" width="20.42578125" style="113" customWidth="1"/>
    <col min="15878" max="15892" width="7.5703125" style="113" customWidth="1"/>
    <col min="15893" max="16129" width="9.140625" style="113"/>
    <col min="16130" max="16130" width="3.85546875" style="113" customWidth="1"/>
    <col min="16131" max="16131" width="14.42578125" style="113" customWidth="1"/>
    <col min="16132" max="16132" width="3.85546875" style="113" customWidth="1"/>
    <col min="16133" max="16133" width="20.42578125" style="113" customWidth="1"/>
    <col min="16134" max="16148" width="7.5703125" style="113" customWidth="1"/>
    <col min="16149" max="16384" width="9.140625" style="113"/>
  </cols>
  <sheetData>
    <row r="1" spans="1:32" x14ac:dyDescent="0.25">
      <c r="D1" s="1137"/>
      <c r="E1" s="1137"/>
      <c r="F1" s="1137"/>
      <c r="G1" s="1137"/>
      <c r="H1" s="1137"/>
      <c r="I1" s="1137"/>
      <c r="J1" s="1137"/>
      <c r="K1" s="1137"/>
      <c r="L1" s="1137"/>
      <c r="M1" s="1137"/>
      <c r="N1" s="1137"/>
      <c r="O1" s="1137"/>
      <c r="P1" s="1137"/>
      <c r="Q1" s="1137"/>
      <c r="R1" s="1137"/>
    </row>
    <row r="2" spans="1:32" ht="15" customHeight="1" x14ac:dyDescent="0.25">
      <c r="A2" s="509">
        <v>1</v>
      </c>
      <c r="B2" s="509" t="s">
        <v>1786</v>
      </c>
      <c r="C2" s="509">
        <v>70</v>
      </c>
      <c r="D2" s="4734" t="s">
        <v>1856</v>
      </c>
      <c r="E2" s="4735"/>
      <c r="F2" s="4735"/>
      <c r="G2" s="4735"/>
      <c r="H2" s="4735"/>
      <c r="I2" s="4735"/>
      <c r="J2" s="4735"/>
      <c r="K2" s="4735"/>
      <c r="L2" s="4735"/>
      <c r="M2" s="4735"/>
      <c r="N2" s="4735"/>
      <c r="O2" s="4735"/>
      <c r="P2" s="4735"/>
      <c r="Q2" s="4735"/>
      <c r="R2" s="4735"/>
      <c r="S2" s="4735"/>
      <c r="T2" s="4735"/>
      <c r="U2" s="4735"/>
      <c r="V2" s="4735"/>
      <c r="W2" s="4735"/>
      <c r="X2" s="4735"/>
      <c r="Y2" s="4735"/>
      <c r="Z2" s="4735"/>
      <c r="AA2" s="4735"/>
      <c r="AB2" s="4735"/>
      <c r="AC2" s="4736"/>
    </row>
    <row r="3" spans="1:32" ht="15" customHeight="1" x14ac:dyDescent="0.25">
      <c r="A3" s="509">
        <v>2</v>
      </c>
      <c r="B3" s="509" t="s">
        <v>1788</v>
      </c>
      <c r="C3" s="509"/>
      <c r="D3" s="4734" t="s">
        <v>1789</v>
      </c>
      <c r="E3" s="4735"/>
      <c r="F3" s="4735"/>
      <c r="G3" s="4735"/>
      <c r="H3" s="4735"/>
      <c r="I3" s="4735"/>
      <c r="J3" s="4735"/>
      <c r="K3" s="4735"/>
      <c r="L3" s="4735"/>
      <c r="M3" s="4735"/>
      <c r="N3" s="4735"/>
      <c r="O3" s="4735"/>
      <c r="P3" s="4735"/>
      <c r="Q3" s="4735"/>
      <c r="R3" s="4735"/>
      <c r="S3" s="4735"/>
      <c r="T3" s="4735"/>
      <c r="U3" s="4735"/>
      <c r="V3" s="4735"/>
      <c r="W3" s="4735"/>
      <c r="X3" s="4735"/>
      <c r="Y3" s="4735"/>
      <c r="Z3" s="4735"/>
      <c r="AA3" s="4735"/>
      <c r="AB3" s="4735"/>
      <c r="AC3" s="4736"/>
    </row>
    <row r="4" spans="1:32" ht="15" customHeight="1" x14ac:dyDescent="0.25">
      <c r="A4" s="509">
        <v>3</v>
      </c>
      <c r="B4" s="509" t="s">
        <v>4</v>
      </c>
      <c r="C4" s="509"/>
      <c r="D4" s="4734" t="s">
        <v>1857</v>
      </c>
      <c r="E4" s="4735"/>
      <c r="F4" s="4735"/>
      <c r="G4" s="4735"/>
      <c r="H4" s="4735"/>
      <c r="I4" s="4735"/>
      <c r="J4" s="4735"/>
      <c r="K4" s="4735"/>
      <c r="L4" s="4735"/>
      <c r="M4" s="4735"/>
      <c r="N4" s="4735"/>
      <c r="O4" s="4735"/>
      <c r="P4" s="4735"/>
      <c r="Q4" s="4735"/>
      <c r="R4" s="4735"/>
      <c r="S4" s="4735"/>
      <c r="T4" s="4735"/>
      <c r="U4" s="4735"/>
      <c r="V4" s="4735"/>
      <c r="W4" s="4735"/>
      <c r="X4" s="4735"/>
      <c r="Y4" s="4735"/>
      <c r="Z4" s="4735"/>
      <c r="AA4" s="4735"/>
      <c r="AB4" s="4735"/>
      <c r="AC4" s="4736"/>
    </row>
    <row r="5" spans="1:32" ht="15" customHeight="1" x14ac:dyDescent="0.25">
      <c r="B5" s="509"/>
      <c r="C5" s="509"/>
      <c r="D5" s="867"/>
      <c r="E5" s="867"/>
      <c r="F5" s="867"/>
      <c r="G5" s="867"/>
      <c r="H5" s="867"/>
      <c r="I5" s="867"/>
      <c r="J5" s="867"/>
      <c r="K5" s="867"/>
      <c r="L5" s="867"/>
      <c r="M5" s="867"/>
      <c r="N5" s="867"/>
      <c r="O5" s="867"/>
      <c r="P5" s="867"/>
      <c r="Q5" s="867"/>
      <c r="R5" s="867"/>
      <c r="S5" s="867"/>
      <c r="T5" s="867"/>
      <c r="U5" s="867"/>
      <c r="V5" s="867"/>
      <c r="W5" s="867"/>
      <c r="X5" s="867"/>
      <c r="Y5" s="867"/>
      <c r="Z5" s="867"/>
      <c r="AA5" s="867"/>
      <c r="AB5" s="867"/>
      <c r="AC5" s="867"/>
    </row>
    <row r="6" spans="1:32" x14ac:dyDescent="0.25">
      <c r="A6" s="509">
        <v>4</v>
      </c>
      <c r="B6" s="509" t="s">
        <v>6</v>
      </c>
      <c r="C6" s="509"/>
      <c r="Q6" s="10"/>
      <c r="R6" s="10"/>
    </row>
    <row r="7" spans="1:32" x14ac:dyDescent="0.25">
      <c r="D7" s="71" t="s">
        <v>365</v>
      </c>
      <c r="E7" s="71" t="s">
        <v>1858</v>
      </c>
      <c r="F7" s="548"/>
      <c r="G7" s="751"/>
      <c r="H7" s="751"/>
      <c r="I7" s="751"/>
      <c r="J7" s="751"/>
      <c r="K7" s="751"/>
      <c r="L7" s="751"/>
      <c r="M7" s="751"/>
      <c r="N7" s="751"/>
      <c r="O7" s="751"/>
      <c r="P7" s="751"/>
      <c r="Q7" s="88"/>
      <c r="R7" s="88"/>
      <c r="AF7" s="1153"/>
    </row>
    <row r="8" spans="1:32" ht="17.25" customHeight="1" x14ac:dyDescent="0.25">
      <c r="D8" s="1430"/>
      <c r="E8" s="128">
        <v>1994</v>
      </c>
      <c r="F8" s="128" t="s">
        <v>396</v>
      </c>
      <c r="G8" s="128" t="s">
        <v>9</v>
      </c>
      <c r="H8" s="128" t="s">
        <v>10</v>
      </c>
      <c r="I8" s="128" t="s">
        <v>11</v>
      </c>
      <c r="J8" s="1932" t="s">
        <v>12</v>
      </c>
      <c r="K8" s="1932" t="s">
        <v>13</v>
      </c>
      <c r="L8" s="128" t="s">
        <v>14</v>
      </c>
      <c r="M8" s="1933" t="s">
        <v>15</v>
      </c>
      <c r="N8" s="1932" t="s">
        <v>16</v>
      </c>
      <c r="O8" s="1933" t="s">
        <v>17</v>
      </c>
      <c r="P8" s="1933" t="s">
        <v>18</v>
      </c>
      <c r="Q8" s="1933" t="s">
        <v>19</v>
      </c>
      <c r="R8" s="1933" t="s">
        <v>20</v>
      </c>
      <c r="S8" s="1933" t="s">
        <v>21</v>
      </c>
      <c r="T8" s="1933" t="s">
        <v>22</v>
      </c>
      <c r="U8" s="1933" t="s">
        <v>23</v>
      </c>
      <c r="V8" s="1933" t="s">
        <v>24</v>
      </c>
      <c r="W8" s="1933" t="s">
        <v>25</v>
      </c>
      <c r="X8" s="1933" t="s">
        <v>26</v>
      </c>
      <c r="Y8" s="1933" t="s">
        <v>27</v>
      </c>
      <c r="Z8" s="1933" t="s">
        <v>28</v>
      </c>
      <c r="AA8" s="1933" t="s">
        <v>29</v>
      </c>
      <c r="AB8" s="1933" t="s">
        <v>30</v>
      </c>
      <c r="AC8" s="1933" t="s">
        <v>31</v>
      </c>
      <c r="AD8" s="1933" t="s">
        <v>32</v>
      </c>
      <c r="AE8" s="1933" t="s">
        <v>33</v>
      </c>
      <c r="AF8" s="3161" t="s">
        <v>59</v>
      </c>
    </row>
    <row r="9" spans="1:32" x14ac:dyDescent="0.25">
      <c r="D9" s="88" t="s">
        <v>1859</v>
      </c>
      <c r="E9" s="1935">
        <v>596.214307803319</v>
      </c>
      <c r="F9" s="1935">
        <v>628.89231391176895</v>
      </c>
      <c r="G9" s="1935">
        <v>602.86707629217403</v>
      </c>
      <c r="H9" s="1935">
        <v>611.103284104159</v>
      </c>
      <c r="I9" s="1935">
        <v>652.69813297770997</v>
      </c>
      <c r="J9" s="1935">
        <v>673.38443050540798</v>
      </c>
      <c r="K9" s="1935">
        <v>693.96165550653097</v>
      </c>
      <c r="L9" s="1935">
        <v>675.27554464906098</v>
      </c>
      <c r="M9" s="1935">
        <v>703.98700093406103</v>
      </c>
      <c r="N9" s="1935">
        <v>645.23084848061399</v>
      </c>
      <c r="O9" s="1935">
        <v>592.79999999999995</v>
      </c>
      <c r="P9" s="1935">
        <v>559.9</v>
      </c>
      <c r="Q9" s="1935">
        <v>526.79999999999995</v>
      </c>
      <c r="R9" s="1935">
        <v>497.1</v>
      </c>
      <c r="S9" s="1935">
        <v>506.5</v>
      </c>
      <c r="T9" s="1935">
        <v>520.20000000000005</v>
      </c>
      <c r="U9" s="1935">
        <f>(246612/51029719.02)*100000</f>
        <v>483.27132646633959</v>
      </c>
      <c r="V9" s="1935">
        <f>(244667/51759547.67)*100000</f>
        <v>472.69926228858793</v>
      </c>
      <c r="W9" s="1935">
        <f>(261319/52517864.18)*100000</f>
        <v>497.58116420034503</v>
      </c>
      <c r="X9" s="1935">
        <f>(259784/53304520.02)*100000</f>
        <v>487.35829513618796</v>
      </c>
      <c r="Y9" s="1935">
        <f>(253716/54120306.16)*100000</f>
        <v>468.80000872485829</v>
      </c>
      <c r="Z9" s="1935">
        <f>(250606/54965281.74)*100000</f>
        <v>455.93507768309314</v>
      </c>
      <c r="AA9" s="1909">
        <f>(246654/55843010.66)*100000</f>
        <v>441.69180186532594</v>
      </c>
      <c r="AB9" s="1935">
        <f>(228094/56753326.89)*100000</f>
        <v>401.90419222840382</v>
      </c>
      <c r="AC9" s="1935">
        <f>(220865/57698414.32)*100000</f>
        <v>382.79214880163795</v>
      </c>
      <c r="AD9" s="1935">
        <f>(205959/58678234.75)*100000</f>
        <v>350.99726649496728</v>
      </c>
      <c r="AE9" s="1935">
        <f>(159721/59695848)*100000</f>
        <v>267.55797153597683</v>
      </c>
      <c r="AF9" s="3162">
        <f>(156170/60356785)*100000</f>
        <v>258.74472936224157</v>
      </c>
    </row>
    <row r="10" spans="1:32" x14ac:dyDescent="0.25">
      <c r="D10" s="88" t="s">
        <v>1860</v>
      </c>
      <c r="E10" s="1935">
        <v>225.74992268838301</v>
      </c>
      <c r="F10" s="1935">
        <v>220.77164081055099</v>
      </c>
      <c r="G10" s="1935">
        <v>214.749450473471</v>
      </c>
      <c r="H10" s="1935">
        <v>219.33054799844501</v>
      </c>
      <c r="I10" s="1935">
        <v>224.50228614974299</v>
      </c>
      <c r="J10" s="1935">
        <v>216.185107798855</v>
      </c>
      <c r="K10" s="1935">
        <v>209.324795283692</v>
      </c>
      <c r="L10" s="1935">
        <v>194.365085877935</v>
      </c>
      <c r="M10" s="1935">
        <v>162.750132488178</v>
      </c>
      <c r="N10" s="1935">
        <v>139.33183369458899</v>
      </c>
      <c r="O10" s="1935">
        <v>120.3</v>
      </c>
      <c r="P10" s="1935">
        <v>116</v>
      </c>
      <c r="Q10" s="1935">
        <v>123.3</v>
      </c>
      <c r="R10" s="1935">
        <v>131.69999999999999</v>
      </c>
      <c r="S10" s="1935">
        <v>143.80000000000001</v>
      </c>
      <c r="T10" s="1935">
        <v>145.5</v>
      </c>
      <c r="U10" s="1935">
        <f>(68907/51029719.02)*100000</f>
        <v>135.03307743668623</v>
      </c>
      <c r="V10" s="1935">
        <f>(69902/51759547.67)*100000</f>
        <v>135.05141205187815</v>
      </c>
      <c r="W10" s="1935">
        <f>(73492/52517864.18)*100000</f>
        <v>139.93714547894243</v>
      </c>
      <c r="X10" s="1935">
        <f>(73464/53304520.02)*100000</f>
        <v>137.81945690991327</v>
      </c>
      <c r="Y10" s="1935">
        <f>(74358/54120306.16)*100000</f>
        <v>137.39390124691786</v>
      </c>
      <c r="Z10" s="1935">
        <f>(75008/54965281.74)*100000</f>
        <v>136.46432370674864</v>
      </c>
      <c r="AA10" s="1909">
        <f>(75618/55843010.66)*100000</f>
        <v>135.4117536040454</v>
      </c>
      <c r="AB10" s="1935">
        <f>(71195/56753326.89)*100000</f>
        <v>125.44639037283406</v>
      </c>
      <c r="AC10" s="1935">
        <f>(71224/57698414.32)*100000</f>
        <v>123.44186723223626</v>
      </c>
      <c r="AD10" s="1935">
        <f>(69713/58678234.75)*100000</f>
        <v>118.80555080945069</v>
      </c>
      <c r="AE10" s="1935">
        <f>(65508/59695848)*100000</f>
        <v>109.73627512586805</v>
      </c>
      <c r="AF10" s="3162">
        <f>(62197/60356785)*100000</f>
        <v>103.04889499995734</v>
      </c>
    </row>
    <row r="11" spans="1:32" x14ac:dyDescent="0.25">
      <c r="D11" s="88" t="s">
        <v>1861</v>
      </c>
      <c r="E11" s="1935">
        <v>272.82496649829898</v>
      </c>
      <c r="F11" s="1935">
        <v>249.302642882409</v>
      </c>
      <c r="G11" s="1935">
        <v>239.83102719910801</v>
      </c>
      <c r="H11" s="1935">
        <v>249.15225417800201</v>
      </c>
      <c r="I11" s="1935">
        <v>255.87730996380299</v>
      </c>
      <c r="J11" s="1935">
        <v>239.32797246045601</v>
      </c>
      <c r="K11" s="1935">
        <v>228.97653531880101</v>
      </c>
      <c r="L11" s="1935">
        <v>216.10771923055901</v>
      </c>
      <c r="M11" s="1935">
        <v>204.89906169681001</v>
      </c>
      <c r="N11" s="1935">
        <v>190.02715730052901</v>
      </c>
      <c r="O11" s="1935">
        <v>180</v>
      </c>
      <c r="P11" s="1935">
        <v>183.3</v>
      </c>
      <c r="Q11" s="1935">
        <v>182.1</v>
      </c>
      <c r="R11" s="1935">
        <v>167.7</v>
      </c>
      <c r="S11" s="1935">
        <v>156</v>
      </c>
      <c r="T11" s="1935">
        <v>145.5</v>
      </c>
      <c r="U11" s="1935">
        <f>(64162/51029719.02)*100000</f>
        <v>125.73457434647656</v>
      </c>
      <c r="V11" s="1935">
        <f>(58800/51759547.67)*100000</f>
        <v>113.60222924451998</v>
      </c>
      <c r="W11" s="1935">
        <f>(58102/52517864.18)*100000</f>
        <v>110.63283114648551</v>
      </c>
      <c r="X11" s="1935">
        <f>(56645/53304520.02)*100000</f>
        <v>106.26678559106553</v>
      </c>
      <c r="Y11" s="1935">
        <f>(55090/54120306.16)*100000</f>
        <v>101.79173753587651</v>
      </c>
      <c r="Z11" s="1935">
        <f>(53809/54965281.74)*100000</f>
        <v>97.896341648043375</v>
      </c>
      <c r="AA11" s="1909">
        <f>(53307/55843010.66)*100000</f>
        <v>95.458678480928455</v>
      </c>
      <c r="AB11" s="1935">
        <f>(50663/56753326.89)*100000</f>
        <v>89.268775552481102</v>
      </c>
      <c r="AC11" s="1935">
        <f>(48324/57698414.32)*100000</f>
        <v>83.752734922646653</v>
      </c>
      <c r="AD11" s="1935">
        <f>(46921/58678234.75)*100000</f>
        <v>79.963209868033729</v>
      </c>
      <c r="AE11" s="1935">
        <f>(35023/59695848)*100000</f>
        <v>58.669071926074324</v>
      </c>
      <c r="AF11" s="3162">
        <f>(37402/60356785)*100000</f>
        <v>61.968178059848618</v>
      </c>
    </row>
    <row r="12" spans="1:32" x14ac:dyDescent="0.25">
      <c r="D12" s="88" t="s">
        <v>1862</v>
      </c>
      <c r="E12" s="1935">
        <v>472.54664467580699</v>
      </c>
      <c r="F12" s="1935">
        <v>484.69604325635498</v>
      </c>
      <c r="G12" s="1935">
        <v>430.40813582382202</v>
      </c>
      <c r="H12" s="1935">
        <v>435.267683637777</v>
      </c>
      <c r="I12" s="1935">
        <v>452.53143455896401</v>
      </c>
      <c r="J12" s="1935">
        <v>453.870968124049</v>
      </c>
      <c r="K12" s="1935">
        <v>459.03351575077198</v>
      </c>
      <c r="L12" s="1935">
        <v>444.62960079811199</v>
      </c>
      <c r="M12" s="1935">
        <v>430.98479153638601</v>
      </c>
      <c r="N12" s="1935">
        <v>370.771130954569</v>
      </c>
      <c r="O12" s="1935">
        <v>318.8</v>
      </c>
      <c r="P12" s="1935">
        <v>296.60000000000002</v>
      </c>
      <c r="Q12" s="1935">
        <v>261.7</v>
      </c>
      <c r="R12" s="1935">
        <v>233.4</v>
      </c>
      <c r="S12" s="1935">
        <v>225</v>
      </c>
      <c r="T12" s="1935">
        <v>245.1</v>
      </c>
      <c r="U12" s="1935">
        <f>(122334/51029719.02)*100000</f>
        <v>239.73089084040186</v>
      </c>
      <c r="V12" s="1935">
        <f>(129644/51759547.67)*100000</f>
        <v>250.47359537715221</v>
      </c>
      <c r="W12" s="1935">
        <f>(138956/52517864.18)*100000</f>
        <v>264.58806383241608</v>
      </c>
      <c r="X12" s="1935">
        <f>(143801/53304520.02)*100000</f>
        <v>269.77261955655064</v>
      </c>
      <c r="Y12" s="1935">
        <f>(145358/54120306.16)*100000</f>
        <v>268.5831073650379</v>
      </c>
      <c r="Z12" s="1935">
        <f>(139386/54965281.74)*100000</f>
        <v>253.58916681139164</v>
      </c>
      <c r="AA12" s="1909">
        <f>(138172/55843010.66)*100000</f>
        <v>247.42935305057208</v>
      </c>
      <c r="AB12" s="1935">
        <f>(129174/56753326.89)*100000</f>
        <v>227.60604017164781</v>
      </c>
      <c r="AC12" s="1935">
        <f>(125076/57698414.32)*100000</f>
        <v>216.77545470542492</v>
      </c>
      <c r="AD12" s="1935">
        <f>(118213/58678234.75)*100000</f>
        <v>201.45970734063366</v>
      </c>
      <c r="AE12" s="1935">
        <f>(83183/59695848)*100000</f>
        <v>139.34469948395741</v>
      </c>
      <c r="AF12" s="3162">
        <f>(81504/60356785)*100000</f>
        <v>135.03701365140637</v>
      </c>
    </row>
    <row r="13" spans="1:32" s="162" customFormat="1" ht="12.75" x14ac:dyDescent="0.2">
      <c r="A13" s="509"/>
      <c r="B13" s="531"/>
      <c r="C13" s="531"/>
      <c r="D13" s="88" t="s">
        <v>1863</v>
      </c>
      <c r="E13" s="1935">
        <v>121.86114833522301</v>
      </c>
      <c r="F13" s="1935">
        <v>109.730153115367</v>
      </c>
      <c r="G13" s="1935">
        <v>103.470436178697</v>
      </c>
      <c r="H13" s="1935">
        <v>100.983773804897</v>
      </c>
      <c r="I13" s="1935">
        <v>98.809297008954104</v>
      </c>
      <c r="J13" s="1935">
        <v>96.224983948760297</v>
      </c>
      <c r="K13" s="1935">
        <v>95.0791699590294</v>
      </c>
      <c r="L13" s="1935">
        <v>92.894257530682097</v>
      </c>
      <c r="M13" s="1935">
        <v>102.699238723192</v>
      </c>
      <c r="N13" s="1935">
        <v>88.979293692874407</v>
      </c>
      <c r="O13" s="1935">
        <v>70.099999999999994</v>
      </c>
      <c r="P13" s="1935">
        <v>61.3</v>
      </c>
      <c r="Q13" s="1935">
        <v>60.8</v>
      </c>
      <c r="R13" s="1935">
        <v>60.1</v>
      </c>
      <c r="S13" s="1935">
        <v>61.7</v>
      </c>
      <c r="T13" s="1937">
        <v>65.7</v>
      </c>
      <c r="U13" s="1937">
        <f>(26942/51029719.02)*100000</f>
        <v>52.796684985548637</v>
      </c>
      <c r="V13" s="1937">
        <f>(27611/51759547.67)*100000</f>
        <v>53.344747477388452</v>
      </c>
      <c r="W13" s="1937">
        <f>(26465/52517864.18)*100000</f>
        <v>50.392376790673971</v>
      </c>
      <c r="X13" s="1937">
        <f>(24534/53304520.02)*100000</f>
        <v>46.026115591688615</v>
      </c>
      <c r="Y13" s="1937">
        <f>(24965/54120306.16)*100000</f>
        <v>46.128711700547413</v>
      </c>
      <c r="Z13" s="1937">
        <f>(24715/54965281.74)*100000</f>
        <v>44.964747232459104</v>
      </c>
      <c r="AA13" s="1938">
        <f>(26902/55843010.66)*100000</f>
        <v>48.17433673802573</v>
      </c>
      <c r="AB13" s="1937">
        <f>(28849/56753326.89)*100000</f>
        <v>50.832262319908551</v>
      </c>
      <c r="AC13" s="1937">
        <f>(29672/57698414.32)*100000</f>
        <v>51.426023313980046</v>
      </c>
      <c r="AD13" s="1937">
        <f>(28418/58678234.75)*100000</f>
        <v>48.43022309903418</v>
      </c>
      <c r="AE13" s="1937">
        <f>(26310/59695848)*100000</f>
        <v>44.073416965280401</v>
      </c>
      <c r="AF13" s="3163">
        <f>(25001/60356785)*100000</f>
        <v>41.422020738844857</v>
      </c>
    </row>
    <row r="14" spans="1:32" s="162" customFormat="1" ht="12.75" x14ac:dyDescent="0.2">
      <c r="A14" s="509"/>
      <c r="B14" s="531"/>
      <c r="C14" s="531"/>
      <c r="D14" s="3604" t="s">
        <v>50</v>
      </c>
      <c r="E14" s="3619">
        <v>1689.1</v>
      </c>
      <c r="F14" s="3619">
        <v>1693.4</v>
      </c>
      <c r="G14" s="3619">
        <v>1591.3</v>
      </c>
      <c r="H14" s="3619">
        <v>1615.9</v>
      </c>
      <c r="I14" s="3619">
        <v>1684.8</v>
      </c>
      <c r="J14" s="3619">
        <v>1679</v>
      </c>
      <c r="K14" s="3619">
        <v>1686.4</v>
      </c>
      <c r="L14" s="3619">
        <v>1623.3</v>
      </c>
      <c r="M14" s="3619">
        <v>1605.4</v>
      </c>
      <c r="N14" s="3619">
        <v>1434.3</v>
      </c>
      <c r="O14" s="3619">
        <f t="shared" ref="O14:T14" si="0">SUM(O9:O13)</f>
        <v>1281.9999999999998</v>
      </c>
      <c r="P14" s="3619">
        <f t="shared" si="0"/>
        <v>1217.1000000000001</v>
      </c>
      <c r="Q14" s="3619">
        <f t="shared" si="0"/>
        <v>1154.6999999999998</v>
      </c>
      <c r="R14" s="3619">
        <f t="shared" si="0"/>
        <v>1090</v>
      </c>
      <c r="S14" s="3619">
        <f t="shared" si="0"/>
        <v>1093</v>
      </c>
      <c r="T14" s="1940">
        <f t="shared" si="0"/>
        <v>1122</v>
      </c>
      <c r="U14" s="1940">
        <f>(528957/51029719.02)*100000</f>
        <v>1036.566554075453</v>
      </c>
      <c r="V14" s="1940">
        <f>(530624/51759547.67)*100000</f>
        <v>1025.1712464395266</v>
      </c>
      <c r="W14" s="1940">
        <f>(558228/52517864.18)*100000</f>
        <v>1062.9297453657416</v>
      </c>
      <c r="X14" s="1940">
        <f>(558338/53304520.02)*100000</f>
        <v>1047.4496342721218</v>
      </c>
      <c r="Y14" s="1940">
        <f>(553487/54120306.16)*100000</f>
        <v>1022.6974665732379</v>
      </c>
      <c r="Z14" s="1940">
        <f>(543524/54965281.74)*100000</f>
        <v>988.84965708173593</v>
      </c>
      <c r="AA14" s="1915">
        <f>(540653/55843010.66)*100000</f>
        <v>968.1659237388975</v>
      </c>
      <c r="AB14" s="1940">
        <f>(507975/56753326.89)*100000</f>
        <v>895.05766064527529</v>
      </c>
      <c r="AC14" s="1940">
        <f>(495161/57698414.32)*100000</f>
        <v>858.18822897592588</v>
      </c>
      <c r="AD14" s="1940">
        <f>(469224/58678234.75)*100000</f>
        <v>799.65595761211966</v>
      </c>
      <c r="AE14" s="1940">
        <f>(369745/59695848)*100000</f>
        <v>619.38143503715696</v>
      </c>
      <c r="AF14" s="3164">
        <f>(362274/60356785)*100000</f>
        <v>600.22083681229867</v>
      </c>
    </row>
    <row r="15" spans="1:32" x14ac:dyDescent="0.25">
      <c r="B15" s="836"/>
      <c r="C15" s="836"/>
      <c r="D15" s="751"/>
      <c r="E15" s="5094"/>
      <c r="F15" s="5094"/>
      <c r="G15" s="5094"/>
      <c r="H15" s="5094"/>
      <c r="I15" s="5094"/>
      <c r="J15" s="5094"/>
      <c r="K15" s="5094"/>
      <c r="L15" s="88"/>
      <c r="M15" s="88"/>
      <c r="N15" s="88"/>
      <c r="O15" s="88"/>
      <c r="P15" s="88"/>
      <c r="Q15" s="88"/>
      <c r="R15" s="88"/>
      <c r="S15" s="88"/>
      <c r="T15" s="88"/>
      <c r="U15" s="88"/>
      <c r="V15" s="88"/>
    </row>
    <row r="16" spans="1:32" x14ac:dyDescent="0.25">
      <c r="A16" s="509">
        <v>5</v>
      </c>
      <c r="B16" s="509" t="s">
        <v>51</v>
      </c>
      <c r="C16" s="509"/>
      <c r="D16" s="1137"/>
      <c r="E16" s="88"/>
      <c r="F16" s="88"/>
      <c r="G16" s="88"/>
      <c r="H16" s="88"/>
      <c r="I16" s="88"/>
      <c r="J16" s="88"/>
      <c r="K16" s="88"/>
      <c r="L16" s="88"/>
      <c r="M16" s="88"/>
      <c r="N16" s="88"/>
      <c r="O16" s="88"/>
      <c r="P16" s="88"/>
      <c r="Q16" s="88"/>
      <c r="R16" s="88"/>
    </row>
    <row r="17" spans="2:29" x14ac:dyDescent="0.25">
      <c r="D17" s="1137"/>
      <c r="E17" s="88"/>
      <c r="F17" s="88"/>
      <c r="G17" s="88"/>
      <c r="H17" s="88"/>
      <c r="I17" s="88"/>
      <c r="J17" s="88"/>
      <c r="K17" s="88"/>
      <c r="L17" s="88"/>
      <c r="M17" s="88"/>
      <c r="N17" s="88"/>
      <c r="O17" s="88"/>
      <c r="P17" s="88"/>
      <c r="Q17" s="88"/>
      <c r="R17" s="88"/>
      <c r="AC17" s="1942"/>
    </row>
    <row r="18" spans="2:29" x14ac:dyDescent="0.25">
      <c r="D18" s="1137"/>
      <c r="E18" s="88"/>
      <c r="F18" s="88"/>
      <c r="G18" s="88"/>
      <c r="H18" s="88"/>
      <c r="I18" s="88"/>
      <c r="J18" s="88"/>
      <c r="K18" s="88"/>
      <c r="L18" s="88"/>
      <c r="M18" s="88"/>
      <c r="N18" s="88"/>
      <c r="O18" s="88"/>
      <c r="P18" s="88"/>
      <c r="Q18" s="88"/>
      <c r="R18" s="88"/>
    </row>
    <row r="19" spans="2:29" x14ac:dyDescent="0.25">
      <c r="D19" s="1137"/>
      <c r="E19" s="88"/>
      <c r="F19" s="88"/>
      <c r="G19" s="88"/>
      <c r="H19" s="88"/>
      <c r="I19" s="88"/>
      <c r="J19" s="88"/>
      <c r="K19" s="88"/>
      <c r="L19" s="88"/>
      <c r="M19" s="88"/>
      <c r="N19" s="88"/>
      <c r="O19" s="88"/>
      <c r="P19" s="88"/>
      <c r="Q19" s="88"/>
      <c r="R19" s="88"/>
    </row>
    <row r="20" spans="2:29" x14ac:dyDescent="0.25">
      <c r="D20" s="1137"/>
      <c r="E20" s="88"/>
      <c r="F20" s="88"/>
      <c r="G20" s="88"/>
      <c r="H20" s="88"/>
      <c r="I20" s="88"/>
      <c r="J20" s="88"/>
      <c r="K20" s="88"/>
      <c r="L20" s="88"/>
      <c r="M20" s="88"/>
      <c r="N20" s="88"/>
      <c r="O20" s="88"/>
      <c r="P20" s="88"/>
      <c r="Q20" s="88"/>
      <c r="R20" s="88"/>
    </row>
    <row r="21" spans="2:29" x14ac:dyDescent="0.25">
      <c r="D21" s="1137"/>
      <c r="E21" s="1137"/>
      <c r="F21" s="1137"/>
      <c r="G21" s="1137"/>
      <c r="H21" s="1137"/>
      <c r="I21" s="1137"/>
      <c r="J21" s="1137"/>
      <c r="K21" s="1137"/>
      <c r="L21" s="1137"/>
      <c r="M21" s="1137"/>
      <c r="N21" s="1137"/>
      <c r="O21" s="1137"/>
      <c r="P21" s="1137"/>
      <c r="Q21" s="1137"/>
      <c r="R21" s="1137"/>
    </row>
    <row r="22" spans="2:29" x14ac:dyDescent="0.25">
      <c r="B22" s="836"/>
      <c r="C22" s="836"/>
      <c r="D22" s="1137"/>
      <c r="E22" s="1137"/>
      <c r="F22" s="1137"/>
      <c r="G22" s="1137"/>
      <c r="H22" s="1137"/>
      <c r="I22" s="1137"/>
      <c r="J22" s="88"/>
      <c r="K22" s="1137"/>
      <c r="L22" s="1137"/>
      <c r="M22" s="1137"/>
      <c r="N22" s="1137"/>
      <c r="O22" s="1137"/>
      <c r="P22" s="1137"/>
      <c r="Q22" s="1137"/>
      <c r="R22" s="1137"/>
    </row>
    <row r="23" spans="2:29" x14ac:dyDescent="0.25">
      <c r="B23" s="836"/>
      <c r="C23" s="836"/>
      <c r="D23" s="1137"/>
      <c r="E23" s="1137"/>
      <c r="F23" s="1137"/>
      <c r="G23" s="1137"/>
      <c r="H23" s="1137"/>
      <c r="I23" s="1137"/>
      <c r="J23" s="88"/>
      <c r="K23" s="1137"/>
      <c r="L23" s="1137"/>
      <c r="M23" s="1137"/>
      <c r="N23" s="1137"/>
      <c r="O23" s="1137"/>
      <c r="P23" s="1137"/>
      <c r="Q23" s="1137"/>
      <c r="R23" s="1137"/>
    </row>
    <row r="24" spans="2:29" x14ac:dyDescent="0.25">
      <c r="D24" s="1137"/>
      <c r="E24" s="1137"/>
      <c r="F24" s="1137"/>
      <c r="G24" s="1137"/>
      <c r="H24" s="1137"/>
      <c r="I24" s="1137"/>
      <c r="J24" s="1137"/>
      <c r="K24" s="1137"/>
      <c r="L24" s="1137"/>
      <c r="M24" s="1137"/>
      <c r="N24" s="1137"/>
      <c r="O24" s="1137"/>
      <c r="P24" s="1137"/>
      <c r="Q24" s="1137"/>
      <c r="R24" s="1137"/>
    </row>
    <row r="25" spans="2:29" x14ac:dyDescent="0.25">
      <c r="D25" s="1137"/>
      <c r="E25" s="1137"/>
      <c r="F25" s="1137"/>
      <c r="G25" s="1137"/>
      <c r="H25" s="1137"/>
      <c r="I25" s="1137"/>
      <c r="J25" s="1137"/>
      <c r="K25" s="1137"/>
      <c r="L25" s="1137"/>
      <c r="M25" s="1137"/>
      <c r="N25" s="1137"/>
      <c r="O25" s="1137"/>
      <c r="P25" s="1137"/>
      <c r="Q25" s="1137"/>
      <c r="R25" s="1137"/>
    </row>
    <row r="26" spans="2:29" x14ac:dyDescent="0.25">
      <c r="D26" s="1137"/>
      <c r="E26" s="1137"/>
      <c r="F26" s="1137"/>
      <c r="G26" s="1137"/>
      <c r="H26" s="1137"/>
      <c r="I26" s="1137"/>
      <c r="J26" s="1137"/>
      <c r="K26" s="1137"/>
      <c r="L26" s="1137"/>
      <c r="M26" s="1137"/>
      <c r="N26" s="1137"/>
      <c r="O26" s="1137"/>
      <c r="P26" s="1137"/>
      <c r="Q26" s="1137"/>
      <c r="R26" s="1137"/>
    </row>
    <row r="27" spans="2:29" x14ac:dyDescent="0.25">
      <c r="D27" s="1137"/>
      <c r="E27" s="1137"/>
      <c r="F27" s="1137"/>
      <c r="G27" s="1137"/>
      <c r="H27" s="1137"/>
      <c r="I27" s="1137"/>
      <c r="J27" s="1137"/>
      <c r="K27" s="1137"/>
      <c r="L27" s="1137"/>
      <c r="M27" s="1137"/>
      <c r="N27" s="1137"/>
      <c r="O27" s="1137"/>
      <c r="P27" s="1137"/>
      <c r="Q27" s="1137"/>
      <c r="R27" s="1137"/>
    </row>
    <row r="28" spans="2:29" x14ac:dyDescent="0.25">
      <c r="D28" s="1137"/>
      <c r="E28" s="1137"/>
      <c r="F28" s="1137"/>
      <c r="G28" s="1137"/>
      <c r="H28" s="1137"/>
      <c r="I28" s="1137"/>
      <c r="J28" s="1137"/>
      <c r="K28" s="1137"/>
      <c r="L28" s="1137"/>
      <c r="M28" s="1137"/>
      <c r="N28" s="1137"/>
      <c r="O28" s="1137"/>
      <c r="P28" s="1137"/>
      <c r="Q28" s="1137"/>
      <c r="R28" s="1137"/>
    </row>
    <row r="29" spans="2:29" x14ac:dyDescent="0.25">
      <c r="D29" s="1137"/>
      <c r="E29" s="1137"/>
      <c r="F29" s="1137"/>
      <c r="G29" s="1137"/>
      <c r="H29" s="1137"/>
      <c r="I29" s="1137"/>
      <c r="J29" s="1137"/>
      <c r="K29" s="1137"/>
      <c r="L29" s="1137"/>
      <c r="M29" s="1137"/>
      <c r="N29" s="1137"/>
      <c r="O29" s="1137"/>
      <c r="P29" s="1137"/>
      <c r="Q29" s="1137"/>
      <c r="R29" s="1137"/>
    </row>
    <row r="30" spans="2:29" ht="35.25" customHeight="1" x14ac:dyDescent="0.25">
      <c r="D30" s="1137"/>
      <c r="E30" s="1137"/>
      <c r="F30" s="1137"/>
      <c r="G30" s="1137"/>
      <c r="H30" s="1137"/>
      <c r="I30" s="1137"/>
      <c r="J30" s="1137"/>
      <c r="K30" s="1137"/>
      <c r="L30" s="1137"/>
      <c r="M30" s="1137"/>
      <c r="N30" s="1137"/>
      <c r="O30" s="1137"/>
      <c r="P30" s="1137"/>
      <c r="Q30" s="1137"/>
      <c r="R30" s="1137"/>
    </row>
    <row r="31" spans="2:29" ht="17.25" customHeight="1" x14ac:dyDescent="0.25">
      <c r="D31" s="1137"/>
      <c r="E31" s="1137"/>
      <c r="F31" s="1137"/>
      <c r="G31" s="1137"/>
      <c r="H31" s="1137"/>
      <c r="I31" s="1137"/>
      <c r="J31" s="1137"/>
      <c r="K31" s="1137"/>
      <c r="L31" s="1137"/>
      <c r="M31" s="1137"/>
      <c r="N31" s="1137"/>
      <c r="O31" s="1137"/>
      <c r="P31" s="1137"/>
      <c r="Q31" s="1137"/>
      <c r="R31" s="1137"/>
    </row>
    <row r="32" spans="2:29" ht="22.5" customHeight="1" x14ac:dyDescent="0.25">
      <c r="D32" s="1137"/>
      <c r="E32" s="1137"/>
      <c r="F32" s="1137"/>
      <c r="G32" s="1137"/>
      <c r="H32" s="1137"/>
      <c r="I32" s="1137"/>
      <c r="J32" s="1137"/>
      <c r="K32" s="1137"/>
      <c r="L32" s="1137"/>
      <c r="M32" s="1137"/>
      <c r="N32" s="1137"/>
      <c r="O32" s="1137"/>
      <c r="P32" s="1137"/>
      <c r="Q32" s="1137"/>
      <c r="R32" s="1137"/>
    </row>
    <row r="33" spans="1:32" ht="25.5" customHeight="1" x14ac:dyDescent="0.25">
      <c r="A33" s="509">
        <v>6</v>
      </c>
      <c r="B33" s="546" t="s">
        <v>1864</v>
      </c>
      <c r="C33" s="546"/>
      <c r="D33" s="4734" t="s">
        <v>1865</v>
      </c>
      <c r="E33" s="4735"/>
      <c r="F33" s="4735"/>
      <c r="G33" s="4735"/>
      <c r="H33" s="4735"/>
      <c r="I33" s="4735"/>
      <c r="J33" s="4735"/>
      <c r="K33" s="4735"/>
      <c r="L33" s="4735"/>
      <c r="M33" s="4735"/>
      <c r="N33" s="4735"/>
      <c r="O33" s="4735"/>
      <c r="P33" s="4735"/>
      <c r="Q33" s="4735"/>
      <c r="R33" s="4735"/>
      <c r="S33" s="4735"/>
      <c r="T33" s="4735"/>
      <c r="U33" s="4735"/>
      <c r="V33" s="4735"/>
      <c r="W33" s="4735"/>
      <c r="X33" s="4735"/>
      <c r="Y33" s="4735"/>
      <c r="Z33" s="4735"/>
      <c r="AA33" s="4735"/>
      <c r="AB33" s="4735"/>
      <c r="AC33" s="4736"/>
    </row>
    <row r="34" spans="1:32" ht="21.75" customHeight="1" x14ac:dyDescent="0.25">
      <c r="A34" s="509">
        <v>7</v>
      </c>
      <c r="B34" s="546" t="s">
        <v>54</v>
      </c>
      <c r="C34" s="546"/>
      <c r="D34" s="4734" t="s">
        <v>1866</v>
      </c>
      <c r="E34" s="4735"/>
      <c r="F34" s="4735"/>
      <c r="G34" s="4735"/>
      <c r="H34" s="4735"/>
      <c r="I34" s="4735"/>
      <c r="J34" s="4735"/>
      <c r="K34" s="4735"/>
      <c r="L34" s="4735"/>
      <c r="M34" s="4735"/>
      <c r="N34" s="4735"/>
      <c r="O34" s="4735"/>
      <c r="P34" s="4735"/>
      <c r="Q34" s="4735"/>
      <c r="R34" s="4735"/>
      <c r="S34" s="4735"/>
      <c r="T34" s="4735"/>
      <c r="U34" s="4735"/>
      <c r="V34" s="4735"/>
      <c r="W34" s="4735"/>
      <c r="X34" s="4735"/>
      <c r="Y34" s="4735"/>
      <c r="Z34" s="4735"/>
      <c r="AA34" s="4735"/>
      <c r="AB34" s="4735"/>
      <c r="AC34" s="4736"/>
    </row>
    <row r="35" spans="1:32" ht="24.75" customHeight="1" x14ac:dyDescent="0.25">
      <c r="A35" s="509">
        <v>8</v>
      </c>
      <c r="B35" s="546" t="s">
        <v>56</v>
      </c>
      <c r="C35" s="509"/>
      <c r="D35" s="4734" t="s">
        <v>1867</v>
      </c>
      <c r="E35" s="4735"/>
      <c r="F35" s="4735"/>
      <c r="G35" s="4735"/>
      <c r="H35" s="4735"/>
      <c r="I35" s="4735"/>
      <c r="J35" s="4735"/>
      <c r="K35" s="4735"/>
      <c r="L35" s="4735"/>
      <c r="M35" s="4735"/>
      <c r="N35" s="4735"/>
      <c r="O35" s="4735"/>
      <c r="P35" s="4735"/>
      <c r="Q35" s="4735"/>
      <c r="R35" s="4735"/>
      <c r="S35" s="4735"/>
      <c r="T35" s="4735"/>
      <c r="U35" s="4735"/>
      <c r="V35" s="4735"/>
      <c r="W35" s="4735"/>
      <c r="X35" s="4735"/>
      <c r="Y35" s="4735"/>
      <c r="Z35" s="4735"/>
      <c r="AA35" s="4735"/>
      <c r="AB35" s="4735"/>
      <c r="AC35" s="4736"/>
    </row>
    <row r="36" spans="1:32" ht="27" customHeight="1" x14ac:dyDescent="0.25">
      <c r="A36" s="509">
        <v>9</v>
      </c>
      <c r="B36" s="546" t="s">
        <v>355</v>
      </c>
      <c r="D36" s="4734" t="s">
        <v>1868</v>
      </c>
      <c r="E36" s="4735"/>
      <c r="F36" s="4735"/>
      <c r="G36" s="4735"/>
      <c r="H36" s="4735"/>
      <c r="I36" s="4735"/>
      <c r="J36" s="4735"/>
      <c r="K36" s="4735"/>
      <c r="L36" s="4735"/>
      <c r="M36" s="4735"/>
      <c r="N36" s="4735"/>
      <c r="O36" s="4735"/>
      <c r="P36" s="4735"/>
      <c r="Q36" s="4735"/>
      <c r="R36" s="4735"/>
      <c r="S36" s="4735"/>
      <c r="T36" s="4735"/>
      <c r="U36" s="4735"/>
      <c r="V36" s="4735"/>
      <c r="W36" s="4735"/>
      <c r="X36" s="4735"/>
      <c r="Y36" s="4735"/>
      <c r="Z36" s="4735"/>
      <c r="AA36" s="4735"/>
      <c r="AB36" s="4735"/>
      <c r="AC36" s="4736"/>
    </row>
    <row r="39" spans="1:32" x14ac:dyDescent="0.25">
      <c r="D39" s="71" t="s">
        <v>365</v>
      </c>
      <c r="E39" s="71" t="s">
        <v>1869</v>
      </c>
      <c r="F39" s="548"/>
      <c r="G39" s="751"/>
      <c r="H39" s="751"/>
      <c r="I39" s="751"/>
      <c r="J39" s="751"/>
      <c r="K39" s="751"/>
      <c r="L39" s="751"/>
      <c r="M39" s="751"/>
      <c r="N39" s="751"/>
      <c r="O39" s="751"/>
      <c r="P39" s="751"/>
      <c r="Q39" s="88"/>
      <c r="R39" s="88"/>
    </row>
    <row r="40" spans="1:32" x14ac:dyDescent="0.25">
      <c r="D40" s="2186"/>
      <c r="E40" s="2424">
        <v>1994</v>
      </c>
      <c r="F40" s="2424" t="s">
        <v>396</v>
      </c>
      <c r="G40" s="2424" t="s">
        <v>9</v>
      </c>
      <c r="H40" s="2424" t="s">
        <v>10</v>
      </c>
      <c r="I40" s="2424" t="s">
        <v>11</v>
      </c>
      <c r="J40" s="3155" t="s">
        <v>12</v>
      </c>
      <c r="K40" s="3155" t="s">
        <v>13</v>
      </c>
      <c r="L40" s="2424" t="s">
        <v>14</v>
      </c>
      <c r="M40" s="3099" t="s">
        <v>15</v>
      </c>
      <c r="N40" s="3155" t="s">
        <v>16</v>
      </c>
      <c r="O40" s="3099" t="s">
        <v>17</v>
      </c>
      <c r="P40" s="3099" t="s">
        <v>18</v>
      </c>
      <c r="Q40" s="3099" t="s">
        <v>19</v>
      </c>
      <c r="R40" s="3099" t="s">
        <v>20</v>
      </c>
      <c r="S40" s="3099" t="s">
        <v>21</v>
      </c>
      <c r="T40" s="3099" t="s">
        <v>22</v>
      </c>
      <c r="U40" s="3099" t="s">
        <v>23</v>
      </c>
      <c r="V40" s="3099" t="s">
        <v>24</v>
      </c>
      <c r="W40" s="3099" t="s">
        <v>25</v>
      </c>
      <c r="X40" s="2952" t="s">
        <v>26</v>
      </c>
      <c r="Y40" s="2952" t="s">
        <v>27</v>
      </c>
      <c r="Z40" s="2952" t="s">
        <v>28</v>
      </c>
      <c r="AA40" s="2952" t="s">
        <v>29</v>
      </c>
      <c r="AB40" s="3165" t="s">
        <v>30</v>
      </c>
      <c r="AC40" s="3165" t="s">
        <v>31</v>
      </c>
      <c r="AD40" s="3165" t="s">
        <v>32</v>
      </c>
      <c r="AE40" s="3165" t="s">
        <v>33</v>
      </c>
      <c r="AF40" s="3165" t="s">
        <v>59</v>
      </c>
    </row>
    <row r="41" spans="1:32" x14ac:dyDescent="0.25">
      <c r="D41" s="88" t="s">
        <v>1859</v>
      </c>
      <c r="E41" s="1935">
        <v>596.214307803319</v>
      </c>
      <c r="F41" s="1935">
        <v>628.89231391176895</v>
      </c>
      <c r="G41" s="1935">
        <v>602.86707629217403</v>
      </c>
      <c r="H41" s="1935">
        <v>611.103284104159</v>
      </c>
      <c r="I41" s="1935">
        <v>652.69813297770997</v>
      </c>
      <c r="J41" s="1935">
        <v>673.38443050540798</v>
      </c>
      <c r="K41" s="1935">
        <v>693.96165550653097</v>
      </c>
      <c r="L41" s="1935">
        <v>675.27554464906098</v>
      </c>
      <c r="M41" s="1935">
        <v>703.98700093406103</v>
      </c>
      <c r="N41" s="1935">
        <v>645.23084848061399</v>
      </c>
      <c r="O41" s="1935">
        <v>592.79999999999995</v>
      </c>
      <c r="P41" s="1935">
        <v>559.9</v>
      </c>
      <c r="Q41" s="1935">
        <v>526.79999999999995</v>
      </c>
      <c r="R41" s="1935">
        <v>497.1</v>
      </c>
      <c r="S41" s="1935">
        <v>506.5</v>
      </c>
      <c r="T41" s="1935">
        <v>520.20000000000005</v>
      </c>
      <c r="U41" s="1935">
        <v>495.3</v>
      </c>
      <c r="V41" s="1935">
        <v>485.4</v>
      </c>
      <c r="W41" s="1935">
        <v>501.4</v>
      </c>
      <c r="X41" s="1943">
        <v>491.60100457530899</v>
      </c>
      <c r="Y41" s="1944">
        <v>469.82744365139098</v>
      </c>
      <c r="Z41" s="1919">
        <v>456</v>
      </c>
      <c r="AA41" s="1945">
        <f>(246654/55910000)*100000</f>
        <v>441.16258272223217</v>
      </c>
      <c r="AB41" s="3166">
        <f>(228094/56753327)*100000</f>
        <v>401.90419144942814</v>
      </c>
      <c r="AC41" s="3166">
        <f>(220865/57698414)*100000</f>
        <v>382.79215092463369</v>
      </c>
      <c r="AD41" s="3166">
        <f>(205959/58678235)*100000</f>
        <v>350.99726499953522</v>
      </c>
      <c r="AE41" s="3166">
        <f>(159721/59695848)*100000</f>
        <v>267.55797153597683</v>
      </c>
      <c r="AF41" s="3166">
        <f>(156170/60356785)*100000</f>
        <v>258.74472936224157</v>
      </c>
    </row>
    <row r="42" spans="1:32" x14ac:dyDescent="0.25">
      <c r="D42" s="88" t="s">
        <v>1860</v>
      </c>
      <c r="E42" s="1935">
        <v>225.74992268838301</v>
      </c>
      <c r="F42" s="1935">
        <v>220.77164081055099</v>
      </c>
      <c r="G42" s="1935">
        <v>214.749450473471</v>
      </c>
      <c r="H42" s="1935">
        <v>219.33054799844501</v>
      </c>
      <c r="I42" s="1935">
        <v>224.50228614974299</v>
      </c>
      <c r="J42" s="1935">
        <v>216.185107798855</v>
      </c>
      <c r="K42" s="1935">
        <v>209.324795283692</v>
      </c>
      <c r="L42" s="1935">
        <v>194.365085877935</v>
      </c>
      <c r="M42" s="1935">
        <v>162.750132488178</v>
      </c>
      <c r="N42" s="1935">
        <v>139.33183369458899</v>
      </c>
      <c r="O42" s="1935">
        <v>120.3</v>
      </c>
      <c r="P42" s="1935">
        <v>116</v>
      </c>
      <c r="Q42" s="1935">
        <v>123.3</v>
      </c>
      <c r="R42" s="1935">
        <v>131.69999999999999</v>
      </c>
      <c r="S42" s="1935">
        <v>143.80000000000001</v>
      </c>
      <c r="T42" s="1935">
        <v>145.5</v>
      </c>
      <c r="U42" s="1935">
        <v>138.19999999999999</v>
      </c>
      <c r="V42" s="1935">
        <v>138.5</v>
      </c>
      <c r="W42" s="1935">
        <v>140.9</v>
      </c>
      <c r="X42" s="1943">
        <v>138.9</v>
      </c>
      <c r="Y42" s="1944">
        <v>137.69501748029299</v>
      </c>
      <c r="Z42" s="1919">
        <v>136.5</v>
      </c>
      <c r="AA42" s="1945">
        <f>(75618/55910000)*100000</f>
        <v>135.24950813807905</v>
      </c>
      <c r="AB42" s="3166">
        <f>(71195/56753327)*100000</f>
        <v>125.4463901296923</v>
      </c>
      <c r="AC42" s="3166">
        <f>(71224/57698414)*100000</f>
        <v>123.4418679168547</v>
      </c>
      <c r="AD42" s="3166">
        <f>(69713/58678235)*100000</f>
        <v>118.80555030327683</v>
      </c>
      <c r="AE42" s="3166">
        <f>(65508/59695848)*100000</f>
        <v>109.73627512586805</v>
      </c>
      <c r="AF42" s="3166">
        <f>(62197/60356785)*100000</f>
        <v>103.04889499995734</v>
      </c>
    </row>
    <row r="43" spans="1:32" x14ac:dyDescent="0.25">
      <c r="D43" s="88" t="s">
        <v>1861</v>
      </c>
      <c r="E43" s="1935">
        <v>272.82496649829898</v>
      </c>
      <c r="F43" s="1935">
        <v>249.302642882409</v>
      </c>
      <c r="G43" s="1935">
        <v>239.83102719910801</v>
      </c>
      <c r="H43" s="1935">
        <v>249.15225417800201</v>
      </c>
      <c r="I43" s="1935">
        <v>255.87730996380299</v>
      </c>
      <c r="J43" s="1935">
        <v>239.32797246045601</v>
      </c>
      <c r="K43" s="1935">
        <v>228.97653531880101</v>
      </c>
      <c r="L43" s="1935">
        <v>216.10771923055901</v>
      </c>
      <c r="M43" s="1935">
        <v>204.89906169681001</v>
      </c>
      <c r="N43" s="1935">
        <v>190.02715730052901</v>
      </c>
      <c r="O43" s="1935">
        <v>180</v>
      </c>
      <c r="P43" s="1935">
        <v>183.3</v>
      </c>
      <c r="Q43" s="1935">
        <v>182.1</v>
      </c>
      <c r="R43" s="1935">
        <v>167.7</v>
      </c>
      <c r="S43" s="1935">
        <v>156</v>
      </c>
      <c r="T43" s="1935">
        <v>145.5</v>
      </c>
      <c r="U43" s="1935">
        <v>129</v>
      </c>
      <c r="V43" s="1935">
        <v>116.8</v>
      </c>
      <c r="W43" s="1935">
        <v>111.7</v>
      </c>
      <c r="X43" s="1943">
        <v>107.3</v>
      </c>
      <c r="Y43" s="1944">
        <v>102.01482709310901</v>
      </c>
      <c r="Z43" s="1919">
        <v>97.9</v>
      </c>
      <c r="AA43" s="1945">
        <f>(53307/55910000)*100000</f>
        <v>95.344303344661057</v>
      </c>
      <c r="AB43" s="3166">
        <f>(50663/56753327)*100000</f>
        <v>89.268775379459242</v>
      </c>
      <c r="AC43" s="3166">
        <f>(48324/57698414)*100000</f>
        <v>83.752735387145989</v>
      </c>
      <c r="AD43" s="3166">
        <f>(46921/58678235)*100000</f>
        <v>79.96320952734861</v>
      </c>
      <c r="AE43" s="3166">
        <f>(35023/59695848)*100000</f>
        <v>58.669071926074324</v>
      </c>
      <c r="AF43" s="3166">
        <f>(37402/60356785)*100000</f>
        <v>61.968178059848618</v>
      </c>
    </row>
    <row r="44" spans="1:32" x14ac:dyDescent="0.25">
      <c r="D44" s="88" t="s">
        <v>1870</v>
      </c>
      <c r="E44" s="1935">
        <v>472.54664467580699</v>
      </c>
      <c r="F44" s="1935">
        <v>484.69604325635498</v>
      </c>
      <c r="G44" s="1935">
        <v>430.40813582382202</v>
      </c>
      <c r="H44" s="1935">
        <v>435.267683637777</v>
      </c>
      <c r="I44" s="1935">
        <v>452.53143455896401</v>
      </c>
      <c r="J44" s="1935">
        <v>453.870968124049</v>
      </c>
      <c r="K44" s="1935">
        <v>459.03351575077198</v>
      </c>
      <c r="L44" s="1935">
        <v>444.62960079811199</v>
      </c>
      <c r="M44" s="1935">
        <v>430.98479153638601</v>
      </c>
      <c r="N44" s="1935">
        <v>370.771130954569</v>
      </c>
      <c r="O44" s="1935">
        <v>318.8</v>
      </c>
      <c r="P44" s="1935">
        <v>296.60000000000002</v>
      </c>
      <c r="Q44" s="1935">
        <v>261.7</v>
      </c>
      <c r="R44" s="1935">
        <v>233.4</v>
      </c>
      <c r="S44" s="1935">
        <v>225</v>
      </c>
      <c r="T44" s="1935">
        <v>245.1</v>
      </c>
      <c r="U44" s="1935">
        <v>246.2</v>
      </c>
      <c r="V44" s="1935">
        <v>257.89999999999998</v>
      </c>
      <c r="W44" s="1935">
        <v>267.2</v>
      </c>
      <c r="X44" s="1943">
        <v>271.39999999999998</v>
      </c>
      <c r="Y44" s="1944">
        <v>269.17174145217001</v>
      </c>
      <c r="Z44" s="1919">
        <v>253.6</v>
      </c>
      <c r="AA44" s="1945">
        <f>(138172/55910000)*100000</f>
        <v>247.13289214809515</v>
      </c>
      <c r="AB44" s="3166">
        <f>(129174/56753327)*100000</f>
        <v>227.60603973049896</v>
      </c>
      <c r="AC44" s="3166">
        <f>(125076/57698414)*100000</f>
        <v>216.77545590767883</v>
      </c>
      <c r="AD44" s="3166">
        <f>(118213/58678235)*100000</f>
        <v>201.45970648230983</v>
      </c>
      <c r="AE44" s="3166">
        <f>(81183/59695848)*100000</f>
        <v>135.99438272490912</v>
      </c>
      <c r="AF44" s="3166">
        <f>(81504/60356785)*100000</f>
        <v>135.03701365140637</v>
      </c>
    </row>
    <row r="45" spans="1:32" x14ac:dyDescent="0.25">
      <c r="D45" s="95" t="s">
        <v>1863</v>
      </c>
      <c r="E45" s="1979">
        <v>121.86114833522301</v>
      </c>
      <c r="F45" s="1979">
        <v>109.730153115367</v>
      </c>
      <c r="G45" s="1979">
        <v>103.470436178697</v>
      </c>
      <c r="H45" s="1979">
        <v>100.983773804897</v>
      </c>
      <c r="I45" s="1979">
        <v>98.809297008954104</v>
      </c>
      <c r="J45" s="1979">
        <v>96.224983948760297</v>
      </c>
      <c r="K45" s="1979">
        <v>95.0791699590294</v>
      </c>
      <c r="L45" s="1979">
        <v>92.894257530682097</v>
      </c>
      <c r="M45" s="1979">
        <v>102.699238723192</v>
      </c>
      <c r="N45" s="1979">
        <v>88.979293692874407</v>
      </c>
      <c r="O45" s="1979">
        <v>70.099999999999994</v>
      </c>
      <c r="P45" s="1979">
        <v>61.3</v>
      </c>
      <c r="Q45" s="1979">
        <v>60.8</v>
      </c>
      <c r="R45" s="1979">
        <v>60.1</v>
      </c>
      <c r="S45" s="1979">
        <v>61.7</v>
      </c>
      <c r="T45" s="1979">
        <v>65.7</v>
      </c>
      <c r="U45" s="1979">
        <v>60.3</v>
      </c>
      <c r="V45" s="1979">
        <v>61.2</v>
      </c>
      <c r="W45" s="1979">
        <v>57.2</v>
      </c>
      <c r="X45" s="3167">
        <v>52.9</v>
      </c>
      <c r="Y45" s="3168">
        <v>46.229808647294497</v>
      </c>
      <c r="Z45" s="3169">
        <v>45</v>
      </c>
      <c r="AA45" s="3168">
        <f>(26902/55910000)*100000</f>
        <v>48.116615989983899</v>
      </c>
      <c r="AB45" s="3170">
        <f>(28849/56753327)*100000</f>
        <v>50.832262221384831</v>
      </c>
      <c r="AC45" s="3170">
        <f>(29672/57698414)*100000</f>
        <v>51.426023599192867</v>
      </c>
      <c r="AD45" s="3170">
        <f>(26310/58678235)*100000</f>
        <v>44.837749465368205</v>
      </c>
      <c r="AE45" s="3170">
        <f>(26310/59695848)*100000</f>
        <v>44.073416965280401</v>
      </c>
      <c r="AF45" s="3170">
        <f>(25001/60356785)*100000</f>
        <v>41.422020738844857</v>
      </c>
    </row>
    <row r="46" spans="1:32" s="510" customFormat="1" ht="12.75" x14ac:dyDescent="0.2">
      <c r="A46" s="309"/>
      <c r="B46" s="309"/>
      <c r="C46" s="309"/>
      <c r="X46" s="1947"/>
      <c r="Y46" s="1947"/>
      <c r="Z46" s="1947"/>
      <c r="AA46" s="1947"/>
      <c r="AB46" s="1947"/>
      <c r="AC46" s="1948"/>
    </row>
    <row r="47" spans="1:32" s="510" customFormat="1" ht="12.75" x14ac:dyDescent="0.2">
      <c r="A47" s="309"/>
      <c r="B47" s="309"/>
      <c r="C47" s="309"/>
      <c r="J47" s="3171"/>
      <c r="X47" s="1947"/>
      <c r="Y47" s="1947"/>
      <c r="Z47" s="1947"/>
      <c r="AA47" s="1947"/>
      <c r="AB47" s="1947"/>
    </row>
    <row r="48" spans="1:32" s="510" customFormat="1" x14ac:dyDescent="0.25">
      <c r="A48" s="309"/>
      <c r="B48" s="1951"/>
      <c r="C48" s="1951"/>
      <c r="D48" s="71" t="s">
        <v>365</v>
      </c>
      <c r="E48" s="71" t="s">
        <v>1869</v>
      </c>
      <c r="F48" s="548"/>
      <c r="G48" s="751"/>
      <c r="H48" s="751"/>
      <c r="I48" s="751"/>
      <c r="J48" s="751"/>
      <c r="K48" s="751"/>
      <c r="L48" s="751"/>
      <c r="M48" s="751"/>
      <c r="N48" s="751"/>
      <c r="O48" s="751"/>
      <c r="P48" s="751"/>
      <c r="Q48" s="88"/>
      <c r="R48" s="88"/>
      <c r="S48" s="113"/>
      <c r="T48" s="113"/>
      <c r="U48" s="113"/>
      <c r="V48" s="113"/>
      <c r="X48" s="1947"/>
      <c r="Y48" s="1947"/>
      <c r="Z48" s="1947"/>
      <c r="AA48" s="1947"/>
      <c r="AB48" s="1947"/>
    </row>
    <row r="49" spans="1:32" s="510" customFormat="1" ht="12.75" x14ac:dyDescent="0.2">
      <c r="A49" s="309"/>
      <c r="B49" s="1951"/>
      <c r="C49" s="1951"/>
      <c r="D49" s="2186"/>
      <c r="E49" s="2424" t="s">
        <v>395</v>
      </c>
      <c r="F49" s="2424" t="s">
        <v>396</v>
      </c>
      <c r="G49" s="2424" t="s">
        <v>9</v>
      </c>
      <c r="H49" s="2424" t="s">
        <v>10</v>
      </c>
      <c r="I49" s="2424" t="s">
        <v>11</v>
      </c>
      <c r="J49" s="3155" t="s">
        <v>12</v>
      </c>
      <c r="K49" s="3155" t="s">
        <v>13</v>
      </c>
      <c r="L49" s="2424" t="s">
        <v>14</v>
      </c>
      <c r="M49" s="3099" t="s">
        <v>15</v>
      </c>
      <c r="N49" s="3155" t="s">
        <v>16</v>
      </c>
      <c r="O49" s="3155" t="s">
        <v>17</v>
      </c>
      <c r="P49" s="2424" t="s">
        <v>18</v>
      </c>
      <c r="Q49" s="3155" t="s">
        <v>19</v>
      </c>
      <c r="R49" s="3155" t="s">
        <v>20</v>
      </c>
      <c r="S49" s="3155" t="s">
        <v>21</v>
      </c>
      <c r="T49" s="3155" t="s">
        <v>22</v>
      </c>
      <c r="U49" s="3155" t="s">
        <v>23</v>
      </c>
      <c r="V49" s="3155" t="s">
        <v>24</v>
      </c>
      <c r="W49" s="3099" t="s">
        <v>25</v>
      </c>
      <c r="X49" s="2952" t="s">
        <v>26</v>
      </c>
      <c r="Y49" s="2952" t="s">
        <v>27</v>
      </c>
      <c r="Z49" s="2952" t="s">
        <v>28</v>
      </c>
      <c r="AA49" s="2952" t="s">
        <v>29</v>
      </c>
      <c r="AB49" s="3172" t="s">
        <v>30</v>
      </c>
      <c r="AC49" s="3165" t="s">
        <v>31</v>
      </c>
      <c r="AD49" s="3165" t="s">
        <v>32</v>
      </c>
      <c r="AE49" s="3165" t="s">
        <v>33</v>
      </c>
      <c r="AF49" s="3165" t="s">
        <v>59</v>
      </c>
    </row>
    <row r="50" spans="1:32" s="510" customFormat="1" ht="12.75" x14ac:dyDescent="0.2">
      <c r="A50" s="309"/>
      <c r="B50" s="1951"/>
      <c r="C50" s="1951"/>
      <c r="D50" s="88" t="s">
        <v>1859</v>
      </c>
      <c r="E50" s="1952">
        <f>E41/E41*100</f>
        <v>100</v>
      </c>
      <c r="F50" s="1953">
        <f>F41/E41*100</f>
        <v>105.48091612038768</v>
      </c>
      <c r="G50" s="1953">
        <f>G41/E41*100</f>
        <v>101.11583509516342</v>
      </c>
      <c r="H50" s="1953">
        <f>H41/E41*100</f>
        <v>102.49725243188085</v>
      </c>
      <c r="I50" s="1953">
        <f>I41/E41*100</f>
        <v>109.47374533538098</v>
      </c>
      <c r="J50" s="1953">
        <f>J41/E41*100</f>
        <v>112.94335303465178</v>
      </c>
      <c r="K50" s="1953">
        <f>K41/E41*100</f>
        <v>116.39466655259423</v>
      </c>
      <c r="L50" s="1953">
        <f>L41/E41*100</f>
        <v>113.26054001237134</v>
      </c>
      <c r="M50" s="1953">
        <f>M41/E41*100</f>
        <v>118.0761668615129</v>
      </c>
      <c r="N50" s="1953">
        <f>N41/E41*100</f>
        <v>108.22129560390637</v>
      </c>
      <c r="O50" s="1953">
        <f>O41/E41*100</f>
        <v>99.427335480106365</v>
      </c>
      <c r="P50" s="1953">
        <f>P41/E41*100</f>
        <v>93.909185450930423</v>
      </c>
      <c r="Q50" s="1953">
        <f>Q41/E41*100</f>
        <v>88.357490436774683</v>
      </c>
      <c r="R50" s="1953">
        <f>R41/E41*100</f>
        <v>83.37606016727544</v>
      </c>
      <c r="S50" s="1953">
        <f>S41/E41*100</f>
        <v>84.952674461325699</v>
      </c>
      <c r="T50" s="1953">
        <f>T41/E41*100</f>
        <v>87.250505932441527</v>
      </c>
      <c r="U50" s="1953">
        <f>U41/E41*100</f>
        <v>83.074155302457299</v>
      </c>
      <c r="V50" s="1953">
        <f>V41/E41*100</f>
        <v>81.413678545957538</v>
      </c>
      <c r="W50" s="1953">
        <f>W41/E41*100</f>
        <v>84.097277344340981</v>
      </c>
      <c r="X50" s="1954">
        <f>X41/E41*100</f>
        <v>82.453741572649392</v>
      </c>
      <c r="Y50" s="1954">
        <f>Y41/E41*100</f>
        <v>78.801772701902195</v>
      </c>
      <c r="Z50" s="1955">
        <f>Z41/E41*100</f>
        <v>76.482565753927972</v>
      </c>
      <c r="AA50" s="1955">
        <f>AA41/E41*100</f>
        <v>73.993961055319772</v>
      </c>
      <c r="AB50" s="1955">
        <f>AB41/E41*100</f>
        <v>67.409350327434538</v>
      </c>
      <c r="AC50" s="136">
        <f>AC41/F41*100</f>
        <v>60.867678369867605</v>
      </c>
      <c r="AD50" s="136">
        <f>AD41/G41*100</f>
        <v>58.221335813904616</v>
      </c>
      <c r="AE50" s="136">
        <f>AE41/H41*100</f>
        <v>43.782774286379571</v>
      </c>
      <c r="AF50" s="136">
        <f>AF41/I41*100</f>
        <v>39.642327178386132</v>
      </c>
    </row>
    <row r="51" spans="1:32" s="510" customFormat="1" ht="12.75" x14ac:dyDescent="0.2">
      <c r="A51" s="309"/>
      <c r="B51" s="1951"/>
      <c r="C51" s="1951"/>
      <c r="D51" s="88" t="s">
        <v>1860</v>
      </c>
      <c r="E51" s="1952">
        <f>E42/E42*100</f>
        <v>100</v>
      </c>
      <c r="F51" s="1953">
        <f>F42/E42*100</f>
        <v>97.794780251285459</v>
      </c>
      <c r="G51" s="1953">
        <f>G42/E42*100</f>
        <v>95.127142422061127</v>
      </c>
      <c r="H51" s="1953">
        <f>H42/E42*100</f>
        <v>97.156422197849849</v>
      </c>
      <c r="I51" s="1953">
        <f>I42/E42*100</f>
        <v>99.44733689217594</v>
      </c>
      <c r="J51" s="1953">
        <f>J42/E42*100</f>
        <v>95.763092728615931</v>
      </c>
      <c r="K51" s="1953">
        <f>K42/E42*100</f>
        <v>92.724193563794188</v>
      </c>
      <c r="L51" s="1953">
        <f>L42/E42*100</f>
        <v>86.097520461271444</v>
      </c>
      <c r="M51" s="1953">
        <f>M42/E42*100</f>
        <v>72.093106633233432</v>
      </c>
      <c r="N51" s="1953">
        <f>N42/E42*100</f>
        <v>61.719548797771949</v>
      </c>
      <c r="O51" s="1953">
        <f>O42/E42*100</f>
        <v>53.28905479452046</v>
      </c>
      <c r="P51" s="1953">
        <f>P42/E42*100</f>
        <v>51.384292237442843</v>
      </c>
      <c r="Q51" s="1953">
        <f>Q42/E42*100</f>
        <v>54.6179589041095</v>
      </c>
      <c r="R51" s="1953">
        <f>R42/E42*100</f>
        <v>58.338890410958797</v>
      </c>
      <c r="S51" s="1953">
        <f>S42/E42*100</f>
        <v>63.698803652967939</v>
      </c>
      <c r="T51" s="1953">
        <f>T42/E42*100</f>
        <v>64.451849315068387</v>
      </c>
      <c r="U51" s="1953">
        <f>U42/E42*100</f>
        <v>61.218182648401722</v>
      </c>
      <c r="V51" s="1953">
        <f>V42/E42*100</f>
        <v>61.35107305936063</v>
      </c>
      <c r="W51" s="1953">
        <f>W42/E42*100</f>
        <v>62.414196347031869</v>
      </c>
      <c r="X51" s="1954">
        <f>X42/E42*100</f>
        <v>61.528260273972499</v>
      </c>
      <c r="Y51" s="1954">
        <f>Y42/E42*100</f>
        <v>60.994491533165309</v>
      </c>
      <c r="Z51" s="1955">
        <f>Z42/E42*100</f>
        <v>60.465136986301275</v>
      </c>
      <c r="AA51" s="1955">
        <f>AA42/E42*100</f>
        <v>59.911209061529803</v>
      </c>
      <c r="AB51" s="1955">
        <f t="shared" ref="AB51:AC54" si="1">AB42/E42*100</f>
        <v>55.568741125485985</v>
      </c>
      <c r="AC51" s="136">
        <f t="shared" si="1"/>
        <v>55.913824558102043</v>
      </c>
      <c r="AD51" s="136">
        <f>AD42/G42*100</f>
        <v>55.32286580540211</v>
      </c>
      <c r="AE51" s="136">
        <f t="shared" ref="AE51:AF54" si="2">AE42/H42*100</f>
        <v>50.032371745428748</v>
      </c>
      <c r="AF51" s="136">
        <f t="shared" si="2"/>
        <v>45.901044825540772</v>
      </c>
    </row>
    <row r="52" spans="1:32" s="510" customFormat="1" ht="12.75" x14ac:dyDescent="0.2">
      <c r="A52" s="309"/>
      <c r="B52" s="1951"/>
      <c r="C52" s="1951"/>
      <c r="D52" s="88" t="s">
        <v>1871</v>
      </c>
      <c r="E52" s="1952">
        <f>E43/E43*100</f>
        <v>100</v>
      </c>
      <c r="F52" s="1953">
        <f>F43/E43*100</f>
        <v>91.37823641369836</v>
      </c>
      <c r="G52" s="1953">
        <f>G43/E43*100</f>
        <v>87.906554256134513</v>
      </c>
      <c r="H52" s="1953">
        <f>H43/E43*100</f>
        <v>91.323113634307163</v>
      </c>
      <c r="I52" s="1953">
        <f>I43/E43*100</f>
        <v>93.788084444023326</v>
      </c>
      <c r="J52" s="1953">
        <f>J43/E43*100</f>
        <v>87.72216690144748</v>
      </c>
      <c r="K52" s="1953">
        <f>K43/E43*100</f>
        <v>83.927999060243124</v>
      </c>
      <c r="L52" s="1953">
        <f>L43/E43*100</f>
        <v>79.211122795796769</v>
      </c>
      <c r="M52" s="1953">
        <f>M43/E43*100</f>
        <v>75.102753361132557</v>
      </c>
      <c r="N52" s="1953">
        <f>N43/E43*100</f>
        <v>69.651674382855205</v>
      </c>
      <c r="O52" s="1953">
        <f>O43/E43*100</f>
        <v>65.976366573153143</v>
      </c>
      <c r="P52" s="1953">
        <f>P43/E43*100</f>
        <v>67.185933293660966</v>
      </c>
      <c r="Q52" s="1953">
        <f>Q43/E43*100</f>
        <v>66.746090849839931</v>
      </c>
      <c r="R52" s="1953">
        <f>R43/E43*100</f>
        <v>61.467981523987682</v>
      </c>
      <c r="S52" s="1953">
        <f>S43/E43*100</f>
        <v>57.179517696732731</v>
      </c>
      <c r="T52" s="1953">
        <f>T43/E43*100</f>
        <v>53.330896313298794</v>
      </c>
      <c r="U52" s="1953">
        <f>U43/E43*100</f>
        <v>47.283062710759758</v>
      </c>
      <c r="V52" s="1953">
        <f>V43/E43*100</f>
        <v>42.811331198579374</v>
      </c>
      <c r="W52" s="1953">
        <f>W43/E43*100</f>
        <v>40.942000812340041</v>
      </c>
      <c r="X52" s="1954">
        <f>X43/E43*100</f>
        <v>39.329245184996289</v>
      </c>
      <c r="Y52" s="1954">
        <f>Y43/E43*100</f>
        <v>37.392042378843307</v>
      </c>
      <c r="Z52" s="1955">
        <f>Z43/E43*100</f>
        <v>35.883812708398303</v>
      </c>
      <c r="AA52" s="1955">
        <f>AA43/E43*100</f>
        <v>34.947059489607049</v>
      </c>
      <c r="AB52" s="1955">
        <f t="shared" si="1"/>
        <v>32.720163599842614</v>
      </c>
      <c r="AC52" s="136">
        <f t="shared" si="1"/>
        <v>33.594804458872282</v>
      </c>
      <c r="AD52" s="136">
        <f>AD43/G43*100</f>
        <v>33.341478148681347</v>
      </c>
      <c r="AE52" s="136">
        <f t="shared" si="2"/>
        <v>23.547477874376099</v>
      </c>
      <c r="AF52" s="136">
        <f t="shared" si="2"/>
        <v>24.217926188380982</v>
      </c>
    </row>
    <row r="53" spans="1:32" s="510" customFormat="1" ht="12.75" x14ac:dyDescent="0.2">
      <c r="A53" s="309"/>
      <c r="B53" s="309"/>
      <c r="C53" s="309"/>
      <c r="D53" s="88" t="s">
        <v>1862</v>
      </c>
      <c r="E53" s="1952">
        <f>E44/E44*100</f>
        <v>100</v>
      </c>
      <c r="F53" s="1953">
        <f>F44/E44*100</f>
        <v>102.57104747593398</v>
      </c>
      <c r="G53" s="1953">
        <f>G44/E44*100</f>
        <v>91.082677376559445</v>
      </c>
      <c r="H53" s="1953">
        <f>H44/E44*100</f>
        <v>92.111051584419684</v>
      </c>
      <c r="I53" s="1953">
        <f>I44/E44*100</f>
        <v>95.764394829091529</v>
      </c>
      <c r="J53" s="1953">
        <f>J44/E44*100</f>
        <v>96.047866012344556</v>
      </c>
      <c r="K53" s="1953">
        <f>K44/E44*100</f>
        <v>97.140360834790016</v>
      </c>
      <c r="L53" s="1953">
        <f>L44/E44*100</f>
        <v>94.092214135421997</v>
      </c>
      <c r="M53" s="1953">
        <f>M44/E44*100</f>
        <v>91.204708866796693</v>
      </c>
      <c r="N53" s="1953">
        <f>N44/E44*100</f>
        <v>78.462334910649602</v>
      </c>
      <c r="O53" s="1953">
        <f>O44/E44*100</f>
        <v>67.464239476023451</v>
      </c>
      <c r="P53" s="1953">
        <f>P44/E44*100</f>
        <v>62.766290553916413</v>
      </c>
      <c r="Q53" s="1953">
        <f>Q44/E44*100</f>
        <v>55.380776257450862</v>
      </c>
      <c r="R53" s="1953">
        <f>R44/E44*100</f>
        <v>49.391949478368481</v>
      </c>
      <c r="S53" s="1953">
        <f>S44/E44*100</f>
        <v>47.614347183517168</v>
      </c>
      <c r="T53" s="1953">
        <f>T44/E44*100</f>
        <v>51.867895531911365</v>
      </c>
      <c r="U53" s="1953">
        <f>U44/E44*100</f>
        <v>52.100676784808563</v>
      </c>
      <c r="V53" s="1953">
        <f>V44/E44*100</f>
        <v>54.576622838351454</v>
      </c>
      <c r="W53" s="1953">
        <f>W44/E44*100</f>
        <v>56.544682521936828</v>
      </c>
      <c r="X53" s="1954">
        <f>X44/E44*100</f>
        <v>57.433483669362481</v>
      </c>
      <c r="Y53" s="1954">
        <f>Y44/E44*100</f>
        <v>56.961941108869084</v>
      </c>
      <c r="Z53" s="1955">
        <f>Z44/E44*100</f>
        <v>53.66665975884424</v>
      </c>
      <c r="AA53" s="1955">
        <f>AA44/E44*100</f>
        <v>52.298094787582691</v>
      </c>
      <c r="AB53" s="1955">
        <f t="shared" si="1"/>
        <v>48.165835541303913</v>
      </c>
      <c r="AC53" s="136">
        <f t="shared" si="1"/>
        <v>44.723999488691227</v>
      </c>
      <c r="AD53" s="136">
        <f>AD44/G44*100</f>
        <v>46.806667837889769</v>
      </c>
      <c r="AE53" s="136">
        <f t="shared" si="2"/>
        <v>31.243850126507787</v>
      </c>
      <c r="AF53" s="136">
        <f t="shared" si="2"/>
        <v>29.840360986858975</v>
      </c>
    </row>
    <row r="54" spans="1:32" s="510" customFormat="1" ht="12.75" x14ac:dyDescent="0.2">
      <c r="A54" s="309"/>
      <c r="B54" s="309"/>
      <c r="C54" s="309"/>
      <c r="D54" s="95" t="s">
        <v>1863</v>
      </c>
      <c r="E54" s="1957">
        <f>E45/E45*100</f>
        <v>100</v>
      </c>
      <c r="F54" s="1958">
        <f>F45/E45*100</f>
        <v>90.045231490445715</v>
      </c>
      <c r="G54" s="1958">
        <f>G45/E45*100</f>
        <v>84.908469674078788</v>
      </c>
      <c r="H54" s="1958">
        <f>H45/E45*100</f>
        <v>82.867899395716123</v>
      </c>
      <c r="I54" s="1958">
        <f>I45/E45*100</f>
        <v>81.083510502579145</v>
      </c>
      <c r="J54" s="1958">
        <f>J45/E45*100</f>
        <v>78.962807476636272</v>
      </c>
      <c r="K54" s="1958">
        <f>K45/E45*100</f>
        <v>78.02254554296492</v>
      </c>
      <c r="L54" s="1958">
        <f>L45/E45*100</f>
        <v>76.229593106363126</v>
      </c>
      <c r="M54" s="1958">
        <f>M45/E45*100</f>
        <v>84.275620348399087</v>
      </c>
      <c r="N54" s="1958">
        <f>N45/E45*100</f>
        <v>73.016949953651178</v>
      </c>
      <c r="O54" s="1958">
        <f>O45/E45*100</f>
        <v>57.524486645378289</v>
      </c>
      <c r="P54" s="1958">
        <f>P45/E45*100</f>
        <v>50.30315308647203</v>
      </c>
      <c r="Q54" s="1958">
        <f>Q45/E45*100</f>
        <v>49.892850043352361</v>
      </c>
      <c r="R54" s="1958">
        <f>R45/E45*100</f>
        <v>49.318425782984818</v>
      </c>
      <c r="S54" s="1958">
        <f>S45/E45*100</f>
        <v>50.631395520967779</v>
      </c>
      <c r="T54" s="1958">
        <f>T45/E45*100</f>
        <v>53.91381986592517</v>
      </c>
      <c r="U54" s="1958">
        <f>U45/E45*100</f>
        <v>49.482547000232685</v>
      </c>
      <c r="V54" s="1958">
        <f>V45/E45*100</f>
        <v>50.221092477848103</v>
      </c>
      <c r="W54" s="1958">
        <f>W45/E45*100</f>
        <v>46.938668132890712</v>
      </c>
      <c r="X54" s="1959">
        <f>X45/E45*100</f>
        <v>43.410061962061512</v>
      </c>
      <c r="Y54" s="1959">
        <f>Y45/E45*100</f>
        <v>37.936462341650305</v>
      </c>
      <c r="Z54" s="1959">
        <f>Z45/E45*100</f>
        <v>36.927273880770663</v>
      </c>
      <c r="AA54" s="1959">
        <f>AA45/E45*100</f>
        <v>39.484787930622325</v>
      </c>
      <c r="AB54" s="1959">
        <f t="shared" si="1"/>
        <v>41.713263756182876</v>
      </c>
      <c r="AC54" s="1958">
        <f t="shared" si="1"/>
        <v>46.865899790666546</v>
      </c>
      <c r="AD54" s="188">
        <f>AD45/G45*100</f>
        <v>43.3338749900811</v>
      </c>
      <c r="AE54" s="188">
        <f t="shared" si="2"/>
        <v>43.644058153769606</v>
      </c>
      <c r="AF54" s="188">
        <f t="shared" si="2"/>
        <v>41.921177452655286</v>
      </c>
    </row>
    <row r="55" spans="1:32" s="510" customFormat="1" ht="12.75" x14ac:dyDescent="0.2">
      <c r="A55" s="309"/>
      <c r="B55" s="309"/>
      <c r="C55" s="309"/>
      <c r="J55" s="3171"/>
      <c r="AB55" s="1962"/>
    </row>
    <row r="56" spans="1:32" s="510" customFormat="1" ht="12.75" x14ac:dyDescent="0.2">
      <c r="A56" s="309"/>
      <c r="B56" s="1963"/>
      <c r="C56" s="1963"/>
      <c r="D56" s="1964"/>
      <c r="E56" s="1964"/>
      <c r="F56" s="1964"/>
      <c r="G56" s="1964"/>
      <c r="H56" s="1964"/>
      <c r="I56" s="1964"/>
      <c r="J56" s="1964"/>
      <c r="K56" s="1964"/>
      <c r="L56" s="1964"/>
      <c r="M56" s="1964"/>
    </row>
    <row r="57" spans="1:32" s="510" customFormat="1" ht="12.75" x14ac:dyDescent="0.2">
      <c r="A57" s="309"/>
      <c r="B57" s="1963"/>
      <c r="C57" s="1963"/>
      <c r="D57" s="1964"/>
      <c r="E57" s="1964"/>
      <c r="F57" s="1964"/>
      <c r="G57" s="1964"/>
      <c r="H57" s="1964"/>
      <c r="I57" s="1964"/>
      <c r="J57" s="1964"/>
      <c r="K57" s="1964"/>
      <c r="L57" s="1964"/>
      <c r="M57" s="1964"/>
    </row>
    <row r="58" spans="1:32" s="510" customFormat="1" ht="12.75" x14ac:dyDescent="0.2">
      <c r="A58" s="309"/>
      <c r="B58" s="1963"/>
      <c r="C58" s="1963"/>
      <c r="D58" s="1964"/>
      <c r="E58" s="1964"/>
      <c r="F58" s="1964"/>
      <c r="G58" s="1964"/>
      <c r="H58" s="1964"/>
      <c r="I58" s="1964"/>
      <c r="J58" s="1964"/>
      <c r="K58" s="1964"/>
      <c r="L58" s="1964"/>
      <c r="M58" s="1964"/>
    </row>
    <row r="59" spans="1:32" s="510" customFormat="1" ht="12.75" x14ac:dyDescent="0.2">
      <c r="A59" s="309"/>
      <c r="B59" s="1963"/>
      <c r="C59" s="1963"/>
      <c r="D59" s="1964"/>
      <c r="E59" s="1964"/>
      <c r="F59" s="1964"/>
      <c r="G59" s="1964"/>
      <c r="H59" s="1964"/>
      <c r="I59" s="1964"/>
      <c r="J59" s="1964"/>
      <c r="K59" s="1964"/>
      <c r="L59" s="1964"/>
      <c r="M59" s="1964"/>
    </row>
    <row r="60" spans="1:32" s="510" customFormat="1" ht="12.75" x14ac:dyDescent="0.2">
      <c r="A60" s="309"/>
      <c r="B60" s="1963"/>
      <c r="C60" s="1963"/>
      <c r="D60" s="1964"/>
      <c r="E60" s="1964"/>
      <c r="F60" s="1964"/>
      <c r="G60" s="1964"/>
      <c r="H60" s="1964"/>
      <c r="I60" s="1964"/>
      <c r="J60" s="1964"/>
      <c r="K60" s="1964"/>
      <c r="L60" s="1964"/>
      <c r="M60" s="1964"/>
    </row>
    <row r="61" spans="1:32" s="510" customFormat="1" ht="12.75" x14ac:dyDescent="0.2">
      <c r="A61" s="309"/>
      <c r="B61" s="1963"/>
      <c r="C61" s="1963"/>
      <c r="D61" s="1964"/>
      <c r="E61" s="1964"/>
      <c r="F61" s="1964"/>
      <c r="G61" s="1964"/>
      <c r="H61" s="1964"/>
      <c r="I61" s="1964"/>
      <c r="J61" s="1964"/>
      <c r="K61" s="1964"/>
      <c r="L61" s="1964"/>
      <c r="M61" s="1964"/>
    </row>
    <row r="62" spans="1:32" s="510" customFormat="1" ht="12.75" x14ac:dyDescent="0.2">
      <c r="A62" s="309"/>
      <c r="B62" s="1963"/>
      <c r="C62" s="1963"/>
      <c r="D62" s="1964"/>
      <c r="E62" s="1964"/>
      <c r="F62" s="1964"/>
      <c r="G62" s="1964"/>
      <c r="H62" s="1964"/>
      <c r="I62" s="1964"/>
      <c r="J62" s="1964"/>
      <c r="K62" s="1964"/>
      <c r="L62" s="1964"/>
      <c r="M62" s="1964"/>
    </row>
    <row r="63" spans="1:32" s="510" customFormat="1" ht="12.75" x14ac:dyDescent="0.2">
      <c r="A63" s="309"/>
      <c r="B63" s="1963"/>
      <c r="C63" s="1963"/>
      <c r="D63" s="1964"/>
      <c r="E63" s="1964"/>
      <c r="F63" s="1964"/>
      <c r="G63" s="1964"/>
      <c r="H63" s="1964"/>
      <c r="I63" s="1964"/>
      <c r="J63" s="1964"/>
      <c r="K63" s="1964"/>
      <c r="L63" s="1964"/>
      <c r="M63" s="1964"/>
    </row>
    <row r="64" spans="1:32" s="510" customFormat="1" ht="12.75" x14ac:dyDescent="0.2">
      <c r="A64" s="309"/>
      <c r="B64" s="1963"/>
      <c r="C64" s="1963"/>
      <c r="D64" s="1964"/>
      <c r="E64" s="1964"/>
      <c r="F64" s="1964"/>
      <c r="G64" s="1964"/>
      <c r="H64" s="1964"/>
      <c r="I64" s="1964"/>
      <c r="J64" s="1964"/>
      <c r="K64" s="1964"/>
      <c r="L64" s="1964"/>
      <c r="M64" s="1964"/>
    </row>
    <row r="65" spans="1:13" s="510" customFormat="1" ht="12.75" x14ac:dyDescent="0.2">
      <c r="A65" s="309"/>
      <c r="B65" s="1963"/>
      <c r="C65" s="1963"/>
      <c r="D65" s="1964"/>
      <c r="E65" s="1964"/>
      <c r="F65" s="1964"/>
      <c r="G65" s="1964"/>
      <c r="H65" s="1964"/>
      <c r="I65" s="1964"/>
      <c r="J65" s="1964"/>
      <c r="K65" s="1964"/>
      <c r="L65" s="1964"/>
      <c r="M65" s="1964"/>
    </row>
    <row r="66" spans="1:13" s="510" customFormat="1" ht="12.75" x14ac:dyDescent="0.2">
      <c r="A66" s="309"/>
      <c r="B66" s="1963"/>
      <c r="C66" s="1963"/>
      <c r="D66" s="1964"/>
      <c r="E66" s="1964"/>
      <c r="F66" s="1964"/>
      <c r="G66" s="1964"/>
      <c r="H66" s="1964"/>
      <c r="I66" s="1964"/>
      <c r="J66" s="1964"/>
      <c r="K66" s="1964"/>
      <c r="L66" s="1964"/>
      <c r="M66" s="1964"/>
    </row>
    <row r="67" spans="1:13" s="510" customFormat="1" ht="12.75" x14ac:dyDescent="0.2">
      <c r="A67" s="309"/>
      <c r="B67" s="1963"/>
      <c r="C67" s="1963"/>
      <c r="D67" s="1964"/>
      <c r="E67" s="1964"/>
      <c r="F67" s="1964"/>
      <c r="G67" s="1964"/>
      <c r="H67" s="1964"/>
      <c r="I67" s="1964"/>
      <c r="J67" s="1964"/>
      <c r="K67" s="1964"/>
      <c r="L67" s="1964"/>
      <c r="M67" s="1964"/>
    </row>
    <row r="68" spans="1:13" s="510" customFormat="1" ht="12.75" x14ac:dyDescent="0.2">
      <c r="A68" s="309"/>
      <c r="B68" s="1963"/>
      <c r="C68" s="1963"/>
      <c r="D68" s="1964"/>
      <c r="E68" s="1964"/>
      <c r="F68" s="1964"/>
      <c r="G68" s="1964"/>
      <c r="H68" s="1964"/>
      <c r="I68" s="1964"/>
      <c r="J68" s="1964"/>
      <c r="K68" s="1964"/>
      <c r="L68" s="1964"/>
      <c r="M68" s="1964"/>
    </row>
    <row r="69" spans="1:13" s="510" customFormat="1" ht="12.75" x14ac:dyDescent="0.2">
      <c r="A69" s="309"/>
      <c r="B69" s="1963"/>
      <c r="C69" s="1963"/>
      <c r="D69" s="1964"/>
      <c r="E69" s="1964"/>
      <c r="F69" s="1964"/>
      <c r="G69" s="1964"/>
      <c r="H69" s="1964"/>
      <c r="I69" s="1964"/>
      <c r="J69" s="1964"/>
      <c r="K69" s="1964"/>
      <c r="L69" s="1964"/>
      <c r="M69" s="1964"/>
    </row>
    <row r="70" spans="1:13" s="510" customFormat="1" ht="12.75" x14ac:dyDescent="0.2">
      <c r="A70" s="309"/>
      <c r="B70" s="1963"/>
      <c r="C70" s="1963"/>
      <c r="D70" s="1964"/>
      <c r="E70" s="1964"/>
      <c r="F70" s="1964"/>
      <c r="G70" s="1964"/>
      <c r="H70" s="1964"/>
      <c r="I70" s="1964"/>
      <c r="J70" s="1964"/>
      <c r="K70" s="1964"/>
      <c r="L70" s="1964"/>
      <c r="M70" s="1964"/>
    </row>
    <row r="71" spans="1:13" s="510" customFormat="1" ht="12.75" x14ac:dyDescent="0.2">
      <c r="A71" s="309"/>
      <c r="B71" s="1963"/>
      <c r="C71" s="1963"/>
      <c r="D71" s="1964"/>
      <c r="E71" s="1964"/>
      <c r="F71" s="1964"/>
      <c r="G71" s="1964"/>
      <c r="H71" s="1964"/>
      <c r="I71" s="1964"/>
      <c r="J71" s="1964"/>
      <c r="K71" s="1964"/>
      <c r="L71" s="1964"/>
      <c r="M71" s="1964"/>
    </row>
    <row r="72" spans="1:13" s="510" customFormat="1" ht="12.75" x14ac:dyDescent="0.2">
      <c r="A72" s="309"/>
      <c r="B72" s="1963"/>
      <c r="C72" s="1963"/>
      <c r="D72" s="1964"/>
      <c r="E72" s="1964"/>
      <c r="F72" s="1964"/>
      <c r="G72" s="1964"/>
      <c r="H72" s="1964"/>
      <c r="I72" s="1964"/>
      <c r="J72" s="1964"/>
      <c r="K72" s="1964"/>
      <c r="L72" s="1964"/>
      <c r="M72" s="1964"/>
    </row>
    <row r="73" spans="1:13" s="510" customFormat="1" ht="12.75" x14ac:dyDescent="0.2">
      <c r="A73" s="309"/>
      <c r="B73" s="1963"/>
      <c r="C73" s="1963"/>
      <c r="D73" s="1964"/>
      <c r="E73" s="1964"/>
      <c r="F73" s="1964"/>
      <c r="G73" s="1964"/>
      <c r="H73" s="1964"/>
      <c r="I73" s="1964"/>
      <c r="J73" s="1964"/>
      <c r="K73" s="1964"/>
      <c r="L73" s="1964"/>
      <c r="M73" s="1964"/>
    </row>
    <row r="74" spans="1:13" s="510" customFormat="1" ht="12.75" x14ac:dyDescent="0.2">
      <c r="A74" s="309"/>
      <c r="B74" s="1963"/>
      <c r="C74" s="1963"/>
      <c r="D74" s="1964"/>
      <c r="E74" s="1964"/>
      <c r="F74" s="1964"/>
      <c r="G74" s="1964"/>
      <c r="H74" s="1964"/>
      <c r="I74" s="1964"/>
      <c r="J74" s="1964"/>
      <c r="K74" s="1964"/>
      <c r="L74" s="1964"/>
      <c r="M74" s="1964"/>
    </row>
    <row r="75" spans="1:13" s="510" customFormat="1" ht="12.75" x14ac:dyDescent="0.2">
      <c r="A75" s="309"/>
      <c r="B75" s="1963"/>
      <c r="C75" s="1963"/>
      <c r="D75" s="1964"/>
      <c r="E75" s="1964"/>
      <c r="F75" s="1964"/>
      <c r="G75" s="1964"/>
      <c r="H75" s="1964"/>
      <c r="I75" s="1964"/>
      <c r="J75" s="1964"/>
      <c r="K75" s="1964"/>
      <c r="L75" s="1964"/>
      <c r="M75" s="1964"/>
    </row>
    <row r="76" spans="1:13" s="510" customFormat="1" ht="12.75" x14ac:dyDescent="0.2">
      <c r="A76" s="309"/>
      <c r="B76" s="1963"/>
      <c r="C76" s="1963"/>
      <c r="D76" s="1964"/>
      <c r="E76" s="1964"/>
      <c r="F76" s="1964"/>
      <c r="G76" s="1964"/>
      <c r="H76" s="1964"/>
      <c r="I76" s="1964"/>
      <c r="J76" s="1964"/>
      <c r="K76" s="1964"/>
      <c r="L76" s="1964"/>
      <c r="M76" s="1964"/>
    </row>
    <row r="77" spans="1:13" s="510" customFormat="1" ht="12.75" x14ac:dyDescent="0.2">
      <c r="A77" s="309"/>
      <c r="B77" s="1963"/>
      <c r="C77" s="1963"/>
      <c r="D77" s="1964"/>
      <c r="E77" s="1964"/>
      <c r="F77" s="1964"/>
      <c r="G77" s="1964"/>
      <c r="H77" s="1964"/>
      <c r="I77" s="1964"/>
      <c r="J77" s="1964"/>
      <c r="K77" s="1964"/>
      <c r="L77" s="1964"/>
      <c r="M77" s="1964"/>
    </row>
    <row r="78" spans="1:13" s="510" customFormat="1" ht="12.75" x14ac:dyDescent="0.2">
      <c r="A78" s="309"/>
      <c r="B78" s="1963"/>
      <c r="C78" s="1963"/>
      <c r="D78" s="1964"/>
      <c r="E78" s="1964"/>
      <c r="F78" s="1964"/>
      <c r="G78" s="1964"/>
      <c r="H78" s="1964"/>
      <c r="I78" s="1964"/>
      <c r="J78" s="1964"/>
      <c r="K78" s="1964"/>
      <c r="L78" s="1964"/>
      <c r="M78" s="1964"/>
    </row>
    <row r="79" spans="1:13" s="510" customFormat="1" ht="12.75" x14ac:dyDescent="0.2">
      <c r="A79" s="309"/>
      <c r="B79" s="1963"/>
      <c r="C79" s="1963"/>
      <c r="D79" s="1964"/>
      <c r="E79" s="1964"/>
      <c r="F79" s="1964"/>
      <c r="G79" s="1964"/>
      <c r="H79" s="1964"/>
      <c r="I79" s="1964"/>
      <c r="J79" s="1964"/>
      <c r="K79" s="1964"/>
      <c r="L79" s="1964"/>
      <c r="M79" s="1964"/>
    </row>
    <row r="80" spans="1:13" s="510" customFormat="1" ht="12.75" x14ac:dyDescent="0.2">
      <c r="A80" s="309"/>
      <c r="B80" s="1963"/>
      <c r="C80" s="1963"/>
      <c r="D80" s="1964"/>
      <c r="E80" s="1964"/>
      <c r="F80" s="1964"/>
      <c r="G80" s="1964"/>
      <c r="H80" s="1964"/>
      <c r="I80" s="1964"/>
      <c r="J80" s="1964"/>
      <c r="K80" s="1964"/>
      <c r="L80" s="1964"/>
      <c r="M80" s="1964"/>
    </row>
    <row r="81" spans="1:13" s="510" customFormat="1" ht="12.75" x14ac:dyDescent="0.2">
      <c r="A81" s="309"/>
      <c r="B81" s="1963"/>
      <c r="C81" s="1963"/>
      <c r="D81" s="1964"/>
      <c r="E81" s="1964"/>
      <c r="F81" s="1964"/>
      <c r="G81" s="1964"/>
      <c r="H81" s="1964"/>
      <c r="I81" s="1964"/>
      <c r="J81" s="1964"/>
      <c r="K81" s="1964"/>
      <c r="L81" s="1964"/>
      <c r="M81" s="1964"/>
    </row>
    <row r="82" spans="1:13" s="510" customFormat="1" ht="12.75" x14ac:dyDescent="0.2">
      <c r="A82" s="309"/>
      <c r="B82" s="1963"/>
      <c r="C82" s="1963"/>
      <c r="D82" s="1964"/>
      <c r="E82" s="1964"/>
      <c r="F82" s="1964"/>
      <c r="G82" s="1964"/>
      <c r="H82" s="1964"/>
      <c r="I82" s="1964"/>
      <c r="J82" s="1964"/>
      <c r="K82" s="1964"/>
      <c r="L82" s="1964"/>
      <c r="M82" s="1964"/>
    </row>
    <row r="83" spans="1:13" s="510" customFormat="1" ht="12.75" x14ac:dyDescent="0.2">
      <c r="A83" s="309"/>
      <c r="B83" s="1963"/>
      <c r="C83" s="1963"/>
      <c r="D83" s="1964"/>
      <c r="E83" s="1964"/>
      <c r="F83" s="1964"/>
      <c r="G83" s="1964"/>
      <c r="H83" s="1964"/>
      <c r="I83" s="1964"/>
      <c r="J83" s="1964"/>
      <c r="K83" s="1964"/>
      <c r="L83" s="1964"/>
      <c r="M83" s="1964"/>
    </row>
    <row r="84" spans="1:13" s="510" customFormat="1" ht="12.75" x14ac:dyDescent="0.2">
      <c r="A84" s="309"/>
      <c r="B84" s="1963"/>
      <c r="C84" s="1963"/>
      <c r="D84" s="1964"/>
      <c r="E84" s="1964"/>
      <c r="F84" s="1964"/>
      <c r="G84" s="1964"/>
      <c r="H84" s="1964"/>
      <c r="I84" s="1964"/>
      <c r="J84" s="1964"/>
      <c r="K84" s="1964"/>
      <c r="L84" s="1964"/>
      <c r="M84" s="1964"/>
    </row>
    <row r="85" spans="1:13" s="510" customFormat="1" ht="12.75" x14ac:dyDescent="0.2">
      <c r="A85" s="309"/>
      <c r="B85" s="1963"/>
      <c r="C85" s="1963"/>
      <c r="D85" s="1964"/>
      <c r="E85" s="1964"/>
      <c r="F85" s="1964"/>
      <c r="G85" s="1964"/>
      <c r="H85" s="1964"/>
      <c r="I85" s="1964"/>
      <c r="J85" s="1964"/>
      <c r="K85" s="1964"/>
      <c r="L85" s="1964"/>
      <c r="M85" s="1964"/>
    </row>
    <row r="86" spans="1:13" s="510" customFormat="1" ht="12.75" x14ac:dyDescent="0.2">
      <c r="A86" s="309"/>
      <c r="B86" s="1963"/>
      <c r="C86" s="1963"/>
      <c r="D86" s="1964"/>
      <c r="E86" s="1964"/>
      <c r="F86" s="1964"/>
      <c r="G86" s="1964"/>
      <c r="H86" s="1964"/>
      <c r="I86" s="1964"/>
      <c r="J86" s="1964"/>
      <c r="K86" s="1964"/>
      <c r="L86" s="1964"/>
      <c r="M86" s="1964"/>
    </row>
    <row r="87" spans="1:13" s="510" customFormat="1" ht="12.75" x14ac:dyDescent="0.2">
      <c r="A87" s="309"/>
      <c r="B87" s="1963"/>
      <c r="C87" s="1963"/>
      <c r="D87" s="1964"/>
      <c r="E87" s="1964"/>
      <c r="F87" s="1964"/>
      <c r="G87" s="1964"/>
      <c r="H87" s="1964"/>
      <c r="I87" s="1964"/>
      <c r="J87" s="1964"/>
      <c r="K87" s="1964"/>
      <c r="L87" s="1964"/>
      <c r="M87" s="1964"/>
    </row>
    <row r="88" spans="1:13" s="510" customFormat="1" ht="12.75" x14ac:dyDescent="0.2">
      <c r="A88" s="309"/>
      <c r="B88" s="1963"/>
      <c r="C88" s="1963"/>
      <c r="D88" s="1964"/>
      <c r="E88" s="1964"/>
      <c r="F88" s="1964"/>
      <c r="G88" s="1964"/>
      <c r="H88" s="1964"/>
      <c r="I88" s="1964"/>
      <c r="J88" s="1964"/>
      <c r="K88" s="1964"/>
      <c r="L88" s="1964"/>
      <c r="M88" s="1964"/>
    </row>
    <row r="89" spans="1:13" s="510" customFormat="1" ht="12.75" x14ac:dyDescent="0.2">
      <c r="A89" s="309"/>
      <c r="B89" s="1963"/>
      <c r="C89" s="1963"/>
      <c r="D89" s="1964"/>
      <c r="E89" s="1964"/>
      <c r="F89" s="1964"/>
      <c r="G89" s="1964"/>
      <c r="H89" s="1964"/>
      <c r="I89" s="1964"/>
      <c r="J89" s="1964"/>
      <c r="K89" s="1964"/>
      <c r="L89" s="1964"/>
      <c r="M89" s="1964"/>
    </row>
    <row r="90" spans="1:13" s="510" customFormat="1" ht="12.75" x14ac:dyDescent="0.2">
      <c r="A90" s="309"/>
      <c r="B90" s="1963"/>
      <c r="C90" s="1963"/>
      <c r="D90" s="1964"/>
      <c r="E90" s="1964"/>
      <c r="F90" s="1964"/>
      <c r="G90" s="1964"/>
      <c r="H90" s="1964"/>
      <c r="I90" s="1964"/>
      <c r="J90" s="1964"/>
      <c r="K90" s="1964"/>
      <c r="L90" s="1964"/>
      <c r="M90" s="1964"/>
    </row>
    <row r="91" spans="1:13" s="510" customFormat="1" ht="12.75" x14ac:dyDescent="0.2">
      <c r="A91" s="309"/>
      <c r="B91" s="1963"/>
      <c r="C91" s="1963"/>
      <c r="D91" s="1964"/>
      <c r="E91" s="1964"/>
      <c r="F91" s="1964"/>
      <c r="G91" s="1964"/>
      <c r="H91" s="1964"/>
      <c r="I91" s="1964"/>
      <c r="J91" s="1964"/>
      <c r="K91" s="1964"/>
      <c r="L91" s="1964"/>
      <c r="M91" s="1964"/>
    </row>
    <row r="92" spans="1:13" s="510" customFormat="1" ht="12.75" x14ac:dyDescent="0.2">
      <c r="A92" s="309"/>
      <c r="B92" s="1963"/>
      <c r="C92" s="1963"/>
      <c r="D92" s="1964"/>
      <c r="E92" s="1964"/>
      <c r="F92" s="1964"/>
      <c r="G92" s="1964"/>
      <c r="H92" s="1964"/>
      <c r="I92" s="1964"/>
      <c r="J92" s="1964"/>
      <c r="K92" s="1964"/>
      <c r="L92" s="1964"/>
      <c r="M92" s="1964"/>
    </row>
    <row r="93" spans="1:13" s="510" customFormat="1" ht="12.75" x14ac:dyDescent="0.2">
      <c r="A93" s="309"/>
      <c r="B93" s="1963"/>
      <c r="C93" s="1963"/>
      <c r="D93" s="1964"/>
      <c r="E93" s="1964"/>
      <c r="F93" s="1964"/>
      <c r="G93" s="1964"/>
      <c r="H93" s="1964"/>
      <c r="I93" s="1964"/>
      <c r="J93" s="1964"/>
      <c r="K93" s="1964"/>
      <c r="L93" s="1964"/>
      <c r="M93" s="1964"/>
    </row>
    <row r="94" spans="1:13" s="510" customFormat="1" ht="12.75" x14ac:dyDescent="0.2">
      <c r="A94" s="309"/>
      <c r="B94" s="1963"/>
      <c r="C94" s="1963"/>
      <c r="D94" s="1964"/>
      <c r="E94" s="1964"/>
      <c r="F94" s="1964"/>
      <c r="G94" s="1964"/>
      <c r="H94" s="1964"/>
      <c r="I94" s="1964"/>
      <c r="J94" s="1964"/>
      <c r="K94" s="1964"/>
      <c r="L94" s="1964"/>
      <c r="M94" s="1964"/>
    </row>
    <row r="95" spans="1:13" s="510" customFormat="1" ht="12.75" x14ac:dyDescent="0.2">
      <c r="A95" s="309"/>
      <c r="B95" s="1963"/>
      <c r="C95" s="1963"/>
      <c r="D95" s="1964"/>
      <c r="E95" s="1964"/>
      <c r="F95" s="1964"/>
      <c r="G95" s="1964"/>
      <c r="H95" s="1964"/>
      <c r="I95" s="1964"/>
      <c r="J95" s="1964"/>
      <c r="K95" s="1964"/>
      <c r="L95" s="1964"/>
      <c r="M95" s="1964"/>
    </row>
    <row r="96" spans="1:13" s="510" customFormat="1" ht="12.75" x14ac:dyDescent="0.2">
      <c r="A96" s="309"/>
      <c r="B96" s="1963"/>
      <c r="C96" s="1963"/>
      <c r="D96" s="1964"/>
      <c r="E96" s="1964"/>
      <c r="F96" s="1964"/>
      <c r="G96" s="1964"/>
      <c r="H96" s="1964"/>
      <c r="I96" s="1964"/>
      <c r="J96" s="1964"/>
      <c r="K96" s="1964"/>
      <c r="L96" s="1964"/>
      <c r="M96" s="1964"/>
    </row>
    <row r="97" spans="1:13" s="510" customFormat="1" ht="12.75" x14ac:dyDescent="0.2">
      <c r="A97" s="309"/>
      <c r="B97" s="1963"/>
      <c r="C97" s="1963"/>
      <c r="D97" s="1964"/>
      <c r="E97" s="1964"/>
      <c r="F97" s="1964"/>
      <c r="G97" s="1964"/>
      <c r="H97" s="1964"/>
      <c r="I97" s="1964"/>
      <c r="J97" s="1964"/>
      <c r="K97" s="1964"/>
      <c r="L97" s="1964"/>
      <c r="M97" s="1964"/>
    </row>
    <row r="98" spans="1:13" s="510" customFormat="1" ht="12.75" x14ac:dyDescent="0.2">
      <c r="A98" s="309"/>
      <c r="B98" s="1963"/>
      <c r="C98" s="1963"/>
      <c r="D98" s="1964"/>
      <c r="E98" s="1964"/>
      <c r="F98" s="1964"/>
      <c r="G98" s="1964"/>
      <c r="H98" s="1964"/>
      <c r="I98" s="1964"/>
      <c r="J98" s="1964"/>
      <c r="K98" s="1964"/>
      <c r="L98" s="1964"/>
      <c r="M98" s="1964"/>
    </row>
    <row r="99" spans="1:13" s="510" customFormat="1" ht="12.75" x14ac:dyDescent="0.2">
      <c r="A99" s="309"/>
      <c r="B99" s="1963"/>
      <c r="C99" s="1963"/>
      <c r="D99" s="1964"/>
      <c r="E99" s="1964"/>
      <c r="F99" s="1964"/>
      <c r="G99" s="1964"/>
      <c r="H99" s="1964"/>
      <c r="I99" s="1964"/>
      <c r="J99" s="1964"/>
      <c r="K99" s="1964"/>
      <c r="L99" s="1964"/>
      <c r="M99" s="1964"/>
    </row>
    <row r="100" spans="1:13" s="510" customFormat="1" ht="12.75" x14ac:dyDescent="0.2">
      <c r="A100" s="309"/>
      <c r="B100" s="1963"/>
      <c r="C100" s="1963"/>
      <c r="D100" s="1964"/>
      <c r="E100" s="1964"/>
      <c r="F100" s="1964"/>
      <c r="G100" s="1964"/>
      <c r="H100" s="1964"/>
      <c r="I100" s="1964"/>
      <c r="J100" s="1964"/>
      <c r="K100" s="1964"/>
      <c r="L100" s="1964"/>
      <c r="M100" s="1964"/>
    </row>
    <row r="101" spans="1:13" s="510" customFormat="1" ht="12.75" x14ac:dyDescent="0.2">
      <c r="A101" s="309"/>
      <c r="B101" s="1963"/>
      <c r="C101" s="1963"/>
      <c r="D101" s="1964"/>
      <c r="E101" s="1964"/>
      <c r="F101" s="1964"/>
      <c r="G101" s="1964"/>
      <c r="H101" s="1964"/>
      <c r="I101" s="1964"/>
      <c r="J101" s="1964"/>
      <c r="K101" s="1964"/>
      <c r="L101" s="1964"/>
      <c r="M101" s="1964"/>
    </row>
    <row r="102" spans="1:13" s="510" customFormat="1" ht="12.75" x14ac:dyDescent="0.2">
      <c r="A102" s="309"/>
      <c r="B102" s="1963"/>
      <c r="C102" s="1963"/>
      <c r="D102" s="1964"/>
      <c r="E102" s="1964"/>
      <c r="F102" s="1964"/>
      <c r="G102" s="1964"/>
      <c r="H102" s="1964"/>
      <c r="I102" s="1964"/>
      <c r="J102" s="1964"/>
      <c r="K102" s="1964"/>
      <c r="L102" s="1964"/>
      <c r="M102" s="1964"/>
    </row>
    <row r="103" spans="1:13" s="510" customFormat="1" ht="12.75" x14ac:dyDescent="0.2">
      <c r="A103" s="309"/>
      <c r="B103" s="1963"/>
      <c r="C103" s="1963"/>
      <c r="D103" s="1964"/>
      <c r="E103" s="1964"/>
      <c r="F103" s="1964"/>
      <c r="G103" s="1964"/>
      <c r="H103" s="1964"/>
      <c r="I103" s="1964"/>
      <c r="J103" s="1964"/>
      <c r="K103" s="1964"/>
      <c r="L103" s="1964"/>
      <c r="M103" s="1964"/>
    </row>
    <row r="104" spans="1:13" s="510" customFormat="1" ht="12.75" x14ac:dyDescent="0.2">
      <c r="A104" s="309"/>
      <c r="B104" s="1963"/>
      <c r="C104" s="1963"/>
      <c r="D104" s="1964"/>
      <c r="E104" s="1964"/>
      <c r="F104" s="1964"/>
      <c r="G104" s="1964"/>
      <c r="H104" s="1964"/>
      <c r="I104" s="1964"/>
      <c r="J104" s="1964"/>
      <c r="K104" s="1964"/>
      <c r="L104" s="1964"/>
      <c r="M104" s="1964"/>
    </row>
    <row r="105" spans="1:13" s="510" customFormat="1" ht="12.75" x14ac:dyDescent="0.2">
      <c r="A105" s="309"/>
      <c r="B105" s="1963"/>
      <c r="C105" s="1963"/>
      <c r="D105" s="1964"/>
      <c r="E105" s="1964"/>
      <c r="F105" s="1964"/>
      <c r="G105" s="1964"/>
      <c r="H105" s="1964"/>
      <c r="I105" s="1964"/>
      <c r="J105" s="1964"/>
      <c r="K105" s="1964"/>
      <c r="L105" s="1964"/>
      <c r="M105" s="1964"/>
    </row>
    <row r="106" spans="1:13" s="510" customFormat="1" ht="12.75" x14ac:dyDescent="0.2">
      <c r="A106" s="309"/>
      <c r="B106" s="1963"/>
      <c r="C106" s="1963"/>
      <c r="D106" s="1964"/>
      <c r="E106" s="1964"/>
      <c r="F106" s="1964"/>
      <c r="G106" s="1964"/>
      <c r="H106" s="1964"/>
      <c r="I106" s="1964"/>
      <c r="J106" s="1964"/>
      <c r="K106" s="1964"/>
      <c r="L106" s="1964"/>
      <c r="M106" s="1964"/>
    </row>
    <row r="107" spans="1:13" s="510" customFormat="1" ht="12.75" x14ac:dyDescent="0.2">
      <c r="A107" s="309"/>
      <c r="B107" s="1963"/>
      <c r="C107" s="1963"/>
      <c r="D107" s="1964"/>
      <c r="E107" s="1964"/>
      <c r="F107" s="1964"/>
      <c r="G107" s="1964"/>
      <c r="H107" s="1964"/>
      <c r="I107" s="1964"/>
      <c r="J107" s="1964"/>
      <c r="K107" s="1964"/>
      <c r="L107" s="1964"/>
      <c r="M107" s="1964"/>
    </row>
    <row r="108" spans="1:13" s="510" customFormat="1" ht="12.75" x14ac:dyDescent="0.2">
      <c r="A108" s="309"/>
      <c r="B108" s="1963"/>
      <c r="C108" s="1963"/>
      <c r="D108" s="1964"/>
      <c r="E108" s="1964"/>
      <c r="F108" s="1964"/>
      <c r="G108" s="1964"/>
      <c r="H108" s="1964"/>
      <c r="I108" s="1964"/>
      <c r="J108" s="1964"/>
      <c r="K108" s="1964"/>
      <c r="L108" s="1964"/>
      <c r="M108" s="1964"/>
    </row>
    <row r="109" spans="1:13" s="510" customFormat="1" ht="12.75" x14ac:dyDescent="0.2">
      <c r="A109" s="309"/>
      <c r="B109" s="1963"/>
      <c r="C109" s="1963"/>
      <c r="D109" s="1964"/>
      <c r="E109" s="1964"/>
      <c r="F109" s="1964"/>
      <c r="G109" s="1964"/>
      <c r="H109" s="1964"/>
      <c r="I109" s="1964"/>
      <c r="J109" s="1964"/>
      <c r="K109" s="1964"/>
      <c r="L109" s="1964"/>
      <c r="M109" s="1964"/>
    </row>
    <row r="110" spans="1:13" s="751" customFormat="1" x14ac:dyDescent="0.2">
      <c r="A110" s="1119"/>
      <c r="B110" s="1119"/>
      <c r="C110" s="1119"/>
    </row>
    <row r="111" spans="1:13" s="751" customFormat="1" x14ac:dyDescent="0.2">
      <c r="A111" s="1119"/>
      <c r="B111" s="1119"/>
      <c r="C111" s="1119"/>
    </row>
    <row r="112" spans="1:13" s="1137" customFormat="1" x14ac:dyDescent="0.25">
      <c r="A112" s="1119"/>
      <c r="B112" s="1119"/>
      <c r="C112" s="1119"/>
    </row>
    <row r="113" spans="1:16" s="1137" customFormat="1" x14ac:dyDescent="0.25">
      <c r="A113" s="1119"/>
      <c r="B113" s="1119"/>
      <c r="C113" s="1119"/>
      <c r="N113" s="1896"/>
    </row>
    <row r="114" spans="1:16" s="1137" customFormat="1" x14ac:dyDescent="0.25">
      <c r="A114" s="1119"/>
      <c r="B114" s="531"/>
      <c r="C114" s="531"/>
      <c r="D114" s="548"/>
      <c r="E114" s="548"/>
      <c r="F114" s="548"/>
      <c r="G114" s="548"/>
      <c r="H114" s="548"/>
      <c r="I114" s="548"/>
      <c r="J114" s="3132"/>
      <c r="K114" s="548"/>
      <c r="L114" s="548"/>
      <c r="M114" s="548"/>
      <c r="N114" s="3173"/>
      <c r="O114" s="312"/>
      <c r="P114" s="312"/>
    </row>
    <row r="115" spans="1:16" s="1137" customFormat="1" x14ac:dyDescent="0.25">
      <c r="A115" s="1119"/>
      <c r="B115" s="1951"/>
      <c r="C115" s="1951"/>
      <c r="D115" s="1969"/>
      <c r="E115" s="1969"/>
      <c r="F115" s="1969"/>
      <c r="G115" s="1969"/>
      <c r="H115" s="1969"/>
      <c r="I115" s="1969"/>
      <c r="J115" s="1969"/>
      <c r="K115" s="1969"/>
      <c r="L115" s="1969"/>
      <c r="M115" s="1969"/>
      <c r="N115" s="1970"/>
      <c r="O115" s="1971"/>
      <c r="P115" s="1935"/>
    </row>
    <row r="116" spans="1:16" s="1137" customFormat="1" x14ac:dyDescent="0.25">
      <c r="A116" s="1119"/>
      <c r="B116" s="1951"/>
      <c r="C116" s="1951"/>
      <c r="D116" s="1969"/>
      <c r="E116" s="1969"/>
      <c r="F116" s="1969"/>
      <c r="G116" s="1969"/>
      <c r="H116" s="1969"/>
      <c r="I116" s="1969"/>
      <c r="J116" s="1969"/>
      <c r="K116" s="1969"/>
      <c r="L116" s="1969"/>
      <c r="M116" s="1969"/>
      <c r="N116" s="1970"/>
      <c r="O116" s="1971"/>
      <c r="P116" s="1935"/>
    </row>
    <row r="117" spans="1:16" s="1137" customFormat="1" x14ac:dyDescent="0.25">
      <c r="A117" s="1119"/>
      <c r="B117" s="1951"/>
      <c r="C117" s="1951"/>
      <c r="D117" s="1969"/>
      <c r="E117" s="1969"/>
      <c r="F117" s="1969"/>
      <c r="G117" s="1969"/>
      <c r="H117" s="1969"/>
      <c r="I117" s="1969"/>
      <c r="J117" s="1969"/>
      <c r="K117" s="1969"/>
      <c r="L117" s="1969"/>
      <c r="M117" s="1969"/>
      <c r="N117" s="1970"/>
      <c r="O117" s="1971"/>
      <c r="P117" s="1935"/>
    </row>
    <row r="118" spans="1:16" s="1137" customFormat="1" x14ac:dyDescent="0.25">
      <c r="A118" s="1119"/>
      <c r="B118" s="1951"/>
      <c r="C118" s="1951"/>
      <c r="D118" s="1969"/>
      <c r="E118" s="1969"/>
      <c r="F118" s="1969"/>
      <c r="G118" s="1969"/>
      <c r="H118" s="1969"/>
      <c r="I118" s="1969"/>
      <c r="J118" s="1969"/>
      <c r="K118" s="1969"/>
      <c r="L118" s="1969"/>
      <c r="M118" s="1969"/>
      <c r="N118" s="1970"/>
      <c r="O118" s="1971"/>
      <c r="P118" s="1935"/>
    </row>
    <row r="119" spans="1:16" s="1137" customFormat="1" x14ac:dyDescent="0.25">
      <c r="A119" s="1119"/>
      <c r="B119" s="1951"/>
      <c r="C119" s="1951"/>
      <c r="D119" s="1969"/>
      <c r="E119" s="1969"/>
      <c r="F119" s="1969"/>
      <c r="G119" s="1969"/>
      <c r="H119" s="1969"/>
      <c r="I119" s="1969"/>
      <c r="J119" s="1969"/>
      <c r="K119" s="1969"/>
      <c r="L119" s="1969"/>
      <c r="M119" s="1969"/>
      <c r="N119" s="1970"/>
      <c r="O119" s="1971"/>
      <c r="P119" s="1935"/>
    </row>
    <row r="120" spans="1:16" s="1137" customFormat="1" x14ac:dyDescent="0.25">
      <c r="A120" s="1119"/>
      <c r="B120" s="1119"/>
      <c r="C120" s="1119"/>
      <c r="N120" s="1896"/>
    </row>
    <row r="121" spans="1:16" s="1137" customFormat="1" x14ac:dyDescent="0.25">
      <c r="A121" s="1119"/>
      <c r="B121" s="1119"/>
      <c r="C121" s="1119"/>
      <c r="N121" s="1896"/>
    </row>
    <row r="122" spans="1:16" s="1137" customFormat="1" x14ac:dyDescent="0.25">
      <c r="A122" s="1119"/>
      <c r="B122" s="531"/>
      <c r="C122" s="531"/>
      <c r="D122" s="548"/>
      <c r="E122" s="548"/>
      <c r="F122" s="548"/>
      <c r="G122" s="548"/>
      <c r="H122" s="548"/>
      <c r="I122" s="548"/>
      <c r="J122" s="3132"/>
      <c r="K122" s="548"/>
      <c r="L122" s="548"/>
      <c r="M122" s="548"/>
      <c r="N122" s="1972"/>
      <c r="O122" s="312"/>
      <c r="P122" s="548"/>
    </row>
    <row r="123" spans="1:16" s="751" customFormat="1" x14ac:dyDescent="0.25">
      <c r="A123" s="1119"/>
      <c r="B123" s="1897"/>
      <c r="C123" s="1897"/>
      <c r="D123" s="1927"/>
      <c r="E123" s="1927"/>
      <c r="F123" s="1927"/>
      <c r="G123" s="1927"/>
      <c r="H123" s="1927"/>
      <c r="I123" s="1927"/>
      <c r="J123" s="1927"/>
      <c r="K123" s="1927"/>
      <c r="L123" s="1927"/>
      <c r="M123" s="1927"/>
      <c r="N123" s="1973"/>
      <c r="O123" s="1897"/>
      <c r="P123" s="1927"/>
    </row>
    <row r="124" spans="1:16" s="751" customFormat="1" x14ac:dyDescent="0.25">
      <c r="A124" s="1119"/>
      <c r="B124" s="1897"/>
      <c r="C124" s="1897"/>
      <c r="D124" s="1927"/>
      <c r="E124" s="1927"/>
      <c r="F124" s="1927"/>
      <c r="G124" s="1927"/>
      <c r="H124" s="1927"/>
      <c r="I124" s="1927"/>
      <c r="J124" s="1927"/>
      <c r="K124" s="1927"/>
      <c r="L124" s="1927"/>
      <c r="M124" s="1927"/>
      <c r="N124" s="1973"/>
      <c r="O124" s="1897"/>
      <c r="P124" s="1927"/>
    </row>
    <row r="125" spans="1:16" s="751" customFormat="1" x14ac:dyDescent="0.25">
      <c r="A125" s="1119"/>
      <c r="B125" s="1897"/>
      <c r="C125" s="1897"/>
      <c r="D125" s="1927"/>
      <c r="E125" s="1927"/>
      <c r="F125" s="1927"/>
      <c r="G125" s="1927"/>
      <c r="H125" s="1927"/>
      <c r="I125" s="1927"/>
      <c r="J125" s="1927"/>
      <c r="K125" s="1927"/>
      <c r="L125" s="1927"/>
      <c r="M125" s="1927"/>
      <c r="N125" s="1973"/>
      <c r="O125" s="1897"/>
      <c r="P125" s="1927"/>
    </row>
    <row r="126" spans="1:16" s="751" customFormat="1" x14ac:dyDescent="0.25">
      <c r="A126" s="1119"/>
      <c r="B126" s="1897"/>
      <c r="C126" s="1897"/>
      <c r="D126" s="1927"/>
      <c r="E126" s="1927"/>
      <c r="F126" s="1927"/>
      <c r="G126" s="1927"/>
      <c r="H126" s="1927"/>
      <c r="I126" s="1927"/>
      <c r="J126" s="1927"/>
      <c r="K126" s="1927"/>
      <c r="L126" s="1927"/>
      <c r="M126" s="1927"/>
      <c r="N126" s="1973"/>
      <c r="O126" s="1897"/>
      <c r="P126" s="1927"/>
    </row>
    <row r="127" spans="1:16" s="751" customFormat="1" x14ac:dyDescent="0.25">
      <c r="A127" s="1119"/>
      <c r="B127" s="1897"/>
      <c r="C127" s="1897"/>
      <c r="D127" s="1927"/>
      <c r="E127" s="1927"/>
      <c r="F127" s="1927"/>
      <c r="G127" s="1927"/>
      <c r="H127" s="1927"/>
      <c r="I127" s="1927"/>
      <c r="J127" s="1927"/>
      <c r="K127" s="1927"/>
      <c r="L127" s="1927"/>
      <c r="M127" s="1927"/>
      <c r="N127" s="1973"/>
      <c r="O127" s="1897"/>
      <c r="P127" s="1927"/>
    </row>
  </sheetData>
  <mergeCells count="8">
    <mergeCell ref="D35:AC35"/>
    <mergeCell ref="D36:AC36"/>
    <mergeCell ref="D2:AC2"/>
    <mergeCell ref="D3:AC3"/>
    <mergeCell ref="D4:AC4"/>
    <mergeCell ref="E15:K15"/>
    <mergeCell ref="D33:AC33"/>
    <mergeCell ref="D34:AC34"/>
  </mergeCells>
  <pageMargins left="0.74803149606299202" right="0.74803149606299202" top="0.98425196850393704" bottom="0.98425196850393704" header="0.511811023622047" footer="0.511811023622047"/>
  <pageSetup paperSize="9" scale="48"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2E3ED-0CF0-41DA-9FF1-91ED39660A37}">
  <sheetPr>
    <tabColor theme="4" tint="-0.249977111117893"/>
    <pageSetUpPr fitToPage="1"/>
  </sheetPr>
  <dimension ref="A1:AE40"/>
  <sheetViews>
    <sheetView showGridLines="0" view="pageBreakPreview" topLeftCell="B1" zoomScaleNormal="100" workbookViewId="0">
      <selection activeCell="AE9" sqref="AE9:AE16"/>
    </sheetView>
  </sheetViews>
  <sheetFormatPr defaultColWidth="9.140625" defaultRowHeight="15" x14ac:dyDescent="0.25"/>
  <cols>
    <col min="1" max="1" width="3.85546875" style="509" customWidth="1"/>
    <col min="2" max="2" width="9.42578125" style="1119" customWidth="1"/>
    <col min="3" max="3" width="3.85546875" style="1119" customWidth="1"/>
    <col min="4" max="4" width="20.140625" style="113" customWidth="1"/>
    <col min="5" max="5" width="8.85546875" style="113" customWidth="1"/>
    <col min="6" max="7" width="6.5703125" style="113" customWidth="1"/>
    <col min="8" max="8" width="6.5703125" style="1987" customWidth="1"/>
    <col min="9" max="9" width="6.85546875" style="113" customWidth="1"/>
    <col min="10" max="10" width="6.5703125" style="113" customWidth="1"/>
    <col min="11" max="11" width="6.85546875" style="113" customWidth="1"/>
    <col min="12" max="12" width="7.140625" style="113" customWidth="1"/>
    <col min="13" max="15" width="6.5703125" style="113" customWidth="1"/>
    <col min="16" max="16" width="6.85546875" style="113" customWidth="1"/>
    <col min="17" max="17" width="6.140625" style="113" customWidth="1"/>
    <col min="18" max="18" width="6.42578125" style="113" customWidth="1"/>
    <col min="19" max="19" width="6.5703125" style="113" customWidth="1"/>
    <col min="20" max="20" width="7.140625" style="113" customWidth="1"/>
    <col min="21" max="23" width="6.5703125" style="113" customWidth="1"/>
    <col min="24" max="24" width="6.140625" style="113" customWidth="1"/>
    <col min="25" max="25" width="6.5703125" style="113" customWidth="1"/>
    <col min="26" max="26" width="6.42578125" style="113" customWidth="1"/>
    <col min="27" max="27" width="6.5703125" style="113" customWidth="1"/>
    <col min="28" max="28" width="7" style="113" customWidth="1"/>
    <col min="29" max="29" width="6.85546875" style="113" customWidth="1"/>
    <col min="30" max="30" width="7.5703125" style="113" customWidth="1"/>
    <col min="31" max="31" width="7.140625" style="113" customWidth="1"/>
    <col min="32" max="264" width="9.140625" style="113"/>
    <col min="265" max="265" width="3.85546875" style="113" customWidth="1"/>
    <col min="266" max="266" width="14.42578125" style="113" customWidth="1"/>
    <col min="267" max="267" width="3.85546875" style="113" customWidth="1"/>
    <col min="268" max="268" width="20.140625" style="113" customWidth="1"/>
    <col min="269" max="282" width="9.5703125" style="113" customWidth="1"/>
    <col min="283" max="284" width="9" style="113" customWidth="1"/>
    <col min="285" max="520" width="9.140625" style="113"/>
    <col min="521" max="521" width="3.85546875" style="113" customWidth="1"/>
    <col min="522" max="522" width="14.42578125" style="113" customWidth="1"/>
    <col min="523" max="523" width="3.85546875" style="113" customWidth="1"/>
    <col min="524" max="524" width="20.140625" style="113" customWidth="1"/>
    <col min="525" max="538" width="9.5703125" style="113" customWidth="1"/>
    <col min="539" max="540" width="9" style="113" customWidth="1"/>
    <col min="541" max="776" width="9.140625" style="113"/>
    <col min="777" max="777" width="3.85546875" style="113" customWidth="1"/>
    <col min="778" max="778" width="14.42578125" style="113" customWidth="1"/>
    <col min="779" max="779" width="3.85546875" style="113" customWidth="1"/>
    <col min="780" max="780" width="20.140625" style="113" customWidth="1"/>
    <col min="781" max="794" width="9.5703125" style="113" customWidth="1"/>
    <col min="795" max="796" width="9" style="113" customWidth="1"/>
    <col min="797" max="1032" width="9.140625" style="113"/>
    <col min="1033" max="1033" width="3.85546875" style="113" customWidth="1"/>
    <col min="1034" max="1034" width="14.42578125" style="113" customWidth="1"/>
    <col min="1035" max="1035" width="3.85546875" style="113" customWidth="1"/>
    <col min="1036" max="1036" width="20.140625" style="113" customWidth="1"/>
    <col min="1037" max="1050" width="9.5703125" style="113" customWidth="1"/>
    <col min="1051" max="1052" width="9" style="113" customWidth="1"/>
    <col min="1053" max="1288" width="9.140625" style="113"/>
    <col min="1289" max="1289" width="3.85546875" style="113" customWidth="1"/>
    <col min="1290" max="1290" width="14.42578125" style="113" customWidth="1"/>
    <col min="1291" max="1291" width="3.85546875" style="113" customWidth="1"/>
    <col min="1292" max="1292" width="20.140625" style="113" customWidth="1"/>
    <col min="1293" max="1306" width="9.5703125" style="113" customWidth="1"/>
    <col min="1307" max="1308" width="9" style="113" customWidth="1"/>
    <col min="1309" max="1544" width="9.140625" style="113"/>
    <col min="1545" max="1545" width="3.85546875" style="113" customWidth="1"/>
    <col min="1546" max="1546" width="14.42578125" style="113" customWidth="1"/>
    <col min="1547" max="1547" width="3.85546875" style="113" customWidth="1"/>
    <col min="1548" max="1548" width="20.140625" style="113" customWidth="1"/>
    <col min="1549" max="1562" width="9.5703125" style="113" customWidth="1"/>
    <col min="1563" max="1564" width="9" style="113" customWidth="1"/>
    <col min="1565" max="1800" width="9.140625" style="113"/>
    <col min="1801" max="1801" width="3.85546875" style="113" customWidth="1"/>
    <col min="1802" max="1802" width="14.42578125" style="113" customWidth="1"/>
    <col min="1803" max="1803" width="3.85546875" style="113" customWidth="1"/>
    <col min="1804" max="1804" width="20.140625" style="113" customWidth="1"/>
    <col min="1805" max="1818" width="9.5703125" style="113" customWidth="1"/>
    <col min="1819" max="1820" width="9" style="113" customWidth="1"/>
    <col min="1821" max="2056" width="9.140625" style="113"/>
    <col min="2057" max="2057" width="3.85546875" style="113" customWidth="1"/>
    <col min="2058" max="2058" width="14.42578125" style="113" customWidth="1"/>
    <col min="2059" max="2059" width="3.85546875" style="113" customWidth="1"/>
    <col min="2060" max="2060" width="20.140625" style="113" customWidth="1"/>
    <col min="2061" max="2074" width="9.5703125" style="113" customWidth="1"/>
    <col min="2075" max="2076" width="9" style="113" customWidth="1"/>
    <col min="2077" max="2312" width="9.140625" style="113"/>
    <col min="2313" max="2313" width="3.85546875" style="113" customWidth="1"/>
    <col min="2314" max="2314" width="14.42578125" style="113" customWidth="1"/>
    <col min="2315" max="2315" width="3.85546875" style="113" customWidth="1"/>
    <col min="2316" max="2316" width="20.140625" style="113" customWidth="1"/>
    <col min="2317" max="2330" width="9.5703125" style="113" customWidth="1"/>
    <col min="2331" max="2332" width="9" style="113" customWidth="1"/>
    <col min="2333" max="2568" width="9.140625" style="113"/>
    <col min="2569" max="2569" width="3.85546875" style="113" customWidth="1"/>
    <col min="2570" max="2570" width="14.42578125" style="113" customWidth="1"/>
    <col min="2571" max="2571" width="3.85546875" style="113" customWidth="1"/>
    <col min="2572" max="2572" width="20.140625" style="113" customWidth="1"/>
    <col min="2573" max="2586" width="9.5703125" style="113" customWidth="1"/>
    <col min="2587" max="2588" width="9" style="113" customWidth="1"/>
    <col min="2589" max="2824" width="9.140625" style="113"/>
    <col min="2825" max="2825" width="3.85546875" style="113" customWidth="1"/>
    <col min="2826" max="2826" width="14.42578125" style="113" customWidth="1"/>
    <col min="2827" max="2827" width="3.85546875" style="113" customWidth="1"/>
    <col min="2828" max="2828" width="20.140625" style="113" customWidth="1"/>
    <col min="2829" max="2842" width="9.5703125" style="113" customWidth="1"/>
    <col min="2843" max="2844" width="9" style="113" customWidth="1"/>
    <col min="2845" max="3080" width="9.140625" style="113"/>
    <col min="3081" max="3081" width="3.85546875" style="113" customWidth="1"/>
    <col min="3082" max="3082" width="14.42578125" style="113" customWidth="1"/>
    <col min="3083" max="3083" width="3.85546875" style="113" customWidth="1"/>
    <col min="3084" max="3084" width="20.140625" style="113" customWidth="1"/>
    <col min="3085" max="3098" width="9.5703125" style="113" customWidth="1"/>
    <col min="3099" max="3100" width="9" style="113" customWidth="1"/>
    <col min="3101" max="3336" width="9.140625" style="113"/>
    <col min="3337" max="3337" width="3.85546875" style="113" customWidth="1"/>
    <col min="3338" max="3338" width="14.42578125" style="113" customWidth="1"/>
    <col min="3339" max="3339" width="3.85546875" style="113" customWidth="1"/>
    <col min="3340" max="3340" width="20.140625" style="113" customWidth="1"/>
    <col min="3341" max="3354" width="9.5703125" style="113" customWidth="1"/>
    <col min="3355" max="3356" width="9" style="113" customWidth="1"/>
    <col min="3357" max="3592" width="9.140625" style="113"/>
    <col min="3593" max="3593" width="3.85546875" style="113" customWidth="1"/>
    <col min="3594" max="3594" width="14.42578125" style="113" customWidth="1"/>
    <col min="3595" max="3595" width="3.85546875" style="113" customWidth="1"/>
    <col min="3596" max="3596" width="20.140625" style="113" customWidth="1"/>
    <col min="3597" max="3610" width="9.5703125" style="113" customWidth="1"/>
    <col min="3611" max="3612" width="9" style="113" customWidth="1"/>
    <col min="3613" max="3848" width="9.140625" style="113"/>
    <col min="3849" max="3849" width="3.85546875" style="113" customWidth="1"/>
    <col min="3850" max="3850" width="14.42578125" style="113" customWidth="1"/>
    <col min="3851" max="3851" width="3.85546875" style="113" customWidth="1"/>
    <col min="3852" max="3852" width="20.140625" style="113" customWidth="1"/>
    <col min="3853" max="3866" width="9.5703125" style="113" customWidth="1"/>
    <col min="3867" max="3868" width="9" style="113" customWidth="1"/>
    <col min="3869" max="4104" width="9.140625" style="113"/>
    <col min="4105" max="4105" width="3.85546875" style="113" customWidth="1"/>
    <col min="4106" max="4106" width="14.42578125" style="113" customWidth="1"/>
    <col min="4107" max="4107" width="3.85546875" style="113" customWidth="1"/>
    <col min="4108" max="4108" width="20.140625" style="113" customWidth="1"/>
    <col min="4109" max="4122" width="9.5703125" style="113" customWidth="1"/>
    <col min="4123" max="4124" width="9" style="113" customWidth="1"/>
    <col min="4125" max="4360" width="9.140625" style="113"/>
    <col min="4361" max="4361" width="3.85546875" style="113" customWidth="1"/>
    <col min="4362" max="4362" width="14.42578125" style="113" customWidth="1"/>
    <col min="4363" max="4363" width="3.85546875" style="113" customWidth="1"/>
    <col min="4364" max="4364" width="20.140625" style="113" customWidth="1"/>
    <col min="4365" max="4378" width="9.5703125" style="113" customWidth="1"/>
    <col min="4379" max="4380" width="9" style="113" customWidth="1"/>
    <col min="4381" max="4616" width="9.140625" style="113"/>
    <col min="4617" max="4617" width="3.85546875" style="113" customWidth="1"/>
    <col min="4618" max="4618" width="14.42578125" style="113" customWidth="1"/>
    <col min="4619" max="4619" width="3.85546875" style="113" customWidth="1"/>
    <col min="4620" max="4620" width="20.140625" style="113" customWidth="1"/>
    <col min="4621" max="4634" width="9.5703125" style="113" customWidth="1"/>
    <col min="4635" max="4636" width="9" style="113" customWidth="1"/>
    <col min="4637" max="4872" width="9.140625" style="113"/>
    <col min="4873" max="4873" width="3.85546875" style="113" customWidth="1"/>
    <col min="4874" max="4874" width="14.42578125" style="113" customWidth="1"/>
    <col min="4875" max="4875" width="3.85546875" style="113" customWidth="1"/>
    <col min="4876" max="4876" width="20.140625" style="113" customWidth="1"/>
    <col min="4877" max="4890" width="9.5703125" style="113" customWidth="1"/>
    <col min="4891" max="4892" width="9" style="113" customWidth="1"/>
    <col min="4893" max="5128" width="9.140625" style="113"/>
    <col min="5129" max="5129" width="3.85546875" style="113" customWidth="1"/>
    <col min="5130" max="5130" width="14.42578125" style="113" customWidth="1"/>
    <col min="5131" max="5131" width="3.85546875" style="113" customWidth="1"/>
    <col min="5132" max="5132" width="20.140625" style="113" customWidth="1"/>
    <col min="5133" max="5146" width="9.5703125" style="113" customWidth="1"/>
    <col min="5147" max="5148" width="9" style="113" customWidth="1"/>
    <col min="5149" max="5384" width="9.140625" style="113"/>
    <col min="5385" max="5385" width="3.85546875" style="113" customWidth="1"/>
    <col min="5386" max="5386" width="14.42578125" style="113" customWidth="1"/>
    <col min="5387" max="5387" width="3.85546875" style="113" customWidth="1"/>
    <col min="5388" max="5388" width="20.140625" style="113" customWidth="1"/>
    <col min="5389" max="5402" width="9.5703125" style="113" customWidth="1"/>
    <col min="5403" max="5404" width="9" style="113" customWidth="1"/>
    <col min="5405" max="5640" width="9.140625" style="113"/>
    <col min="5641" max="5641" width="3.85546875" style="113" customWidth="1"/>
    <col min="5642" max="5642" width="14.42578125" style="113" customWidth="1"/>
    <col min="5643" max="5643" width="3.85546875" style="113" customWidth="1"/>
    <col min="5644" max="5644" width="20.140625" style="113" customWidth="1"/>
    <col min="5645" max="5658" width="9.5703125" style="113" customWidth="1"/>
    <col min="5659" max="5660" width="9" style="113" customWidth="1"/>
    <col min="5661" max="5896" width="9.140625" style="113"/>
    <col min="5897" max="5897" width="3.85546875" style="113" customWidth="1"/>
    <col min="5898" max="5898" width="14.42578125" style="113" customWidth="1"/>
    <col min="5899" max="5899" width="3.85546875" style="113" customWidth="1"/>
    <col min="5900" max="5900" width="20.140625" style="113" customWidth="1"/>
    <col min="5901" max="5914" width="9.5703125" style="113" customWidth="1"/>
    <col min="5915" max="5916" width="9" style="113" customWidth="1"/>
    <col min="5917" max="6152" width="9.140625" style="113"/>
    <col min="6153" max="6153" width="3.85546875" style="113" customWidth="1"/>
    <col min="6154" max="6154" width="14.42578125" style="113" customWidth="1"/>
    <col min="6155" max="6155" width="3.85546875" style="113" customWidth="1"/>
    <col min="6156" max="6156" width="20.140625" style="113" customWidth="1"/>
    <col min="6157" max="6170" width="9.5703125" style="113" customWidth="1"/>
    <col min="6171" max="6172" width="9" style="113" customWidth="1"/>
    <col min="6173" max="6408" width="9.140625" style="113"/>
    <col min="6409" max="6409" width="3.85546875" style="113" customWidth="1"/>
    <col min="6410" max="6410" width="14.42578125" style="113" customWidth="1"/>
    <col min="6411" max="6411" width="3.85546875" style="113" customWidth="1"/>
    <col min="6412" max="6412" width="20.140625" style="113" customWidth="1"/>
    <col min="6413" max="6426" width="9.5703125" style="113" customWidth="1"/>
    <col min="6427" max="6428" width="9" style="113" customWidth="1"/>
    <col min="6429" max="6664" width="9.140625" style="113"/>
    <col min="6665" max="6665" width="3.85546875" style="113" customWidth="1"/>
    <col min="6666" max="6666" width="14.42578125" style="113" customWidth="1"/>
    <col min="6667" max="6667" width="3.85546875" style="113" customWidth="1"/>
    <col min="6668" max="6668" width="20.140625" style="113" customWidth="1"/>
    <col min="6669" max="6682" width="9.5703125" style="113" customWidth="1"/>
    <col min="6683" max="6684" width="9" style="113" customWidth="1"/>
    <col min="6685" max="6920" width="9.140625" style="113"/>
    <col min="6921" max="6921" width="3.85546875" style="113" customWidth="1"/>
    <col min="6922" max="6922" width="14.42578125" style="113" customWidth="1"/>
    <col min="6923" max="6923" width="3.85546875" style="113" customWidth="1"/>
    <col min="6924" max="6924" width="20.140625" style="113" customWidth="1"/>
    <col min="6925" max="6938" width="9.5703125" style="113" customWidth="1"/>
    <col min="6939" max="6940" width="9" style="113" customWidth="1"/>
    <col min="6941" max="7176" width="9.140625" style="113"/>
    <col min="7177" max="7177" width="3.85546875" style="113" customWidth="1"/>
    <col min="7178" max="7178" width="14.42578125" style="113" customWidth="1"/>
    <col min="7179" max="7179" width="3.85546875" style="113" customWidth="1"/>
    <col min="7180" max="7180" width="20.140625" style="113" customWidth="1"/>
    <col min="7181" max="7194" width="9.5703125" style="113" customWidth="1"/>
    <col min="7195" max="7196" width="9" style="113" customWidth="1"/>
    <col min="7197" max="7432" width="9.140625" style="113"/>
    <col min="7433" max="7433" width="3.85546875" style="113" customWidth="1"/>
    <col min="7434" max="7434" width="14.42578125" style="113" customWidth="1"/>
    <col min="7435" max="7435" width="3.85546875" style="113" customWidth="1"/>
    <col min="7436" max="7436" width="20.140625" style="113" customWidth="1"/>
    <col min="7437" max="7450" width="9.5703125" style="113" customWidth="1"/>
    <col min="7451" max="7452" width="9" style="113" customWidth="1"/>
    <col min="7453" max="7688" width="9.140625" style="113"/>
    <col min="7689" max="7689" width="3.85546875" style="113" customWidth="1"/>
    <col min="7690" max="7690" width="14.42578125" style="113" customWidth="1"/>
    <col min="7691" max="7691" width="3.85546875" style="113" customWidth="1"/>
    <col min="7692" max="7692" width="20.140625" style="113" customWidth="1"/>
    <col min="7693" max="7706" width="9.5703125" style="113" customWidth="1"/>
    <col min="7707" max="7708" width="9" style="113" customWidth="1"/>
    <col min="7709" max="7944" width="9.140625" style="113"/>
    <col min="7945" max="7945" width="3.85546875" style="113" customWidth="1"/>
    <col min="7946" max="7946" width="14.42578125" style="113" customWidth="1"/>
    <col min="7947" max="7947" width="3.85546875" style="113" customWidth="1"/>
    <col min="7948" max="7948" width="20.140625" style="113" customWidth="1"/>
    <col min="7949" max="7962" width="9.5703125" style="113" customWidth="1"/>
    <col min="7963" max="7964" width="9" style="113" customWidth="1"/>
    <col min="7965" max="8200" width="9.140625" style="113"/>
    <col min="8201" max="8201" width="3.85546875" style="113" customWidth="1"/>
    <col min="8202" max="8202" width="14.42578125" style="113" customWidth="1"/>
    <col min="8203" max="8203" width="3.85546875" style="113" customWidth="1"/>
    <col min="8204" max="8204" width="20.140625" style="113" customWidth="1"/>
    <col min="8205" max="8218" width="9.5703125" style="113" customWidth="1"/>
    <col min="8219" max="8220" width="9" style="113" customWidth="1"/>
    <col min="8221" max="8456" width="9.140625" style="113"/>
    <col min="8457" max="8457" width="3.85546875" style="113" customWidth="1"/>
    <col min="8458" max="8458" width="14.42578125" style="113" customWidth="1"/>
    <col min="8459" max="8459" width="3.85546875" style="113" customWidth="1"/>
    <col min="8460" max="8460" width="20.140625" style="113" customWidth="1"/>
    <col min="8461" max="8474" width="9.5703125" style="113" customWidth="1"/>
    <col min="8475" max="8476" width="9" style="113" customWidth="1"/>
    <col min="8477" max="8712" width="9.140625" style="113"/>
    <col min="8713" max="8713" width="3.85546875" style="113" customWidth="1"/>
    <col min="8714" max="8714" width="14.42578125" style="113" customWidth="1"/>
    <col min="8715" max="8715" width="3.85546875" style="113" customWidth="1"/>
    <col min="8716" max="8716" width="20.140625" style="113" customWidth="1"/>
    <col min="8717" max="8730" width="9.5703125" style="113" customWidth="1"/>
    <col min="8731" max="8732" width="9" style="113" customWidth="1"/>
    <col min="8733" max="8968" width="9.140625" style="113"/>
    <col min="8969" max="8969" width="3.85546875" style="113" customWidth="1"/>
    <col min="8970" max="8970" width="14.42578125" style="113" customWidth="1"/>
    <col min="8971" max="8971" width="3.85546875" style="113" customWidth="1"/>
    <col min="8972" max="8972" width="20.140625" style="113" customWidth="1"/>
    <col min="8973" max="8986" width="9.5703125" style="113" customWidth="1"/>
    <col min="8987" max="8988" width="9" style="113" customWidth="1"/>
    <col min="8989" max="9224" width="9.140625" style="113"/>
    <col min="9225" max="9225" width="3.85546875" style="113" customWidth="1"/>
    <col min="9226" max="9226" width="14.42578125" style="113" customWidth="1"/>
    <col min="9227" max="9227" width="3.85546875" style="113" customWidth="1"/>
    <col min="9228" max="9228" width="20.140625" style="113" customWidth="1"/>
    <col min="9229" max="9242" width="9.5703125" style="113" customWidth="1"/>
    <col min="9243" max="9244" width="9" style="113" customWidth="1"/>
    <col min="9245" max="9480" width="9.140625" style="113"/>
    <col min="9481" max="9481" width="3.85546875" style="113" customWidth="1"/>
    <col min="9482" max="9482" width="14.42578125" style="113" customWidth="1"/>
    <col min="9483" max="9483" width="3.85546875" style="113" customWidth="1"/>
    <col min="9484" max="9484" width="20.140625" style="113" customWidth="1"/>
    <col min="9485" max="9498" width="9.5703125" style="113" customWidth="1"/>
    <col min="9499" max="9500" width="9" style="113" customWidth="1"/>
    <col min="9501" max="9736" width="9.140625" style="113"/>
    <col min="9737" max="9737" width="3.85546875" style="113" customWidth="1"/>
    <col min="9738" max="9738" width="14.42578125" style="113" customWidth="1"/>
    <col min="9739" max="9739" width="3.85546875" style="113" customWidth="1"/>
    <col min="9740" max="9740" width="20.140625" style="113" customWidth="1"/>
    <col min="9741" max="9754" width="9.5703125" style="113" customWidth="1"/>
    <col min="9755" max="9756" width="9" style="113" customWidth="1"/>
    <col min="9757" max="9992" width="9.140625" style="113"/>
    <col min="9993" max="9993" width="3.85546875" style="113" customWidth="1"/>
    <col min="9994" max="9994" width="14.42578125" style="113" customWidth="1"/>
    <col min="9995" max="9995" width="3.85546875" style="113" customWidth="1"/>
    <col min="9996" max="9996" width="20.140625" style="113" customWidth="1"/>
    <col min="9997" max="10010" width="9.5703125" style="113" customWidth="1"/>
    <col min="10011" max="10012" width="9" style="113" customWidth="1"/>
    <col min="10013" max="10248" width="9.140625" style="113"/>
    <col min="10249" max="10249" width="3.85546875" style="113" customWidth="1"/>
    <col min="10250" max="10250" width="14.42578125" style="113" customWidth="1"/>
    <col min="10251" max="10251" width="3.85546875" style="113" customWidth="1"/>
    <col min="10252" max="10252" width="20.140625" style="113" customWidth="1"/>
    <col min="10253" max="10266" width="9.5703125" style="113" customWidth="1"/>
    <col min="10267" max="10268" width="9" style="113" customWidth="1"/>
    <col min="10269" max="10504" width="9.140625" style="113"/>
    <col min="10505" max="10505" width="3.85546875" style="113" customWidth="1"/>
    <col min="10506" max="10506" width="14.42578125" style="113" customWidth="1"/>
    <col min="10507" max="10507" width="3.85546875" style="113" customWidth="1"/>
    <col min="10508" max="10508" width="20.140625" style="113" customWidth="1"/>
    <col min="10509" max="10522" width="9.5703125" style="113" customWidth="1"/>
    <col min="10523" max="10524" width="9" style="113" customWidth="1"/>
    <col min="10525" max="10760" width="9.140625" style="113"/>
    <col min="10761" max="10761" width="3.85546875" style="113" customWidth="1"/>
    <col min="10762" max="10762" width="14.42578125" style="113" customWidth="1"/>
    <col min="10763" max="10763" width="3.85546875" style="113" customWidth="1"/>
    <col min="10764" max="10764" width="20.140625" style="113" customWidth="1"/>
    <col min="10765" max="10778" width="9.5703125" style="113" customWidth="1"/>
    <col min="10779" max="10780" width="9" style="113" customWidth="1"/>
    <col min="10781" max="11016" width="9.140625" style="113"/>
    <col min="11017" max="11017" width="3.85546875" style="113" customWidth="1"/>
    <col min="11018" max="11018" width="14.42578125" style="113" customWidth="1"/>
    <col min="11019" max="11019" width="3.85546875" style="113" customWidth="1"/>
    <col min="11020" max="11020" width="20.140625" style="113" customWidth="1"/>
    <col min="11021" max="11034" width="9.5703125" style="113" customWidth="1"/>
    <col min="11035" max="11036" width="9" style="113" customWidth="1"/>
    <col min="11037" max="11272" width="9.140625" style="113"/>
    <col min="11273" max="11273" width="3.85546875" style="113" customWidth="1"/>
    <col min="11274" max="11274" width="14.42578125" style="113" customWidth="1"/>
    <col min="11275" max="11275" width="3.85546875" style="113" customWidth="1"/>
    <col min="11276" max="11276" width="20.140625" style="113" customWidth="1"/>
    <col min="11277" max="11290" width="9.5703125" style="113" customWidth="1"/>
    <col min="11291" max="11292" width="9" style="113" customWidth="1"/>
    <col min="11293" max="11528" width="9.140625" style="113"/>
    <col min="11529" max="11529" width="3.85546875" style="113" customWidth="1"/>
    <col min="11530" max="11530" width="14.42578125" style="113" customWidth="1"/>
    <col min="11531" max="11531" width="3.85546875" style="113" customWidth="1"/>
    <col min="11532" max="11532" width="20.140625" style="113" customWidth="1"/>
    <col min="11533" max="11546" width="9.5703125" style="113" customWidth="1"/>
    <col min="11547" max="11548" width="9" style="113" customWidth="1"/>
    <col min="11549" max="11784" width="9.140625" style="113"/>
    <col min="11785" max="11785" width="3.85546875" style="113" customWidth="1"/>
    <col min="11786" max="11786" width="14.42578125" style="113" customWidth="1"/>
    <col min="11787" max="11787" width="3.85546875" style="113" customWidth="1"/>
    <col min="11788" max="11788" width="20.140625" style="113" customWidth="1"/>
    <col min="11789" max="11802" width="9.5703125" style="113" customWidth="1"/>
    <col min="11803" max="11804" width="9" style="113" customWidth="1"/>
    <col min="11805" max="12040" width="9.140625" style="113"/>
    <col min="12041" max="12041" width="3.85546875" style="113" customWidth="1"/>
    <col min="12042" max="12042" width="14.42578125" style="113" customWidth="1"/>
    <col min="12043" max="12043" width="3.85546875" style="113" customWidth="1"/>
    <col min="12044" max="12044" width="20.140625" style="113" customWidth="1"/>
    <col min="12045" max="12058" width="9.5703125" style="113" customWidth="1"/>
    <col min="12059" max="12060" width="9" style="113" customWidth="1"/>
    <col min="12061" max="12296" width="9.140625" style="113"/>
    <col min="12297" max="12297" width="3.85546875" style="113" customWidth="1"/>
    <col min="12298" max="12298" width="14.42578125" style="113" customWidth="1"/>
    <col min="12299" max="12299" width="3.85546875" style="113" customWidth="1"/>
    <col min="12300" max="12300" width="20.140625" style="113" customWidth="1"/>
    <col min="12301" max="12314" width="9.5703125" style="113" customWidth="1"/>
    <col min="12315" max="12316" width="9" style="113" customWidth="1"/>
    <col min="12317" max="12552" width="9.140625" style="113"/>
    <col min="12553" max="12553" width="3.85546875" style="113" customWidth="1"/>
    <col min="12554" max="12554" width="14.42578125" style="113" customWidth="1"/>
    <col min="12555" max="12555" width="3.85546875" style="113" customWidth="1"/>
    <col min="12556" max="12556" width="20.140625" style="113" customWidth="1"/>
    <col min="12557" max="12570" width="9.5703125" style="113" customWidth="1"/>
    <col min="12571" max="12572" width="9" style="113" customWidth="1"/>
    <col min="12573" max="12808" width="9.140625" style="113"/>
    <col min="12809" max="12809" width="3.85546875" style="113" customWidth="1"/>
    <col min="12810" max="12810" width="14.42578125" style="113" customWidth="1"/>
    <col min="12811" max="12811" width="3.85546875" style="113" customWidth="1"/>
    <col min="12812" max="12812" width="20.140625" style="113" customWidth="1"/>
    <col min="12813" max="12826" width="9.5703125" style="113" customWidth="1"/>
    <col min="12827" max="12828" width="9" style="113" customWidth="1"/>
    <col min="12829" max="13064" width="9.140625" style="113"/>
    <col min="13065" max="13065" width="3.85546875" style="113" customWidth="1"/>
    <col min="13066" max="13066" width="14.42578125" style="113" customWidth="1"/>
    <col min="13067" max="13067" width="3.85546875" style="113" customWidth="1"/>
    <col min="13068" max="13068" width="20.140625" style="113" customWidth="1"/>
    <col min="13069" max="13082" width="9.5703125" style="113" customWidth="1"/>
    <col min="13083" max="13084" width="9" style="113" customWidth="1"/>
    <col min="13085" max="13320" width="9.140625" style="113"/>
    <col min="13321" max="13321" width="3.85546875" style="113" customWidth="1"/>
    <col min="13322" max="13322" width="14.42578125" style="113" customWidth="1"/>
    <col min="13323" max="13323" width="3.85546875" style="113" customWidth="1"/>
    <col min="13324" max="13324" width="20.140625" style="113" customWidth="1"/>
    <col min="13325" max="13338" width="9.5703125" style="113" customWidth="1"/>
    <col min="13339" max="13340" width="9" style="113" customWidth="1"/>
    <col min="13341" max="13576" width="9.140625" style="113"/>
    <col min="13577" max="13577" width="3.85546875" style="113" customWidth="1"/>
    <col min="13578" max="13578" width="14.42578125" style="113" customWidth="1"/>
    <col min="13579" max="13579" width="3.85546875" style="113" customWidth="1"/>
    <col min="13580" max="13580" width="20.140625" style="113" customWidth="1"/>
    <col min="13581" max="13594" width="9.5703125" style="113" customWidth="1"/>
    <col min="13595" max="13596" width="9" style="113" customWidth="1"/>
    <col min="13597" max="13832" width="9.140625" style="113"/>
    <col min="13833" max="13833" width="3.85546875" style="113" customWidth="1"/>
    <col min="13834" max="13834" width="14.42578125" style="113" customWidth="1"/>
    <col min="13835" max="13835" width="3.85546875" style="113" customWidth="1"/>
    <col min="13836" max="13836" width="20.140625" style="113" customWidth="1"/>
    <col min="13837" max="13850" width="9.5703125" style="113" customWidth="1"/>
    <col min="13851" max="13852" width="9" style="113" customWidth="1"/>
    <col min="13853" max="14088" width="9.140625" style="113"/>
    <col min="14089" max="14089" width="3.85546875" style="113" customWidth="1"/>
    <col min="14090" max="14090" width="14.42578125" style="113" customWidth="1"/>
    <col min="14091" max="14091" width="3.85546875" style="113" customWidth="1"/>
    <col min="14092" max="14092" width="20.140625" style="113" customWidth="1"/>
    <col min="14093" max="14106" width="9.5703125" style="113" customWidth="1"/>
    <col min="14107" max="14108" width="9" style="113" customWidth="1"/>
    <col min="14109" max="14344" width="9.140625" style="113"/>
    <col min="14345" max="14345" width="3.85546875" style="113" customWidth="1"/>
    <col min="14346" max="14346" width="14.42578125" style="113" customWidth="1"/>
    <col min="14347" max="14347" width="3.85546875" style="113" customWidth="1"/>
    <col min="14348" max="14348" width="20.140625" style="113" customWidth="1"/>
    <col min="14349" max="14362" width="9.5703125" style="113" customWidth="1"/>
    <col min="14363" max="14364" width="9" style="113" customWidth="1"/>
    <col min="14365" max="14600" width="9.140625" style="113"/>
    <col min="14601" max="14601" width="3.85546875" style="113" customWidth="1"/>
    <col min="14602" max="14602" width="14.42578125" style="113" customWidth="1"/>
    <col min="14603" max="14603" width="3.85546875" style="113" customWidth="1"/>
    <col min="14604" max="14604" width="20.140625" style="113" customWidth="1"/>
    <col min="14605" max="14618" width="9.5703125" style="113" customWidth="1"/>
    <col min="14619" max="14620" width="9" style="113" customWidth="1"/>
    <col min="14621" max="14856" width="9.140625" style="113"/>
    <col min="14857" max="14857" width="3.85546875" style="113" customWidth="1"/>
    <col min="14858" max="14858" width="14.42578125" style="113" customWidth="1"/>
    <col min="14859" max="14859" width="3.85546875" style="113" customWidth="1"/>
    <col min="14860" max="14860" width="20.140625" style="113" customWidth="1"/>
    <col min="14861" max="14874" width="9.5703125" style="113" customWidth="1"/>
    <col min="14875" max="14876" width="9" style="113" customWidth="1"/>
    <col min="14877" max="15112" width="9.140625" style="113"/>
    <col min="15113" max="15113" width="3.85546875" style="113" customWidth="1"/>
    <col min="15114" max="15114" width="14.42578125" style="113" customWidth="1"/>
    <col min="15115" max="15115" width="3.85546875" style="113" customWidth="1"/>
    <col min="15116" max="15116" width="20.140625" style="113" customWidth="1"/>
    <col min="15117" max="15130" width="9.5703125" style="113" customWidth="1"/>
    <col min="15131" max="15132" width="9" style="113" customWidth="1"/>
    <col min="15133" max="15368" width="9.140625" style="113"/>
    <col min="15369" max="15369" width="3.85546875" style="113" customWidth="1"/>
    <col min="15370" max="15370" width="14.42578125" style="113" customWidth="1"/>
    <col min="15371" max="15371" width="3.85546875" style="113" customWidth="1"/>
    <col min="15372" max="15372" width="20.140625" style="113" customWidth="1"/>
    <col min="15373" max="15386" width="9.5703125" style="113" customWidth="1"/>
    <col min="15387" max="15388" width="9" style="113" customWidth="1"/>
    <col min="15389" max="15624" width="9.140625" style="113"/>
    <col min="15625" max="15625" width="3.85546875" style="113" customWidth="1"/>
    <col min="15626" max="15626" width="14.42578125" style="113" customWidth="1"/>
    <col min="15627" max="15627" width="3.85546875" style="113" customWidth="1"/>
    <col min="15628" max="15628" width="20.140625" style="113" customWidth="1"/>
    <col min="15629" max="15642" width="9.5703125" style="113" customWidth="1"/>
    <col min="15643" max="15644" width="9" style="113" customWidth="1"/>
    <col min="15645" max="15880" width="9.140625" style="113"/>
    <col min="15881" max="15881" width="3.85546875" style="113" customWidth="1"/>
    <col min="15882" max="15882" width="14.42578125" style="113" customWidth="1"/>
    <col min="15883" max="15883" width="3.85546875" style="113" customWidth="1"/>
    <col min="15884" max="15884" width="20.140625" style="113" customWidth="1"/>
    <col min="15885" max="15898" width="9.5703125" style="113" customWidth="1"/>
    <col min="15899" max="15900" width="9" style="113" customWidth="1"/>
    <col min="15901" max="16136" width="9.140625" style="113"/>
    <col min="16137" max="16137" width="3.85546875" style="113" customWidth="1"/>
    <col min="16138" max="16138" width="14.42578125" style="113" customWidth="1"/>
    <col min="16139" max="16139" width="3.85546875" style="113" customWidth="1"/>
    <col min="16140" max="16140" width="20.140625" style="113" customWidth="1"/>
    <col min="16141" max="16154" width="9.5703125" style="113" customWidth="1"/>
    <col min="16155" max="16156" width="9" style="113" customWidth="1"/>
    <col min="16157" max="16384" width="9.140625" style="113"/>
  </cols>
  <sheetData>
    <row r="1" spans="1:31" x14ac:dyDescent="0.25">
      <c r="D1" s="1137"/>
      <c r="E1" s="1137"/>
      <c r="F1" s="1137"/>
      <c r="G1" s="1137"/>
      <c r="H1" s="1974"/>
      <c r="I1" s="1137"/>
      <c r="J1" s="1137"/>
      <c r="K1" s="1137"/>
      <c r="L1" s="1137"/>
      <c r="M1" s="1137"/>
      <c r="N1" s="1137"/>
      <c r="O1" s="1137"/>
      <c r="P1" s="1137"/>
      <c r="Q1" s="1137"/>
      <c r="R1" s="1137"/>
      <c r="S1" s="1137"/>
      <c r="T1" s="1137"/>
      <c r="U1" s="1137"/>
      <c r="V1" s="1137"/>
      <c r="W1" s="1137"/>
      <c r="X1" s="1137"/>
      <c r="Y1" s="1137"/>
      <c r="Z1" s="1137"/>
    </row>
    <row r="2" spans="1:31" ht="15" customHeight="1" x14ac:dyDescent="0.25">
      <c r="A2" s="509">
        <v>1</v>
      </c>
      <c r="B2" s="509" t="s">
        <v>1786</v>
      </c>
      <c r="C2" s="509">
        <v>71</v>
      </c>
      <c r="D2" s="3769" t="s">
        <v>2195</v>
      </c>
      <c r="E2" s="3770"/>
      <c r="F2" s="3770"/>
      <c r="G2" s="3770"/>
      <c r="H2" s="3770"/>
      <c r="I2" s="3770"/>
      <c r="J2" s="3770"/>
      <c r="K2" s="3770"/>
      <c r="L2" s="3770"/>
      <c r="M2" s="3770"/>
      <c r="N2" s="3770"/>
      <c r="O2" s="3770"/>
      <c r="P2" s="3770"/>
      <c r="Q2" s="3770"/>
      <c r="R2" s="3770"/>
      <c r="S2" s="3770"/>
      <c r="T2" s="3770"/>
      <c r="U2" s="3770"/>
      <c r="V2" s="3770"/>
      <c r="W2" s="3770"/>
      <c r="X2" s="3770"/>
      <c r="Y2" s="3771"/>
      <c r="Z2" s="3771"/>
      <c r="AA2" s="3771"/>
      <c r="AB2" s="3772"/>
    </row>
    <row r="3" spans="1:31" ht="15" customHeight="1" x14ac:dyDescent="0.25">
      <c r="A3" s="509">
        <v>2</v>
      </c>
      <c r="B3" s="509" t="s">
        <v>1788</v>
      </c>
      <c r="C3" s="509"/>
      <c r="D3" s="4734" t="s">
        <v>1789</v>
      </c>
      <c r="E3" s="4858"/>
      <c r="F3" s="4858"/>
      <c r="G3" s="4858"/>
      <c r="H3" s="4858"/>
      <c r="I3" s="4858"/>
      <c r="J3" s="4858"/>
      <c r="K3" s="4858"/>
      <c r="L3" s="4858"/>
      <c r="M3" s="4858"/>
      <c r="N3" s="4858"/>
      <c r="O3" s="4858"/>
      <c r="P3" s="4858"/>
      <c r="Q3" s="4858"/>
      <c r="R3" s="4858"/>
      <c r="S3" s="4858"/>
      <c r="T3" s="4858"/>
      <c r="U3" s="4858"/>
      <c r="V3" s="4858"/>
      <c r="W3" s="4858"/>
      <c r="X3" s="4858"/>
      <c r="Y3" s="5096"/>
      <c r="Z3" s="5096"/>
      <c r="AA3" s="5096"/>
      <c r="AB3" s="5097"/>
    </row>
    <row r="4" spans="1:31" ht="12.75" customHeight="1" x14ac:dyDescent="0.25">
      <c r="A4" s="509">
        <v>3</v>
      </c>
      <c r="B4" s="509" t="s">
        <v>4</v>
      </c>
      <c r="C4" s="509"/>
      <c r="D4" s="4734" t="s">
        <v>1872</v>
      </c>
      <c r="E4" s="4858"/>
      <c r="F4" s="4858"/>
      <c r="G4" s="4858"/>
      <c r="H4" s="4858"/>
      <c r="I4" s="4858"/>
      <c r="J4" s="4858"/>
      <c r="K4" s="4858"/>
      <c r="L4" s="4858"/>
      <c r="M4" s="4858"/>
      <c r="N4" s="4858"/>
      <c r="O4" s="4858"/>
      <c r="P4" s="4858"/>
      <c r="Q4" s="4858"/>
      <c r="R4" s="4858"/>
      <c r="S4" s="4858"/>
      <c r="T4" s="4858"/>
      <c r="U4" s="4858"/>
      <c r="V4" s="4858"/>
      <c r="W4" s="4858"/>
      <c r="X4" s="4858"/>
      <c r="Y4" s="5096"/>
      <c r="Z4" s="5096"/>
      <c r="AA4" s="5096"/>
      <c r="AB4" s="5097"/>
    </row>
    <row r="5" spans="1:31" ht="12.75" customHeight="1" x14ac:dyDescent="0.25">
      <c r="B5" s="509"/>
      <c r="C5" s="509"/>
      <c r="D5" s="867"/>
      <c r="E5" s="895"/>
      <c r="F5" s="895"/>
      <c r="G5" s="895"/>
      <c r="H5" s="895"/>
      <c r="I5" s="895"/>
      <c r="J5" s="895"/>
      <c r="K5" s="895"/>
      <c r="L5" s="895"/>
      <c r="M5" s="895"/>
      <c r="N5" s="895"/>
      <c r="O5" s="895"/>
      <c r="P5" s="895"/>
      <c r="Q5" s="895"/>
      <c r="R5" s="895"/>
      <c r="S5" s="895"/>
      <c r="T5" s="895"/>
      <c r="U5" s="895"/>
      <c r="V5" s="895"/>
      <c r="W5" s="895"/>
      <c r="X5" s="895"/>
      <c r="Y5" s="1975"/>
      <c r="Z5" s="1975"/>
      <c r="AA5" s="1975"/>
      <c r="AB5" s="1975"/>
    </row>
    <row r="6" spans="1:31" x14ac:dyDescent="0.25">
      <c r="A6" s="509">
        <v>4</v>
      </c>
      <c r="B6" s="509" t="s">
        <v>6</v>
      </c>
      <c r="D6" s="71" t="s">
        <v>7</v>
      </c>
      <c r="E6" s="71" t="s">
        <v>1873</v>
      </c>
      <c r="F6" s="71"/>
      <c r="G6" s="71"/>
      <c r="H6" s="71"/>
      <c r="I6" s="1976"/>
      <c r="J6" s="1976"/>
      <c r="K6" s="71"/>
      <c r="L6" s="71"/>
      <c r="M6" s="88"/>
      <c r="N6" s="71"/>
      <c r="O6" s="71"/>
      <c r="P6" s="88"/>
      <c r="Q6" s="71"/>
      <c r="R6" s="71"/>
      <c r="S6" s="71"/>
      <c r="T6" s="71"/>
      <c r="U6" s="71"/>
      <c r="V6" s="1137"/>
      <c r="W6" s="1137"/>
      <c r="X6" s="1137"/>
      <c r="Y6" s="88"/>
      <c r="Z6" s="88"/>
      <c r="AA6" s="88"/>
      <c r="AB6" s="88"/>
    </row>
    <row r="7" spans="1:31" x14ac:dyDescent="0.25">
      <c r="D7" s="2186"/>
      <c r="E7" s="1852" t="s">
        <v>396</v>
      </c>
      <c r="F7" s="1852" t="s">
        <v>9</v>
      </c>
      <c r="G7" s="1852" t="s">
        <v>10</v>
      </c>
      <c r="H7" s="1852" t="s">
        <v>11</v>
      </c>
      <c r="I7" s="1977" t="s">
        <v>12</v>
      </c>
      <c r="J7" s="1977" t="s">
        <v>13</v>
      </c>
      <c r="K7" s="1852" t="s">
        <v>14</v>
      </c>
      <c r="L7" s="863" t="s">
        <v>15</v>
      </c>
      <c r="M7" s="863" t="s">
        <v>16</v>
      </c>
      <c r="N7" s="863" t="s">
        <v>17</v>
      </c>
      <c r="O7" s="863" t="s">
        <v>18</v>
      </c>
      <c r="P7" s="863" t="s">
        <v>19</v>
      </c>
      <c r="Q7" s="863" t="s">
        <v>20</v>
      </c>
      <c r="R7" s="863" t="s">
        <v>21</v>
      </c>
      <c r="S7" s="863" t="s">
        <v>22</v>
      </c>
      <c r="T7" s="863" t="s">
        <v>23</v>
      </c>
      <c r="U7" s="863" t="s">
        <v>24</v>
      </c>
      <c r="V7" s="863" t="s">
        <v>25</v>
      </c>
      <c r="W7" s="863" t="s">
        <v>26</v>
      </c>
      <c r="X7" s="863" t="s">
        <v>27</v>
      </c>
      <c r="Y7" s="863" t="s">
        <v>28</v>
      </c>
      <c r="Z7" s="863" t="s">
        <v>29</v>
      </c>
      <c r="AA7" s="3099" t="s">
        <v>30</v>
      </c>
      <c r="AB7" s="3099" t="s">
        <v>31</v>
      </c>
      <c r="AC7" s="1933" t="s">
        <v>32</v>
      </c>
      <c r="AD7" s="1933" t="s">
        <v>33</v>
      </c>
      <c r="AE7" s="3161" t="s">
        <v>59</v>
      </c>
    </row>
    <row r="8" spans="1:31" x14ac:dyDescent="0.25">
      <c r="D8" s="71" t="s">
        <v>1874</v>
      </c>
      <c r="E8" s="312"/>
      <c r="F8" s="312"/>
      <c r="G8" s="312"/>
      <c r="H8" s="312"/>
      <c r="I8" s="312"/>
      <c r="J8" s="312"/>
      <c r="K8" s="312"/>
      <c r="L8" s="1762"/>
      <c r="M8" s="1762"/>
      <c r="N8" s="1762"/>
      <c r="O8" s="1762"/>
      <c r="P8" s="1762"/>
      <c r="Q8" s="1762"/>
      <c r="R8" s="1762"/>
      <c r="S8" s="1762"/>
      <c r="T8" s="1762"/>
      <c r="U8" s="1762"/>
      <c r="V8" s="1762"/>
      <c r="W8" s="1762"/>
      <c r="X8" s="1762"/>
      <c r="Y8" s="617"/>
      <c r="Z8" s="617"/>
      <c r="AA8" s="3174"/>
      <c r="AB8" s="3174"/>
      <c r="AC8" s="617"/>
      <c r="AD8" s="570"/>
      <c r="AE8" s="3110"/>
    </row>
    <row r="9" spans="1:31" x14ac:dyDescent="0.25">
      <c r="B9" s="5098"/>
      <c r="C9" s="1978"/>
      <c r="D9" s="88" t="s">
        <v>1875</v>
      </c>
      <c r="E9" s="1935">
        <v>67.908939309717496</v>
      </c>
      <c r="F9" s="1935">
        <v>62.759382965122398</v>
      </c>
      <c r="G9" s="1935">
        <v>59.478235522736099</v>
      </c>
      <c r="H9" s="1935">
        <v>59.837588112021301</v>
      </c>
      <c r="I9" s="1935">
        <v>52.5011353684081</v>
      </c>
      <c r="J9" s="1935">
        <v>49.805772822817801</v>
      </c>
      <c r="K9" s="1935">
        <v>47.757934008508499</v>
      </c>
      <c r="L9" s="1935">
        <v>47.418095377055799</v>
      </c>
      <c r="M9" s="1935">
        <v>42.738001070131602</v>
      </c>
      <c r="N9" s="1935">
        <v>40.299999999999997</v>
      </c>
      <c r="O9" s="1935">
        <v>39.6</v>
      </c>
      <c r="P9" s="1935">
        <v>40.5</v>
      </c>
      <c r="Q9" s="1935">
        <v>38.6</v>
      </c>
      <c r="R9" s="1935">
        <v>37.299999999999997</v>
      </c>
      <c r="S9" s="1935">
        <v>34.1</v>
      </c>
      <c r="T9" s="1935">
        <f>(15893/51029719.02)*100000</f>
        <v>31.144596335658992</v>
      </c>
      <c r="U9" s="1935">
        <f>(15554/51759547.67)*100000</f>
        <v>30.050494450157547</v>
      </c>
      <c r="V9" s="1935">
        <f>(16213/52517864.18)*100000</f>
        <v>30.871400147636393</v>
      </c>
      <c r="W9" s="1935">
        <f>(17023/53304520.02)*100000</f>
        <v>31.935378076029806</v>
      </c>
      <c r="X9" s="1935">
        <f>(17805/54120306.16)*100000</f>
        <v>32.898926970889107</v>
      </c>
      <c r="Y9" s="1935">
        <f>(18673/54965281.74)*100000</f>
        <v>33.972353836605663</v>
      </c>
      <c r="Z9" s="1909">
        <f>(19016/55843010.66)*100000</f>
        <v>34.052605286235121</v>
      </c>
      <c r="AA9" s="1935">
        <f>(20336/56753326.89)*100000</f>
        <v>35.832260616924692</v>
      </c>
      <c r="AB9" s="1935">
        <f>(21022/57698414.32)*100000</f>
        <v>36.434276830226757</v>
      </c>
      <c r="AC9" s="1935">
        <f>(21325/58678234.75)*100000</f>
        <v>36.342265732525291</v>
      </c>
      <c r="AD9" s="1935">
        <f>(19972/59695848)*100000</f>
        <v>33.456263155856334</v>
      </c>
      <c r="AE9" s="3162">
        <f>(25181/60356785)*100000</f>
        <v>41.72024735909973</v>
      </c>
    </row>
    <row r="10" spans="1:31" x14ac:dyDescent="0.25">
      <c r="B10" s="5098"/>
      <c r="C10" s="1978"/>
      <c r="D10" s="88" t="s">
        <v>1876</v>
      </c>
      <c r="E10" s="1935">
        <v>67.906412653494399</v>
      </c>
      <c r="F10" s="1935">
        <v>70.412725858317103</v>
      </c>
      <c r="G10" s="1935">
        <v>68.366206762534006</v>
      </c>
      <c r="H10" s="1935">
        <v>70.358639740903001</v>
      </c>
      <c r="I10" s="1935">
        <v>65.449897962589404</v>
      </c>
      <c r="J10" s="1935">
        <v>64.387203693364299</v>
      </c>
      <c r="K10" s="1935">
        <v>69.819622935213999</v>
      </c>
      <c r="L10" s="1935">
        <v>78.896688085955503</v>
      </c>
      <c r="M10" s="1935">
        <v>64.839997991589897</v>
      </c>
      <c r="N10" s="1935">
        <v>52.6</v>
      </c>
      <c r="O10" s="1935">
        <v>43.8</v>
      </c>
      <c r="P10" s="1935">
        <v>42.5</v>
      </c>
      <c r="Q10" s="1935">
        <v>39.299999999999997</v>
      </c>
      <c r="R10" s="1935">
        <v>37.6</v>
      </c>
      <c r="S10" s="1935">
        <v>35.299999999999997</v>
      </c>
      <c r="T10" s="1935">
        <f>(15360/51029719.02)*100000</f>
        <v>30.100106947443656</v>
      </c>
      <c r="U10" s="1935">
        <f>(14730/51759547.67)*100000</f>
        <v>28.458517632173116</v>
      </c>
      <c r="V10" s="1935">
        <f>(16236/52517864.18)*100000</f>
        <v>30.915194769445783</v>
      </c>
      <c r="W10" s="1935">
        <f>(16989/53304520.02)*100000</f>
        <v>31.871593616499467</v>
      </c>
      <c r="X10" s="1935">
        <f>(17537/54120306.16)*100000</f>
        <v>32.403733911175642</v>
      </c>
      <c r="Y10" s="1935">
        <f>(18127/54965281.74)*100000</f>
        <v>32.978999517814536</v>
      </c>
      <c r="Z10" s="1909">
        <f>(18205/55843010.66)*100000</f>
        <v>32.600319690571638</v>
      </c>
      <c r="AA10" s="1935">
        <f>(18233/56753326.89)*100000</f>
        <v>32.126750975038746</v>
      </c>
      <c r="AB10" s="1935">
        <f>(18980/57698414.32)*100000</f>
        <v>32.895184770131479</v>
      </c>
      <c r="AC10" s="1935">
        <f>(18635/58678234.75)*100000</f>
        <v>31.757942411517416</v>
      </c>
      <c r="AD10" s="1935">
        <f>(18707/59695848)*100000</f>
        <v>31.33718780575828</v>
      </c>
      <c r="AE10" s="3162">
        <f>(22095/60356785)*100000</f>
        <v>36.607317636285629</v>
      </c>
    </row>
    <row r="11" spans="1:31" x14ac:dyDescent="0.25">
      <c r="B11" s="5098"/>
      <c r="C11" s="1978"/>
      <c r="D11" s="88" t="s">
        <v>1877</v>
      </c>
      <c r="E11" s="1935">
        <v>520.50634190712003</v>
      </c>
      <c r="F11" s="1935">
        <v>500.25905801837598</v>
      </c>
      <c r="G11" s="1935">
        <v>489.01331130975501</v>
      </c>
      <c r="H11" s="1935">
        <v>485.04000762049901</v>
      </c>
      <c r="I11" s="1935">
        <v>538.91007930983506</v>
      </c>
      <c r="J11" s="1935">
        <v>569.66468591929799</v>
      </c>
      <c r="K11" s="1935">
        <v>584.30900751003298</v>
      </c>
      <c r="L11" s="1935">
        <v>621.576802046029</v>
      </c>
      <c r="M11" s="1935">
        <v>605.67491407611601</v>
      </c>
      <c r="N11" s="1935">
        <v>575</v>
      </c>
      <c r="O11" s="1935">
        <v>485.3</v>
      </c>
      <c r="P11" s="1935">
        <v>443.2</v>
      </c>
      <c r="Q11" s="1935">
        <v>413.9</v>
      </c>
      <c r="R11" s="1935">
        <v>396.1</v>
      </c>
      <c r="S11" s="1935">
        <v>400</v>
      </c>
      <c r="T11" s="1935">
        <f>(184103/51029719.02)*100000</f>
        <v>360.7760409729961</v>
      </c>
      <c r="U11" s="1935">
        <f>(180165/51759547.67)*100000</f>
        <v>348.08070802447179</v>
      </c>
      <c r="V11" s="1935">
        <f>(171653/52517864.18)*100000</f>
        <v>326.84687901944301</v>
      </c>
      <c r="W11" s="1935">
        <f>(166081/53304520.02)*100000</f>
        <v>311.5702006840807</v>
      </c>
      <c r="X11" s="1935">
        <f>(161486/54120306.16)*100000</f>
        <v>298.38338224212293</v>
      </c>
      <c r="Y11" s="1935">
        <f>(164958/54965281.74)*100000</f>
        <v>300.11308007169691</v>
      </c>
      <c r="Z11" s="1909">
        <f>(156450/55843010.66)*100000</f>
        <v>280.16039635209739</v>
      </c>
      <c r="AA11" s="1935">
        <f>(156243/56753326.89)*100000</f>
        <v>275.30192248083029</v>
      </c>
      <c r="AB11" s="1935">
        <f>(162012/57698414.32)*100000</f>
        <v>280.79107876599267</v>
      </c>
      <c r="AC11" s="1935">
        <f>(165494/58678234.75)*100000</f>
        <v>282.03643259735247</v>
      </c>
      <c r="AD11" s="1935">
        <f>(149442/59695848)*100000</f>
        <v>250.3390185528481</v>
      </c>
      <c r="AE11" s="3162">
        <f>(169963/60356785)*100000</f>
        <v>281.59717254654964</v>
      </c>
    </row>
    <row r="12" spans="1:31" x14ac:dyDescent="0.25">
      <c r="B12" s="5098"/>
      <c r="C12" s="1978"/>
      <c r="D12" s="88" t="s">
        <v>1878</v>
      </c>
      <c r="E12" s="1935">
        <v>563.68942341704997</v>
      </c>
      <c r="F12" s="1935">
        <v>570.42045065869399</v>
      </c>
      <c r="G12" s="1935">
        <v>570.39205207928501</v>
      </c>
      <c r="H12" s="1935">
        <v>566.34120784911397</v>
      </c>
      <c r="I12" s="1935">
        <v>608.07853671875398</v>
      </c>
      <c r="J12" s="1935">
        <v>630.15816686371397</v>
      </c>
      <c r="K12" s="1935">
        <v>589.05244912190301</v>
      </c>
      <c r="L12" s="1935">
        <v>585.92467772063696</v>
      </c>
      <c r="M12" s="1935">
        <v>560.70342989921198</v>
      </c>
      <c r="N12" s="1935">
        <v>535.29999999999995</v>
      </c>
      <c r="O12" s="1935">
        <v>484</v>
      </c>
      <c r="P12" s="1935">
        <v>460.1</v>
      </c>
      <c r="Q12" s="1935">
        <v>439.1</v>
      </c>
      <c r="R12" s="1935">
        <v>418.5</v>
      </c>
      <c r="S12" s="1935">
        <v>416.2</v>
      </c>
      <c r="T12" s="1935">
        <f>(197470/51029719.02)*100000</f>
        <v>386.97058065831379</v>
      </c>
      <c r="U12" s="1935">
        <f>(191612/51759547.67)*100000</f>
        <v>370.19643452382587</v>
      </c>
      <c r="V12" s="1935">
        <f>(185050/52517864.18)*100000</f>
        <v>352.35629416641672</v>
      </c>
      <c r="W12" s="1935">
        <f>(182333/53304520.02)*100000</f>
        <v>342.05917233958428</v>
      </c>
      <c r="X12" s="1935">
        <f>(182556/54120306.16)*100000</f>
        <v>337.31516495914815</v>
      </c>
      <c r="Y12" s="1935">
        <f>(182933/54965281.74)*100000</f>
        <v>332.81554139087359</v>
      </c>
      <c r="Z12" s="1909">
        <f>(170616/55843010.66)*100000</f>
        <v>305.52793981469767</v>
      </c>
      <c r="AA12" s="1935">
        <f>(167352/56753326.89)*100000</f>
        <v>294.87610536799667</v>
      </c>
      <c r="AB12" s="1935">
        <f>(170979/57698414.32)*100000</f>
        <v>296.33223376250317</v>
      </c>
      <c r="AC12" s="1935">
        <f>(166720/58678234.75)*100000</f>
        <v>284.12579333770771</v>
      </c>
      <c r="AD12" s="1935">
        <f>(143393/59695848)*100000</f>
        <v>240.20598551510653</v>
      </c>
      <c r="AE12" s="3162">
        <f>(162842/60356785)*100000</f>
        <v>269.79899608635549</v>
      </c>
    </row>
    <row r="13" spans="1:31" x14ac:dyDescent="0.25">
      <c r="B13" s="5098"/>
      <c r="C13" s="1978"/>
      <c r="D13" s="88" t="s">
        <v>1879</v>
      </c>
      <c r="E13" s="1935"/>
      <c r="F13" s="1935"/>
      <c r="G13" s="1935"/>
      <c r="H13" s="1935"/>
      <c r="I13" s="1935"/>
      <c r="J13" s="1935"/>
      <c r="K13" s="1935"/>
      <c r="L13" s="1935"/>
      <c r="M13" s="1935">
        <v>142.5</v>
      </c>
      <c r="N13" s="1935">
        <v>148.4</v>
      </c>
      <c r="O13" s="1935">
        <v>145.19999999999999</v>
      </c>
      <c r="P13" s="1935">
        <v>137.6</v>
      </c>
      <c r="Q13" s="1935">
        <v>133.4</v>
      </c>
      <c r="R13" s="1935">
        <v>144.80000000000001</v>
      </c>
      <c r="S13" s="1935">
        <v>138.5</v>
      </c>
      <c r="T13" s="1935">
        <f>(64921/51029719.02)*100000</f>
        <v>127.22194291243424</v>
      </c>
      <c r="U13" s="1935">
        <f>(60539/51759547.67)*100000</f>
        <v>116.96199585431964</v>
      </c>
      <c r="V13" s="1935">
        <f>(60888/52517864.18)*100000</f>
        <v>115.93769272739682</v>
      </c>
      <c r="W13" s="1935">
        <f>(56680/53304520.02)*100000</f>
        <v>106.33244606411147</v>
      </c>
      <c r="X13" s="1935">
        <f>(53617/54120306.16)*100000</f>
        <v>99.070023442749857</v>
      </c>
      <c r="Y13" s="1935">
        <f>(51895/54965281.74)*100000</f>
        <v>94.414143541511848</v>
      </c>
      <c r="Z13" s="1909">
        <f>(49660/55843010.66)*100000</f>
        <v>88.927870136434379</v>
      </c>
      <c r="AA13" s="1935">
        <f>(50108/56753326.89)*100000</f>
        <v>88.290859313181656</v>
      </c>
      <c r="AB13" s="1935">
        <f>(52420/57698414.32)*100000</f>
        <v>90.851716841427404</v>
      </c>
      <c r="AC13" s="1935">
        <f>(53293/58678234.75)*100000</f>
        <v>90.822432247759465</v>
      </c>
      <c r="AD13" s="1935">
        <f>(46214/59695848)*100000</f>
        <v>77.415769351329089</v>
      </c>
      <c r="AE13" s="3162">
        <f>(52694/60356785)*100000</f>
        <v>87.304186265057027</v>
      </c>
    </row>
    <row r="14" spans="1:31" x14ac:dyDescent="0.25">
      <c r="B14" s="3038"/>
      <c r="C14" s="1978"/>
      <c r="D14" s="88" t="s">
        <v>1880</v>
      </c>
      <c r="E14" s="1935">
        <v>194.97448077214599</v>
      </c>
      <c r="F14" s="1935">
        <v>163.02901669106399</v>
      </c>
      <c r="G14" s="1935">
        <v>177.45093276331099</v>
      </c>
      <c r="H14" s="1935">
        <v>220.589636121166</v>
      </c>
      <c r="I14" s="1935">
        <v>229.50781672086799</v>
      </c>
      <c r="J14" s="1935">
        <v>260.30486544349401</v>
      </c>
      <c r="K14" s="1935">
        <v>260.45644402790202</v>
      </c>
      <c r="L14" s="1935">
        <v>279.199804845046</v>
      </c>
      <c r="M14" s="1935">
        <v>288.14950297778699</v>
      </c>
      <c r="N14" s="1935">
        <v>272.2</v>
      </c>
      <c r="O14" s="1935">
        <v>255.3</v>
      </c>
      <c r="P14" s="1935">
        <v>267.10000000000002</v>
      </c>
      <c r="Q14" s="1935">
        <v>247.3</v>
      </c>
      <c r="R14" s="1935">
        <v>249.3</v>
      </c>
      <c r="S14" s="1935">
        <v>230.6</v>
      </c>
      <c r="T14" s="1935">
        <f>(101039/51029719.02)*100000</f>
        <v>198.00030637127344</v>
      </c>
      <c r="U14" s="1935">
        <f>(100769/51759547.67)*100000</f>
        <v>194.68678637314682</v>
      </c>
      <c r="V14" s="1935">
        <f>(105488/52517864.18)*100000</f>
        <v>200.86117675777882</v>
      </c>
      <c r="W14" s="1935">
        <f>(118963/53304520.02)*100000</f>
        <v>223.17619585612019</v>
      </c>
      <c r="X14" s="1935">
        <f>(129045/54120306.16)*100000</f>
        <v>238.44100145792675</v>
      </c>
      <c r="Y14" s="1935">
        <f>(132527/54965281.74)*100000</f>
        <v>241.11038059785989</v>
      </c>
      <c r="Z14" s="1909">
        <f>(140956/55843010.66)*100000</f>
        <v>252.41475761077817</v>
      </c>
      <c r="AA14" s="1935">
        <f>(138364/56753326.89)*100000</f>
        <v>243.7989234854528</v>
      </c>
      <c r="AB14" s="1935">
        <f>(140032/57698414.32)*100000</f>
        <v>242.6964443483167</v>
      </c>
      <c r="AC14" s="1935">
        <f>(143990/58678234.75)*100000</f>
        <v>245.38911337989765</v>
      </c>
      <c r="AD14" s="1935">
        <f>(119841/59695848)*100000</f>
        <v>200.75265536055372</v>
      </c>
      <c r="AE14" s="3162">
        <f>(132788/60356785)*100000</f>
        <v>220.00509139113359</v>
      </c>
    </row>
    <row r="15" spans="1:31" x14ac:dyDescent="0.25">
      <c r="B15" s="3038"/>
      <c r="C15" s="1978"/>
      <c r="D15" s="88" t="s">
        <v>1881</v>
      </c>
      <c r="E15" s="1935">
        <v>115.425236242357</v>
      </c>
      <c r="F15" s="1935">
        <v>124.868256424835</v>
      </c>
      <c r="G15" s="1935">
        <v>133.43373493975901</v>
      </c>
      <c r="H15" s="1935">
        <v>154.738997904363</v>
      </c>
      <c r="I15" s="1935">
        <v>173.52735465002399</v>
      </c>
      <c r="J15" s="1935">
        <v>206.509228569285</v>
      </c>
      <c r="K15" s="1935">
        <v>201.261594825392</v>
      </c>
      <c r="L15" s="1935">
        <v>223.38844477799501</v>
      </c>
      <c r="M15" s="1935">
        <v>205.99569916526201</v>
      </c>
      <c r="N15" s="1935">
        <v>195</v>
      </c>
      <c r="O15" s="1935">
        <v>159.4</v>
      </c>
      <c r="P15" s="1935">
        <v>150.1</v>
      </c>
      <c r="Q15" s="1935">
        <v>135.80000000000001</v>
      </c>
      <c r="R15" s="1935">
        <v>121.7</v>
      </c>
      <c r="S15" s="1935">
        <v>116.7</v>
      </c>
      <c r="T15" s="1979">
        <f>(54442/51029719.02)*100000</f>
        <v>106.68685041879738</v>
      </c>
      <c r="U15" s="1979">
        <f>(52566/51759547.67)*100000</f>
        <v>101.55807453175913</v>
      </c>
      <c r="V15" s="1979">
        <f>(53196/52517864.18)*100000</f>
        <v>101.29124790314349</v>
      </c>
      <c r="W15" s="1979">
        <f>(53505/53304520.02)*100000</f>
        <v>100.37610315208687</v>
      </c>
      <c r="X15" s="1979">
        <f>(54927/54120306.16)*100000</f>
        <v>101.49055668239406</v>
      </c>
      <c r="Y15" s="1979">
        <f>(54110/54965281.74)*100000</f>
        <v>98.443960054556442</v>
      </c>
      <c r="Z15" s="1980">
        <f>(53418/55843010.66)*100000</f>
        <v>95.657449998953908</v>
      </c>
      <c r="AA15" s="1979">
        <f>(50730/56753326.89)*100000</f>
        <v>89.38683030569382</v>
      </c>
      <c r="AB15" s="1979">
        <f>(51765/57698414.32)*100000</f>
        <v>89.716503668380184</v>
      </c>
      <c r="AC15" s="1979">
        <f>(51825/58678234.75)*100000</f>
        <v>88.320652829454801</v>
      </c>
      <c r="AD15" s="1935">
        <f>(37648/59695848)*100000</f>
        <v>63.066362672325212</v>
      </c>
      <c r="AE15" s="3281">
        <f>(41600/60356785)*100000</f>
        <v>68.923485570015032</v>
      </c>
    </row>
    <row r="16" spans="1:31" x14ac:dyDescent="0.25">
      <c r="B16" s="3038"/>
      <c r="C16" s="1978"/>
      <c r="D16" s="1981" t="s">
        <v>50</v>
      </c>
      <c r="E16" s="1982">
        <v>1656.3</v>
      </c>
      <c r="F16" s="1982">
        <v>1618.5</v>
      </c>
      <c r="G16" s="1982">
        <v>1624.4</v>
      </c>
      <c r="H16" s="1982">
        <v>1675.1</v>
      </c>
      <c r="I16" s="1982">
        <v>1790.7</v>
      </c>
      <c r="J16" s="1982">
        <v>1901.9</v>
      </c>
      <c r="K16" s="1982">
        <v>1873.9</v>
      </c>
      <c r="L16" s="1982">
        <v>1951.7</v>
      </c>
      <c r="M16" s="1982">
        <v>1910.5</v>
      </c>
      <c r="N16" s="1982">
        <f t="shared" ref="N16:S16" si="0">SUM(N9:N15)</f>
        <v>1818.8</v>
      </c>
      <c r="O16" s="1982">
        <f t="shared" si="0"/>
        <v>1612.6000000000001</v>
      </c>
      <c r="P16" s="1982">
        <f t="shared" si="0"/>
        <v>1541.1</v>
      </c>
      <c r="Q16" s="1982">
        <f t="shared" si="0"/>
        <v>1447.3999999999999</v>
      </c>
      <c r="R16" s="1982">
        <f t="shared" si="0"/>
        <v>1405.3</v>
      </c>
      <c r="S16" s="1982">
        <f t="shared" si="0"/>
        <v>1371.3999999999999</v>
      </c>
      <c r="T16" s="1983">
        <f>(633228/51029719.02)*100000</f>
        <v>1240.9004246169177</v>
      </c>
      <c r="U16" s="1983">
        <f>(615935/51759547.67)*100000</f>
        <v>1189.993011389854</v>
      </c>
      <c r="V16" s="1940">
        <f>SUM(V9:V15)</f>
        <v>1159.0798854912612</v>
      </c>
      <c r="W16" s="1983">
        <f>(611574/53304520.02)*100000</f>
        <v>1147.3210897885128</v>
      </c>
      <c r="X16" s="1983">
        <f>(616973/54120306.16)*100000</f>
        <v>1140.0027896664064</v>
      </c>
      <c r="Y16" s="1983">
        <f>(623223/54965281.74)*100000</f>
        <v>1133.8484590109188</v>
      </c>
      <c r="Z16" s="1984">
        <f>(608321/55843010.66)*100000</f>
        <v>1089.3413388897682</v>
      </c>
      <c r="AA16" s="1983">
        <f>(601366/56753326.89)*100000</f>
        <v>1059.6136525451186</v>
      </c>
      <c r="AB16" s="1983">
        <f>(617210/57698414.32)*100000</f>
        <v>1069.7174389869783</v>
      </c>
      <c r="AC16" s="1983">
        <f>(621282/58678234.75)*100000</f>
        <v>1058.7946325362147</v>
      </c>
      <c r="AD16" s="1983">
        <f>(535217/59695848)*100000</f>
        <v>896.57324241377728</v>
      </c>
      <c r="AE16" s="1983">
        <f>(607163/60356785)*100000</f>
        <v>1005.9564968544961</v>
      </c>
    </row>
    <row r="17" spans="2:28" x14ac:dyDescent="0.25">
      <c r="B17" s="3038"/>
      <c r="C17" s="1978"/>
      <c r="D17" s="550"/>
      <c r="E17" s="1985"/>
      <c r="F17" s="1985"/>
      <c r="G17" s="1985"/>
      <c r="H17" s="1985"/>
      <c r="I17" s="1985"/>
      <c r="J17" s="1985"/>
      <c r="K17" s="1985"/>
      <c r="L17" s="1985"/>
      <c r="M17" s="1985"/>
      <c r="N17" s="1985"/>
      <c r="O17" s="1985"/>
      <c r="P17" s="1985"/>
      <c r="Q17" s="1985"/>
      <c r="R17" s="1985"/>
      <c r="S17" s="1985"/>
      <c r="T17" s="1985"/>
      <c r="U17" s="1985"/>
      <c r="V17" s="1985"/>
      <c r="W17" s="1985"/>
      <c r="X17" s="1985"/>
      <c r="Y17" s="413"/>
      <c r="Z17" s="413"/>
      <c r="AA17" s="413"/>
      <c r="AB17" s="413"/>
    </row>
    <row r="18" spans="2:28" x14ac:dyDescent="0.25">
      <c r="B18" s="3038"/>
      <c r="C18" s="1978"/>
      <c r="D18" s="550"/>
      <c r="E18" s="1985"/>
      <c r="F18" s="1985"/>
      <c r="G18" s="1985"/>
      <c r="H18" s="1985"/>
      <c r="I18" s="1985"/>
      <c r="J18" s="1985"/>
      <c r="K18" s="1985"/>
      <c r="L18" s="1985"/>
      <c r="M18" s="1985"/>
      <c r="N18" s="1985"/>
      <c r="O18" s="1985"/>
      <c r="P18" s="1985"/>
      <c r="Q18" s="1985"/>
      <c r="R18" s="1985"/>
      <c r="S18" s="1985"/>
      <c r="T18" s="1985"/>
      <c r="U18" s="1985"/>
      <c r="V18" s="1985"/>
      <c r="W18" s="1985"/>
      <c r="X18" s="1985"/>
      <c r="Y18" s="413"/>
      <c r="Z18" s="413"/>
      <c r="AA18" s="413"/>
      <c r="AB18" s="413"/>
    </row>
    <row r="19" spans="2:28" x14ac:dyDescent="0.25">
      <c r="B19" s="3038"/>
      <c r="C19" s="1978"/>
      <c r="D19" s="550"/>
      <c r="E19" s="1985"/>
      <c r="F19" s="1985"/>
      <c r="G19" s="1985"/>
      <c r="H19" s="1985"/>
      <c r="I19" s="1985"/>
      <c r="J19" s="1985"/>
      <c r="K19" s="1985"/>
      <c r="L19" s="1985"/>
      <c r="M19" s="1985"/>
      <c r="N19" s="1985"/>
      <c r="O19" s="1985"/>
      <c r="P19" s="1985"/>
      <c r="Q19" s="1985"/>
      <c r="R19" s="1985"/>
      <c r="S19" s="1985"/>
      <c r="T19" s="1985"/>
      <c r="U19" s="1985"/>
      <c r="V19" s="1985"/>
      <c r="W19" s="1985"/>
      <c r="X19" s="1985"/>
      <c r="Y19" s="413"/>
      <c r="Z19" s="413"/>
      <c r="AA19" s="413"/>
      <c r="AB19" s="413"/>
    </row>
    <row r="20" spans="2:28" x14ac:dyDescent="0.25">
      <c r="B20" s="3038"/>
      <c r="C20" s="1978"/>
      <c r="D20" s="550"/>
      <c r="E20" s="1985"/>
      <c r="F20" s="1985"/>
      <c r="G20" s="1985"/>
      <c r="H20" s="1985"/>
      <c r="I20" s="1985"/>
      <c r="J20" s="1985"/>
      <c r="K20" s="1985"/>
      <c r="L20" s="1985"/>
      <c r="M20" s="1985"/>
      <c r="N20" s="1985"/>
      <c r="O20" s="1985"/>
      <c r="P20" s="1985"/>
      <c r="Q20" s="1985"/>
      <c r="R20" s="1985"/>
      <c r="S20" s="1985"/>
      <c r="T20" s="1985"/>
      <c r="U20" s="1985"/>
      <c r="V20" s="1985"/>
      <c r="W20" s="1985"/>
      <c r="X20" s="1985"/>
      <c r="Y20" s="413"/>
      <c r="Z20" s="413"/>
      <c r="AA20" s="413"/>
      <c r="AB20" s="413"/>
    </row>
    <row r="21" spans="2:28" x14ac:dyDescent="0.25">
      <c r="B21" s="3038"/>
      <c r="C21" s="1978"/>
      <c r="D21" s="550"/>
      <c r="E21" s="1985"/>
      <c r="F21" s="1985"/>
      <c r="G21" s="1985"/>
      <c r="H21" s="1985"/>
      <c r="I21" s="1985"/>
      <c r="J21" s="1985"/>
      <c r="K21" s="1985"/>
      <c r="L21" s="1985"/>
      <c r="M21" s="1985"/>
      <c r="N21" s="1985"/>
      <c r="O21" s="1985"/>
      <c r="P21" s="1985"/>
      <c r="Q21" s="1985"/>
      <c r="R21" s="1985"/>
      <c r="S21" s="1985"/>
      <c r="T21" s="1985"/>
      <c r="U21" s="1985"/>
      <c r="V21" s="1985"/>
      <c r="W21" s="1985"/>
      <c r="X21" s="1985"/>
      <c r="Y21" s="413"/>
      <c r="Z21" s="413"/>
      <c r="AA21" s="413"/>
      <c r="AB21" s="413"/>
    </row>
    <row r="22" spans="2:28" x14ac:dyDescent="0.25">
      <c r="B22" s="3038"/>
      <c r="C22" s="1978"/>
      <c r="D22" s="550"/>
      <c r="E22" s="1985"/>
      <c r="F22" s="1985"/>
      <c r="G22" s="1985"/>
      <c r="H22" s="1985"/>
      <c r="I22" s="1985"/>
      <c r="J22" s="1985"/>
      <c r="K22" s="1985"/>
      <c r="L22" s="1985"/>
      <c r="M22" s="1985"/>
      <c r="N22" s="1985"/>
      <c r="O22" s="1985"/>
      <c r="P22" s="1985"/>
      <c r="Q22" s="1985"/>
      <c r="R22" s="1985"/>
      <c r="S22" s="1985"/>
      <c r="T22" s="1985"/>
      <c r="U22" s="1985"/>
      <c r="V22" s="1985"/>
      <c r="W22" s="1985"/>
      <c r="X22" s="1985"/>
      <c r="Y22" s="413"/>
      <c r="Z22" s="413"/>
      <c r="AA22" s="413"/>
      <c r="AB22" s="413"/>
    </row>
    <row r="23" spans="2:28" x14ac:dyDescent="0.25">
      <c r="B23" s="3038"/>
      <c r="C23" s="1978"/>
      <c r="D23" s="550"/>
      <c r="E23" s="1985"/>
      <c r="F23" s="1985"/>
      <c r="G23" s="1985"/>
      <c r="H23" s="1985"/>
      <c r="I23" s="1985"/>
      <c r="J23" s="1985"/>
      <c r="K23" s="1985"/>
      <c r="L23" s="1985"/>
      <c r="M23" s="1985"/>
      <c r="N23" s="1985"/>
      <c r="O23" s="1985"/>
      <c r="P23" s="1985"/>
      <c r="Q23" s="1985"/>
      <c r="R23" s="1985"/>
      <c r="S23" s="1985"/>
      <c r="T23" s="1985"/>
      <c r="U23" s="1985"/>
      <c r="V23" s="1985"/>
      <c r="W23" s="1985"/>
      <c r="X23" s="1985"/>
      <c r="Y23" s="413"/>
      <c r="Z23" s="413"/>
      <c r="AA23" s="413"/>
      <c r="AB23" s="413"/>
    </row>
    <row r="24" spans="2:28" x14ac:dyDescent="0.25">
      <c r="B24" s="3038"/>
      <c r="C24" s="1978"/>
      <c r="D24" s="550"/>
      <c r="E24" s="1985"/>
      <c r="F24" s="1985"/>
      <c r="G24" s="1985"/>
      <c r="H24" s="1985"/>
      <c r="I24" s="1985"/>
      <c r="J24" s="1985"/>
      <c r="K24" s="1985"/>
      <c r="L24" s="1985"/>
      <c r="M24" s="1985"/>
      <c r="N24" s="1985"/>
      <c r="O24" s="1985"/>
      <c r="P24" s="1985"/>
      <c r="Q24" s="1985"/>
      <c r="R24" s="1985"/>
      <c r="S24" s="1985"/>
      <c r="T24" s="1985"/>
      <c r="U24" s="1985"/>
      <c r="V24" s="1985"/>
      <c r="W24" s="1985"/>
      <c r="X24" s="1985"/>
      <c r="Y24" s="413"/>
      <c r="Z24" s="413"/>
      <c r="AA24" s="413"/>
      <c r="AB24" s="413"/>
    </row>
    <row r="25" spans="2:28" x14ac:dyDescent="0.25">
      <c r="B25" s="3038"/>
      <c r="C25" s="1978"/>
      <c r="D25" s="550"/>
      <c r="E25" s="1985"/>
      <c r="F25" s="1985"/>
      <c r="G25" s="1985"/>
      <c r="H25" s="1985"/>
      <c r="I25" s="1985"/>
      <c r="J25" s="1985"/>
      <c r="K25" s="1985"/>
      <c r="L25" s="1985"/>
      <c r="M25" s="1985"/>
      <c r="N25" s="1985"/>
      <c r="O25" s="1985"/>
      <c r="P25" s="1985"/>
      <c r="Q25" s="1985"/>
      <c r="R25" s="1985"/>
      <c r="S25" s="1985"/>
      <c r="T25" s="1985"/>
      <c r="U25" s="1985"/>
      <c r="V25" s="1985"/>
      <c r="W25" s="1985"/>
      <c r="X25" s="1985"/>
      <c r="Y25" s="413"/>
      <c r="Z25" s="413"/>
      <c r="AA25" s="413"/>
      <c r="AB25" s="413"/>
    </row>
    <row r="26" spans="2:28" x14ac:dyDescent="0.25">
      <c r="B26" s="3038"/>
      <c r="C26" s="1978"/>
      <c r="D26" s="550"/>
      <c r="E26" s="1985"/>
      <c r="F26" s="1985"/>
      <c r="G26" s="1985"/>
      <c r="H26" s="1985"/>
      <c r="I26" s="1985"/>
      <c r="J26" s="1985"/>
      <c r="K26" s="1985"/>
      <c r="L26" s="1985"/>
      <c r="M26" s="1985"/>
      <c r="N26" s="1985"/>
      <c r="O26" s="1985"/>
      <c r="P26" s="1985"/>
      <c r="Q26" s="1985"/>
      <c r="R26" s="1985"/>
      <c r="S26" s="1985"/>
      <c r="T26" s="1985"/>
      <c r="U26" s="1985"/>
      <c r="V26" s="1985"/>
      <c r="W26" s="1985"/>
      <c r="X26" s="1985"/>
      <c r="Y26" s="413"/>
      <c r="Z26" s="413"/>
      <c r="AA26" s="413"/>
      <c r="AB26" s="413"/>
    </row>
    <row r="27" spans="2:28" x14ac:dyDescent="0.25">
      <c r="B27" s="3038"/>
      <c r="C27" s="1978"/>
      <c r="D27" s="550"/>
      <c r="E27" s="1985"/>
      <c r="F27" s="1985"/>
      <c r="G27" s="1985"/>
      <c r="H27" s="1985"/>
      <c r="I27" s="1985"/>
      <c r="J27" s="1985"/>
      <c r="K27" s="1985"/>
      <c r="L27" s="1985"/>
      <c r="M27" s="1985"/>
      <c r="N27" s="1985"/>
      <c r="O27" s="1985"/>
      <c r="P27" s="1985"/>
      <c r="Q27" s="1985"/>
      <c r="R27" s="1985"/>
      <c r="S27" s="1985"/>
      <c r="T27" s="1985"/>
      <c r="U27" s="1985"/>
      <c r="V27" s="1985"/>
      <c r="W27" s="1985"/>
      <c r="X27" s="1985"/>
      <c r="Y27" s="413"/>
      <c r="Z27" s="413"/>
      <c r="AA27" s="413"/>
      <c r="AB27" s="413"/>
    </row>
    <row r="28" spans="2:28" x14ac:dyDescent="0.25">
      <c r="B28" s="3038"/>
      <c r="C28" s="1978"/>
      <c r="D28" s="550"/>
      <c r="E28" s="1985"/>
      <c r="F28" s="1985"/>
      <c r="G28" s="1985"/>
      <c r="H28" s="1985"/>
      <c r="I28" s="1985"/>
      <c r="J28" s="1985"/>
      <c r="K28" s="1985"/>
      <c r="L28" s="1985"/>
      <c r="M28" s="1985"/>
      <c r="N28" s="1985"/>
      <c r="O28" s="1985"/>
      <c r="P28" s="1985"/>
      <c r="Q28" s="1985"/>
      <c r="R28" s="1985"/>
      <c r="S28" s="1985"/>
      <c r="T28" s="1985"/>
      <c r="U28" s="1985"/>
      <c r="V28" s="1985"/>
      <c r="W28" s="1985"/>
      <c r="X28" s="1985"/>
      <c r="Y28" s="413"/>
      <c r="Z28" s="413"/>
      <c r="AA28" s="413"/>
      <c r="AB28" s="413"/>
    </row>
    <row r="29" spans="2:28" x14ac:dyDescent="0.25">
      <c r="B29" s="3038"/>
      <c r="C29" s="1978"/>
      <c r="D29" s="550"/>
      <c r="E29" s="1985"/>
      <c r="F29" s="1985"/>
      <c r="G29" s="1985"/>
      <c r="H29" s="1985"/>
      <c r="I29" s="1985"/>
      <c r="J29" s="1985"/>
      <c r="K29" s="1985"/>
      <c r="L29" s="1985"/>
      <c r="M29" s="1985"/>
      <c r="N29" s="1985"/>
      <c r="O29" s="1985"/>
      <c r="P29" s="1985"/>
      <c r="Q29" s="1985"/>
      <c r="R29" s="1985"/>
      <c r="S29" s="1985"/>
      <c r="T29" s="1985"/>
      <c r="U29" s="1985"/>
      <c r="V29" s="1985"/>
      <c r="W29" s="1985"/>
      <c r="X29" s="1985"/>
      <c r="Y29" s="413"/>
      <c r="Z29" s="413"/>
      <c r="AA29" s="413"/>
      <c r="AB29" s="413"/>
    </row>
    <row r="30" spans="2:28" x14ac:dyDescent="0.25">
      <c r="B30" s="3038"/>
      <c r="C30" s="1978"/>
      <c r="D30" s="550"/>
      <c r="E30" s="1985"/>
      <c r="F30" s="1985"/>
      <c r="G30" s="1985"/>
      <c r="H30" s="1985"/>
      <c r="I30" s="1985"/>
      <c r="J30" s="1985"/>
      <c r="K30" s="1985"/>
      <c r="L30" s="1985"/>
      <c r="M30" s="1985"/>
      <c r="N30" s="1985"/>
      <c r="O30" s="1985"/>
      <c r="P30" s="1985"/>
      <c r="Q30" s="1985"/>
      <c r="R30" s="1985"/>
      <c r="S30" s="1985"/>
      <c r="T30" s="1985"/>
      <c r="U30" s="1985"/>
      <c r="V30" s="1985"/>
      <c r="W30" s="1985"/>
      <c r="X30" s="1985"/>
      <c r="Y30" s="413"/>
      <c r="Z30" s="413"/>
      <c r="AA30" s="413"/>
      <c r="AB30" s="413"/>
    </row>
    <row r="31" spans="2:28" x14ac:dyDescent="0.25">
      <c r="B31" s="3038"/>
      <c r="C31" s="1978"/>
      <c r="D31" s="550"/>
      <c r="E31" s="1985"/>
      <c r="F31" s="1985"/>
      <c r="G31" s="1985"/>
      <c r="H31" s="1985"/>
      <c r="I31" s="1985"/>
      <c r="J31" s="1985"/>
      <c r="K31" s="1985"/>
      <c r="L31" s="1985"/>
      <c r="M31" s="1985"/>
      <c r="N31" s="1985"/>
      <c r="O31" s="1985"/>
      <c r="P31" s="1985"/>
      <c r="Q31" s="1985"/>
      <c r="R31" s="1985"/>
      <c r="S31" s="1985"/>
      <c r="T31" s="1985"/>
      <c r="U31" s="1985"/>
      <c r="V31" s="1985"/>
      <c r="W31" s="1985"/>
      <c r="X31" s="1985"/>
      <c r="Y31" s="413"/>
      <c r="Z31" s="413"/>
      <c r="AA31" s="413"/>
      <c r="AB31" s="413"/>
    </row>
    <row r="32" spans="2:28" x14ac:dyDescent="0.25">
      <c r="B32" s="3038"/>
      <c r="C32" s="1978"/>
      <c r="D32" s="550"/>
      <c r="E32" s="1985"/>
      <c r="F32" s="1985"/>
      <c r="G32" s="1985"/>
      <c r="H32" s="1985"/>
      <c r="I32" s="1985"/>
      <c r="J32" s="1985"/>
      <c r="K32" s="1985"/>
      <c r="L32" s="1985"/>
      <c r="M32" s="1985"/>
      <c r="N32" s="1985"/>
      <c r="O32" s="1985"/>
      <c r="P32" s="1985"/>
      <c r="Q32" s="1985"/>
      <c r="R32" s="1985"/>
      <c r="S32" s="1985"/>
      <c r="T32" s="1985"/>
      <c r="U32" s="1985"/>
      <c r="V32" s="1985"/>
      <c r="W32" s="1985"/>
      <c r="X32" s="1985"/>
      <c r="Y32" s="413"/>
      <c r="Z32" s="413"/>
      <c r="AA32" s="413"/>
      <c r="AB32" s="413"/>
    </row>
    <row r="33" spans="1:28" x14ac:dyDescent="0.25">
      <c r="B33" s="3038"/>
      <c r="C33" s="1978"/>
      <c r="D33" s="550"/>
      <c r="E33" s="1985"/>
      <c r="F33" s="1985"/>
      <c r="G33" s="1985"/>
      <c r="H33" s="1985"/>
      <c r="I33" s="1985"/>
      <c r="J33" s="1985"/>
      <c r="K33" s="1985"/>
      <c r="L33" s="1985"/>
      <c r="M33" s="1985"/>
      <c r="N33" s="1985"/>
      <c r="O33" s="1985"/>
      <c r="P33" s="1985"/>
      <c r="Q33" s="1985"/>
      <c r="R33" s="1985"/>
      <c r="S33" s="1985"/>
      <c r="T33" s="1985"/>
      <c r="U33" s="1985"/>
      <c r="V33" s="1985"/>
      <c r="W33" s="1985"/>
      <c r="X33" s="1985"/>
      <c r="Y33" s="413"/>
      <c r="Z33" s="413"/>
      <c r="AA33" s="413"/>
      <c r="AB33" s="413"/>
    </row>
    <row r="34" spans="1:28" x14ac:dyDescent="0.25">
      <c r="B34" s="3038"/>
      <c r="C34" s="1978"/>
      <c r="D34" s="550"/>
      <c r="E34" s="1985"/>
      <c r="F34" s="1985"/>
      <c r="G34" s="1985"/>
      <c r="H34" s="1985"/>
      <c r="I34" s="1985"/>
      <c r="J34" s="1985"/>
      <c r="K34" s="1985"/>
      <c r="L34" s="1985"/>
      <c r="M34" s="1985"/>
      <c r="N34" s="1985"/>
      <c r="O34" s="1985"/>
      <c r="P34" s="1985"/>
      <c r="Q34" s="1985"/>
      <c r="R34" s="1985"/>
      <c r="S34" s="1985"/>
      <c r="T34" s="1985"/>
      <c r="U34" s="1985"/>
      <c r="V34" s="1985"/>
      <c r="W34" s="1985"/>
      <c r="X34" s="1985"/>
      <c r="Y34" s="413"/>
      <c r="Z34" s="413"/>
      <c r="AA34" s="413"/>
      <c r="AB34" s="413"/>
    </row>
    <row r="35" spans="1:28" x14ac:dyDescent="0.25">
      <c r="B35" s="3038"/>
      <c r="C35" s="1978"/>
      <c r="D35" s="550"/>
      <c r="E35" s="1985"/>
      <c r="F35" s="1985"/>
      <c r="G35" s="1985"/>
      <c r="H35" s="1985"/>
      <c r="I35" s="1985"/>
      <c r="J35" s="1985"/>
      <c r="K35" s="1985"/>
      <c r="L35" s="1985"/>
      <c r="M35" s="1985"/>
      <c r="N35" s="1985"/>
      <c r="O35" s="1985"/>
      <c r="P35" s="1985"/>
      <c r="Q35" s="1985"/>
      <c r="R35" s="1985"/>
      <c r="S35" s="1985"/>
      <c r="T35" s="1985"/>
      <c r="U35" s="1985"/>
      <c r="V35" s="1985"/>
      <c r="W35" s="1985"/>
      <c r="X35" s="1985"/>
      <c r="Y35" s="413"/>
      <c r="Z35" s="413"/>
      <c r="AA35" s="413"/>
      <c r="AB35" s="413"/>
    </row>
    <row r="36" spans="1:28" x14ac:dyDescent="0.25">
      <c r="B36" s="3038"/>
      <c r="C36" s="1978"/>
      <c r="D36" s="550"/>
      <c r="E36" s="1985"/>
      <c r="F36" s="1985"/>
      <c r="G36" s="1985"/>
      <c r="H36" s="1985"/>
      <c r="I36" s="1985"/>
      <c r="J36" s="1985"/>
      <c r="K36" s="1985"/>
      <c r="L36" s="1985"/>
      <c r="M36" s="1985"/>
      <c r="N36" s="1985"/>
      <c r="O36" s="1985"/>
      <c r="P36" s="1985"/>
      <c r="Q36" s="1985"/>
      <c r="R36" s="1985"/>
      <c r="S36" s="1985"/>
      <c r="T36" s="1985"/>
      <c r="U36" s="1985"/>
      <c r="V36" s="1985"/>
      <c r="W36" s="1985"/>
      <c r="X36" s="1985"/>
      <c r="Y36" s="413"/>
      <c r="Z36" s="413"/>
      <c r="AA36" s="413"/>
      <c r="AB36" s="413"/>
    </row>
    <row r="37" spans="1:28" x14ac:dyDescent="0.25">
      <c r="D37" s="1137"/>
      <c r="E37" s="1137"/>
      <c r="F37" s="1137"/>
      <c r="G37" s="1137"/>
      <c r="H37" s="1986"/>
      <c r="I37" s="1137"/>
      <c r="J37" s="1137"/>
      <c r="K37" s="1137"/>
      <c r="L37" s="1137"/>
      <c r="M37" s="1137"/>
      <c r="N37" s="1137"/>
      <c r="O37" s="1137"/>
      <c r="P37" s="1137"/>
      <c r="Q37" s="1137"/>
      <c r="R37" s="1137"/>
      <c r="S37" s="1137"/>
      <c r="T37" s="1137"/>
      <c r="U37" s="1137"/>
      <c r="V37" s="1137"/>
      <c r="W37" s="1137"/>
      <c r="X37" s="1137"/>
      <c r="Y37" s="1137"/>
      <c r="Z37" s="1137"/>
    </row>
    <row r="38" spans="1:28" ht="15" customHeight="1" x14ac:dyDescent="0.25">
      <c r="A38" s="509">
        <v>6</v>
      </c>
      <c r="B38" s="509" t="s">
        <v>52</v>
      </c>
      <c r="C38" s="509"/>
      <c r="D38" s="4603" t="s">
        <v>1882</v>
      </c>
      <c r="E38" s="4738"/>
      <c r="F38" s="4738"/>
      <c r="G38" s="4738"/>
      <c r="H38" s="4738"/>
      <c r="I38" s="4738"/>
      <c r="J38" s="4738"/>
      <c r="K38" s="4738"/>
      <c r="L38" s="4738"/>
      <c r="M38" s="4738"/>
      <c r="N38" s="4738"/>
      <c r="O38" s="4738"/>
      <c r="P38" s="4738"/>
      <c r="Q38" s="4738"/>
      <c r="R38" s="4738"/>
      <c r="S38" s="4738"/>
      <c r="T38" s="4738"/>
      <c r="U38" s="4738"/>
      <c r="V38" s="4738"/>
      <c r="W38" s="4738"/>
      <c r="X38" s="4738"/>
      <c r="Y38" s="4758"/>
      <c r="Z38" s="4758"/>
      <c r="AA38" s="4758"/>
      <c r="AB38" s="5095"/>
    </row>
    <row r="39" spans="1:28" ht="12.75" customHeight="1" x14ac:dyDescent="0.25">
      <c r="A39" s="546">
        <v>7</v>
      </c>
      <c r="B39" s="546" t="s">
        <v>54</v>
      </c>
      <c r="C39" s="546"/>
      <c r="D39" s="4618" t="s">
        <v>1883</v>
      </c>
      <c r="E39" s="5099"/>
      <c r="F39" s="5099"/>
      <c r="G39" s="5099"/>
      <c r="H39" s="5099"/>
      <c r="I39" s="5099"/>
      <c r="J39" s="5099"/>
      <c r="K39" s="5099"/>
      <c r="L39" s="5099"/>
      <c r="M39" s="5099"/>
      <c r="N39" s="5099"/>
      <c r="O39" s="5099"/>
      <c r="P39" s="5099"/>
      <c r="Q39" s="5099"/>
      <c r="R39" s="5099"/>
      <c r="S39" s="5099"/>
      <c r="T39" s="5099"/>
      <c r="U39" s="5099"/>
      <c r="V39" s="5099"/>
      <c r="W39" s="5099"/>
      <c r="X39" s="5099"/>
      <c r="Y39" s="5100"/>
      <c r="Z39" s="5100"/>
      <c r="AA39" s="5100"/>
      <c r="AB39" s="5101"/>
    </row>
    <row r="40" spans="1:28" ht="12.75" customHeight="1" x14ac:dyDescent="0.25">
      <c r="A40" s="509">
        <v>8</v>
      </c>
      <c r="B40" s="509" t="s">
        <v>56</v>
      </c>
      <c r="C40" s="509"/>
      <c r="D40" s="4603" t="s">
        <v>1884</v>
      </c>
      <c r="E40" s="4738"/>
      <c r="F40" s="4738"/>
      <c r="G40" s="4738"/>
      <c r="H40" s="4738"/>
      <c r="I40" s="4738"/>
      <c r="J40" s="4738"/>
      <c r="K40" s="4738"/>
      <c r="L40" s="4738"/>
      <c r="M40" s="4738"/>
      <c r="N40" s="4738"/>
      <c r="O40" s="4738"/>
      <c r="P40" s="4738"/>
      <c r="Q40" s="4738"/>
      <c r="R40" s="4738"/>
      <c r="S40" s="4738"/>
      <c r="T40" s="4738"/>
      <c r="U40" s="4738"/>
      <c r="V40" s="4738"/>
      <c r="W40" s="4738"/>
      <c r="X40" s="4738"/>
      <c r="Y40" s="4758"/>
      <c r="Z40" s="4758"/>
      <c r="AA40" s="4758"/>
      <c r="AB40" s="5095"/>
    </row>
  </sheetData>
  <mergeCells count="6">
    <mergeCell ref="D40:AB40"/>
    <mergeCell ref="D3:AB3"/>
    <mergeCell ref="D4:AB4"/>
    <mergeCell ref="B9:B13"/>
    <mergeCell ref="D38:AB38"/>
    <mergeCell ref="D39:AB39"/>
  </mergeCells>
  <pageMargins left="0.74803149606299202" right="0.74803149606299202" top="0.98425196850393704" bottom="0.98425196850393704" header="0.511811023622047" footer="0.511811023622047"/>
  <pageSetup paperSize="9" scale="50"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46659-60DC-4E57-AD9E-42FC0E344725}">
  <sheetPr>
    <tabColor theme="4" tint="-0.249977111117893"/>
    <pageSetUpPr fitToPage="1"/>
  </sheetPr>
  <dimension ref="A2:CT65"/>
  <sheetViews>
    <sheetView showGridLines="0" view="pageBreakPreview" topLeftCell="B3" zoomScale="110" zoomScaleNormal="100" zoomScaleSheetLayoutView="110" workbookViewId="0">
      <selection activeCell="C7" sqref="C7:Y16"/>
    </sheetView>
  </sheetViews>
  <sheetFormatPr defaultColWidth="9" defaultRowHeight="15" x14ac:dyDescent="0.2"/>
  <cols>
    <col min="1" max="1" width="3.85546875" style="509" customWidth="1"/>
    <col min="2" max="2" width="7.42578125" style="1119" customWidth="1"/>
    <col min="3" max="3" width="5.5703125" style="1119" customWidth="1"/>
    <col min="4" max="4" width="18.85546875" style="751" customWidth="1"/>
    <col min="5" max="5" width="10" style="751" customWidth="1"/>
    <col min="6" max="6" width="6.85546875" style="751" customWidth="1"/>
    <col min="7" max="7" width="6.42578125" style="751" customWidth="1"/>
    <col min="8" max="8" width="6.140625" style="751" customWidth="1"/>
    <col min="9" max="9" width="7" style="751" customWidth="1"/>
    <col min="10" max="10" width="6.5703125" style="751" customWidth="1"/>
    <col min="11" max="11" width="6.85546875" style="751" customWidth="1"/>
    <col min="12" max="12" width="6.5703125" style="751" customWidth="1"/>
    <col min="13" max="13" width="7.140625" style="751" customWidth="1"/>
    <col min="14" max="14" width="6.85546875" style="751" customWidth="1"/>
    <col min="15" max="15" width="6.5703125" style="751" customWidth="1"/>
    <col min="16" max="16" width="6.140625" style="751" customWidth="1"/>
    <col min="17" max="17" width="6.85546875" style="1995" customWidth="1"/>
    <col min="18" max="18" width="7" style="751" customWidth="1"/>
    <col min="19" max="19" width="7.140625" style="751" customWidth="1"/>
    <col min="20" max="20" width="7.5703125" style="751" customWidth="1"/>
    <col min="21" max="22" width="6.85546875" style="751" customWidth="1"/>
    <col min="23" max="24" width="8.140625" style="751" customWidth="1"/>
    <col min="25" max="257" width="9" style="751"/>
    <col min="258" max="258" width="3.85546875" style="751" customWidth="1"/>
    <col min="259" max="259" width="14.42578125" style="751" customWidth="1"/>
    <col min="260" max="260" width="9" style="751" customWidth="1"/>
    <col min="261" max="261" width="23.42578125" style="751" customWidth="1"/>
    <col min="262" max="266" width="10.85546875" style="751" customWidth="1"/>
    <col min="267" max="271" width="9.140625" style="751" customWidth="1"/>
    <col min="272" max="513" width="9" style="751"/>
    <col min="514" max="514" width="3.85546875" style="751" customWidth="1"/>
    <col min="515" max="515" width="14.42578125" style="751" customWidth="1"/>
    <col min="516" max="516" width="9" style="751" customWidth="1"/>
    <col min="517" max="517" width="23.42578125" style="751" customWidth="1"/>
    <col min="518" max="522" width="10.85546875" style="751" customWidth="1"/>
    <col min="523" max="527" width="9.140625" style="751" customWidth="1"/>
    <col min="528" max="769" width="9" style="751"/>
    <col min="770" max="770" width="3.85546875" style="751" customWidth="1"/>
    <col min="771" max="771" width="14.42578125" style="751" customWidth="1"/>
    <col min="772" max="772" width="9" style="751" customWidth="1"/>
    <col min="773" max="773" width="23.42578125" style="751" customWidth="1"/>
    <col min="774" max="778" width="10.85546875" style="751" customWidth="1"/>
    <col min="779" max="783" width="9.140625" style="751" customWidth="1"/>
    <col min="784" max="1025" width="9" style="751"/>
    <col min="1026" max="1026" width="3.85546875" style="751" customWidth="1"/>
    <col min="1027" max="1027" width="14.42578125" style="751" customWidth="1"/>
    <col min="1028" max="1028" width="9" style="751" customWidth="1"/>
    <col min="1029" max="1029" width="23.42578125" style="751" customWidth="1"/>
    <col min="1030" max="1034" width="10.85546875" style="751" customWidth="1"/>
    <col min="1035" max="1039" width="9.140625" style="751" customWidth="1"/>
    <col min="1040" max="1281" width="9" style="751"/>
    <col min="1282" max="1282" width="3.85546875" style="751" customWidth="1"/>
    <col min="1283" max="1283" width="14.42578125" style="751" customWidth="1"/>
    <col min="1284" max="1284" width="9" style="751" customWidth="1"/>
    <col min="1285" max="1285" width="23.42578125" style="751" customWidth="1"/>
    <col min="1286" max="1290" width="10.85546875" style="751" customWidth="1"/>
    <col min="1291" max="1295" width="9.140625" style="751" customWidth="1"/>
    <col min="1296" max="1537" width="9" style="751"/>
    <col min="1538" max="1538" width="3.85546875" style="751" customWidth="1"/>
    <col min="1539" max="1539" width="14.42578125" style="751" customWidth="1"/>
    <col min="1540" max="1540" width="9" style="751" customWidth="1"/>
    <col min="1541" max="1541" width="23.42578125" style="751" customWidth="1"/>
    <col min="1542" max="1546" width="10.85546875" style="751" customWidth="1"/>
    <col min="1547" max="1551" width="9.140625" style="751" customWidth="1"/>
    <col min="1552" max="1793" width="9" style="751"/>
    <col min="1794" max="1794" width="3.85546875" style="751" customWidth="1"/>
    <col min="1795" max="1795" width="14.42578125" style="751" customWidth="1"/>
    <col min="1796" max="1796" width="9" style="751" customWidth="1"/>
    <col min="1797" max="1797" width="23.42578125" style="751" customWidth="1"/>
    <col min="1798" max="1802" width="10.85546875" style="751" customWidth="1"/>
    <col min="1803" max="1807" width="9.140625" style="751" customWidth="1"/>
    <col min="1808" max="2049" width="9" style="751"/>
    <col min="2050" max="2050" width="3.85546875" style="751" customWidth="1"/>
    <col min="2051" max="2051" width="14.42578125" style="751" customWidth="1"/>
    <col min="2052" max="2052" width="9" style="751" customWidth="1"/>
    <col min="2053" max="2053" width="23.42578125" style="751" customWidth="1"/>
    <col min="2054" max="2058" width="10.85546875" style="751" customWidth="1"/>
    <col min="2059" max="2063" width="9.140625" style="751" customWidth="1"/>
    <col min="2064" max="2305" width="9" style="751"/>
    <col min="2306" max="2306" width="3.85546875" style="751" customWidth="1"/>
    <col min="2307" max="2307" width="14.42578125" style="751" customWidth="1"/>
    <col min="2308" max="2308" width="9" style="751" customWidth="1"/>
    <col min="2309" max="2309" width="23.42578125" style="751" customWidth="1"/>
    <col min="2310" max="2314" width="10.85546875" style="751" customWidth="1"/>
    <col min="2315" max="2319" width="9.140625" style="751" customWidth="1"/>
    <col min="2320" max="2561" width="9" style="751"/>
    <col min="2562" max="2562" width="3.85546875" style="751" customWidth="1"/>
    <col min="2563" max="2563" width="14.42578125" style="751" customWidth="1"/>
    <col min="2564" max="2564" width="9" style="751" customWidth="1"/>
    <col min="2565" max="2565" width="23.42578125" style="751" customWidth="1"/>
    <col min="2566" max="2570" width="10.85546875" style="751" customWidth="1"/>
    <col min="2571" max="2575" width="9.140625" style="751" customWidth="1"/>
    <col min="2576" max="2817" width="9" style="751"/>
    <col min="2818" max="2818" width="3.85546875" style="751" customWidth="1"/>
    <col min="2819" max="2819" width="14.42578125" style="751" customWidth="1"/>
    <col min="2820" max="2820" width="9" style="751" customWidth="1"/>
    <col min="2821" max="2821" width="23.42578125" style="751" customWidth="1"/>
    <col min="2822" max="2826" width="10.85546875" style="751" customWidth="1"/>
    <col min="2827" max="2831" width="9.140625" style="751" customWidth="1"/>
    <col min="2832" max="3073" width="9" style="751"/>
    <col min="3074" max="3074" width="3.85546875" style="751" customWidth="1"/>
    <col min="3075" max="3075" width="14.42578125" style="751" customWidth="1"/>
    <col min="3076" max="3076" width="9" style="751" customWidth="1"/>
    <col min="3077" max="3077" width="23.42578125" style="751" customWidth="1"/>
    <col min="3078" max="3082" width="10.85546875" style="751" customWidth="1"/>
    <col min="3083" max="3087" width="9.140625" style="751" customWidth="1"/>
    <col min="3088" max="3329" width="9" style="751"/>
    <col min="3330" max="3330" width="3.85546875" style="751" customWidth="1"/>
    <col min="3331" max="3331" width="14.42578125" style="751" customWidth="1"/>
    <col min="3332" max="3332" width="9" style="751" customWidth="1"/>
    <col min="3333" max="3333" width="23.42578125" style="751" customWidth="1"/>
    <col min="3334" max="3338" width="10.85546875" style="751" customWidth="1"/>
    <col min="3339" max="3343" width="9.140625" style="751" customWidth="1"/>
    <col min="3344" max="3585" width="9" style="751"/>
    <col min="3586" max="3586" width="3.85546875" style="751" customWidth="1"/>
    <col min="3587" max="3587" width="14.42578125" style="751" customWidth="1"/>
    <col min="3588" max="3588" width="9" style="751" customWidth="1"/>
    <col min="3589" max="3589" width="23.42578125" style="751" customWidth="1"/>
    <col min="3590" max="3594" width="10.85546875" style="751" customWidth="1"/>
    <col min="3595" max="3599" width="9.140625" style="751" customWidth="1"/>
    <col min="3600" max="3841" width="9" style="751"/>
    <col min="3842" max="3842" width="3.85546875" style="751" customWidth="1"/>
    <col min="3843" max="3843" width="14.42578125" style="751" customWidth="1"/>
    <col min="3844" max="3844" width="9" style="751" customWidth="1"/>
    <col min="3845" max="3845" width="23.42578125" style="751" customWidth="1"/>
    <col min="3846" max="3850" width="10.85546875" style="751" customWidth="1"/>
    <col min="3851" max="3855" width="9.140625" style="751" customWidth="1"/>
    <col min="3856" max="4097" width="9" style="751"/>
    <col min="4098" max="4098" width="3.85546875" style="751" customWidth="1"/>
    <col min="4099" max="4099" width="14.42578125" style="751" customWidth="1"/>
    <col min="4100" max="4100" width="9" style="751" customWidth="1"/>
    <col min="4101" max="4101" width="23.42578125" style="751" customWidth="1"/>
    <col min="4102" max="4106" width="10.85546875" style="751" customWidth="1"/>
    <col min="4107" max="4111" width="9.140625" style="751" customWidth="1"/>
    <col min="4112" max="4353" width="9" style="751"/>
    <col min="4354" max="4354" width="3.85546875" style="751" customWidth="1"/>
    <col min="4355" max="4355" width="14.42578125" style="751" customWidth="1"/>
    <col min="4356" max="4356" width="9" style="751" customWidth="1"/>
    <col min="4357" max="4357" width="23.42578125" style="751" customWidth="1"/>
    <col min="4358" max="4362" width="10.85546875" style="751" customWidth="1"/>
    <col min="4363" max="4367" width="9.140625" style="751" customWidth="1"/>
    <col min="4368" max="4609" width="9" style="751"/>
    <col min="4610" max="4610" width="3.85546875" style="751" customWidth="1"/>
    <col min="4611" max="4611" width="14.42578125" style="751" customWidth="1"/>
    <col min="4612" max="4612" width="9" style="751" customWidth="1"/>
    <col min="4613" max="4613" width="23.42578125" style="751" customWidth="1"/>
    <col min="4614" max="4618" width="10.85546875" style="751" customWidth="1"/>
    <col min="4619" max="4623" width="9.140625" style="751" customWidth="1"/>
    <col min="4624" max="4865" width="9" style="751"/>
    <col min="4866" max="4866" width="3.85546875" style="751" customWidth="1"/>
    <col min="4867" max="4867" width="14.42578125" style="751" customWidth="1"/>
    <col min="4868" max="4868" width="9" style="751" customWidth="1"/>
    <col min="4869" max="4869" width="23.42578125" style="751" customWidth="1"/>
    <col min="4870" max="4874" width="10.85546875" style="751" customWidth="1"/>
    <col min="4875" max="4879" width="9.140625" style="751" customWidth="1"/>
    <col min="4880" max="5121" width="9" style="751"/>
    <col min="5122" max="5122" width="3.85546875" style="751" customWidth="1"/>
    <col min="5123" max="5123" width="14.42578125" style="751" customWidth="1"/>
    <col min="5124" max="5124" width="9" style="751" customWidth="1"/>
    <col min="5125" max="5125" width="23.42578125" style="751" customWidth="1"/>
    <col min="5126" max="5130" width="10.85546875" style="751" customWidth="1"/>
    <col min="5131" max="5135" width="9.140625" style="751" customWidth="1"/>
    <col min="5136" max="5377" width="9" style="751"/>
    <col min="5378" max="5378" width="3.85546875" style="751" customWidth="1"/>
    <col min="5379" max="5379" width="14.42578125" style="751" customWidth="1"/>
    <col min="5380" max="5380" width="9" style="751" customWidth="1"/>
    <col min="5381" max="5381" width="23.42578125" style="751" customWidth="1"/>
    <col min="5382" max="5386" width="10.85546875" style="751" customWidth="1"/>
    <col min="5387" max="5391" width="9.140625" style="751" customWidth="1"/>
    <col min="5392" max="5633" width="9" style="751"/>
    <col min="5634" max="5634" width="3.85546875" style="751" customWidth="1"/>
    <col min="5635" max="5635" width="14.42578125" style="751" customWidth="1"/>
    <col min="5636" max="5636" width="9" style="751" customWidth="1"/>
    <col min="5637" max="5637" width="23.42578125" style="751" customWidth="1"/>
    <col min="5638" max="5642" width="10.85546875" style="751" customWidth="1"/>
    <col min="5643" max="5647" width="9.140625" style="751" customWidth="1"/>
    <col min="5648" max="5889" width="9" style="751"/>
    <col min="5890" max="5890" width="3.85546875" style="751" customWidth="1"/>
    <col min="5891" max="5891" width="14.42578125" style="751" customWidth="1"/>
    <col min="5892" max="5892" width="9" style="751" customWidth="1"/>
    <col min="5893" max="5893" width="23.42578125" style="751" customWidth="1"/>
    <col min="5894" max="5898" width="10.85546875" style="751" customWidth="1"/>
    <col min="5899" max="5903" width="9.140625" style="751" customWidth="1"/>
    <col min="5904" max="6145" width="9" style="751"/>
    <col min="6146" max="6146" width="3.85546875" style="751" customWidth="1"/>
    <col min="6147" max="6147" width="14.42578125" style="751" customWidth="1"/>
    <col min="6148" max="6148" width="9" style="751" customWidth="1"/>
    <col min="6149" max="6149" width="23.42578125" style="751" customWidth="1"/>
    <col min="6150" max="6154" width="10.85546875" style="751" customWidth="1"/>
    <col min="6155" max="6159" width="9.140625" style="751" customWidth="1"/>
    <col min="6160" max="6401" width="9" style="751"/>
    <col min="6402" max="6402" width="3.85546875" style="751" customWidth="1"/>
    <col min="6403" max="6403" width="14.42578125" style="751" customWidth="1"/>
    <col min="6404" max="6404" width="9" style="751" customWidth="1"/>
    <col min="6405" max="6405" width="23.42578125" style="751" customWidth="1"/>
    <col min="6406" max="6410" width="10.85546875" style="751" customWidth="1"/>
    <col min="6411" max="6415" width="9.140625" style="751" customWidth="1"/>
    <col min="6416" max="6657" width="9" style="751"/>
    <col min="6658" max="6658" width="3.85546875" style="751" customWidth="1"/>
    <col min="6659" max="6659" width="14.42578125" style="751" customWidth="1"/>
    <col min="6660" max="6660" width="9" style="751" customWidth="1"/>
    <col min="6661" max="6661" width="23.42578125" style="751" customWidth="1"/>
    <col min="6662" max="6666" width="10.85546875" style="751" customWidth="1"/>
    <col min="6667" max="6671" width="9.140625" style="751" customWidth="1"/>
    <col min="6672" max="6913" width="9" style="751"/>
    <col min="6914" max="6914" width="3.85546875" style="751" customWidth="1"/>
    <col min="6915" max="6915" width="14.42578125" style="751" customWidth="1"/>
    <col min="6916" max="6916" width="9" style="751" customWidth="1"/>
    <col min="6917" max="6917" width="23.42578125" style="751" customWidth="1"/>
    <col min="6918" max="6922" width="10.85546875" style="751" customWidth="1"/>
    <col min="6923" max="6927" width="9.140625" style="751" customWidth="1"/>
    <col min="6928" max="7169" width="9" style="751"/>
    <col min="7170" max="7170" width="3.85546875" style="751" customWidth="1"/>
    <col min="7171" max="7171" width="14.42578125" style="751" customWidth="1"/>
    <col min="7172" max="7172" width="9" style="751" customWidth="1"/>
    <col min="7173" max="7173" width="23.42578125" style="751" customWidth="1"/>
    <col min="7174" max="7178" width="10.85546875" style="751" customWidth="1"/>
    <col min="7179" max="7183" width="9.140625" style="751" customWidth="1"/>
    <col min="7184" max="7425" width="9" style="751"/>
    <col min="7426" max="7426" width="3.85546875" style="751" customWidth="1"/>
    <col min="7427" max="7427" width="14.42578125" style="751" customWidth="1"/>
    <col min="7428" max="7428" width="9" style="751" customWidth="1"/>
    <col min="7429" max="7429" width="23.42578125" style="751" customWidth="1"/>
    <col min="7430" max="7434" width="10.85546875" style="751" customWidth="1"/>
    <col min="7435" max="7439" width="9.140625" style="751" customWidth="1"/>
    <col min="7440" max="7681" width="9" style="751"/>
    <col min="7682" max="7682" width="3.85546875" style="751" customWidth="1"/>
    <col min="7683" max="7683" width="14.42578125" style="751" customWidth="1"/>
    <col min="7684" max="7684" width="9" style="751" customWidth="1"/>
    <col min="7685" max="7685" width="23.42578125" style="751" customWidth="1"/>
    <col min="7686" max="7690" width="10.85546875" style="751" customWidth="1"/>
    <col min="7691" max="7695" width="9.140625" style="751" customWidth="1"/>
    <col min="7696" max="7937" width="9" style="751"/>
    <col min="7938" max="7938" width="3.85546875" style="751" customWidth="1"/>
    <col min="7939" max="7939" width="14.42578125" style="751" customWidth="1"/>
    <col min="7940" max="7940" width="9" style="751" customWidth="1"/>
    <col min="7941" max="7941" width="23.42578125" style="751" customWidth="1"/>
    <col min="7942" max="7946" width="10.85546875" style="751" customWidth="1"/>
    <col min="7947" max="7951" width="9.140625" style="751" customWidth="1"/>
    <col min="7952" max="8193" width="9" style="751"/>
    <col min="8194" max="8194" width="3.85546875" style="751" customWidth="1"/>
    <col min="8195" max="8195" width="14.42578125" style="751" customWidth="1"/>
    <col min="8196" max="8196" width="9" style="751" customWidth="1"/>
    <col min="8197" max="8197" width="23.42578125" style="751" customWidth="1"/>
    <col min="8198" max="8202" width="10.85546875" style="751" customWidth="1"/>
    <col min="8203" max="8207" width="9.140625" style="751" customWidth="1"/>
    <col min="8208" max="8449" width="9" style="751"/>
    <col min="8450" max="8450" width="3.85546875" style="751" customWidth="1"/>
    <col min="8451" max="8451" width="14.42578125" style="751" customWidth="1"/>
    <col min="8452" max="8452" width="9" style="751" customWidth="1"/>
    <col min="8453" max="8453" width="23.42578125" style="751" customWidth="1"/>
    <col min="8454" max="8458" width="10.85546875" style="751" customWidth="1"/>
    <col min="8459" max="8463" width="9.140625" style="751" customWidth="1"/>
    <col min="8464" max="8705" width="9" style="751"/>
    <col min="8706" max="8706" width="3.85546875" style="751" customWidth="1"/>
    <col min="8707" max="8707" width="14.42578125" style="751" customWidth="1"/>
    <col min="8708" max="8708" width="9" style="751" customWidth="1"/>
    <col min="8709" max="8709" width="23.42578125" style="751" customWidth="1"/>
    <col min="8710" max="8714" width="10.85546875" style="751" customWidth="1"/>
    <col min="8715" max="8719" width="9.140625" style="751" customWidth="1"/>
    <col min="8720" max="8961" width="9" style="751"/>
    <col min="8962" max="8962" width="3.85546875" style="751" customWidth="1"/>
    <col min="8963" max="8963" width="14.42578125" style="751" customWidth="1"/>
    <col min="8964" max="8964" width="9" style="751" customWidth="1"/>
    <col min="8965" max="8965" width="23.42578125" style="751" customWidth="1"/>
    <col min="8966" max="8970" width="10.85546875" style="751" customWidth="1"/>
    <col min="8971" max="8975" width="9.140625" style="751" customWidth="1"/>
    <col min="8976" max="9217" width="9" style="751"/>
    <col min="9218" max="9218" width="3.85546875" style="751" customWidth="1"/>
    <col min="9219" max="9219" width="14.42578125" style="751" customWidth="1"/>
    <col min="9220" max="9220" width="9" style="751" customWidth="1"/>
    <col min="9221" max="9221" width="23.42578125" style="751" customWidth="1"/>
    <col min="9222" max="9226" width="10.85546875" style="751" customWidth="1"/>
    <col min="9227" max="9231" width="9.140625" style="751" customWidth="1"/>
    <col min="9232" max="9473" width="9" style="751"/>
    <col min="9474" max="9474" width="3.85546875" style="751" customWidth="1"/>
    <col min="9475" max="9475" width="14.42578125" style="751" customWidth="1"/>
    <col min="9476" max="9476" width="9" style="751" customWidth="1"/>
    <col min="9477" max="9477" width="23.42578125" style="751" customWidth="1"/>
    <col min="9478" max="9482" width="10.85546875" style="751" customWidth="1"/>
    <col min="9483" max="9487" width="9.140625" style="751" customWidth="1"/>
    <col min="9488" max="9729" width="9" style="751"/>
    <col min="9730" max="9730" width="3.85546875" style="751" customWidth="1"/>
    <col min="9731" max="9731" width="14.42578125" style="751" customWidth="1"/>
    <col min="9732" max="9732" width="9" style="751" customWidth="1"/>
    <col min="9733" max="9733" width="23.42578125" style="751" customWidth="1"/>
    <col min="9734" max="9738" width="10.85546875" style="751" customWidth="1"/>
    <col min="9739" max="9743" width="9.140625" style="751" customWidth="1"/>
    <col min="9744" max="9985" width="9" style="751"/>
    <col min="9986" max="9986" width="3.85546875" style="751" customWidth="1"/>
    <col min="9987" max="9987" width="14.42578125" style="751" customWidth="1"/>
    <col min="9988" max="9988" width="9" style="751" customWidth="1"/>
    <col min="9989" max="9989" width="23.42578125" style="751" customWidth="1"/>
    <col min="9990" max="9994" width="10.85546875" style="751" customWidth="1"/>
    <col min="9995" max="9999" width="9.140625" style="751" customWidth="1"/>
    <col min="10000" max="10241" width="9" style="751"/>
    <col min="10242" max="10242" width="3.85546875" style="751" customWidth="1"/>
    <col min="10243" max="10243" width="14.42578125" style="751" customWidth="1"/>
    <col min="10244" max="10244" width="9" style="751" customWidth="1"/>
    <col min="10245" max="10245" width="23.42578125" style="751" customWidth="1"/>
    <col min="10246" max="10250" width="10.85546875" style="751" customWidth="1"/>
    <col min="10251" max="10255" width="9.140625" style="751" customWidth="1"/>
    <col min="10256" max="10497" width="9" style="751"/>
    <col min="10498" max="10498" width="3.85546875" style="751" customWidth="1"/>
    <col min="10499" max="10499" width="14.42578125" style="751" customWidth="1"/>
    <col min="10500" max="10500" width="9" style="751" customWidth="1"/>
    <col min="10501" max="10501" width="23.42578125" style="751" customWidth="1"/>
    <col min="10502" max="10506" width="10.85546875" style="751" customWidth="1"/>
    <col min="10507" max="10511" width="9.140625" style="751" customWidth="1"/>
    <col min="10512" max="10753" width="9" style="751"/>
    <col min="10754" max="10754" width="3.85546875" style="751" customWidth="1"/>
    <col min="10755" max="10755" width="14.42578125" style="751" customWidth="1"/>
    <col min="10756" max="10756" width="9" style="751" customWidth="1"/>
    <col min="10757" max="10757" width="23.42578125" style="751" customWidth="1"/>
    <col min="10758" max="10762" width="10.85546875" style="751" customWidth="1"/>
    <col min="10763" max="10767" width="9.140625" style="751" customWidth="1"/>
    <col min="10768" max="11009" width="9" style="751"/>
    <col min="11010" max="11010" width="3.85546875" style="751" customWidth="1"/>
    <col min="11011" max="11011" width="14.42578125" style="751" customWidth="1"/>
    <col min="11012" max="11012" width="9" style="751" customWidth="1"/>
    <col min="11013" max="11013" width="23.42578125" style="751" customWidth="1"/>
    <col min="11014" max="11018" width="10.85546875" style="751" customWidth="1"/>
    <col min="11019" max="11023" width="9.140625" style="751" customWidth="1"/>
    <col min="11024" max="11265" width="9" style="751"/>
    <col min="11266" max="11266" width="3.85546875" style="751" customWidth="1"/>
    <col min="11267" max="11267" width="14.42578125" style="751" customWidth="1"/>
    <col min="11268" max="11268" width="9" style="751" customWidth="1"/>
    <col min="11269" max="11269" width="23.42578125" style="751" customWidth="1"/>
    <col min="11270" max="11274" width="10.85546875" style="751" customWidth="1"/>
    <col min="11275" max="11279" width="9.140625" style="751" customWidth="1"/>
    <col min="11280" max="11521" width="9" style="751"/>
    <col min="11522" max="11522" width="3.85546875" style="751" customWidth="1"/>
    <col min="11523" max="11523" width="14.42578125" style="751" customWidth="1"/>
    <col min="11524" max="11524" width="9" style="751" customWidth="1"/>
    <col min="11525" max="11525" width="23.42578125" style="751" customWidth="1"/>
    <col min="11526" max="11530" width="10.85546875" style="751" customWidth="1"/>
    <col min="11531" max="11535" width="9.140625" style="751" customWidth="1"/>
    <col min="11536" max="11777" width="9" style="751"/>
    <col min="11778" max="11778" width="3.85546875" style="751" customWidth="1"/>
    <col min="11779" max="11779" width="14.42578125" style="751" customWidth="1"/>
    <col min="11780" max="11780" width="9" style="751" customWidth="1"/>
    <col min="11781" max="11781" width="23.42578125" style="751" customWidth="1"/>
    <col min="11782" max="11786" width="10.85546875" style="751" customWidth="1"/>
    <col min="11787" max="11791" width="9.140625" style="751" customWidth="1"/>
    <col min="11792" max="12033" width="9" style="751"/>
    <col min="12034" max="12034" width="3.85546875" style="751" customWidth="1"/>
    <col min="12035" max="12035" width="14.42578125" style="751" customWidth="1"/>
    <col min="12036" max="12036" width="9" style="751" customWidth="1"/>
    <col min="12037" max="12037" width="23.42578125" style="751" customWidth="1"/>
    <col min="12038" max="12042" width="10.85546875" style="751" customWidth="1"/>
    <col min="12043" max="12047" width="9.140625" style="751" customWidth="1"/>
    <col min="12048" max="12289" width="9" style="751"/>
    <col min="12290" max="12290" width="3.85546875" style="751" customWidth="1"/>
    <col min="12291" max="12291" width="14.42578125" style="751" customWidth="1"/>
    <col min="12292" max="12292" width="9" style="751" customWidth="1"/>
    <col min="12293" max="12293" width="23.42578125" style="751" customWidth="1"/>
    <col min="12294" max="12298" width="10.85546875" style="751" customWidth="1"/>
    <col min="12299" max="12303" width="9.140625" style="751" customWidth="1"/>
    <col min="12304" max="12545" width="9" style="751"/>
    <col min="12546" max="12546" width="3.85546875" style="751" customWidth="1"/>
    <col min="12547" max="12547" width="14.42578125" style="751" customWidth="1"/>
    <col min="12548" max="12548" width="9" style="751" customWidth="1"/>
    <col min="12549" max="12549" width="23.42578125" style="751" customWidth="1"/>
    <col min="12550" max="12554" width="10.85546875" style="751" customWidth="1"/>
    <col min="12555" max="12559" width="9.140625" style="751" customWidth="1"/>
    <col min="12560" max="12801" width="9" style="751"/>
    <col min="12802" max="12802" width="3.85546875" style="751" customWidth="1"/>
    <col min="12803" max="12803" width="14.42578125" style="751" customWidth="1"/>
    <col min="12804" max="12804" width="9" style="751" customWidth="1"/>
    <col min="12805" max="12805" width="23.42578125" style="751" customWidth="1"/>
    <col min="12806" max="12810" width="10.85546875" style="751" customWidth="1"/>
    <col min="12811" max="12815" width="9.140625" style="751" customWidth="1"/>
    <col min="12816" max="13057" width="9" style="751"/>
    <col min="13058" max="13058" width="3.85546875" style="751" customWidth="1"/>
    <col min="13059" max="13059" width="14.42578125" style="751" customWidth="1"/>
    <col min="13060" max="13060" width="9" style="751" customWidth="1"/>
    <col min="13061" max="13061" width="23.42578125" style="751" customWidth="1"/>
    <col min="13062" max="13066" width="10.85546875" style="751" customWidth="1"/>
    <col min="13067" max="13071" width="9.140625" style="751" customWidth="1"/>
    <col min="13072" max="13313" width="9" style="751"/>
    <col min="13314" max="13314" width="3.85546875" style="751" customWidth="1"/>
    <col min="13315" max="13315" width="14.42578125" style="751" customWidth="1"/>
    <col min="13316" max="13316" width="9" style="751" customWidth="1"/>
    <col min="13317" max="13317" width="23.42578125" style="751" customWidth="1"/>
    <col min="13318" max="13322" width="10.85546875" style="751" customWidth="1"/>
    <col min="13323" max="13327" width="9.140625" style="751" customWidth="1"/>
    <col min="13328" max="13569" width="9" style="751"/>
    <col min="13570" max="13570" width="3.85546875" style="751" customWidth="1"/>
    <col min="13571" max="13571" width="14.42578125" style="751" customWidth="1"/>
    <col min="13572" max="13572" width="9" style="751" customWidth="1"/>
    <col min="13573" max="13573" width="23.42578125" style="751" customWidth="1"/>
    <col min="13574" max="13578" width="10.85546875" style="751" customWidth="1"/>
    <col min="13579" max="13583" width="9.140625" style="751" customWidth="1"/>
    <col min="13584" max="13825" width="9" style="751"/>
    <col min="13826" max="13826" width="3.85546875" style="751" customWidth="1"/>
    <col min="13827" max="13827" width="14.42578125" style="751" customWidth="1"/>
    <col min="13828" max="13828" width="9" style="751" customWidth="1"/>
    <col min="13829" max="13829" width="23.42578125" style="751" customWidth="1"/>
    <col min="13830" max="13834" width="10.85546875" style="751" customWidth="1"/>
    <col min="13835" max="13839" width="9.140625" style="751" customWidth="1"/>
    <col min="13840" max="14081" width="9" style="751"/>
    <col min="14082" max="14082" width="3.85546875" style="751" customWidth="1"/>
    <col min="14083" max="14083" width="14.42578125" style="751" customWidth="1"/>
    <col min="14084" max="14084" width="9" style="751" customWidth="1"/>
    <col min="14085" max="14085" width="23.42578125" style="751" customWidth="1"/>
    <col min="14086" max="14090" width="10.85546875" style="751" customWidth="1"/>
    <col min="14091" max="14095" width="9.140625" style="751" customWidth="1"/>
    <col min="14096" max="14337" width="9" style="751"/>
    <col min="14338" max="14338" width="3.85546875" style="751" customWidth="1"/>
    <col min="14339" max="14339" width="14.42578125" style="751" customWidth="1"/>
    <col min="14340" max="14340" width="9" style="751" customWidth="1"/>
    <col min="14341" max="14341" width="23.42578125" style="751" customWidth="1"/>
    <col min="14342" max="14346" width="10.85546875" style="751" customWidth="1"/>
    <col min="14347" max="14351" width="9.140625" style="751" customWidth="1"/>
    <col min="14352" max="14593" width="9" style="751"/>
    <col min="14594" max="14594" width="3.85546875" style="751" customWidth="1"/>
    <col min="14595" max="14595" width="14.42578125" style="751" customWidth="1"/>
    <col min="14596" max="14596" width="9" style="751" customWidth="1"/>
    <col min="14597" max="14597" width="23.42578125" style="751" customWidth="1"/>
    <col min="14598" max="14602" width="10.85546875" style="751" customWidth="1"/>
    <col min="14603" max="14607" width="9.140625" style="751" customWidth="1"/>
    <col min="14608" max="14849" width="9" style="751"/>
    <col min="14850" max="14850" width="3.85546875" style="751" customWidth="1"/>
    <col min="14851" max="14851" width="14.42578125" style="751" customWidth="1"/>
    <col min="14852" max="14852" width="9" style="751" customWidth="1"/>
    <col min="14853" max="14853" width="23.42578125" style="751" customWidth="1"/>
    <col min="14854" max="14858" width="10.85546875" style="751" customWidth="1"/>
    <col min="14859" max="14863" width="9.140625" style="751" customWidth="1"/>
    <col min="14864" max="15105" width="9" style="751"/>
    <col min="15106" max="15106" width="3.85546875" style="751" customWidth="1"/>
    <col min="15107" max="15107" width="14.42578125" style="751" customWidth="1"/>
    <col min="15108" max="15108" width="9" style="751" customWidth="1"/>
    <col min="15109" max="15109" width="23.42578125" style="751" customWidth="1"/>
    <col min="15110" max="15114" width="10.85546875" style="751" customWidth="1"/>
    <col min="15115" max="15119" width="9.140625" style="751" customWidth="1"/>
    <col min="15120" max="15361" width="9" style="751"/>
    <col min="15362" max="15362" width="3.85546875" style="751" customWidth="1"/>
    <col min="15363" max="15363" width="14.42578125" style="751" customWidth="1"/>
    <col min="15364" max="15364" width="9" style="751" customWidth="1"/>
    <col min="15365" max="15365" width="23.42578125" style="751" customWidth="1"/>
    <col min="15366" max="15370" width="10.85546875" style="751" customWidth="1"/>
    <col min="15371" max="15375" width="9.140625" style="751" customWidth="1"/>
    <col min="15376" max="15617" width="9" style="751"/>
    <col min="15618" max="15618" width="3.85546875" style="751" customWidth="1"/>
    <col min="15619" max="15619" width="14.42578125" style="751" customWidth="1"/>
    <col min="15620" max="15620" width="9" style="751" customWidth="1"/>
    <col min="15621" max="15621" width="23.42578125" style="751" customWidth="1"/>
    <col min="15622" max="15626" width="10.85546875" style="751" customWidth="1"/>
    <col min="15627" max="15631" width="9.140625" style="751" customWidth="1"/>
    <col min="15632" max="15873" width="9" style="751"/>
    <col min="15874" max="15874" width="3.85546875" style="751" customWidth="1"/>
    <col min="15875" max="15875" width="14.42578125" style="751" customWidth="1"/>
    <col min="15876" max="15876" width="9" style="751" customWidth="1"/>
    <col min="15877" max="15877" width="23.42578125" style="751" customWidth="1"/>
    <col min="15878" max="15882" width="10.85546875" style="751" customWidth="1"/>
    <col min="15883" max="15887" width="9.140625" style="751" customWidth="1"/>
    <col min="15888" max="16129" width="9" style="751"/>
    <col min="16130" max="16130" width="3.85546875" style="751" customWidth="1"/>
    <col min="16131" max="16131" width="14.42578125" style="751" customWidth="1"/>
    <col min="16132" max="16132" width="9" style="751" customWidth="1"/>
    <col min="16133" max="16133" width="23.42578125" style="751" customWidth="1"/>
    <col min="16134" max="16138" width="10.85546875" style="751" customWidth="1"/>
    <col min="16139" max="16143" width="9.140625" style="751" customWidth="1"/>
    <col min="16144" max="16384" width="9" style="751"/>
  </cols>
  <sheetData>
    <row r="2" spans="1:98" ht="15" customHeight="1" x14ac:dyDescent="0.25">
      <c r="A2" s="509">
        <v>1</v>
      </c>
      <c r="B2" s="509" t="s">
        <v>1786</v>
      </c>
      <c r="C2" s="509">
        <v>72</v>
      </c>
      <c r="D2" s="4734" t="s">
        <v>1885</v>
      </c>
      <c r="E2" s="4735"/>
      <c r="F2" s="4735"/>
      <c r="G2" s="4735"/>
      <c r="H2" s="4735"/>
      <c r="I2" s="4735"/>
      <c r="J2" s="4735"/>
      <c r="K2" s="4735"/>
      <c r="L2" s="4735"/>
      <c r="M2" s="4735"/>
      <c r="N2" s="4735"/>
      <c r="O2" s="4735"/>
      <c r="P2" s="4735"/>
      <c r="Q2" s="4735"/>
      <c r="R2" s="4735"/>
      <c r="S2" s="4735"/>
      <c r="T2" s="4735"/>
      <c r="U2" s="4735"/>
      <c r="V2" s="4736"/>
      <c r="W2" s="1137"/>
      <c r="X2" s="1137"/>
      <c r="Y2" s="1137"/>
      <c r="Z2" s="1137"/>
      <c r="AA2" s="1137"/>
      <c r="AB2" s="1137"/>
      <c r="AC2" s="1137"/>
      <c r="AD2" s="1137"/>
      <c r="AE2" s="1137"/>
      <c r="AF2" s="1137"/>
      <c r="AG2" s="1137"/>
      <c r="AH2" s="1137"/>
      <c r="AI2" s="1137"/>
      <c r="AJ2" s="1137"/>
      <c r="AK2" s="1137"/>
      <c r="AL2" s="1137"/>
      <c r="AM2" s="1137"/>
      <c r="AN2" s="1137"/>
      <c r="AO2" s="1137"/>
      <c r="AP2" s="1137"/>
      <c r="AQ2" s="1137"/>
      <c r="AR2" s="1137"/>
      <c r="AS2" s="1137"/>
      <c r="AT2" s="1137"/>
      <c r="AU2" s="1137"/>
      <c r="AV2" s="1137"/>
      <c r="AW2" s="1137"/>
      <c r="AX2" s="1137"/>
      <c r="AY2" s="1137"/>
      <c r="AZ2" s="1137"/>
      <c r="BA2" s="1137"/>
      <c r="BB2" s="1137"/>
      <c r="BC2" s="1137"/>
      <c r="BD2" s="1137"/>
      <c r="BE2" s="1137"/>
      <c r="BF2" s="1137"/>
      <c r="BG2" s="1137"/>
      <c r="BH2" s="1137"/>
      <c r="BI2" s="1137"/>
      <c r="BJ2" s="1137"/>
      <c r="BK2" s="1137"/>
      <c r="BL2" s="1137"/>
      <c r="BM2" s="1137"/>
      <c r="BN2" s="1137"/>
      <c r="BO2" s="1137"/>
      <c r="BP2" s="1137"/>
      <c r="BQ2" s="1137"/>
      <c r="BR2" s="1137"/>
      <c r="BS2" s="1137"/>
      <c r="BT2" s="1137"/>
      <c r="BU2" s="1137"/>
      <c r="BV2" s="1137"/>
      <c r="BW2" s="1137"/>
      <c r="BX2" s="1137"/>
      <c r="BY2" s="1137"/>
      <c r="BZ2" s="1137"/>
      <c r="CA2" s="1137"/>
      <c r="CB2" s="1137"/>
      <c r="CC2" s="1137"/>
      <c r="CD2" s="1137"/>
      <c r="CE2" s="1137"/>
      <c r="CF2" s="1137"/>
      <c r="CG2" s="1137"/>
      <c r="CH2" s="1137"/>
      <c r="CI2" s="1137"/>
      <c r="CJ2" s="1137"/>
      <c r="CK2" s="1137"/>
      <c r="CL2" s="1137"/>
      <c r="CM2" s="1137"/>
      <c r="CN2" s="1137"/>
      <c r="CO2" s="1137"/>
      <c r="CP2" s="1137"/>
      <c r="CQ2" s="1137"/>
      <c r="CR2" s="1137"/>
      <c r="CS2" s="1137"/>
    </row>
    <row r="3" spans="1:98" ht="15" customHeight="1" x14ac:dyDescent="0.25">
      <c r="A3" s="509">
        <v>2</v>
      </c>
      <c r="B3" s="509" t="s">
        <v>1788</v>
      </c>
      <c r="C3" s="509"/>
      <c r="D3" s="4734" t="s">
        <v>1789</v>
      </c>
      <c r="E3" s="4735"/>
      <c r="F3" s="4735"/>
      <c r="G3" s="4735"/>
      <c r="H3" s="4735"/>
      <c r="I3" s="4735"/>
      <c r="J3" s="4735"/>
      <c r="K3" s="4735"/>
      <c r="L3" s="4735"/>
      <c r="M3" s="4735"/>
      <c r="N3" s="4735"/>
      <c r="O3" s="4735"/>
      <c r="P3" s="4735"/>
      <c r="Q3" s="4735"/>
      <c r="R3" s="4735"/>
      <c r="S3" s="4735"/>
      <c r="T3" s="4735"/>
      <c r="U3" s="4735"/>
      <c r="V3" s="4736"/>
      <c r="W3" s="1137"/>
      <c r="X3" s="1137"/>
      <c r="Y3" s="1137"/>
      <c r="Z3" s="1137"/>
      <c r="AA3" s="1137"/>
      <c r="AB3" s="1137"/>
      <c r="AC3" s="1137"/>
      <c r="AD3" s="1137"/>
      <c r="AE3" s="1137"/>
      <c r="AF3" s="1137"/>
      <c r="AG3" s="1137"/>
      <c r="AH3" s="1137"/>
      <c r="AI3" s="1137"/>
      <c r="AJ3" s="1137"/>
      <c r="AK3" s="1137"/>
      <c r="AL3" s="1137"/>
      <c r="AM3" s="1137"/>
      <c r="AN3" s="1137"/>
      <c r="AO3" s="1137"/>
      <c r="AP3" s="1137"/>
      <c r="AQ3" s="1137"/>
      <c r="AR3" s="1137"/>
      <c r="AS3" s="1137"/>
      <c r="AT3" s="1137"/>
      <c r="AU3" s="1137"/>
      <c r="AV3" s="1137"/>
      <c r="AW3" s="1137"/>
      <c r="AX3" s="1137"/>
      <c r="AY3" s="1137"/>
      <c r="AZ3" s="1137"/>
      <c r="BA3" s="1137"/>
      <c r="BB3" s="1137"/>
      <c r="BC3" s="1137"/>
      <c r="BD3" s="1137"/>
      <c r="BE3" s="1137"/>
      <c r="BF3" s="1137"/>
      <c r="BG3" s="1137"/>
      <c r="BH3" s="1137"/>
      <c r="BI3" s="1137"/>
      <c r="BJ3" s="1137"/>
      <c r="BK3" s="1137"/>
      <c r="BL3" s="1137"/>
      <c r="BM3" s="1137"/>
      <c r="BN3" s="1137"/>
      <c r="BO3" s="1137"/>
      <c r="BP3" s="1137"/>
      <c r="BQ3" s="1137"/>
      <c r="BR3" s="1137"/>
      <c r="BS3" s="1137"/>
      <c r="BT3" s="1137"/>
      <c r="BU3" s="1137"/>
      <c r="BV3" s="1137"/>
      <c r="BW3" s="1137"/>
      <c r="BX3" s="1137"/>
      <c r="BY3" s="1137"/>
      <c r="BZ3" s="1137"/>
      <c r="CA3" s="1137"/>
      <c r="CB3" s="1137"/>
      <c r="CC3" s="1137"/>
      <c r="CD3" s="1137"/>
      <c r="CE3" s="1137"/>
      <c r="CF3" s="1137"/>
      <c r="CG3" s="1137"/>
      <c r="CH3" s="1137"/>
      <c r="CI3" s="1137"/>
      <c r="CJ3" s="1137"/>
      <c r="CK3" s="1137"/>
      <c r="CL3" s="1137"/>
      <c r="CM3" s="1137"/>
      <c r="CN3" s="1137"/>
      <c r="CO3" s="1137"/>
      <c r="CP3" s="1137"/>
      <c r="CQ3" s="1137"/>
      <c r="CR3" s="1137"/>
      <c r="CS3" s="1137"/>
    </row>
    <row r="4" spans="1:98" ht="12.75" customHeight="1" x14ac:dyDescent="0.25">
      <c r="A4" s="509">
        <v>3</v>
      </c>
      <c r="B4" s="509" t="s">
        <v>4</v>
      </c>
      <c r="C4" s="509"/>
      <c r="D4" s="4734" t="s">
        <v>1886</v>
      </c>
      <c r="E4" s="4735"/>
      <c r="F4" s="4735"/>
      <c r="G4" s="4735"/>
      <c r="H4" s="4735"/>
      <c r="I4" s="4735"/>
      <c r="J4" s="4735"/>
      <c r="K4" s="4735"/>
      <c r="L4" s="4735"/>
      <c r="M4" s="4735"/>
      <c r="N4" s="4735"/>
      <c r="O4" s="4735"/>
      <c r="P4" s="4735"/>
      <c r="Q4" s="4735"/>
      <c r="R4" s="4735"/>
      <c r="S4" s="4735"/>
      <c r="T4" s="4735"/>
      <c r="U4" s="4735"/>
      <c r="V4" s="4736"/>
      <c r="W4" s="1137"/>
      <c r="X4" s="1137"/>
      <c r="Y4" s="1137"/>
      <c r="Z4" s="1137"/>
      <c r="AA4" s="1137"/>
      <c r="AB4" s="1137"/>
      <c r="AC4" s="1137"/>
      <c r="AD4" s="1137"/>
      <c r="AE4" s="1137"/>
      <c r="AF4" s="1137"/>
      <c r="AG4" s="1137"/>
      <c r="AH4" s="1137"/>
      <c r="AI4" s="1137"/>
      <c r="AJ4" s="1137"/>
      <c r="AK4" s="1137"/>
      <c r="AL4" s="1137"/>
      <c r="AM4" s="1137"/>
      <c r="AN4" s="1137"/>
      <c r="AO4" s="1137"/>
      <c r="AP4" s="1137"/>
      <c r="AQ4" s="1137"/>
      <c r="AR4" s="1137"/>
      <c r="AS4" s="1137"/>
      <c r="AT4" s="1137"/>
      <c r="AU4" s="1137"/>
      <c r="AV4" s="1137"/>
      <c r="AW4" s="1137"/>
      <c r="AX4" s="1137"/>
      <c r="AY4" s="1137"/>
      <c r="AZ4" s="1137"/>
      <c r="BA4" s="1137"/>
      <c r="BB4" s="1137"/>
      <c r="BC4" s="1137"/>
      <c r="BD4" s="1137"/>
      <c r="BE4" s="1137"/>
      <c r="BF4" s="1137"/>
      <c r="BG4" s="1137"/>
      <c r="BH4" s="1137"/>
      <c r="BI4" s="1137"/>
      <c r="BJ4" s="1137"/>
      <c r="BK4" s="1137"/>
      <c r="BL4" s="1137"/>
      <c r="BM4" s="1137"/>
      <c r="BN4" s="1137"/>
      <c r="BO4" s="1137"/>
      <c r="BP4" s="1137"/>
      <c r="BQ4" s="1137"/>
      <c r="BR4" s="1137"/>
      <c r="BS4" s="1137"/>
      <c r="BT4" s="1137"/>
      <c r="BU4" s="1137"/>
      <c r="BV4" s="1137"/>
      <c r="BW4" s="1137"/>
      <c r="BX4" s="1137"/>
      <c r="BY4" s="1137"/>
      <c r="BZ4" s="1137"/>
      <c r="CA4" s="1137"/>
      <c r="CB4" s="1137"/>
      <c r="CC4" s="1137"/>
      <c r="CD4" s="1137"/>
      <c r="CE4" s="1137"/>
      <c r="CF4" s="1137"/>
      <c r="CG4" s="1137"/>
      <c r="CH4" s="1137"/>
      <c r="CI4" s="1137"/>
      <c r="CJ4" s="1137"/>
      <c r="CK4" s="1137"/>
      <c r="CL4" s="1137"/>
      <c r="CM4" s="1137"/>
      <c r="CN4" s="1137"/>
      <c r="CO4" s="1137"/>
      <c r="CP4" s="1137"/>
      <c r="CQ4" s="1137"/>
      <c r="CR4" s="1137"/>
      <c r="CS4" s="1137"/>
    </row>
    <row r="5" spans="1:98" ht="12.75" customHeight="1" x14ac:dyDescent="0.25">
      <c r="B5" s="509"/>
      <c r="C5" s="509"/>
      <c r="D5" s="867"/>
      <c r="E5" s="867"/>
      <c r="F5" s="867"/>
      <c r="G5" s="867"/>
      <c r="H5" s="867"/>
      <c r="I5" s="867"/>
      <c r="J5" s="867"/>
      <c r="K5" s="867"/>
      <c r="L5" s="867"/>
      <c r="M5" s="867"/>
      <c r="N5" s="867"/>
      <c r="O5" s="867"/>
      <c r="P5" s="867"/>
      <c r="Q5" s="867"/>
      <c r="R5" s="867"/>
      <c r="S5" s="867"/>
      <c r="T5" s="867"/>
      <c r="U5" s="867"/>
      <c r="V5" s="867"/>
      <c r="W5" s="1137"/>
      <c r="X5" s="1137"/>
      <c r="Y5" s="1137"/>
      <c r="Z5" s="1137"/>
      <c r="AA5" s="1137"/>
      <c r="AB5" s="1137"/>
      <c r="AC5" s="1137"/>
      <c r="AD5" s="1137"/>
      <c r="AE5" s="1137"/>
      <c r="AF5" s="1137"/>
      <c r="AG5" s="1137"/>
      <c r="AH5" s="1137"/>
      <c r="AI5" s="1137"/>
      <c r="AJ5" s="1137"/>
      <c r="AK5" s="1137"/>
      <c r="AL5" s="1137"/>
      <c r="AM5" s="1137"/>
      <c r="AN5" s="1137"/>
      <c r="AO5" s="1137"/>
      <c r="AP5" s="1137"/>
      <c r="AQ5" s="1137"/>
      <c r="AR5" s="1137"/>
      <c r="AS5" s="1137"/>
      <c r="AT5" s="1137"/>
      <c r="AU5" s="1137"/>
      <c r="AV5" s="1137"/>
      <c r="AW5" s="1137"/>
      <c r="AX5" s="1137"/>
      <c r="AY5" s="1137"/>
      <c r="AZ5" s="1137"/>
      <c r="BA5" s="1137"/>
      <c r="BB5" s="1137"/>
      <c r="BC5" s="1137"/>
      <c r="BD5" s="1137"/>
      <c r="BE5" s="1137"/>
      <c r="BF5" s="1137"/>
      <c r="BG5" s="1137"/>
      <c r="BH5" s="1137"/>
      <c r="BI5" s="1137"/>
      <c r="BJ5" s="1137"/>
      <c r="BK5" s="1137"/>
      <c r="BL5" s="1137"/>
      <c r="BM5" s="1137"/>
      <c r="BN5" s="1137"/>
      <c r="BO5" s="1137"/>
      <c r="BP5" s="1137"/>
      <c r="BQ5" s="1137"/>
      <c r="BR5" s="1137"/>
      <c r="BS5" s="1137"/>
      <c r="BT5" s="1137"/>
      <c r="BU5" s="1137"/>
      <c r="BV5" s="1137"/>
      <c r="BW5" s="1137"/>
      <c r="BX5" s="1137"/>
      <c r="BY5" s="1137"/>
      <c r="BZ5" s="1137"/>
      <c r="CA5" s="1137"/>
      <c r="CB5" s="1137"/>
      <c r="CC5" s="1137"/>
      <c r="CD5" s="1137"/>
      <c r="CE5" s="1137"/>
      <c r="CF5" s="1137"/>
      <c r="CG5" s="1137"/>
      <c r="CH5" s="1137"/>
      <c r="CI5" s="1137"/>
      <c r="CJ5" s="1137"/>
      <c r="CK5" s="1137"/>
      <c r="CL5" s="1137"/>
      <c r="CM5" s="1137"/>
      <c r="CN5" s="1137"/>
      <c r="CO5" s="1137"/>
      <c r="CP5" s="1137"/>
      <c r="CQ5" s="1137"/>
      <c r="CR5" s="1137"/>
      <c r="CS5" s="1137"/>
    </row>
    <row r="6" spans="1:98" x14ac:dyDescent="0.25">
      <c r="A6" s="509">
        <v>4</v>
      </c>
      <c r="B6" s="509" t="s">
        <v>6</v>
      </c>
      <c r="C6" s="509"/>
      <c r="D6" s="71" t="s">
        <v>365</v>
      </c>
      <c r="E6" s="71" t="s">
        <v>1887</v>
      </c>
      <c r="F6" s="548"/>
      <c r="Q6" s="751"/>
      <c r="R6" s="748"/>
      <c r="S6" s="1450"/>
      <c r="T6" s="1450"/>
      <c r="U6" s="1137"/>
      <c r="V6" s="1137"/>
      <c r="W6" s="1137"/>
      <c r="X6" s="1137"/>
      <c r="Y6" s="1137"/>
      <c r="Z6" s="1137"/>
      <c r="AA6" s="1137"/>
      <c r="AB6" s="1137"/>
      <c r="AC6" s="1137"/>
      <c r="AD6" s="1137"/>
      <c r="AE6" s="1137"/>
      <c r="AF6" s="1137"/>
      <c r="AG6" s="1137"/>
      <c r="AH6" s="1137"/>
      <c r="AI6" s="1137"/>
      <c r="AJ6" s="1137"/>
      <c r="AK6" s="1137"/>
      <c r="AL6" s="1137"/>
      <c r="AM6" s="1137"/>
      <c r="AN6" s="1137"/>
      <c r="AO6" s="1137"/>
      <c r="AP6" s="1137"/>
      <c r="AQ6" s="1137"/>
      <c r="AR6" s="1137"/>
      <c r="AS6" s="1137"/>
      <c r="AT6" s="1137"/>
      <c r="AU6" s="1137"/>
      <c r="AV6" s="1137"/>
      <c r="AW6" s="1137"/>
      <c r="AX6" s="1137"/>
      <c r="AY6" s="1137"/>
      <c r="AZ6" s="1137"/>
      <c r="BA6" s="1137"/>
      <c r="BB6" s="1137"/>
      <c r="BC6" s="1137"/>
      <c r="BD6" s="1137"/>
      <c r="BE6" s="1137"/>
      <c r="BF6" s="1137"/>
      <c r="BG6" s="1137"/>
      <c r="BH6" s="1137"/>
      <c r="BI6" s="1137"/>
      <c r="BJ6" s="1137"/>
      <c r="BK6" s="1137"/>
      <c r="BL6" s="1137"/>
      <c r="BM6" s="1137"/>
      <c r="BN6" s="1137"/>
      <c r="BO6" s="1137"/>
      <c r="BP6" s="1137"/>
      <c r="BQ6" s="1137"/>
      <c r="BR6" s="1137"/>
      <c r="BS6" s="1137"/>
      <c r="BT6" s="1137"/>
      <c r="BU6" s="1137"/>
      <c r="BV6" s="1137"/>
      <c r="BW6" s="1137"/>
      <c r="BX6" s="1137"/>
      <c r="BY6" s="1137"/>
      <c r="BZ6" s="1137"/>
      <c r="CA6" s="1137"/>
      <c r="CB6" s="1137"/>
      <c r="CC6" s="1137"/>
      <c r="CD6" s="1137"/>
      <c r="CE6" s="1137"/>
      <c r="CF6" s="1137"/>
      <c r="CG6" s="1137"/>
      <c r="CH6" s="1137"/>
      <c r="CI6" s="1137"/>
      <c r="CJ6" s="1137"/>
      <c r="CK6" s="1137"/>
      <c r="CL6" s="1137"/>
      <c r="CM6" s="1137"/>
      <c r="CN6" s="1137"/>
      <c r="CO6" s="1137"/>
      <c r="CP6" s="1137"/>
      <c r="CQ6" s="1137"/>
      <c r="CR6" s="1137"/>
      <c r="CS6" s="1137"/>
    </row>
    <row r="7" spans="1:98" ht="45.6" customHeight="1" x14ac:dyDescent="0.25">
      <c r="D7" s="2186"/>
      <c r="E7" s="3099" t="s">
        <v>15</v>
      </c>
      <c r="F7" s="3099" t="s">
        <v>16</v>
      </c>
      <c r="G7" s="3099" t="s">
        <v>17</v>
      </c>
      <c r="H7" s="3099" t="s">
        <v>18</v>
      </c>
      <c r="I7" s="3099" t="s">
        <v>19</v>
      </c>
      <c r="J7" s="3099" t="s">
        <v>20</v>
      </c>
      <c r="K7" s="3099" t="s">
        <v>21</v>
      </c>
      <c r="L7" s="3099" t="s">
        <v>22</v>
      </c>
      <c r="M7" s="3099" t="s">
        <v>23</v>
      </c>
      <c r="N7" s="3099" t="s">
        <v>24</v>
      </c>
      <c r="O7" s="3099" t="s">
        <v>25</v>
      </c>
      <c r="P7" s="3099" t="s">
        <v>26</v>
      </c>
      <c r="Q7" s="3099" t="s">
        <v>27</v>
      </c>
      <c r="R7" s="656" t="s">
        <v>28</v>
      </c>
      <c r="S7" s="656" t="s">
        <v>29</v>
      </c>
      <c r="T7" s="656" t="s">
        <v>30</v>
      </c>
      <c r="U7" s="3175" t="s">
        <v>31</v>
      </c>
      <c r="V7" s="3175" t="s">
        <v>32</v>
      </c>
      <c r="W7" s="3175" t="s">
        <v>33</v>
      </c>
      <c r="X7" s="3175" t="s">
        <v>59</v>
      </c>
      <c r="Y7" s="3816" t="s">
        <v>1888</v>
      </c>
      <c r="Z7" s="1137"/>
      <c r="AA7" s="1137"/>
      <c r="AB7" s="1137"/>
      <c r="AC7" s="1137"/>
      <c r="AD7" s="1137"/>
      <c r="AE7" s="1137"/>
      <c r="AF7" s="1137"/>
      <c r="AG7" s="1137"/>
      <c r="AH7" s="1137"/>
      <c r="AI7" s="1137"/>
      <c r="AJ7" s="1137"/>
      <c r="AK7" s="1137"/>
      <c r="AL7" s="1137"/>
      <c r="AM7" s="1137"/>
      <c r="AN7" s="1137"/>
      <c r="AO7" s="1137"/>
      <c r="AP7" s="1137"/>
      <c r="AQ7" s="1137"/>
      <c r="AR7" s="1137"/>
      <c r="AS7" s="1137"/>
      <c r="AT7" s="1137"/>
      <c r="AU7" s="1137"/>
      <c r="AV7" s="1137"/>
      <c r="AW7" s="1137"/>
      <c r="AX7" s="1137"/>
      <c r="AY7" s="1137"/>
      <c r="AZ7" s="1137"/>
      <c r="BA7" s="1137"/>
      <c r="BB7" s="1137"/>
      <c r="BC7" s="1137"/>
      <c r="BD7" s="1137"/>
      <c r="BE7" s="1137"/>
      <c r="BF7" s="1137"/>
      <c r="BG7" s="1137"/>
      <c r="BH7" s="1137"/>
      <c r="BI7" s="1137"/>
      <c r="BJ7" s="1137"/>
      <c r="BK7" s="1137"/>
      <c r="BL7" s="1137"/>
      <c r="BM7" s="1137"/>
      <c r="BN7" s="1137"/>
      <c r="BO7" s="1137"/>
      <c r="BP7" s="1137"/>
      <c r="BQ7" s="1137"/>
      <c r="BR7" s="1137"/>
      <c r="BS7" s="1137"/>
      <c r="BT7" s="1137"/>
      <c r="BU7" s="1137"/>
      <c r="BV7" s="1137"/>
      <c r="BW7" s="1137"/>
      <c r="BX7" s="1137"/>
      <c r="BY7" s="1137"/>
      <c r="BZ7" s="1137"/>
      <c r="CA7" s="1137"/>
      <c r="CB7" s="1137"/>
      <c r="CC7" s="1137"/>
      <c r="CD7" s="1137"/>
      <c r="CE7" s="1137"/>
      <c r="CF7" s="1137"/>
      <c r="CG7" s="1137"/>
      <c r="CH7" s="1137"/>
      <c r="CI7" s="1137"/>
      <c r="CJ7" s="1137"/>
      <c r="CK7" s="1137"/>
      <c r="CL7" s="1137"/>
      <c r="CM7" s="1137"/>
      <c r="CN7" s="1137"/>
      <c r="CO7" s="1137"/>
      <c r="CP7" s="1137"/>
      <c r="CQ7" s="1137"/>
      <c r="CR7" s="1137"/>
      <c r="CS7" s="1137"/>
      <c r="CT7" s="1137"/>
    </row>
    <row r="8" spans="1:98" ht="21.95" customHeight="1" x14ac:dyDescent="0.25">
      <c r="D8" s="1456" t="s">
        <v>1889</v>
      </c>
      <c r="E8" s="1988">
        <v>14691</v>
      </c>
      <c r="F8" s="1988">
        <v>13793</v>
      </c>
      <c r="G8" s="1988">
        <v>12434</v>
      </c>
      <c r="H8" s="1988">
        <v>12783</v>
      </c>
      <c r="I8" s="1988">
        <v>13534</v>
      </c>
      <c r="J8" s="1988">
        <v>14152</v>
      </c>
      <c r="K8" s="1988">
        <v>14855</v>
      </c>
      <c r="L8" s="1988">
        <v>13852</v>
      </c>
      <c r="M8" s="1988">
        <v>10541</v>
      </c>
      <c r="N8" s="1988">
        <v>9417</v>
      </c>
      <c r="O8" s="1988">
        <v>9931</v>
      </c>
      <c r="P8" s="1988">
        <v>11180</v>
      </c>
      <c r="Q8" s="1988">
        <v>12773</v>
      </c>
      <c r="R8" s="1988">
        <v>14602</v>
      </c>
      <c r="S8" s="1988">
        <v>16717</v>
      </c>
      <c r="T8" s="1988">
        <v>16325</v>
      </c>
      <c r="U8" s="1988">
        <v>16026</v>
      </c>
      <c r="V8" s="1988">
        <v>18162</v>
      </c>
      <c r="W8" s="1988">
        <v>16731</v>
      </c>
      <c r="X8" s="1988">
        <v>20923</v>
      </c>
      <c r="Y8" s="3817">
        <f>((X8-W8))/(W8)*100</f>
        <v>25.055286593748132</v>
      </c>
      <c r="Z8" s="1137"/>
      <c r="AA8" s="1137"/>
      <c r="AB8" s="1137"/>
      <c r="AC8" s="1137"/>
      <c r="AD8" s="1137"/>
      <c r="AE8" s="1137"/>
      <c r="AF8" s="1137"/>
      <c r="AG8" s="1137"/>
      <c r="AH8" s="1137"/>
      <c r="AI8" s="1137"/>
      <c r="AJ8" s="1137"/>
      <c r="AK8" s="1137"/>
      <c r="AL8" s="1137"/>
      <c r="AM8" s="1137"/>
      <c r="AN8" s="1137"/>
      <c r="AO8" s="1137"/>
      <c r="AP8" s="1137"/>
      <c r="AQ8" s="1137"/>
      <c r="AR8" s="1137"/>
      <c r="AS8" s="1137"/>
      <c r="AT8" s="1137"/>
      <c r="AU8" s="1137"/>
      <c r="AV8" s="1137"/>
      <c r="AW8" s="1137"/>
      <c r="AX8" s="1137"/>
      <c r="AY8" s="1137"/>
      <c r="AZ8" s="1137"/>
      <c r="BA8" s="1137"/>
      <c r="BB8" s="1137"/>
      <c r="BC8" s="1137"/>
      <c r="BD8" s="1137"/>
      <c r="BE8" s="1137"/>
      <c r="BF8" s="1137"/>
      <c r="BG8" s="1137"/>
      <c r="BH8" s="1137"/>
      <c r="BI8" s="1137"/>
      <c r="BJ8" s="1137"/>
      <c r="BK8" s="1137"/>
      <c r="BL8" s="1137"/>
      <c r="BM8" s="1137"/>
      <c r="BN8" s="1137"/>
      <c r="BO8" s="1137"/>
      <c r="BP8" s="1137"/>
      <c r="BQ8" s="1137"/>
      <c r="BR8" s="1137"/>
      <c r="BS8" s="1137"/>
      <c r="BT8" s="1137"/>
      <c r="BU8" s="1137"/>
      <c r="BV8" s="1137"/>
      <c r="BW8" s="1137"/>
      <c r="BX8" s="1137"/>
      <c r="BY8" s="1137"/>
      <c r="BZ8" s="1137"/>
      <c r="CA8" s="1137"/>
      <c r="CB8" s="1137"/>
      <c r="CC8" s="1137"/>
      <c r="CD8" s="1137"/>
      <c r="CE8" s="1137"/>
      <c r="CF8" s="1137"/>
      <c r="CG8" s="1137"/>
      <c r="CH8" s="1137"/>
      <c r="CI8" s="1137"/>
      <c r="CJ8" s="1137"/>
      <c r="CK8" s="1137"/>
      <c r="CL8" s="1137"/>
      <c r="CM8" s="1137"/>
      <c r="CN8" s="1137"/>
      <c r="CO8" s="1137"/>
      <c r="CP8" s="1137"/>
      <c r="CQ8" s="1137"/>
      <c r="CR8" s="1137"/>
      <c r="CS8" s="1137"/>
      <c r="CT8" s="1137"/>
    </row>
    <row r="9" spans="1:98" x14ac:dyDescent="0.25">
      <c r="D9" s="1456" t="s">
        <v>1890</v>
      </c>
      <c r="E9" s="1988">
        <v>986</v>
      </c>
      <c r="F9" s="1988">
        <v>901</v>
      </c>
      <c r="G9" s="1988">
        <v>930</v>
      </c>
      <c r="H9" s="1988">
        <v>829</v>
      </c>
      <c r="I9" s="1988">
        <v>892</v>
      </c>
      <c r="J9" s="1988">
        <v>1245</v>
      </c>
      <c r="K9" s="1988">
        <v>1437</v>
      </c>
      <c r="L9" s="1988">
        <v>1412</v>
      </c>
      <c r="M9" s="1988">
        <v>999</v>
      </c>
      <c r="N9" s="1988">
        <v>821</v>
      </c>
      <c r="O9" s="1988">
        <v>943</v>
      </c>
      <c r="P9" s="1988">
        <v>991</v>
      </c>
      <c r="Q9" s="1988">
        <v>1279</v>
      </c>
      <c r="R9" s="1988">
        <v>1184</v>
      </c>
      <c r="S9" s="1988">
        <v>1183</v>
      </c>
      <c r="T9" s="1988">
        <v>1202</v>
      </c>
      <c r="U9" s="1988">
        <v>1182</v>
      </c>
      <c r="V9" s="1988">
        <v>1202</v>
      </c>
      <c r="W9" s="1988">
        <v>1397</v>
      </c>
      <c r="X9" s="1988">
        <v>1741</v>
      </c>
      <c r="Y9" s="3817">
        <f>((X9-W9))/(W9)*100</f>
        <v>24.624194702934858</v>
      </c>
      <c r="Z9" s="1137"/>
      <c r="AA9" s="1137"/>
      <c r="AB9" s="1137"/>
      <c r="AC9" s="1137"/>
      <c r="AD9" s="1137"/>
      <c r="AE9" s="1137"/>
      <c r="AF9" s="1137"/>
      <c r="AG9" s="1137"/>
      <c r="AH9" s="1137"/>
      <c r="AI9" s="1137"/>
      <c r="AJ9" s="1137"/>
      <c r="AK9" s="1137"/>
      <c r="AL9" s="1137"/>
      <c r="AM9" s="1137"/>
      <c r="AN9" s="1137"/>
      <c r="AO9" s="1137"/>
      <c r="AP9" s="1137"/>
      <c r="AQ9" s="1137"/>
      <c r="AR9" s="1137"/>
      <c r="AS9" s="1137"/>
      <c r="AT9" s="1137"/>
      <c r="AU9" s="1137"/>
      <c r="AV9" s="1137"/>
      <c r="AW9" s="1137"/>
      <c r="AX9" s="1137"/>
      <c r="AY9" s="1137"/>
      <c r="AZ9" s="1137"/>
      <c r="BA9" s="1137"/>
      <c r="BB9" s="1137"/>
      <c r="BC9" s="1137"/>
      <c r="BD9" s="1137"/>
      <c r="BE9" s="1137"/>
      <c r="BF9" s="1137"/>
      <c r="BG9" s="1137"/>
      <c r="BH9" s="1137"/>
      <c r="BI9" s="1137"/>
      <c r="BJ9" s="1137"/>
      <c r="BK9" s="1137"/>
      <c r="BL9" s="1137"/>
      <c r="BM9" s="1137"/>
      <c r="BN9" s="1137"/>
      <c r="BO9" s="1137"/>
      <c r="BP9" s="1137"/>
      <c r="BQ9" s="1137"/>
      <c r="BR9" s="1137"/>
      <c r="BS9" s="1137"/>
      <c r="BT9" s="1137"/>
      <c r="BU9" s="1137"/>
      <c r="BV9" s="1137"/>
      <c r="BW9" s="1137"/>
      <c r="BX9" s="1137"/>
      <c r="BY9" s="1137"/>
      <c r="BZ9" s="1137"/>
      <c r="CA9" s="1137"/>
      <c r="CB9" s="1137"/>
      <c r="CC9" s="1137"/>
      <c r="CD9" s="1137"/>
      <c r="CE9" s="1137"/>
      <c r="CF9" s="1137"/>
      <c r="CG9" s="1137"/>
      <c r="CH9" s="1137"/>
      <c r="CI9" s="1137"/>
      <c r="CJ9" s="1137"/>
      <c r="CK9" s="1137"/>
      <c r="CL9" s="1137"/>
      <c r="CM9" s="1137"/>
      <c r="CN9" s="1137"/>
      <c r="CO9" s="1137"/>
      <c r="CP9" s="1137"/>
      <c r="CQ9" s="1137"/>
      <c r="CR9" s="1137"/>
      <c r="CS9" s="1137"/>
      <c r="CT9" s="1137"/>
    </row>
    <row r="10" spans="1:98" ht="22.5" x14ac:dyDescent="0.25">
      <c r="D10" s="1456" t="s">
        <v>1891</v>
      </c>
      <c r="E10" s="1988">
        <v>374</v>
      </c>
      <c r="F10" s="1988">
        <v>192</v>
      </c>
      <c r="G10" s="1988">
        <v>220</v>
      </c>
      <c r="H10" s="1988">
        <v>383</v>
      </c>
      <c r="I10" s="1988">
        <v>467</v>
      </c>
      <c r="J10" s="1988">
        <v>394</v>
      </c>
      <c r="K10" s="1988">
        <v>386</v>
      </c>
      <c r="L10" s="1988">
        <v>358</v>
      </c>
      <c r="M10" s="1988">
        <v>290</v>
      </c>
      <c r="N10" s="1988">
        <v>182</v>
      </c>
      <c r="O10" s="1988">
        <v>145</v>
      </c>
      <c r="P10" s="1988">
        <v>145</v>
      </c>
      <c r="Q10" s="1988">
        <v>119</v>
      </c>
      <c r="R10" s="1988">
        <v>137</v>
      </c>
      <c r="S10" s="1988">
        <v>152</v>
      </c>
      <c r="T10" s="1988">
        <v>238</v>
      </c>
      <c r="U10" s="1988">
        <v>183</v>
      </c>
      <c r="V10" s="1988">
        <v>164</v>
      </c>
      <c r="W10" s="1988">
        <v>195</v>
      </c>
      <c r="X10" s="1988">
        <v>238</v>
      </c>
      <c r="Y10" s="3817">
        <f>((X10-W10))/(W10)*100</f>
        <v>22.051282051282051</v>
      </c>
      <c r="Z10" s="1137"/>
      <c r="AA10" s="1137"/>
      <c r="AB10" s="1137"/>
      <c r="AC10" s="1137"/>
      <c r="AD10" s="1137"/>
      <c r="AE10" s="1137"/>
      <c r="AF10" s="1137"/>
      <c r="AG10" s="1137"/>
      <c r="AH10" s="1137"/>
      <c r="AI10" s="1137"/>
      <c r="AJ10" s="1137"/>
      <c r="AK10" s="1137"/>
      <c r="AL10" s="1137"/>
      <c r="AM10" s="1137"/>
      <c r="AN10" s="1137"/>
      <c r="AO10" s="1137"/>
      <c r="AP10" s="1137"/>
      <c r="AQ10" s="1137"/>
      <c r="AR10" s="1137"/>
      <c r="AS10" s="1137"/>
      <c r="AT10" s="1137"/>
      <c r="AU10" s="1137"/>
      <c r="AV10" s="1137"/>
      <c r="AW10" s="1137"/>
      <c r="AX10" s="1137"/>
      <c r="AY10" s="1137"/>
      <c r="AZ10" s="1137"/>
      <c r="BA10" s="1137"/>
      <c r="BB10" s="1137"/>
      <c r="BC10" s="1137"/>
      <c r="BD10" s="1137"/>
      <c r="BE10" s="1137"/>
      <c r="BF10" s="1137"/>
      <c r="BG10" s="1137"/>
      <c r="BH10" s="1137"/>
      <c r="BI10" s="1137"/>
      <c r="BJ10" s="1137"/>
      <c r="BK10" s="1137"/>
      <c r="BL10" s="1137"/>
      <c r="BM10" s="1137"/>
      <c r="BN10" s="1137"/>
      <c r="BO10" s="1137"/>
      <c r="BP10" s="1137"/>
      <c r="BQ10" s="1137"/>
      <c r="BR10" s="1137"/>
      <c r="BS10" s="1137"/>
      <c r="BT10" s="1137"/>
      <c r="BU10" s="1137"/>
      <c r="BV10" s="1137"/>
      <c r="BW10" s="1137"/>
      <c r="BX10" s="1137"/>
      <c r="BY10" s="1137"/>
      <c r="BZ10" s="1137"/>
      <c r="CA10" s="1137"/>
      <c r="CB10" s="1137"/>
      <c r="CC10" s="1137"/>
      <c r="CD10" s="1137"/>
      <c r="CE10" s="1137"/>
      <c r="CF10" s="1137"/>
      <c r="CG10" s="1137"/>
      <c r="CH10" s="1137"/>
      <c r="CI10" s="1137"/>
      <c r="CJ10" s="1137"/>
      <c r="CK10" s="1137"/>
      <c r="CL10" s="1137"/>
      <c r="CM10" s="1137"/>
      <c r="CN10" s="1137"/>
      <c r="CO10" s="1137"/>
      <c r="CP10" s="1137"/>
      <c r="CQ10" s="1137"/>
      <c r="CR10" s="1137"/>
      <c r="CS10" s="1137"/>
      <c r="CT10" s="1137"/>
    </row>
    <row r="11" spans="1:98" x14ac:dyDescent="0.25">
      <c r="D11" s="1456" t="s">
        <v>1892</v>
      </c>
      <c r="E11" s="1988"/>
      <c r="F11" s="1988"/>
      <c r="G11" s="1988">
        <v>100436</v>
      </c>
      <c r="H11" s="1988">
        <v>92021</v>
      </c>
      <c r="I11" s="1988">
        <v>92021</v>
      </c>
      <c r="J11" s="1988">
        <v>64417</v>
      </c>
      <c r="K11" s="1988">
        <v>58764</v>
      </c>
      <c r="L11" s="1988">
        <v>56993</v>
      </c>
      <c r="M11" s="1988">
        <v>54442</v>
      </c>
      <c r="N11" s="1988">
        <v>52566</v>
      </c>
      <c r="O11" s="1988">
        <v>53196</v>
      </c>
      <c r="P11" s="1988">
        <v>53505</v>
      </c>
      <c r="Q11" s="1988">
        <v>54927</v>
      </c>
      <c r="R11" s="1988">
        <v>54110</v>
      </c>
      <c r="S11" s="1988">
        <v>53418</v>
      </c>
      <c r="T11" s="1988">
        <v>50730</v>
      </c>
      <c r="U11" s="1988">
        <v>51765</v>
      </c>
      <c r="V11" s="1988">
        <v>51825</v>
      </c>
      <c r="W11" s="1988">
        <v>37648</v>
      </c>
      <c r="X11" s="1988">
        <v>41600</v>
      </c>
      <c r="Y11" s="3817">
        <f t="shared" ref="Y11:Y14" si="0">((X11-W11))/(W11)*100</f>
        <v>10.497237569060774</v>
      </c>
      <c r="Z11" s="1137"/>
      <c r="AA11" s="1137"/>
      <c r="AB11" s="1137"/>
      <c r="AC11" s="1137"/>
      <c r="AD11" s="1137"/>
      <c r="AE11" s="1137"/>
      <c r="AF11" s="1137"/>
      <c r="AG11" s="1137"/>
      <c r="AH11" s="1137"/>
      <c r="AI11" s="1137"/>
      <c r="AJ11" s="1137"/>
      <c r="AK11" s="1137"/>
      <c r="AL11" s="1137"/>
      <c r="AM11" s="1137"/>
      <c r="AN11" s="1137"/>
      <c r="AO11" s="1137"/>
      <c r="AP11" s="1137"/>
      <c r="AQ11" s="1137"/>
      <c r="AR11" s="1137"/>
      <c r="AS11" s="1137"/>
      <c r="AT11" s="1137"/>
      <c r="AU11" s="1137"/>
      <c r="AV11" s="1137"/>
      <c r="AW11" s="1137"/>
      <c r="AX11" s="1137"/>
      <c r="AY11" s="1137"/>
      <c r="AZ11" s="1137"/>
      <c r="BA11" s="1137"/>
      <c r="BB11" s="1137"/>
      <c r="BC11" s="1137"/>
      <c r="BD11" s="1137"/>
      <c r="BE11" s="1137"/>
      <c r="BF11" s="1137"/>
      <c r="BG11" s="1137"/>
      <c r="BH11" s="1137"/>
      <c r="BI11" s="1137"/>
      <c r="BJ11" s="1137"/>
      <c r="BK11" s="1137"/>
      <c r="BL11" s="1137"/>
      <c r="BM11" s="1137"/>
      <c r="BN11" s="1137"/>
      <c r="BO11" s="1137"/>
      <c r="BP11" s="1137"/>
      <c r="BQ11" s="1137"/>
      <c r="BR11" s="1137"/>
      <c r="BS11" s="1137"/>
      <c r="BT11" s="1137"/>
      <c r="BU11" s="1137"/>
      <c r="BV11" s="1137"/>
      <c r="BW11" s="1137"/>
      <c r="BX11" s="1137"/>
      <c r="BY11" s="1137"/>
      <c r="BZ11" s="1137"/>
      <c r="CA11" s="1137"/>
      <c r="CB11" s="1137"/>
      <c r="CC11" s="1137"/>
      <c r="CD11" s="1137"/>
      <c r="CE11" s="1137"/>
      <c r="CF11" s="1137"/>
      <c r="CG11" s="1137"/>
      <c r="CH11" s="1137"/>
      <c r="CI11" s="1137"/>
      <c r="CJ11" s="1137"/>
      <c r="CK11" s="1137"/>
      <c r="CL11" s="1137"/>
      <c r="CM11" s="1137"/>
      <c r="CN11" s="1137"/>
      <c r="CO11" s="1137"/>
      <c r="CP11" s="1137"/>
      <c r="CQ11" s="1137"/>
      <c r="CR11" s="1137"/>
      <c r="CS11" s="1137"/>
      <c r="CT11" s="1137"/>
    </row>
    <row r="12" spans="1:98" x14ac:dyDescent="0.25">
      <c r="D12" s="1456" t="s">
        <v>1893</v>
      </c>
      <c r="E12" s="1988">
        <v>127</v>
      </c>
      <c r="F12" s="1988">
        <v>54</v>
      </c>
      <c r="G12" s="1988">
        <v>58</v>
      </c>
      <c r="H12" s="1988">
        <v>59</v>
      </c>
      <c r="I12" s="1988">
        <v>129</v>
      </c>
      <c r="J12" s="1988">
        <v>144</v>
      </c>
      <c r="K12" s="1988">
        <v>102</v>
      </c>
      <c r="L12" s="1988">
        <v>93</v>
      </c>
      <c r="M12" s="1988">
        <v>39</v>
      </c>
      <c r="N12" s="1988">
        <v>35</v>
      </c>
      <c r="O12" s="1988">
        <v>7</v>
      </c>
      <c r="P12" s="1988">
        <v>21</v>
      </c>
      <c r="Q12" s="1988">
        <v>17</v>
      </c>
      <c r="R12" s="1988">
        <v>6</v>
      </c>
      <c r="S12" s="1988">
        <v>3</v>
      </c>
      <c r="T12" s="1988">
        <v>13</v>
      </c>
      <c r="U12" s="1988">
        <v>4</v>
      </c>
      <c r="V12" s="1989">
        <v>0</v>
      </c>
      <c r="W12" s="1988">
        <v>2</v>
      </c>
      <c r="X12" s="1988">
        <v>13</v>
      </c>
      <c r="Y12" s="3817">
        <f>((X12-W12))/(W12)*100</f>
        <v>550</v>
      </c>
      <c r="Z12" s="1137"/>
      <c r="AA12" s="1137"/>
      <c r="AB12" s="1137"/>
      <c r="AC12" s="1137"/>
      <c r="AD12" s="1137"/>
      <c r="AE12" s="1137"/>
      <c r="AF12" s="1137"/>
      <c r="AG12" s="1137"/>
      <c r="AH12" s="1137"/>
      <c r="AI12" s="1137"/>
      <c r="AJ12" s="1137"/>
      <c r="AK12" s="1137"/>
      <c r="AL12" s="1137"/>
      <c r="AM12" s="1137"/>
      <c r="AN12" s="1137"/>
      <c r="AO12" s="1137"/>
      <c r="AP12" s="1137"/>
      <c r="AQ12" s="1137"/>
      <c r="AR12" s="1137"/>
      <c r="AS12" s="1137"/>
      <c r="AT12" s="1137"/>
      <c r="AU12" s="1137"/>
      <c r="AV12" s="1137"/>
      <c r="AW12" s="1137"/>
      <c r="AX12" s="1137"/>
      <c r="AY12" s="1137"/>
      <c r="AZ12" s="1137"/>
      <c r="BA12" s="1137"/>
      <c r="BB12" s="1137"/>
      <c r="BC12" s="1137"/>
      <c r="BD12" s="1137"/>
      <c r="BE12" s="1137"/>
      <c r="BF12" s="1137"/>
      <c r="BG12" s="1137"/>
      <c r="BH12" s="1137"/>
      <c r="BI12" s="1137"/>
      <c r="BJ12" s="1137"/>
      <c r="BK12" s="1137"/>
      <c r="BL12" s="1137"/>
      <c r="BM12" s="1137"/>
      <c r="BN12" s="1137"/>
      <c r="BO12" s="1137"/>
      <c r="BP12" s="1137"/>
      <c r="BQ12" s="1137"/>
      <c r="BR12" s="1137"/>
      <c r="BS12" s="1137"/>
      <c r="BT12" s="1137"/>
      <c r="BU12" s="1137"/>
      <c r="BV12" s="1137"/>
      <c r="BW12" s="1137"/>
      <c r="BX12" s="1137"/>
      <c r="BY12" s="1137"/>
      <c r="BZ12" s="1137"/>
      <c r="CA12" s="1137"/>
      <c r="CB12" s="1137"/>
      <c r="CC12" s="1137"/>
      <c r="CD12" s="1137"/>
      <c r="CE12" s="1137"/>
      <c r="CF12" s="1137"/>
      <c r="CG12" s="1137"/>
      <c r="CH12" s="1137"/>
      <c r="CI12" s="1137"/>
      <c r="CJ12" s="1137"/>
      <c r="CK12" s="1137"/>
      <c r="CL12" s="1137"/>
      <c r="CM12" s="1137"/>
      <c r="CN12" s="1137"/>
      <c r="CO12" s="1137"/>
      <c r="CP12" s="1137"/>
      <c r="CQ12" s="1137"/>
      <c r="CR12" s="1137"/>
      <c r="CS12" s="1137"/>
      <c r="CT12" s="1137"/>
    </row>
    <row r="13" spans="1:98" ht="22.5" x14ac:dyDescent="0.25">
      <c r="D13" s="1456" t="s">
        <v>1894</v>
      </c>
      <c r="E13" s="1988">
        <v>9063</v>
      </c>
      <c r="F13" s="1988">
        <v>9351</v>
      </c>
      <c r="G13" s="1988">
        <v>9391</v>
      </c>
      <c r="H13" s="1988">
        <v>10173</v>
      </c>
      <c r="I13" s="1988">
        <v>12761</v>
      </c>
      <c r="J13" s="1988">
        <v>14481</v>
      </c>
      <c r="K13" s="1988">
        <v>18438</v>
      </c>
      <c r="L13" s="1988">
        <v>18786</v>
      </c>
      <c r="M13" s="1988">
        <v>16889</v>
      </c>
      <c r="N13" s="1988">
        <v>16766</v>
      </c>
      <c r="O13" s="1988">
        <v>17950</v>
      </c>
      <c r="P13" s="1988">
        <v>19284</v>
      </c>
      <c r="Q13" s="1988">
        <v>20281</v>
      </c>
      <c r="R13" s="1988">
        <v>20820</v>
      </c>
      <c r="S13" s="1988">
        <v>22343</v>
      </c>
      <c r="T13" s="1988">
        <v>22261</v>
      </c>
      <c r="U13" s="1988">
        <v>22431</v>
      </c>
      <c r="V13" s="1988">
        <v>21130</v>
      </c>
      <c r="W13" s="1988">
        <v>20870</v>
      </c>
      <c r="X13" s="1988">
        <v>21832</v>
      </c>
      <c r="Y13" s="3817">
        <f t="shared" si="0"/>
        <v>4.6094873023478682</v>
      </c>
      <c r="Z13" s="1137"/>
      <c r="AA13" s="1137"/>
      <c r="AB13" s="1137"/>
      <c r="AC13" s="1137"/>
      <c r="AD13" s="1137"/>
      <c r="AE13" s="1137"/>
      <c r="AF13" s="1137"/>
      <c r="AG13" s="1137"/>
      <c r="AH13" s="1137"/>
      <c r="AI13" s="1137"/>
      <c r="AJ13" s="1137"/>
      <c r="AK13" s="1137"/>
      <c r="AL13" s="1137"/>
      <c r="AM13" s="1137"/>
      <c r="AN13" s="1137"/>
      <c r="AO13" s="1137"/>
      <c r="AP13" s="1137"/>
      <c r="AQ13" s="1137"/>
      <c r="AR13" s="1137"/>
      <c r="AS13" s="1137"/>
      <c r="AT13" s="1137"/>
      <c r="AU13" s="1137"/>
      <c r="AV13" s="1137"/>
      <c r="AW13" s="1137"/>
      <c r="AX13" s="1137"/>
      <c r="AY13" s="1137"/>
      <c r="AZ13" s="1137"/>
      <c r="BA13" s="1137"/>
      <c r="BB13" s="1137"/>
      <c r="BC13" s="1137"/>
      <c r="BD13" s="1137"/>
      <c r="BE13" s="1137"/>
      <c r="BF13" s="1137"/>
      <c r="BG13" s="1137"/>
      <c r="BH13" s="1137"/>
      <c r="BI13" s="1137"/>
      <c r="BJ13" s="1137"/>
      <c r="BK13" s="1137"/>
      <c r="BL13" s="1137"/>
      <c r="BM13" s="1137"/>
      <c r="BN13" s="1137"/>
      <c r="BO13" s="1137"/>
      <c r="BP13" s="1137"/>
      <c r="BQ13" s="1137"/>
      <c r="BR13" s="1137"/>
      <c r="BS13" s="1137"/>
      <c r="BT13" s="1137"/>
      <c r="BU13" s="1137"/>
      <c r="BV13" s="1137"/>
      <c r="BW13" s="1137"/>
      <c r="BX13" s="1137"/>
      <c r="BY13" s="1137"/>
      <c r="BZ13" s="1137"/>
      <c r="CA13" s="1137"/>
      <c r="CB13" s="1137"/>
      <c r="CC13" s="1137"/>
      <c r="CD13" s="1137"/>
      <c r="CE13" s="1137"/>
      <c r="CF13" s="1137"/>
      <c r="CG13" s="1137"/>
      <c r="CH13" s="1137"/>
      <c r="CI13" s="1137"/>
      <c r="CJ13" s="1137"/>
      <c r="CK13" s="1137"/>
      <c r="CL13" s="1137"/>
      <c r="CM13" s="1137"/>
      <c r="CN13" s="1137"/>
      <c r="CO13" s="1137"/>
      <c r="CP13" s="1137"/>
      <c r="CQ13" s="1137"/>
      <c r="CR13" s="1137"/>
      <c r="CS13" s="1137"/>
      <c r="CT13" s="1137"/>
    </row>
    <row r="14" spans="1:98" ht="22.5" x14ac:dyDescent="0.25">
      <c r="B14" s="531"/>
      <c r="C14" s="531"/>
      <c r="D14" s="1990" t="s">
        <v>1895</v>
      </c>
      <c r="E14" s="1991">
        <v>5498</v>
      </c>
      <c r="F14" s="1991">
        <v>3677</v>
      </c>
      <c r="G14" s="1991">
        <v>3320</v>
      </c>
      <c r="H14" s="1991">
        <v>4384</v>
      </c>
      <c r="I14" s="1991">
        <v>6675</v>
      </c>
      <c r="J14" s="1991">
        <v>9836</v>
      </c>
      <c r="K14" s="1991">
        <v>13885</v>
      </c>
      <c r="L14" s="1991">
        <v>14504</v>
      </c>
      <c r="M14" s="1991">
        <v>14637</v>
      </c>
      <c r="N14" s="1991">
        <v>15912</v>
      </c>
      <c r="O14" s="1991">
        <v>16343</v>
      </c>
      <c r="P14" s="1991">
        <v>18573</v>
      </c>
      <c r="Q14" s="1991">
        <v>19170</v>
      </c>
      <c r="R14" s="1991">
        <v>19698</v>
      </c>
      <c r="S14" s="1991">
        <v>20680</v>
      </c>
      <c r="T14" s="1991">
        <v>20047</v>
      </c>
      <c r="U14" s="1991">
        <v>19991</v>
      </c>
      <c r="V14" s="1991">
        <v>20651</v>
      </c>
      <c r="W14" s="1991">
        <v>18231</v>
      </c>
      <c r="X14" s="1991">
        <v>20012</v>
      </c>
      <c r="Y14" s="3818">
        <f t="shared" si="0"/>
        <v>9.7690746530634627</v>
      </c>
      <c r="Z14" s="1137"/>
      <c r="AA14" s="1137"/>
      <c r="AB14" s="1137"/>
      <c r="AC14" s="1137"/>
      <c r="AD14" s="1137"/>
      <c r="AE14" s="1137"/>
      <c r="AF14" s="1137"/>
      <c r="AG14" s="1137"/>
      <c r="AH14" s="1137"/>
      <c r="AI14" s="1137"/>
      <c r="AJ14" s="1137"/>
      <c r="AK14" s="1137"/>
      <c r="AL14" s="1137"/>
      <c r="AM14" s="1137"/>
      <c r="AN14" s="1137"/>
      <c r="AO14" s="1137"/>
      <c r="AP14" s="1137"/>
      <c r="AQ14" s="1137"/>
      <c r="AR14" s="1137"/>
      <c r="AS14" s="1137"/>
      <c r="AT14" s="1137"/>
      <c r="AU14" s="1137"/>
      <c r="AV14" s="1137"/>
      <c r="AW14" s="1137"/>
      <c r="AX14" s="1137"/>
      <c r="AY14" s="1137"/>
      <c r="AZ14" s="1137"/>
      <c r="BA14" s="1137"/>
      <c r="BB14" s="1137"/>
      <c r="BC14" s="1137"/>
      <c r="BD14" s="1137"/>
      <c r="BE14" s="1137"/>
      <c r="BF14" s="1137"/>
      <c r="BG14" s="1137"/>
      <c r="BH14" s="1137"/>
      <c r="BI14" s="1137"/>
      <c r="BJ14" s="1137"/>
      <c r="BK14" s="1137"/>
      <c r="BL14" s="1137"/>
      <c r="BM14" s="1137"/>
      <c r="BN14" s="1137"/>
      <c r="BO14" s="1137"/>
      <c r="BP14" s="1137"/>
      <c r="BQ14" s="1137"/>
      <c r="BR14" s="1137"/>
      <c r="BS14" s="1137"/>
      <c r="BT14" s="1137"/>
      <c r="BU14" s="1137"/>
      <c r="BV14" s="1137"/>
      <c r="BW14" s="1137"/>
      <c r="BX14" s="1137"/>
      <c r="BY14" s="1137"/>
      <c r="BZ14" s="1137"/>
      <c r="CA14" s="1137"/>
      <c r="CB14" s="1137"/>
      <c r="CC14" s="1137"/>
      <c r="CD14" s="1137"/>
      <c r="CE14" s="1137"/>
      <c r="CF14" s="1137"/>
      <c r="CG14" s="1137"/>
      <c r="CH14" s="1137"/>
      <c r="CI14" s="1137"/>
      <c r="CJ14" s="1137"/>
      <c r="CK14" s="1137"/>
      <c r="CL14" s="1137"/>
      <c r="CM14" s="1137"/>
      <c r="CN14" s="1137"/>
      <c r="CO14" s="1137"/>
      <c r="CP14" s="1137"/>
      <c r="CQ14" s="1137"/>
      <c r="CR14" s="1137"/>
      <c r="CS14" s="1137"/>
      <c r="CT14" s="1137"/>
    </row>
    <row r="15" spans="1:98" ht="12.75" customHeight="1" x14ac:dyDescent="0.25">
      <c r="B15" s="531"/>
      <c r="C15" s="531"/>
      <c r="D15" s="1456"/>
      <c r="E15" s="1988">
        <f>SUM(E8:E14)</f>
        <v>30739</v>
      </c>
      <c r="F15" s="1988">
        <f t="shared" ref="F15:U15" si="1">SUM(F8:F14)</f>
        <v>27968</v>
      </c>
      <c r="G15" s="1988">
        <f t="shared" si="1"/>
        <v>126789</v>
      </c>
      <c r="H15" s="1988">
        <f t="shared" si="1"/>
        <v>120632</v>
      </c>
      <c r="I15" s="1988">
        <f t="shared" si="1"/>
        <v>126479</v>
      </c>
      <c r="J15" s="1988">
        <f t="shared" si="1"/>
        <v>104669</v>
      </c>
      <c r="K15" s="1988">
        <f t="shared" si="1"/>
        <v>107867</v>
      </c>
      <c r="L15" s="1988">
        <f t="shared" si="1"/>
        <v>105998</v>
      </c>
      <c r="M15" s="1988">
        <f t="shared" si="1"/>
        <v>97837</v>
      </c>
      <c r="N15" s="1988">
        <f t="shared" si="1"/>
        <v>95699</v>
      </c>
      <c r="O15" s="1988">
        <f t="shared" si="1"/>
        <v>98515</v>
      </c>
      <c r="P15" s="1988">
        <f t="shared" si="1"/>
        <v>103699</v>
      </c>
      <c r="Q15" s="1988">
        <f t="shared" si="1"/>
        <v>108566</v>
      </c>
      <c r="R15" s="1988">
        <f t="shared" si="1"/>
        <v>110557</v>
      </c>
      <c r="S15" s="1988">
        <f t="shared" si="1"/>
        <v>114496</v>
      </c>
      <c r="T15" s="1988">
        <f>SUM(T8:T14)</f>
        <v>110816</v>
      </c>
      <c r="U15" s="1988">
        <f t="shared" si="1"/>
        <v>111582</v>
      </c>
      <c r="V15" s="1988">
        <f>SUM(V8:V14)</f>
        <v>113134</v>
      </c>
      <c r="W15" s="1988">
        <f>SUM(W8:W14)</f>
        <v>95074</v>
      </c>
      <c r="X15" s="1988">
        <f>SUM(X8:X14)</f>
        <v>106359</v>
      </c>
      <c r="Y15" s="1137"/>
      <c r="Z15" s="1137"/>
      <c r="AA15" s="1137"/>
      <c r="AB15" s="1137"/>
      <c r="AC15" s="1137"/>
      <c r="AD15" s="1137"/>
      <c r="AE15" s="1137"/>
      <c r="AF15" s="1137"/>
      <c r="AG15" s="1137"/>
      <c r="AH15" s="1137"/>
      <c r="AI15" s="1137"/>
      <c r="AJ15" s="1137"/>
      <c r="AK15" s="1137"/>
      <c r="AL15" s="1137"/>
      <c r="AM15" s="1137"/>
      <c r="AN15" s="1137"/>
      <c r="AO15" s="1137"/>
      <c r="AP15" s="1137"/>
      <c r="AQ15" s="1137"/>
      <c r="AR15" s="1137"/>
      <c r="AS15" s="1137"/>
      <c r="AT15" s="1137"/>
      <c r="AU15" s="1137"/>
      <c r="AV15" s="1137"/>
      <c r="AW15" s="1137"/>
      <c r="AX15" s="1137"/>
      <c r="AY15" s="1137"/>
      <c r="AZ15" s="1137"/>
      <c r="BA15" s="1137"/>
      <c r="BB15" s="1137"/>
      <c r="BC15" s="1137"/>
      <c r="BD15" s="1137"/>
      <c r="BE15" s="1137"/>
      <c r="BF15" s="1137"/>
      <c r="BG15" s="1137"/>
      <c r="BH15" s="1137"/>
      <c r="BI15" s="1137"/>
      <c r="BJ15" s="1137"/>
      <c r="BK15" s="1137"/>
      <c r="BL15" s="1137"/>
      <c r="BM15" s="1137"/>
      <c r="BN15" s="1137"/>
      <c r="BO15" s="1137"/>
      <c r="BP15" s="1137"/>
      <c r="BQ15" s="1137"/>
      <c r="BR15" s="1137"/>
      <c r="BS15" s="1137"/>
      <c r="BT15" s="1137"/>
      <c r="BU15" s="1137"/>
      <c r="BV15" s="1137"/>
      <c r="BW15" s="1137"/>
      <c r="BX15" s="1137"/>
      <c r="BY15" s="1137"/>
      <c r="BZ15" s="1137"/>
      <c r="CA15" s="1137"/>
      <c r="CB15" s="1137"/>
      <c r="CC15" s="1137"/>
      <c r="CD15" s="1137"/>
      <c r="CE15" s="1137"/>
      <c r="CF15" s="1137"/>
      <c r="CG15" s="1137"/>
      <c r="CH15" s="1137"/>
      <c r="CI15" s="1137"/>
      <c r="CJ15" s="1137"/>
      <c r="CK15" s="1137"/>
      <c r="CL15" s="1137"/>
      <c r="CM15" s="1137"/>
      <c r="CN15" s="1137"/>
      <c r="CO15" s="1137"/>
      <c r="CP15" s="1137"/>
      <c r="CQ15" s="1137"/>
      <c r="CR15" s="1137"/>
      <c r="CS15" s="1137"/>
    </row>
    <row r="16" spans="1:98" x14ac:dyDescent="0.25">
      <c r="B16" s="531"/>
      <c r="C16" s="531"/>
      <c r="D16" s="1456"/>
      <c r="E16" s="1988"/>
      <c r="F16" s="1988"/>
      <c r="G16" s="1988"/>
      <c r="H16" s="1988"/>
      <c r="I16" s="1988"/>
      <c r="J16" s="1988"/>
      <c r="K16" s="1992"/>
      <c r="L16" s="1993"/>
      <c r="Q16" s="1994"/>
      <c r="R16" s="1137"/>
      <c r="S16" s="1137"/>
      <c r="T16" s="1137"/>
      <c r="U16" s="1137"/>
      <c r="V16" s="1137"/>
      <c r="W16" s="1137"/>
      <c r="X16" s="1137"/>
      <c r="Y16" s="1137"/>
      <c r="Z16" s="1137"/>
      <c r="AA16" s="1137"/>
      <c r="AB16" s="1137"/>
      <c r="AC16" s="1137"/>
      <c r="AD16" s="1137"/>
      <c r="AE16" s="1137"/>
      <c r="AF16" s="1137"/>
      <c r="AG16" s="1137"/>
      <c r="AH16" s="1137"/>
      <c r="AI16" s="1137"/>
      <c r="AJ16" s="1137"/>
      <c r="AK16" s="1137"/>
      <c r="AL16" s="1137"/>
      <c r="AM16" s="1137"/>
      <c r="AN16" s="1137"/>
      <c r="AO16" s="1137"/>
      <c r="AP16" s="1137"/>
      <c r="AQ16" s="1137"/>
      <c r="AR16" s="1137"/>
      <c r="AS16" s="1137"/>
      <c r="AT16" s="1137"/>
      <c r="AU16" s="1137"/>
      <c r="AV16" s="1137"/>
      <c r="AW16" s="1137"/>
      <c r="AX16" s="1137"/>
      <c r="AY16" s="1137"/>
      <c r="AZ16" s="1137"/>
      <c r="BA16" s="1137"/>
      <c r="BB16" s="1137"/>
      <c r="BC16" s="1137"/>
      <c r="BD16" s="1137"/>
      <c r="BE16" s="1137"/>
      <c r="BF16" s="1137"/>
      <c r="BG16" s="1137"/>
      <c r="BH16" s="1137"/>
      <c r="BI16" s="1137"/>
      <c r="BJ16" s="1137"/>
      <c r="BK16" s="1137"/>
      <c r="BL16" s="1137"/>
      <c r="BM16" s="1137"/>
      <c r="BN16" s="1137"/>
      <c r="BO16" s="1137"/>
      <c r="BP16" s="1137"/>
      <c r="BQ16" s="1137"/>
      <c r="BR16" s="1137"/>
      <c r="BS16" s="1137"/>
      <c r="BT16" s="1137"/>
      <c r="BU16" s="1137"/>
      <c r="BV16" s="1137"/>
      <c r="BW16" s="1137"/>
      <c r="BX16" s="1137"/>
      <c r="BY16" s="1137"/>
      <c r="BZ16" s="1137"/>
      <c r="CA16" s="1137"/>
      <c r="CB16" s="1137"/>
      <c r="CC16" s="1137"/>
      <c r="CD16" s="1137"/>
      <c r="CE16" s="1137"/>
      <c r="CF16" s="1137"/>
      <c r="CG16" s="1137"/>
      <c r="CH16" s="1137"/>
      <c r="CI16" s="1137"/>
      <c r="CJ16" s="1137"/>
      <c r="CK16" s="1137"/>
      <c r="CL16" s="1137"/>
      <c r="CM16" s="1137"/>
      <c r="CN16" s="1137"/>
      <c r="CO16" s="1137"/>
      <c r="CP16" s="1137"/>
      <c r="CQ16" s="1137"/>
      <c r="CR16" s="1137"/>
      <c r="CS16" s="1137"/>
    </row>
    <row r="17" spans="1:97" x14ac:dyDescent="0.25">
      <c r="B17" s="836"/>
      <c r="C17" s="836"/>
      <c r="Q17" s="1994"/>
      <c r="R17" s="1137"/>
      <c r="S17" s="1137"/>
      <c r="T17" s="1137"/>
      <c r="U17" s="1137"/>
      <c r="V17" s="1137"/>
      <c r="W17" s="1137"/>
      <c r="X17" s="1137"/>
      <c r="Y17" s="1137"/>
      <c r="Z17" s="1137"/>
      <c r="AA17" s="1137"/>
      <c r="AB17" s="1137"/>
      <c r="AC17" s="1137"/>
      <c r="AD17" s="1137"/>
      <c r="AE17" s="1137"/>
      <c r="AF17" s="1137"/>
      <c r="AG17" s="1137"/>
      <c r="AH17" s="1137"/>
      <c r="AI17" s="1137"/>
      <c r="AJ17" s="1137"/>
      <c r="AK17" s="1137"/>
      <c r="AL17" s="1137"/>
      <c r="AM17" s="1137"/>
      <c r="AN17" s="1137"/>
      <c r="AO17" s="1137"/>
      <c r="AP17" s="1137"/>
      <c r="AQ17" s="1137"/>
      <c r="AR17" s="1137"/>
      <c r="AS17" s="1137"/>
      <c r="AT17" s="1137"/>
      <c r="AU17" s="1137"/>
      <c r="AV17" s="1137"/>
      <c r="AW17" s="1137"/>
      <c r="AX17" s="1137"/>
      <c r="AY17" s="1137"/>
      <c r="AZ17" s="1137"/>
      <c r="BA17" s="1137"/>
      <c r="BB17" s="1137"/>
      <c r="BC17" s="1137"/>
      <c r="BD17" s="1137"/>
      <c r="BE17" s="1137"/>
      <c r="BF17" s="1137"/>
      <c r="BG17" s="1137"/>
      <c r="BH17" s="1137"/>
      <c r="BI17" s="1137"/>
      <c r="BJ17" s="1137"/>
      <c r="BK17" s="1137"/>
      <c r="BL17" s="1137"/>
      <c r="BM17" s="1137"/>
      <c r="BN17" s="1137"/>
      <c r="BO17" s="1137"/>
      <c r="BP17" s="1137"/>
      <c r="BQ17" s="1137"/>
      <c r="BR17" s="1137"/>
      <c r="BS17" s="1137"/>
      <c r="BT17" s="1137"/>
      <c r="BU17" s="1137"/>
      <c r="BV17" s="1137"/>
      <c r="BW17" s="1137"/>
      <c r="BX17" s="1137"/>
      <c r="BY17" s="1137"/>
      <c r="BZ17" s="1137"/>
      <c r="CA17" s="1137"/>
      <c r="CB17" s="1137"/>
      <c r="CC17" s="1137"/>
      <c r="CD17" s="1137"/>
      <c r="CE17" s="1137"/>
      <c r="CF17" s="1137"/>
      <c r="CG17" s="1137"/>
      <c r="CH17" s="1137"/>
      <c r="CI17" s="1137"/>
      <c r="CJ17" s="1137"/>
      <c r="CK17" s="1137"/>
      <c r="CL17" s="1137"/>
      <c r="CM17" s="1137"/>
      <c r="CN17" s="1137"/>
      <c r="CO17" s="1137"/>
      <c r="CP17" s="1137"/>
      <c r="CQ17" s="1137"/>
      <c r="CR17" s="1137"/>
      <c r="CS17" s="1137"/>
    </row>
    <row r="18" spans="1:97" x14ac:dyDescent="0.25">
      <c r="A18" s="509">
        <v>5</v>
      </c>
      <c r="B18" s="509" t="s">
        <v>51</v>
      </c>
      <c r="C18" s="509"/>
      <c r="Q18" s="1994"/>
      <c r="R18" s="1137"/>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1137"/>
      <c r="AS18" s="1137"/>
      <c r="AT18" s="1137"/>
      <c r="AU18" s="1137"/>
      <c r="AV18" s="1137"/>
      <c r="AW18" s="1137"/>
      <c r="AX18" s="1137"/>
      <c r="AY18" s="1137"/>
      <c r="AZ18" s="1137"/>
      <c r="BA18" s="1137"/>
      <c r="BB18" s="1137"/>
      <c r="BC18" s="1137"/>
      <c r="BD18" s="1137"/>
      <c r="BE18" s="1137"/>
      <c r="BF18" s="1137"/>
      <c r="BG18" s="1137"/>
      <c r="BH18" s="1137"/>
      <c r="BI18" s="1137"/>
      <c r="BJ18" s="1137"/>
      <c r="BK18" s="1137"/>
      <c r="BL18" s="1137"/>
      <c r="BM18" s="1137"/>
      <c r="BN18" s="1137"/>
      <c r="BO18" s="1137"/>
      <c r="BP18" s="1137"/>
      <c r="BQ18" s="1137"/>
      <c r="BR18" s="1137"/>
      <c r="BS18" s="1137"/>
      <c r="BT18" s="1137"/>
      <c r="BU18" s="1137"/>
      <c r="BV18" s="1137"/>
      <c r="BW18" s="1137"/>
      <c r="BX18" s="1137"/>
      <c r="BY18" s="1137"/>
      <c r="BZ18" s="1137"/>
      <c r="CA18" s="1137"/>
      <c r="CB18" s="1137"/>
      <c r="CC18" s="1137"/>
      <c r="CD18" s="1137"/>
      <c r="CE18" s="1137"/>
      <c r="CF18" s="1137"/>
      <c r="CG18" s="1137"/>
      <c r="CH18" s="1137"/>
      <c r="CI18" s="1137"/>
      <c r="CJ18" s="1137"/>
      <c r="CK18" s="1137"/>
      <c r="CL18" s="1137"/>
      <c r="CM18" s="1137"/>
      <c r="CN18" s="1137"/>
      <c r="CO18" s="1137"/>
      <c r="CP18" s="1137"/>
      <c r="CQ18" s="1137"/>
      <c r="CR18" s="1137"/>
      <c r="CS18" s="1137"/>
    </row>
    <row r="27" spans="1:97" x14ac:dyDescent="0.25">
      <c r="B27" s="836"/>
      <c r="C27" s="836"/>
      <c r="Q27" s="1994"/>
      <c r="R27" s="1137"/>
      <c r="S27" s="1137"/>
      <c r="T27" s="1137"/>
      <c r="U27" s="1137"/>
      <c r="V27" s="1137"/>
      <c r="W27" s="1137"/>
      <c r="X27" s="1137"/>
      <c r="Y27" s="1137"/>
      <c r="Z27" s="1137"/>
      <c r="AA27" s="1137"/>
      <c r="AB27" s="1137"/>
      <c r="AC27" s="1137"/>
      <c r="AD27" s="1137"/>
      <c r="AE27" s="1137"/>
      <c r="AF27" s="1137"/>
      <c r="AG27" s="1137"/>
      <c r="AH27" s="1137"/>
      <c r="AI27" s="1137"/>
      <c r="AJ27" s="1137"/>
      <c r="AK27" s="1137"/>
      <c r="AL27" s="1137"/>
      <c r="AM27" s="1137"/>
      <c r="AN27" s="1137"/>
      <c r="AO27" s="1137"/>
      <c r="AP27" s="1137"/>
      <c r="AQ27" s="1137"/>
      <c r="AR27" s="1137"/>
      <c r="AS27" s="1137"/>
      <c r="AT27" s="1137"/>
      <c r="AU27" s="1137"/>
      <c r="AV27" s="1137"/>
      <c r="AW27" s="1137"/>
      <c r="AX27" s="1137"/>
      <c r="AY27" s="1137"/>
      <c r="AZ27" s="1137"/>
      <c r="BA27" s="1137"/>
      <c r="BB27" s="1137"/>
      <c r="BC27" s="1137"/>
      <c r="BD27" s="1137"/>
      <c r="BE27" s="1137"/>
      <c r="BF27" s="1137"/>
      <c r="BG27" s="1137"/>
      <c r="BH27" s="1137"/>
      <c r="BI27" s="1137"/>
      <c r="BJ27" s="1137"/>
      <c r="BK27" s="1137"/>
      <c r="BL27" s="1137"/>
      <c r="BM27" s="1137"/>
      <c r="BN27" s="1137"/>
      <c r="BO27" s="1137"/>
      <c r="BP27" s="1137"/>
      <c r="BQ27" s="1137"/>
      <c r="BR27" s="1137"/>
      <c r="BS27" s="1137"/>
      <c r="BT27" s="1137"/>
      <c r="BU27" s="1137"/>
      <c r="BV27" s="1137"/>
      <c r="BW27" s="1137"/>
      <c r="BX27" s="1137"/>
      <c r="BY27" s="1137"/>
      <c r="BZ27" s="1137"/>
      <c r="CA27" s="1137"/>
      <c r="CB27" s="1137"/>
      <c r="CC27" s="1137"/>
      <c r="CD27" s="1137"/>
      <c r="CE27" s="1137"/>
      <c r="CF27" s="1137"/>
      <c r="CG27" s="1137"/>
      <c r="CH27" s="1137"/>
      <c r="CI27" s="1137"/>
      <c r="CJ27" s="1137"/>
      <c r="CK27" s="1137"/>
      <c r="CL27" s="1137"/>
      <c r="CM27" s="1137"/>
      <c r="CN27" s="1137"/>
      <c r="CO27" s="1137"/>
      <c r="CP27" s="1137"/>
      <c r="CQ27" s="1137"/>
      <c r="CR27" s="1137"/>
      <c r="CS27" s="1137"/>
    </row>
    <row r="38" spans="1:24" ht="12.75" customHeight="1" x14ac:dyDescent="0.2">
      <c r="A38" s="509">
        <v>6</v>
      </c>
      <c r="B38" s="546" t="s">
        <v>1864</v>
      </c>
      <c r="C38" s="546"/>
      <c r="D38" s="4734" t="s">
        <v>1896</v>
      </c>
      <c r="E38" s="4735"/>
      <c r="F38" s="4735"/>
      <c r="G38" s="4735"/>
      <c r="H38" s="4735"/>
      <c r="I38" s="4735"/>
      <c r="J38" s="4735"/>
      <c r="K38" s="4735"/>
      <c r="L38" s="4735"/>
      <c r="M38" s="4735"/>
      <c r="N38" s="4735"/>
      <c r="O38" s="4735"/>
      <c r="P38" s="4735"/>
      <c r="Q38" s="4735"/>
      <c r="R38" s="4735"/>
      <c r="S38" s="4735"/>
      <c r="T38" s="4735"/>
      <c r="U38" s="4735"/>
      <c r="V38" s="4736"/>
    </row>
    <row r="39" spans="1:24" ht="12.75" customHeight="1" x14ac:dyDescent="0.2">
      <c r="A39" s="509">
        <v>7</v>
      </c>
      <c r="B39" s="546" t="s">
        <v>54</v>
      </c>
      <c r="C39" s="546"/>
      <c r="D39" s="4734" t="s">
        <v>1897</v>
      </c>
      <c r="E39" s="4735"/>
      <c r="F39" s="4735"/>
      <c r="G39" s="4735"/>
      <c r="H39" s="4735"/>
      <c r="I39" s="4735"/>
      <c r="J39" s="4735"/>
      <c r="K39" s="4735"/>
      <c r="L39" s="4735"/>
      <c r="M39" s="4735"/>
      <c r="N39" s="4735"/>
      <c r="O39" s="4735"/>
      <c r="P39" s="4735"/>
      <c r="Q39" s="4735"/>
      <c r="R39" s="4735"/>
      <c r="S39" s="4735"/>
      <c r="T39" s="4735"/>
      <c r="U39" s="4735"/>
      <c r="V39" s="4736"/>
    </row>
    <row r="40" spans="1:24" ht="12.75" customHeight="1" x14ac:dyDescent="0.2">
      <c r="A40" s="509">
        <v>8</v>
      </c>
      <c r="B40" s="546" t="s">
        <v>56</v>
      </c>
      <c r="C40" s="509"/>
      <c r="D40" s="4734" t="s">
        <v>1898</v>
      </c>
      <c r="E40" s="4735"/>
      <c r="F40" s="4735"/>
      <c r="G40" s="4735"/>
      <c r="H40" s="4735"/>
      <c r="I40" s="4735"/>
      <c r="J40" s="4735"/>
      <c r="K40" s="4735"/>
      <c r="L40" s="4735"/>
      <c r="M40" s="4735"/>
      <c r="N40" s="4735"/>
      <c r="O40" s="4735"/>
      <c r="P40" s="4735"/>
      <c r="Q40" s="4735"/>
      <c r="R40" s="4735"/>
      <c r="S40" s="4735"/>
      <c r="T40" s="4735"/>
      <c r="U40" s="4735"/>
      <c r="V40" s="4736"/>
    </row>
    <row r="41" spans="1:24" ht="24.6" customHeight="1" x14ac:dyDescent="0.2">
      <c r="A41" s="509">
        <v>9</v>
      </c>
      <c r="B41" s="546" t="s">
        <v>355</v>
      </c>
      <c r="D41" s="4734" t="s">
        <v>1899</v>
      </c>
      <c r="E41" s="4735"/>
      <c r="F41" s="4735"/>
      <c r="G41" s="4735"/>
      <c r="H41" s="4735"/>
      <c r="I41" s="4735"/>
      <c r="J41" s="4735"/>
      <c r="K41" s="4735"/>
      <c r="L41" s="4735"/>
      <c r="M41" s="4735"/>
      <c r="N41" s="4735"/>
      <c r="O41" s="4735"/>
      <c r="P41" s="4735"/>
      <c r="Q41" s="4735"/>
      <c r="R41" s="4735"/>
      <c r="S41" s="4735"/>
      <c r="T41" s="4735"/>
      <c r="U41" s="4735"/>
      <c r="V41" s="4736"/>
    </row>
    <row r="45" spans="1:24" x14ac:dyDescent="0.2">
      <c r="D45" s="71" t="s">
        <v>365</v>
      </c>
      <c r="E45" s="71" t="s">
        <v>1887</v>
      </c>
      <c r="F45" s="548"/>
    </row>
    <row r="46" spans="1:24" x14ac:dyDescent="0.2">
      <c r="D46" s="2186"/>
      <c r="E46" s="3099" t="s">
        <v>15</v>
      </c>
      <c r="F46" s="3099" t="s">
        <v>16</v>
      </c>
      <c r="G46" s="3099" t="s">
        <v>17</v>
      </c>
      <c r="H46" s="3099" t="s">
        <v>1791</v>
      </c>
      <c r="I46" s="3099" t="s">
        <v>19</v>
      </c>
      <c r="J46" s="3099" t="s">
        <v>1900</v>
      </c>
      <c r="K46" s="3099" t="s">
        <v>21</v>
      </c>
      <c r="L46" s="3099" t="s">
        <v>22</v>
      </c>
      <c r="M46" s="3099" t="s">
        <v>23</v>
      </c>
      <c r="N46" s="3099" t="s">
        <v>24</v>
      </c>
      <c r="O46" s="3099" t="s">
        <v>25</v>
      </c>
      <c r="P46" s="3099" t="s">
        <v>26</v>
      </c>
      <c r="Q46" s="3099" t="s">
        <v>27</v>
      </c>
      <c r="R46" s="3099" t="s">
        <v>28</v>
      </c>
      <c r="S46" s="3099" t="s">
        <v>29</v>
      </c>
      <c r="T46" s="3099" t="s">
        <v>30</v>
      </c>
      <c r="U46" s="3099" t="s">
        <v>31</v>
      </c>
      <c r="V46" s="3099" t="s">
        <v>32</v>
      </c>
      <c r="W46" s="3099" t="s">
        <v>33</v>
      </c>
      <c r="X46" s="3165" t="s">
        <v>59</v>
      </c>
    </row>
    <row r="47" spans="1:24" x14ac:dyDescent="0.2">
      <c r="D47" s="1456" t="s">
        <v>1889</v>
      </c>
      <c r="E47" s="1988">
        <v>14691</v>
      </c>
      <c r="F47" s="1988">
        <v>13793</v>
      </c>
      <c r="G47" s="1988">
        <v>12434</v>
      </c>
      <c r="H47" s="1988">
        <v>12825</v>
      </c>
      <c r="I47" s="1988">
        <v>13599</v>
      </c>
      <c r="J47" s="1988">
        <v>14201</v>
      </c>
      <c r="K47" s="1988">
        <v>14915</v>
      </c>
      <c r="L47" s="1988">
        <v>13902</v>
      </c>
      <c r="M47" s="1988">
        <v>10627</v>
      </c>
      <c r="N47" s="1988">
        <v>9475</v>
      </c>
      <c r="O47" s="1988">
        <v>9990</v>
      </c>
      <c r="P47" s="1988">
        <v>11221</v>
      </c>
      <c r="Q47" s="1988">
        <v>12773</v>
      </c>
      <c r="R47" s="1988">
        <v>14602</v>
      </c>
      <c r="S47" s="1988">
        <v>16717</v>
      </c>
      <c r="T47" s="1988">
        <v>16325</v>
      </c>
      <c r="U47" s="1988">
        <f t="shared" ref="U47:U53" si="2">U8</f>
        <v>16026</v>
      </c>
      <c r="V47" s="1988">
        <v>18162</v>
      </c>
      <c r="W47" s="1988">
        <v>16731</v>
      </c>
      <c r="X47" s="1988">
        <v>20923</v>
      </c>
    </row>
    <row r="48" spans="1:24" x14ac:dyDescent="0.2">
      <c r="D48" s="1456" t="s">
        <v>1890</v>
      </c>
      <c r="E48" s="1988">
        <v>986</v>
      </c>
      <c r="F48" s="1988">
        <v>901</v>
      </c>
      <c r="G48" s="1988">
        <v>930</v>
      </c>
      <c r="H48" s="1988">
        <v>829</v>
      </c>
      <c r="I48" s="1988">
        <v>892</v>
      </c>
      <c r="J48" s="1988">
        <v>1245</v>
      </c>
      <c r="K48" s="1988">
        <v>1437</v>
      </c>
      <c r="L48" s="1988">
        <v>1412</v>
      </c>
      <c r="M48" s="1988">
        <v>999</v>
      </c>
      <c r="N48" s="1988">
        <v>821</v>
      </c>
      <c r="O48" s="1988">
        <v>943</v>
      </c>
      <c r="P48" s="1988">
        <v>991</v>
      </c>
      <c r="Q48" s="1988">
        <v>1279</v>
      </c>
      <c r="R48" s="1988">
        <v>1184</v>
      </c>
      <c r="S48" s="1988">
        <v>1183</v>
      </c>
      <c r="T48" s="1988">
        <v>1202</v>
      </c>
      <c r="U48" s="1988">
        <f t="shared" si="2"/>
        <v>1182</v>
      </c>
      <c r="V48" s="1988">
        <v>1202</v>
      </c>
      <c r="W48" s="1988">
        <v>1397</v>
      </c>
      <c r="X48" s="1988">
        <v>1741</v>
      </c>
    </row>
    <row r="49" spans="4:26" ht="22.5" x14ac:dyDescent="0.2">
      <c r="D49" s="1456" t="s">
        <v>1901</v>
      </c>
      <c r="E49" s="1988">
        <v>374</v>
      </c>
      <c r="F49" s="1988">
        <v>192</v>
      </c>
      <c r="G49" s="1988">
        <v>220</v>
      </c>
      <c r="H49" s="1988">
        <v>383</v>
      </c>
      <c r="I49" s="1988">
        <v>467</v>
      </c>
      <c r="J49" s="1988">
        <v>395</v>
      </c>
      <c r="K49" s="1988">
        <v>386</v>
      </c>
      <c r="L49" s="1988">
        <v>358</v>
      </c>
      <c r="M49" s="1988">
        <v>291</v>
      </c>
      <c r="N49" s="1988">
        <v>182</v>
      </c>
      <c r="O49" s="1988">
        <v>145</v>
      </c>
      <c r="P49" s="1988">
        <v>145</v>
      </c>
      <c r="Q49" s="1988">
        <v>119</v>
      </c>
      <c r="R49" s="1988">
        <v>137</v>
      </c>
      <c r="S49" s="1988">
        <v>152</v>
      </c>
      <c r="T49" s="1988">
        <v>238</v>
      </c>
      <c r="U49" s="1988">
        <f t="shared" si="2"/>
        <v>183</v>
      </c>
      <c r="V49" s="1988">
        <v>164</v>
      </c>
      <c r="W49" s="1988">
        <v>195</v>
      </c>
      <c r="X49" s="1988">
        <v>238</v>
      </c>
    </row>
    <row r="50" spans="4:26" x14ac:dyDescent="0.2">
      <c r="D50" s="1456" t="s">
        <v>1892</v>
      </c>
      <c r="E50" s="1996"/>
      <c r="F50" s="1996"/>
      <c r="G50" s="1996">
        <v>100436</v>
      </c>
      <c r="H50" s="1996">
        <v>91070</v>
      </c>
      <c r="I50" s="1996">
        <v>92021</v>
      </c>
      <c r="J50" s="1996">
        <v>77984</v>
      </c>
      <c r="K50" s="1996">
        <v>72194</v>
      </c>
      <c r="L50" s="1996">
        <v>67670</v>
      </c>
      <c r="M50" s="1996">
        <v>57951</v>
      </c>
      <c r="N50" s="1996">
        <v>57973</v>
      </c>
      <c r="O50" s="1996">
        <v>60476</v>
      </c>
      <c r="P50" s="1996">
        <v>69240</v>
      </c>
      <c r="Q50" s="1988">
        <v>54927</v>
      </c>
      <c r="R50" s="1988">
        <v>54110</v>
      </c>
      <c r="S50" s="1988">
        <v>53418</v>
      </c>
      <c r="T50" s="1988">
        <v>50730</v>
      </c>
      <c r="U50" s="1988">
        <f t="shared" si="2"/>
        <v>51765</v>
      </c>
      <c r="V50" s="1988">
        <v>51825</v>
      </c>
      <c r="W50" s="1988">
        <v>37648</v>
      </c>
      <c r="X50" s="1988">
        <v>41600</v>
      </c>
    </row>
    <row r="51" spans="4:26" x14ac:dyDescent="0.2">
      <c r="D51" s="1456" t="s">
        <v>1893</v>
      </c>
      <c r="E51" s="1988">
        <v>127</v>
      </c>
      <c r="F51" s="1988">
        <v>54</v>
      </c>
      <c r="G51" s="1988">
        <v>58</v>
      </c>
      <c r="H51" s="1988">
        <v>59</v>
      </c>
      <c r="I51" s="1988">
        <v>129</v>
      </c>
      <c r="J51" s="1988">
        <v>144</v>
      </c>
      <c r="K51" s="1988">
        <v>102</v>
      </c>
      <c r="L51" s="1988">
        <v>93</v>
      </c>
      <c r="M51" s="1988">
        <v>39</v>
      </c>
      <c r="N51" s="1988">
        <v>35</v>
      </c>
      <c r="O51" s="1988">
        <v>7</v>
      </c>
      <c r="P51" s="1988">
        <v>21</v>
      </c>
      <c r="Q51" s="1988">
        <v>17</v>
      </c>
      <c r="R51" s="1988">
        <v>6</v>
      </c>
      <c r="S51" s="1988">
        <v>3</v>
      </c>
      <c r="T51" s="1988">
        <v>13</v>
      </c>
      <c r="U51" s="1988">
        <f t="shared" si="2"/>
        <v>4</v>
      </c>
      <c r="V51" s="1988">
        <v>0</v>
      </c>
      <c r="W51" s="1988">
        <v>2</v>
      </c>
      <c r="X51" s="1988">
        <v>13</v>
      </c>
    </row>
    <row r="52" spans="4:26" ht="22.5" x14ac:dyDescent="0.2">
      <c r="D52" s="1456" t="s">
        <v>1894</v>
      </c>
      <c r="E52" s="1988">
        <v>9063</v>
      </c>
      <c r="F52" s="1988">
        <v>9351</v>
      </c>
      <c r="G52" s="1988">
        <v>9391</v>
      </c>
      <c r="H52" s="1988">
        <v>10173</v>
      </c>
      <c r="I52" s="1988">
        <v>12761</v>
      </c>
      <c r="J52" s="1988">
        <v>14481</v>
      </c>
      <c r="K52" s="1988">
        <v>18438</v>
      </c>
      <c r="L52" s="1988">
        <v>18786</v>
      </c>
      <c r="M52" s="1988">
        <v>16889</v>
      </c>
      <c r="N52" s="1988">
        <v>16766</v>
      </c>
      <c r="O52" s="1988">
        <v>17950</v>
      </c>
      <c r="P52" s="1988">
        <v>19284</v>
      </c>
      <c r="Q52" s="1988">
        <v>20281</v>
      </c>
      <c r="R52" s="1988">
        <v>20820</v>
      </c>
      <c r="S52" s="1988">
        <v>22343</v>
      </c>
      <c r="T52" s="1988">
        <v>22261</v>
      </c>
      <c r="U52" s="1988">
        <f t="shared" si="2"/>
        <v>22431</v>
      </c>
      <c r="V52" s="1988">
        <v>21130</v>
      </c>
      <c r="W52" s="1988">
        <v>20870</v>
      </c>
      <c r="X52" s="1988">
        <v>21832</v>
      </c>
    </row>
    <row r="53" spans="4:26" ht="22.5" x14ac:dyDescent="0.2">
      <c r="D53" s="1990" t="s">
        <v>1895</v>
      </c>
      <c r="E53" s="1991">
        <v>5498</v>
      </c>
      <c r="F53" s="1991">
        <v>3677</v>
      </c>
      <c r="G53" s="1991">
        <v>3320</v>
      </c>
      <c r="H53" s="1991">
        <v>4387</v>
      </c>
      <c r="I53" s="1991">
        <v>6689</v>
      </c>
      <c r="J53" s="1991">
        <v>9862</v>
      </c>
      <c r="K53" s="1991">
        <v>13920</v>
      </c>
      <c r="L53" s="1991">
        <v>14534</v>
      </c>
      <c r="M53" s="1991">
        <v>14667</v>
      </c>
      <c r="N53" s="1991">
        <v>15951</v>
      </c>
      <c r="O53" s="1991">
        <v>16377</v>
      </c>
      <c r="P53" s="1991">
        <v>18615</v>
      </c>
      <c r="Q53" s="1991">
        <v>19170</v>
      </c>
      <c r="R53" s="1991">
        <v>19698</v>
      </c>
      <c r="S53" s="1991">
        <v>20680</v>
      </c>
      <c r="T53" s="1991">
        <v>20047</v>
      </c>
      <c r="U53" s="1991">
        <f t="shared" si="2"/>
        <v>19991</v>
      </c>
      <c r="V53" s="1991">
        <v>20651</v>
      </c>
      <c r="W53" s="1991">
        <v>18231</v>
      </c>
      <c r="X53" s="1991">
        <v>20012</v>
      </c>
    </row>
    <row r="54" spans="4:26" x14ac:dyDescent="0.2">
      <c r="Z54" s="669"/>
    </row>
    <row r="55" spans="4:26" x14ac:dyDescent="0.2">
      <c r="F55" s="1997">
        <v>12783</v>
      </c>
      <c r="G55" s="1997">
        <v>13534</v>
      </c>
      <c r="H55" s="1997">
        <v>14152</v>
      </c>
      <c r="I55" s="1997">
        <v>14855</v>
      </c>
      <c r="J55" s="1997">
        <v>13852</v>
      </c>
      <c r="K55" s="1997">
        <v>10541</v>
      </c>
      <c r="L55" s="1997">
        <v>9417</v>
      </c>
      <c r="M55" s="1997">
        <v>9931</v>
      </c>
      <c r="N55" s="1997">
        <v>11180</v>
      </c>
      <c r="O55" s="1997">
        <v>12773</v>
      </c>
      <c r="P55" s="1997">
        <v>1593</v>
      </c>
      <c r="Q55" s="1998"/>
    </row>
    <row r="56" spans="4:26" x14ac:dyDescent="0.2">
      <c r="F56" s="760"/>
      <c r="G56" s="760"/>
      <c r="H56" s="760"/>
      <c r="I56" s="760"/>
      <c r="J56" s="760"/>
      <c r="K56" s="760"/>
      <c r="L56" s="760"/>
      <c r="M56" s="760"/>
      <c r="N56" s="760"/>
      <c r="O56" s="760"/>
      <c r="P56" s="760"/>
      <c r="Q56" s="1999"/>
    </row>
    <row r="57" spans="4:26" x14ac:dyDescent="0.2">
      <c r="D57" s="71" t="s">
        <v>365</v>
      </c>
      <c r="E57" s="71" t="s">
        <v>1887</v>
      </c>
      <c r="F57" s="548"/>
    </row>
    <row r="58" spans="4:26" x14ac:dyDescent="0.2">
      <c r="D58" s="2186"/>
      <c r="E58" s="3176" t="s">
        <v>17</v>
      </c>
      <c r="F58" s="3176" t="s">
        <v>18</v>
      </c>
      <c r="G58" s="3176" t="s">
        <v>19</v>
      </c>
      <c r="H58" s="3176" t="s">
        <v>20</v>
      </c>
      <c r="I58" s="3176" t="s">
        <v>21</v>
      </c>
      <c r="J58" s="3176" t="s">
        <v>22</v>
      </c>
      <c r="K58" s="3176" t="s">
        <v>23</v>
      </c>
      <c r="L58" s="3176" t="s">
        <v>24</v>
      </c>
      <c r="M58" s="3176" t="s">
        <v>25</v>
      </c>
      <c r="N58" s="3176" t="s">
        <v>26</v>
      </c>
      <c r="O58" s="3176" t="s">
        <v>27</v>
      </c>
      <c r="P58" s="3176" t="s">
        <v>28</v>
      </c>
      <c r="Q58" s="3176" t="s">
        <v>29</v>
      </c>
      <c r="R58" s="3176" t="s">
        <v>30</v>
      </c>
      <c r="S58" s="3176" t="s">
        <v>31</v>
      </c>
      <c r="T58" s="3176" t="s">
        <v>32</v>
      </c>
      <c r="U58" s="3176" t="s">
        <v>33</v>
      </c>
      <c r="V58" s="3176" t="s">
        <v>59</v>
      </c>
    </row>
    <row r="59" spans="4:26" x14ac:dyDescent="0.2">
      <c r="D59" s="1456" t="s">
        <v>1889</v>
      </c>
      <c r="E59" s="2000">
        <v>100</v>
      </c>
      <c r="F59" s="2000">
        <f>+H47/$G47*100</f>
        <v>103.1446035065144</v>
      </c>
      <c r="G59" s="2000">
        <f>+I47/$G47*100</f>
        <v>109.3694708058549</v>
      </c>
      <c r="H59" s="2000">
        <f>+J47/$G47*100</f>
        <v>114.21103426089753</v>
      </c>
      <c r="I59" s="2000">
        <f>+K47/$G47*100</f>
        <v>119.953353707576</v>
      </c>
      <c r="J59" s="2000">
        <f t="shared" ref="J59:N65" si="3">+L47/$G47*100</f>
        <v>111.80633746179829</v>
      </c>
      <c r="K59" s="2000">
        <f t="shared" si="3"/>
        <v>85.467267170661088</v>
      </c>
      <c r="L59" s="2000">
        <f t="shared" si="3"/>
        <v>76.202348399549621</v>
      </c>
      <c r="M59" s="2000">
        <f t="shared" si="3"/>
        <v>80.344217468232273</v>
      </c>
      <c r="N59" s="2000">
        <f>+P47/$G47*100</f>
        <v>90.244490912015436</v>
      </c>
      <c r="O59" s="2000">
        <f>+Q47/$G47*100</f>
        <v>102.72639536754062</v>
      </c>
      <c r="P59" s="2000">
        <f t="shared" ref="P59:V65" si="4">+R47/$G47*100</f>
        <v>117.43606240952226</v>
      </c>
      <c r="Q59" s="2000">
        <f t="shared" si="4"/>
        <v>134.44587421585973</v>
      </c>
      <c r="R59" s="2000">
        <f t="shared" si="4"/>
        <v>131.29322824513432</v>
      </c>
      <c r="S59" s="2000">
        <f t="shared" si="4"/>
        <v>128.88853144603507</v>
      </c>
      <c r="T59" s="2000">
        <f t="shared" si="4"/>
        <v>146.06723500080426</v>
      </c>
      <c r="U59" s="2000">
        <f t="shared" si="4"/>
        <v>134.55846871481424</v>
      </c>
      <c r="V59" s="2000">
        <f>+X47/$G47*100</f>
        <v>168.27247868746983</v>
      </c>
    </row>
    <row r="60" spans="4:26" x14ac:dyDescent="0.2">
      <c r="D60" s="1456" t="s">
        <v>1890</v>
      </c>
      <c r="E60" s="2000">
        <v>100</v>
      </c>
      <c r="F60" s="2000">
        <f t="shared" ref="F60:I65" si="5">+H48/$G48*100</f>
        <v>89.13978494623656</v>
      </c>
      <c r="G60" s="2000">
        <f t="shared" si="5"/>
        <v>95.913978494623649</v>
      </c>
      <c r="H60" s="2000">
        <f t="shared" si="5"/>
        <v>133.87096774193549</v>
      </c>
      <c r="I60" s="2000">
        <f t="shared" si="5"/>
        <v>154.51612903225808</v>
      </c>
      <c r="J60" s="2000">
        <f t="shared" si="3"/>
        <v>151.82795698924733</v>
      </c>
      <c r="K60" s="2000">
        <f t="shared" si="3"/>
        <v>107.41935483870968</v>
      </c>
      <c r="L60" s="2000">
        <f>+N48/$G48*100</f>
        <v>88.27956989247312</v>
      </c>
      <c r="M60" s="2000">
        <f t="shared" si="3"/>
        <v>101.39784946236558</v>
      </c>
      <c r="N60" s="2000">
        <f>+P48/$G48*100</f>
        <v>106.55913978494624</v>
      </c>
      <c r="O60" s="2000">
        <f t="shared" ref="O60:O65" si="6">+Q48/$G48*100</f>
        <v>137.52688172043011</v>
      </c>
      <c r="P60" s="2000">
        <f t="shared" si="4"/>
        <v>127.31182795698925</v>
      </c>
      <c r="Q60" s="2000">
        <f t="shared" si="4"/>
        <v>127.20430107526882</v>
      </c>
      <c r="R60" s="2000">
        <f t="shared" si="4"/>
        <v>129.24731182795699</v>
      </c>
      <c r="S60" s="2000">
        <f t="shared" si="4"/>
        <v>127.09677419354838</v>
      </c>
      <c r="T60" s="2000">
        <f t="shared" si="4"/>
        <v>129.24731182795699</v>
      </c>
      <c r="U60" s="2000">
        <f t="shared" si="4"/>
        <v>150.21505376344086</v>
      </c>
      <c r="V60" s="2000">
        <f t="shared" si="4"/>
        <v>187.20430107526883</v>
      </c>
    </row>
    <row r="61" spans="4:26" ht="22.5" x14ac:dyDescent="0.2">
      <c r="D61" s="1456" t="s">
        <v>1901</v>
      </c>
      <c r="E61" s="2000">
        <v>100</v>
      </c>
      <c r="F61" s="2000">
        <f t="shared" si="5"/>
        <v>174.09090909090909</v>
      </c>
      <c r="G61" s="2000">
        <f t="shared" si="5"/>
        <v>212.27272727272725</v>
      </c>
      <c r="H61" s="2000">
        <f t="shared" si="5"/>
        <v>179.54545454545453</v>
      </c>
      <c r="I61" s="2000">
        <f t="shared" si="5"/>
        <v>175.45454545454547</v>
      </c>
      <c r="J61" s="2000">
        <f t="shared" si="3"/>
        <v>162.72727272727272</v>
      </c>
      <c r="K61" s="2000">
        <f t="shared" si="3"/>
        <v>132.27272727272728</v>
      </c>
      <c r="L61" s="2000">
        <f t="shared" si="3"/>
        <v>82.727272727272734</v>
      </c>
      <c r="M61" s="2000">
        <f t="shared" si="3"/>
        <v>65.909090909090907</v>
      </c>
      <c r="N61" s="2000">
        <f t="shared" si="3"/>
        <v>65.909090909090907</v>
      </c>
      <c r="O61" s="2000">
        <f t="shared" si="6"/>
        <v>54.090909090909086</v>
      </c>
      <c r="P61" s="2000">
        <f t="shared" si="4"/>
        <v>62.272727272727266</v>
      </c>
      <c r="Q61" s="2000">
        <f t="shared" si="4"/>
        <v>69.090909090909093</v>
      </c>
      <c r="R61" s="2000">
        <f t="shared" si="4"/>
        <v>108.18181818181817</v>
      </c>
      <c r="S61" s="2000">
        <f t="shared" si="4"/>
        <v>83.181818181818173</v>
      </c>
      <c r="T61" s="2000">
        <f t="shared" si="4"/>
        <v>74.545454545454547</v>
      </c>
      <c r="U61" s="2000">
        <f t="shared" si="4"/>
        <v>88.63636363636364</v>
      </c>
      <c r="V61" s="2000">
        <f t="shared" si="4"/>
        <v>108.18181818181817</v>
      </c>
    </row>
    <row r="62" spans="4:26" x14ac:dyDescent="0.2">
      <c r="D62" s="1456" t="s">
        <v>1892</v>
      </c>
      <c r="E62" s="2000">
        <v>100</v>
      </c>
      <c r="F62" s="2000">
        <f t="shared" si="5"/>
        <v>90.674658488988015</v>
      </c>
      <c r="G62" s="2000">
        <f t="shared" si="5"/>
        <v>91.621530128639122</v>
      </c>
      <c r="H62" s="2000">
        <f t="shared" si="5"/>
        <v>77.645465769246087</v>
      </c>
      <c r="I62" s="2000">
        <f t="shared" si="5"/>
        <v>71.880600581464819</v>
      </c>
      <c r="J62" s="2000">
        <f t="shared" si="3"/>
        <v>67.376239595364211</v>
      </c>
      <c r="K62" s="2000">
        <f t="shared" si="3"/>
        <v>57.699430483093714</v>
      </c>
      <c r="L62" s="2000">
        <f t="shared" si="3"/>
        <v>57.721334979489427</v>
      </c>
      <c r="M62" s="2000">
        <f t="shared" si="3"/>
        <v>60.213469273965515</v>
      </c>
      <c r="N62" s="2000">
        <f t="shared" si="3"/>
        <v>68.939424110876573</v>
      </c>
      <c r="O62" s="2000">
        <f t="shared" si="6"/>
        <v>54.688557887610024</v>
      </c>
      <c r="P62" s="2000">
        <f t="shared" si="4"/>
        <v>53.875104544187344</v>
      </c>
      <c r="Q62" s="2000">
        <f t="shared" si="4"/>
        <v>53.186108566649402</v>
      </c>
      <c r="R62" s="2000">
        <f t="shared" si="4"/>
        <v>50.509777370663912</v>
      </c>
      <c r="S62" s="2000">
        <f t="shared" si="4"/>
        <v>51.540284360189567</v>
      </c>
      <c r="T62" s="2000">
        <f t="shared" si="4"/>
        <v>51.600023895814253</v>
      </c>
      <c r="U62" s="2000">
        <f t="shared" si="4"/>
        <v>37.484567286630295</v>
      </c>
      <c r="V62" s="2000">
        <f t="shared" si="4"/>
        <v>41.419411366442311</v>
      </c>
    </row>
    <row r="63" spans="4:26" x14ac:dyDescent="0.2">
      <c r="D63" s="1456" t="s">
        <v>1893</v>
      </c>
      <c r="E63" s="2000">
        <v>100</v>
      </c>
      <c r="F63" s="2000">
        <f t="shared" si="5"/>
        <v>101.72413793103448</v>
      </c>
      <c r="G63" s="2000">
        <f t="shared" si="5"/>
        <v>222.41379310344826</v>
      </c>
      <c r="H63" s="2000">
        <f t="shared" si="5"/>
        <v>248.27586206896552</v>
      </c>
      <c r="I63" s="2000">
        <f t="shared" si="5"/>
        <v>175.86206896551724</v>
      </c>
      <c r="J63" s="2000">
        <f t="shared" si="3"/>
        <v>160.34482758620689</v>
      </c>
      <c r="K63" s="2000">
        <f t="shared" si="3"/>
        <v>67.241379310344826</v>
      </c>
      <c r="L63" s="2000">
        <f t="shared" si="3"/>
        <v>60.344827586206897</v>
      </c>
      <c r="M63" s="2000">
        <f t="shared" si="3"/>
        <v>12.068965517241379</v>
      </c>
      <c r="N63" s="2000">
        <f t="shared" si="3"/>
        <v>36.206896551724135</v>
      </c>
      <c r="O63" s="2000">
        <f t="shared" si="6"/>
        <v>29.310344827586203</v>
      </c>
      <c r="P63" s="2000">
        <f t="shared" si="4"/>
        <v>10.344827586206897</v>
      </c>
      <c r="Q63" s="2000">
        <f t="shared" si="4"/>
        <v>5.1724137931034484</v>
      </c>
      <c r="R63" s="2000">
        <f t="shared" si="4"/>
        <v>22.413793103448278</v>
      </c>
      <c r="S63" s="2000">
        <f t="shared" si="4"/>
        <v>6.8965517241379306</v>
      </c>
      <c r="T63" s="2000">
        <f t="shared" si="4"/>
        <v>0</v>
      </c>
      <c r="U63" s="2000">
        <f t="shared" si="4"/>
        <v>3.4482758620689653</v>
      </c>
      <c r="V63" s="2000">
        <f t="shared" si="4"/>
        <v>22.413793103448278</v>
      </c>
    </row>
    <row r="64" spans="4:26" ht="22.5" x14ac:dyDescent="0.2">
      <c r="D64" s="1456" t="s">
        <v>1894</v>
      </c>
      <c r="E64" s="2000">
        <v>100</v>
      </c>
      <c r="F64" s="2000">
        <f t="shared" si="5"/>
        <v>108.32712171227772</v>
      </c>
      <c r="G64" s="2000">
        <f t="shared" si="5"/>
        <v>135.88542221275691</v>
      </c>
      <c r="H64" s="2000"/>
      <c r="I64" s="2000">
        <f t="shared" si="5"/>
        <v>196.33691832605686</v>
      </c>
      <c r="J64" s="2000">
        <f t="shared" si="3"/>
        <v>200.04259397295283</v>
      </c>
      <c r="K64" s="2000">
        <f t="shared" si="3"/>
        <v>179.84240230007453</v>
      </c>
      <c r="L64" s="2000">
        <f t="shared" si="3"/>
        <v>178.53263763177509</v>
      </c>
      <c r="M64" s="2000">
        <f t="shared" si="3"/>
        <v>191.14045362581194</v>
      </c>
      <c r="N64" s="2000">
        <f t="shared" si="3"/>
        <v>205.34554360557982</v>
      </c>
      <c r="O64" s="2000">
        <f t="shared" si="6"/>
        <v>215.96209136407199</v>
      </c>
      <c r="P64" s="2000">
        <f t="shared" si="4"/>
        <v>221.70162921946545</v>
      </c>
      <c r="Q64" s="2000">
        <f t="shared" si="4"/>
        <v>237.91928442125442</v>
      </c>
      <c r="R64" s="2000">
        <f t="shared" si="4"/>
        <v>237.04610797572144</v>
      </c>
      <c r="S64" s="2000">
        <f t="shared" si="4"/>
        <v>238.85635182621661</v>
      </c>
      <c r="T64" s="2000">
        <f t="shared" si="4"/>
        <v>225.00266212330956</v>
      </c>
      <c r="U64" s="2000">
        <f t="shared" si="4"/>
        <v>222.23405388137581</v>
      </c>
      <c r="V64" s="2000">
        <f t="shared" si="4"/>
        <v>232.47790437653072</v>
      </c>
    </row>
    <row r="65" spans="4:22" ht="22.5" x14ac:dyDescent="0.2">
      <c r="D65" s="1990" t="s">
        <v>1895</v>
      </c>
      <c r="E65" s="2001">
        <v>100</v>
      </c>
      <c r="F65" s="2001">
        <f t="shared" si="5"/>
        <v>132.13855421686748</v>
      </c>
      <c r="G65" s="2001">
        <f t="shared" si="5"/>
        <v>201.47590361445782</v>
      </c>
      <c r="H65" s="2001">
        <f t="shared" si="5"/>
        <v>297.0481927710843</v>
      </c>
      <c r="I65" s="2001">
        <f t="shared" si="5"/>
        <v>419.2771084337349</v>
      </c>
      <c r="J65" s="2001">
        <f t="shared" si="3"/>
        <v>437.77108433734941</v>
      </c>
      <c r="K65" s="2001">
        <f t="shared" si="3"/>
        <v>441.77710843373495</v>
      </c>
      <c r="L65" s="2001">
        <f t="shared" si="3"/>
        <v>480.4518072289157</v>
      </c>
      <c r="M65" s="2001">
        <f t="shared" si="3"/>
        <v>493.2831325301205</v>
      </c>
      <c r="N65" s="2001">
        <f t="shared" si="3"/>
        <v>560.69277108433732</v>
      </c>
      <c r="O65" s="2001">
        <f t="shared" si="6"/>
        <v>577.40963855421694</v>
      </c>
      <c r="P65" s="2001">
        <f t="shared" si="4"/>
        <v>593.31325301204822</v>
      </c>
      <c r="Q65" s="2001">
        <f t="shared" si="4"/>
        <v>622.89156626506031</v>
      </c>
      <c r="R65" s="2001">
        <f t="shared" si="4"/>
        <v>603.82530120481931</v>
      </c>
      <c r="S65" s="2001">
        <f t="shared" si="4"/>
        <v>602.13855421686753</v>
      </c>
      <c r="T65" s="2001">
        <f t="shared" si="4"/>
        <v>622.01807228915663</v>
      </c>
      <c r="U65" s="2001">
        <f t="shared" si="4"/>
        <v>549.12650602409633</v>
      </c>
      <c r="V65" s="2001">
        <f t="shared" si="4"/>
        <v>602.77108433734941</v>
      </c>
    </row>
  </sheetData>
  <mergeCells count="7">
    <mergeCell ref="D41:V41"/>
    <mergeCell ref="D2:V2"/>
    <mergeCell ref="D3:V3"/>
    <mergeCell ref="D4:V4"/>
    <mergeCell ref="D38:V38"/>
    <mergeCell ref="D39:V39"/>
    <mergeCell ref="D40:V40"/>
  </mergeCells>
  <pageMargins left="0.74803149606299202" right="0.74803149606299202" top="0.98425196850393704" bottom="0.98425196850393704" header="0.511811023622047" footer="0.511811023622047"/>
  <pageSetup paperSize="9" scale="58" fitToHeight="0" orientation="landscape" r:id="rId1"/>
  <headerFooter alignWithMargins="0">
    <oddHeader>&amp;C&amp;"-,Bold"DEVELOPMENT INDICATORS 2014</oddHeader>
    <oddFooter>&amp;LDepartment of Planning, Monitoring and Evaluation (DPME). &amp;CPage &amp;P of &amp;N&amp;R&amp;D</oddFooter>
  </headerFooter>
  <rowBreaks count="1" manualBreakCount="1">
    <brk id="4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EDFB-0FC8-4C67-BA6A-9326601A51A4}">
  <sheetPr>
    <tabColor rgb="FFFFC000"/>
    <pageSetUpPr fitToPage="1"/>
  </sheetPr>
  <dimension ref="A1:AH87"/>
  <sheetViews>
    <sheetView showGridLines="0" view="pageBreakPreview" zoomScaleNormal="100" zoomScaleSheetLayoutView="100" workbookViewId="0">
      <selection activeCell="AP87" sqref="AP87"/>
    </sheetView>
  </sheetViews>
  <sheetFormatPr defaultColWidth="9.140625" defaultRowHeight="15" x14ac:dyDescent="0.25"/>
  <cols>
    <col min="1" max="1" width="3.85546875" style="69" customWidth="1"/>
    <col min="2" max="2" width="12.85546875" style="66" customWidth="1"/>
    <col min="3" max="3" width="3.85546875" style="67" customWidth="1"/>
    <col min="4" max="4" width="8.140625" style="4" customWidth="1"/>
    <col min="5" max="5" width="4.140625" style="4" customWidth="1"/>
    <col min="6" max="6" width="5" style="4" customWidth="1"/>
    <col min="7" max="7" width="6.42578125" style="4" customWidth="1"/>
    <col min="8" max="22" width="7.85546875" style="4" customWidth="1"/>
    <col min="23" max="23" width="6" style="4" customWidth="1"/>
    <col min="24" max="24" width="5.85546875" style="4" customWidth="1"/>
    <col min="25" max="25" width="6.140625" style="4" customWidth="1"/>
    <col min="26" max="26" width="6.42578125" style="4" customWidth="1"/>
    <col min="27" max="27" width="5.140625" style="4" customWidth="1"/>
    <col min="28" max="28" width="5" style="4" customWidth="1"/>
    <col min="29" max="29" width="6.85546875" style="4" customWidth="1"/>
    <col min="30" max="32" width="6.5703125" style="4" customWidth="1"/>
    <col min="33" max="33" width="6.140625" style="4" customWidth="1"/>
    <col min="34" max="34" width="6.85546875" style="4" customWidth="1"/>
    <col min="35" max="16384" width="9.140625" style="4"/>
  </cols>
  <sheetData>
    <row r="1" spans="1:34" x14ac:dyDescent="0.25">
      <c r="A1" s="65"/>
      <c r="D1" s="68"/>
      <c r="E1" s="68"/>
      <c r="F1" s="68"/>
      <c r="G1" s="68"/>
      <c r="H1" s="68"/>
      <c r="I1" s="68"/>
      <c r="J1" s="68"/>
      <c r="K1" s="68"/>
      <c r="L1" s="68"/>
      <c r="M1" s="68"/>
      <c r="N1" s="68"/>
      <c r="O1" s="68"/>
      <c r="P1" s="68"/>
      <c r="Q1" s="68"/>
      <c r="R1" s="68"/>
      <c r="S1" s="68"/>
      <c r="T1" s="68"/>
      <c r="U1" s="68"/>
      <c r="V1" s="68"/>
      <c r="W1" s="68"/>
    </row>
    <row r="2" spans="1:34" ht="12.75" customHeight="1" x14ac:dyDescent="0.25">
      <c r="A2" s="69">
        <v>1</v>
      </c>
      <c r="B2" s="70" t="s">
        <v>361</v>
      </c>
      <c r="C2" s="69">
        <v>8</v>
      </c>
      <c r="D2" s="4674" t="s">
        <v>362</v>
      </c>
      <c r="E2" s="4675"/>
      <c r="F2" s="4675"/>
      <c r="G2" s="4675"/>
      <c r="H2" s="4675"/>
      <c r="I2" s="4675"/>
      <c r="J2" s="4675"/>
      <c r="K2" s="4675"/>
      <c r="L2" s="4675"/>
      <c r="M2" s="4675"/>
      <c r="N2" s="4675"/>
      <c r="O2" s="4675"/>
      <c r="P2" s="4675"/>
      <c r="Q2" s="4675"/>
      <c r="R2" s="4675"/>
      <c r="S2" s="4675"/>
      <c r="T2" s="4675"/>
      <c r="U2" s="4675"/>
      <c r="V2" s="4675"/>
      <c r="W2" s="4675"/>
      <c r="X2" s="4675"/>
      <c r="Y2" s="4675"/>
      <c r="Z2" s="4675"/>
      <c r="AA2" s="4675"/>
      <c r="AB2" s="4675"/>
      <c r="AC2" s="4675"/>
      <c r="AD2" s="4676"/>
      <c r="AE2" s="180"/>
      <c r="AF2" s="180"/>
    </row>
    <row r="3" spans="1:34" ht="12.75" customHeight="1" x14ac:dyDescent="0.25">
      <c r="A3" s="69">
        <v>2</v>
      </c>
      <c r="B3" s="70" t="s">
        <v>363</v>
      </c>
      <c r="C3" s="69"/>
      <c r="D3" s="4677" t="s">
        <v>315</v>
      </c>
      <c r="E3" s="4678"/>
      <c r="F3" s="4678"/>
      <c r="G3" s="4678"/>
      <c r="H3" s="4678"/>
      <c r="I3" s="4678"/>
      <c r="J3" s="4678"/>
      <c r="K3" s="4678"/>
      <c r="L3" s="4678"/>
      <c r="M3" s="4678"/>
      <c r="N3" s="4678"/>
      <c r="O3" s="4678"/>
      <c r="P3" s="4678"/>
      <c r="Q3" s="4678"/>
      <c r="R3" s="4678"/>
      <c r="S3" s="4678"/>
      <c r="T3" s="4678"/>
      <c r="U3" s="4678"/>
      <c r="V3" s="4678"/>
      <c r="W3" s="4678"/>
      <c r="X3" s="4678"/>
      <c r="Y3" s="4678"/>
      <c r="Z3" s="4678"/>
      <c r="AA3" s="4678"/>
      <c r="AB3" s="4678"/>
      <c r="AC3" s="4678"/>
      <c r="AD3" s="4679"/>
      <c r="AE3" s="867"/>
      <c r="AF3" s="867"/>
    </row>
    <row r="4" spans="1:34" ht="12.75" customHeight="1" x14ac:dyDescent="0.25">
      <c r="A4" s="69">
        <v>3</v>
      </c>
      <c r="B4" s="70" t="s">
        <v>4</v>
      </c>
      <c r="C4" s="69"/>
      <c r="D4" s="4677" t="s">
        <v>364</v>
      </c>
      <c r="E4" s="4678"/>
      <c r="F4" s="4678"/>
      <c r="G4" s="4678"/>
      <c r="H4" s="4678"/>
      <c r="I4" s="4678"/>
      <c r="J4" s="4678"/>
      <c r="K4" s="4678"/>
      <c r="L4" s="4678"/>
      <c r="M4" s="4678"/>
      <c r="N4" s="4678"/>
      <c r="O4" s="4678"/>
      <c r="P4" s="4678"/>
      <c r="Q4" s="4678"/>
      <c r="R4" s="4678"/>
      <c r="S4" s="4678"/>
      <c r="T4" s="4678"/>
      <c r="U4" s="4678"/>
      <c r="V4" s="4678"/>
      <c r="W4" s="4678"/>
      <c r="X4" s="4678"/>
      <c r="Y4" s="4678"/>
      <c r="Z4" s="4678"/>
      <c r="AA4" s="4678"/>
      <c r="AB4" s="4678"/>
      <c r="AC4" s="4678"/>
      <c r="AD4" s="4679"/>
      <c r="AE4" s="867"/>
      <c r="AF4" s="867"/>
    </row>
    <row r="5" spans="1:34" ht="16.5" customHeight="1" x14ac:dyDescent="0.25">
      <c r="B5" s="70"/>
      <c r="C5" s="69"/>
      <c r="D5" s="4680"/>
      <c r="E5" s="4681"/>
      <c r="F5" s="4681"/>
      <c r="G5" s="4681"/>
      <c r="H5" s="4681"/>
      <c r="I5" s="4681"/>
      <c r="J5" s="4681"/>
      <c r="K5" s="4681"/>
      <c r="L5" s="4681"/>
      <c r="M5" s="4681"/>
      <c r="N5" s="4681"/>
      <c r="O5" s="4681"/>
      <c r="P5" s="4681"/>
      <c r="Q5" s="4681"/>
      <c r="R5" s="4681"/>
      <c r="S5" s="4681"/>
      <c r="T5" s="4681"/>
      <c r="U5" s="4681"/>
      <c r="V5" s="4681"/>
      <c r="W5" s="4681"/>
      <c r="X5" s="4681"/>
      <c r="Y5" s="4681"/>
      <c r="Z5" s="4681"/>
      <c r="AA5" s="4681"/>
      <c r="AB5" s="4681"/>
      <c r="AC5" s="4681"/>
      <c r="AD5" s="4681"/>
      <c r="AE5" s="867"/>
      <c r="AF5" s="867"/>
    </row>
    <row r="6" spans="1:34" x14ac:dyDescent="0.25">
      <c r="A6" s="69">
        <v>4</v>
      </c>
      <c r="B6" s="70" t="s">
        <v>6</v>
      </c>
      <c r="D6" s="71" t="s">
        <v>365</v>
      </c>
      <c r="E6" s="71"/>
      <c r="F6" s="72" t="s">
        <v>366</v>
      </c>
      <c r="G6" s="72"/>
      <c r="H6" s="72"/>
      <c r="I6" s="72"/>
      <c r="J6" s="72"/>
      <c r="K6" s="72"/>
      <c r="L6" s="72"/>
      <c r="M6" s="72"/>
      <c r="N6" s="73"/>
      <c r="O6" s="73"/>
      <c r="P6" s="73"/>
      <c r="Q6" s="73"/>
      <c r="R6" s="73"/>
      <c r="S6" s="68"/>
      <c r="T6" s="68"/>
      <c r="U6" s="68"/>
      <c r="V6" s="68"/>
      <c r="W6" s="68"/>
    </row>
    <row r="7" spans="1:34" x14ac:dyDescent="0.25">
      <c r="D7" s="74"/>
      <c r="E7" s="75"/>
      <c r="F7" s="76">
        <v>1994</v>
      </c>
      <c r="G7" s="77" t="s">
        <v>319</v>
      </c>
      <c r="H7" s="77" t="s">
        <v>320</v>
      </c>
      <c r="I7" s="77" t="s">
        <v>321</v>
      </c>
      <c r="J7" s="77" t="s">
        <v>322</v>
      </c>
      <c r="K7" s="77" t="s">
        <v>323</v>
      </c>
      <c r="L7" s="77" t="s">
        <v>324</v>
      </c>
      <c r="M7" s="77" t="s">
        <v>325</v>
      </c>
      <c r="N7" s="77" t="s">
        <v>326</v>
      </c>
      <c r="O7" s="77" t="s">
        <v>327</v>
      </c>
      <c r="P7" s="77" t="s">
        <v>328</v>
      </c>
      <c r="Q7" s="77" t="s">
        <v>329</v>
      </c>
      <c r="R7" s="77" t="s">
        <v>330</v>
      </c>
      <c r="S7" s="77" t="s">
        <v>331</v>
      </c>
      <c r="T7" s="77" t="s">
        <v>332</v>
      </c>
      <c r="U7" s="77" t="s">
        <v>333</v>
      </c>
      <c r="V7" s="77" t="s">
        <v>334</v>
      </c>
      <c r="W7" s="77" t="s">
        <v>335</v>
      </c>
      <c r="X7" s="77" t="s">
        <v>336</v>
      </c>
      <c r="Y7" s="77" t="s">
        <v>337</v>
      </c>
      <c r="Z7" s="78">
        <v>2014</v>
      </c>
      <c r="AA7" s="78">
        <v>2015</v>
      </c>
      <c r="AB7" s="78">
        <v>2016</v>
      </c>
      <c r="AC7" s="78">
        <v>2017</v>
      </c>
      <c r="AD7" s="78">
        <v>2018</v>
      </c>
      <c r="AE7" s="78">
        <v>2019</v>
      </c>
      <c r="AF7" s="78">
        <v>2020</v>
      </c>
      <c r="AG7" s="78">
        <v>2021</v>
      </c>
      <c r="AH7" s="78">
        <v>2022</v>
      </c>
    </row>
    <row r="8" spans="1:34" s="10" customFormat="1" ht="23.25" customHeight="1" x14ac:dyDescent="0.25">
      <c r="A8" s="79"/>
      <c r="B8" s="80"/>
      <c r="C8" s="81"/>
      <c r="D8" s="82" t="s">
        <v>367</v>
      </c>
      <c r="E8" s="83"/>
      <c r="F8" s="84">
        <v>1.1000000000000001</v>
      </c>
      <c r="G8" s="84">
        <v>1</v>
      </c>
      <c r="H8" s="84">
        <v>2.1</v>
      </c>
      <c r="I8" s="84">
        <v>0.5</v>
      </c>
      <c r="J8" s="84">
        <v>-1.6</v>
      </c>
      <c r="K8" s="84">
        <v>0.3</v>
      </c>
      <c r="L8" s="84">
        <v>2.1</v>
      </c>
      <c r="M8" s="84">
        <v>0.4</v>
      </c>
      <c r="N8" s="84">
        <v>0.2</v>
      </c>
      <c r="O8" s="84">
        <v>1.5</v>
      </c>
      <c r="P8" s="84">
        <v>3.4</v>
      </c>
      <c r="Q8" s="84">
        <v>4.0999999999999996</v>
      </c>
      <c r="R8" s="84">
        <v>4.4000000000000004</v>
      </c>
      <c r="S8" s="84">
        <v>4</v>
      </c>
      <c r="T8" s="84">
        <v>1.8</v>
      </c>
      <c r="U8" s="84">
        <v>-2.9</v>
      </c>
      <c r="V8" s="84">
        <v>1.5</v>
      </c>
      <c r="W8" s="84">
        <v>1.6</v>
      </c>
      <c r="X8" s="85">
        <v>0.8</v>
      </c>
      <c r="Y8" s="84">
        <v>0.9</v>
      </c>
      <c r="Z8" s="84">
        <v>-0.1</v>
      </c>
      <c r="AA8" s="84">
        <v>-0.2</v>
      </c>
      <c r="AB8" s="84">
        <v>-0.8</v>
      </c>
      <c r="AC8" s="84">
        <v>-0.3</v>
      </c>
      <c r="AD8" s="84">
        <v>0</v>
      </c>
      <c r="AE8" s="84">
        <v>-1.4</v>
      </c>
      <c r="AF8" s="84">
        <v>-7.7</v>
      </c>
      <c r="AG8" s="4271">
        <v>3.8</v>
      </c>
      <c r="AH8" s="4271">
        <v>1</v>
      </c>
    </row>
    <row r="9" spans="1:34" s="10" customFormat="1" ht="13.5" customHeight="1" x14ac:dyDescent="0.2">
      <c r="A9" s="79"/>
      <c r="B9" s="80"/>
      <c r="C9" s="81"/>
      <c r="D9" s="87"/>
      <c r="E9" s="87"/>
      <c r="F9" s="88"/>
      <c r="G9" s="88"/>
      <c r="H9" s="88"/>
      <c r="I9" s="88"/>
      <c r="J9" s="88"/>
      <c r="K9" s="88"/>
      <c r="L9" s="88"/>
      <c r="M9" s="88"/>
      <c r="N9" s="88"/>
      <c r="O9" s="88"/>
      <c r="P9" s="88"/>
      <c r="Q9" s="88"/>
      <c r="R9" s="88"/>
      <c r="S9" s="88"/>
      <c r="T9" s="88"/>
      <c r="U9" s="88"/>
      <c r="V9" s="88"/>
      <c r="W9" s="88"/>
      <c r="Z9" s="16"/>
    </row>
    <row r="10" spans="1:34" x14ac:dyDescent="0.25">
      <c r="A10" s="69">
        <v>5</v>
      </c>
      <c r="B10" s="70" t="s">
        <v>51</v>
      </c>
      <c r="D10" s="68"/>
      <c r="E10" s="68"/>
      <c r="F10" s="88"/>
      <c r="G10" s="88"/>
      <c r="H10" s="88"/>
      <c r="I10" s="88"/>
      <c r="J10" s="88"/>
      <c r="K10" s="88"/>
      <c r="L10" s="88"/>
      <c r="M10" s="88"/>
      <c r="N10" s="88"/>
      <c r="O10" s="88"/>
      <c r="P10" s="88"/>
      <c r="Q10" s="88"/>
      <c r="R10" s="88"/>
      <c r="S10" s="88"/>
      <c r="T10" s="68"/>
      <c r="U10" s="68"/>
      <c r="V10" s="68"/>
      <c r="W10" s="68"/>
      <c r="AA10" s="55"/>
      <c r="AB10" s="55"/>
    </row>
    <row r="11" spans="1:34" x14ac:dyDescent="0.25">
      <c r="C11" s="69"/>
      <c r="D11" s="68"/>
      <c r="E11" s="68"/>
      <c r="F11" s="88"/>
      <c r="G11" s="88"/>
      <c r="H11" s="88"/>
      <c r="I11" s="88"/>
      <c r="J11" s="88"/>
      <c r="K11" s="88"/>
      <c r="L11" s="88"/>
      <c r="M11" s="88"/>
      <c r="N11" s="88"/>
      <c r="O11" s="88"/>
      <c r="P11" s="88"/>
      <c r="Q11" s="88"/>
      <c r="R11" s="88"/>
      <c r="S11" s="88"/>
      <c r="T11" s="68"/>
      <c r="U11" s="68"/>
      <c r="V11" s="68"/>
      <c r="W11" s="68"/>
      <c r="AA11" s="55"/>
      <c r="AB11" s="55"/>
    </row>
    <row r="12" spans="1:34" x14ac:dyDescent="0.25">
      <c r="D12" s="68"/>
      <c r="E12" s="68"/>
      <c r="F12" s="88"/>
      <c r="G12" s="88"/>
      <c r="H12" s="88"/>
      <c r="I12" s="88"/>
      <c r="J12" s="88"/>
      <c r="K12" s="88"/>
      <c r="L12" s="88"/>
      <c r="M12" s="88"/>
      <c r="N12" s="88"/>
      <c r="O12" s="88"/>
      <c r="P12" s="88"/>
      <c r="Q12" s="88"/>
      <c r="R12" s="88"/>
      <c r="S12" s="88"/>
      <c r="T12" s="68"/>
      <c r="U12" s="68"/>
      <c r="V12" s="68"/>
      <c r="W12" s="68"/>
      <c r="AA12" s="55"/>
      <c r="AB12" s="55"/>
    </row>
    <row r="13" spans="1:34" x14ac:dyDescent="0.25">
      <c r="D13" s="68"/>
      <c r="E13" s="68"/>
      <c r="F13" s="88"/>
      <c r="G13" s="88"/>
      <c r="H13" s="88"/>
      <c r="I13" s="88"/>
      <c r="J13" s="88"/>
      <c r="K13" s="88"/>
      <c r="L13" s="88"/>
      <c r="M13" s="88"/>
      <c r="N13" s="71"/>
      <c r="O13" s="88"/>
      <c r="P13" s="88"/>
      <c r="Q13" s="88"/>
      <c r="R13" s="88"/>
      <c r="S13" s="88"/>
      <c r="T13" s="68"/>
      <c r="U13" s="68"/>
      <c r="V13" s="68"/>
      <c r="W13" s="68"/>
      <c r="AA13" s="55"/>
      <c r="AB13" s="55"/>
    </row>
    <row r="14" spans="1:34" x14ac:dyDescent="0.25">
      <c r="D14" s="68"/>
      <c r="E14" s="68"/>
      <c r="F14" s="88"/>
      <c r="G14" s="88"/>
      <c r="H14" s="88"/>
      <c r="I14" s="88"/>
      <c r="J14" s="88"/>
      <c r="K14" s="88"/>
      <c r="L14" s="88"/>
      <c r="M14" s="88"/>
      <c r="N14" s="88"/>
      <c r="O14" s="88"/>
      <c r="P14" s="88"/>
      <c r="Q14" s="88"/>
      <c r="R14" s="88"/>
      <c r="S14" s="88"/>
      <c r="T14" s="68"/>
      <c r="U14" s="68"/>
      <c r="V14" s="68"/>
      <c r="W14" s="68"/>
      <c r="AA14" s="55"/>
      <c r="AB14" s="55"/>
    </row>
    <row r="15" spans="1:34" x14ac:dyDescent="0.25">
      <c r="D15" s="68"/>
      <c r="E15" s="68"/>
      <c r="F15" s="88"/>
      <c r="G15" s="88"/>
      <c r="H15" s="88"/>
      <c r="I15" s="88"/>
      <c r="J15" s="88"/>
      <c r="K15" s="88"/>
      <c r="L15" s="88"/>
      <c r="M15" s="88"/>
      <c r="N15" s="89"/>
      <c r="O15" s="88"/>
      <c r="P15" s="88"/>
      <c r="Q15" s="88"/>
      <c r="R15" s="88"/>
      <c r="S15" s="88"/>
      <c r="T15" s="68"/>
      <c r="U15" s="68"/>
      <c r="V15" s="68"/>
      <c r="W15" s="68"/>
      <c r="AA15" s="55"/>
      <c r="AB15" s="55"/>
    </row>
    <row r="16" spans="1:34" x14ac:dyDescent="0.25">
      <c r="D16" s="68"/>
      <c r="E16" s="68"/>
      <c r="F16" s="88"/>
      <c r="G16" s="88"/>
      <c r="H16" s="88"/>
      <c r="I16" s="88"/>
      <c r="J16" s="88"/>
      <c r="K16" s="88"/>
      <c r="L16" s="88"/>
      <c r="M16" s="88"/>
      <c r="N16" s="89"/>
      <c r="O16" s="88"/>
      <c r="P16" s="88"/>
      <c r="Q16" s="88"/>
      <c r="R16" s="88"/>
      <c r="S16" s="88"/>
      <c r="T16" s="68"/>
      <c r="U16" s="68"/>
      <c r="V16" s="68"/>
      <c r="W16" s="68"/>
      <c r="AA16" s="55"/>
      <c r="AB16" s="55"/>
    </row>
    <row r="17" spans="1:32" x14ac:dyDescent="0.25">
      <c r="D17" s="68"/>
      <c r="E17" s="68"/>
      <c r="F17" s="88"/>
      <c r="G17" s="88"/>
      <c r="H17" s="88"/>
      <c r="I17" s="88"/>
      <c r="J17" s="88"/>
      <c r="K17" s="88"/>
      <c r="L17" s="88"/>
      <c r="M17" s="88"/>
      <c r="N17" s="68"/>
      <c r="O17" s="68"/>
      <c r="P17" s="68"/>
      <c r="Q17" s="68"/>
      <c r="R17" s="88"/>
      <c r="S17" s="88"/>
      <c r="T17" s="68"/>
      <c r="U17" s="68"/>
      <c r="V17" s="68"/>
      <c r="W17" s="68"/>
      <c r="AA17" s="55"/>
      <c r="AB17" s="55"/>
    </row>
    <row r="18" spans="1:32" x14ac:dyDescent="0.25">
      <c r="D18" s="68"/>
      <c r="E18" s="68"/>
      <c r="F18" s="88"/>
      <c r="G18" s="88"/>
      <c r="H18" s="88"/>
      <c r="I18" s="88"/>
      <c r="J18" s="88"/>
      <c r="K18" s="88"/>
      <c r="L18" s="88"/>
      <c r="M18" s="88"/>
      <c r="N18" s="88"/>
      <c r="O18" s="88"/>
      <c r="P18" s="88"/>
      <c r="Q18" s="88"/>
      <c r="R18" s="88"/>
      <c r="S18" s="88"/>
      <c r="T18" s="68"/>
      <c r="U18" s="68"/>
      <c r="V18" s="68"/>
      <c r="W18" s="68"/>
      <c r="AA18" s="55"/>
      <c r="AB18" s="55"/>
    </row>
    <row r="19" spans="1:32" x14ac:dyDescent="0.25">
      <c r="D19" s="68"/>
      <c r="E19" s="68"/>
      <c r="F19" s="88"/>
      <c r="G19" s="88"/>
      <c r="H19" s="88"/>
      <c r="I19" s="88"/>
      <c r="J19" s="88"/>
      <c r="K19" s="88"/>
      <c r="L19" s="88"/>
      <c r="M19" s="88"/>
      <c r="N19" s="88"/>
      <c r="O19" s="88"/>
      <c r="P19" s="88"/>
      <c r="Q19" s="88"/>
      <c r="R19" s="88"/>
      <c r="S19" s="88"/>
      <c r="T19" s="68"/>
      <c r="U19" s="68"/>
      <c r="V19" s="68"/>
      <c r="W19" s="68"/>
      <c r="AA19" s="55"/>
      <c r="AB19" s="55"/>
    </row>
    <row r="20" spans="1:32" x14ac:dyDescent="0.25">
      <c r="D20" s="68"/>
      <c r="E20" s="68"/>
      <c r="F20" s="88"/>
      <c r="G20" s="88"/>
      <c r="H20" s="88"/>
      <c r="I20" s="88"/>
      <c r="J20" s="88"/>
      <c r="K20" s="88"/>
      <c r="L20" s="88"/>
      <c r="M20" s="88"/>
      <c r="N20" s="88"/>
      <c r="O20" s="88"/>
      <c r="P20" s="88"/>
      <c r="Q20" s="88"/>
      <c r="R20" s="88"/>
      <c r="S20" s="88"/>
      <c r="T20" s="68"/>
      <c r="U20" s="68"/>
      <c r="V20" s="68"/>
      <c r="W20" s="68"/>
      <c r="AA20" s="55"/>
      <c r="AB20" s="55"/>
    </row>
    <row r="21" spans="1:32" x14ac:dyDescent="0.25">
      <c r="D21" s="68"/>
      <c r="E21" s="68"/>
      <c r="F21" s="68"/>
      <c r="G21" s="68"/>
      <c r="H21" s="68"/>
      <c r="I21" s="68"/>
      <c r="J21" s="68"/>
      <c r="K21" s="68"/>
      <c r="L21" s="68"/>
      <c r="M21" s="68"/>
      <c r="N21" s="68"/>
      <c r="O21" s="68"/>
      <c r="P21" s="68"/>
      <c r="Q21" s="68"/>
      <c r="R21" s="68"/>
      <c r="S21" s="68"/>
      <c r="T21" s="68"/>
      <c r="U21" s="68"/>
      <c r="V21" s="68"/>
      <c r="W21" s="68"/>
      <c r="AA21" s="55"/>
      <c r="AB21" s="55"/>
    </row>
    <row r="22" spans="1:32" x14ac:dyDescent="0.25">
      <c r="D22" s="68"/>
      <c r="E22" s="68"/>
      <c r="F22" s="68"/>
      <c r="G22" s="68"/>
      <c r="H22" s="68"/>
      <c r="I22" s="68"/>
      <c r="J22" s="68"/>
      <c r="K22" s="68"/>
      <c r="L22" s="68"/>
      <c r="M22" s="68"/>
      <c r="N22" s="68"/>
      <c r="O22" s="68"/>
      <c r="P22" s="68"/>
      <c r="Q22" s="68"/>
      <c r="R22" s="68"/>
      <c r="S22" s="68"/>
      <c r="T22" s="68"/>
      <c r="U22" s="68"/>
      <c r="V22" s="68"/>
      <c r="W22" s="68"/>
      <c r="AA22" s="55"/>
      <c r="AB22" s="55"/>
    </row>
    <row r="23" spans="1:32" x14ac:dyDescent="0.25">
      <c r="D23" s="68"/>
      <c r="E23" s="68"/>
      <c r="F23" s="68"/>
      <c r="G23" s="68"/>
      <c r="H23" s="68"/>
      <c r="I23" s="68"/>
      <c r="J23" s="68"/>
      <c r="K23" s="68"/>
      <c r="L23" s="68"/>
      <c r="M23" s="68"/>
      <c r="N23" s="68"/>
      <c r="O23" s="68"/>
      <c r="P23" s="68"/>
      <c r="Q23" s="68"/>
      <c r="R23" s="68"/>
      <c r="S23" s="68"/>
      <c r="T23" s="68"/>
      <c r="U23" s="68"/>
      <c r="V23" s="68"/>
      <c r="W23" s="68"/>
      <c r="AA23" s="55"/>
      <c r="AB23" s="55"/>
    </row>
    <row r="24" spans="1:32" x14ac:dyDescent="0.25">
      <c r="D24" s="68"/>
      <c r="E24" s="68"/>
      <c r="F24" s="68"/>
      <c r="G24" s="68"/>
      <c r="H24" s="68"/>
      <c r="I24" s="68"/>
      <c r="J24" s="68"/>
      <c r="K24" s="68"/>
      <c r="L24" s="68"/>
      <c r="M24" s="68"/>
      <c r="N24" s="68"/>
      <c r="O24" s="68"/>
      <c r="P24" s="68"/>
      <c r="Q24" s="68"/>
      <c r="R24" s="68"/>
      <c r="S24" s="68"/>
      <c r="T24" s="68"/>
      <c r="U24" s="68"/>
      <c r="V24" s="68"/>
      <c r="W24" s="68"/>
      <c r="AA24" s="55"/>
      <c r="AB24" s="55"/>
    </row>
    <row r="25" spans="1:32" x14ac:dyDescent="0.25">
      <c r="D25" s="68"/>
      <c r="E25" s="68"/>
      <c r="F25" s="68"/>
      <c r="G25" s="68"/>
      <c r="H25" s="68"/>
      <c r="I25" s="68"/>
      <c r="J25" s="68"/>
      <c r="K25" s="68"/>
      <c r="L25" s="68"/>
      <c r="M25" s="68"/>
      <c r="N25" s="68"/>
      <c r="O25" s="68"/>
      <c r="P25" s="68"/>
      <c r="Q25" s="68"/>
      <c r="R25" s="68"/>
      <c r="S25" s="68"/>
      <c r="T25" s="68"/>
      <c r="U25" s="68"/>
      <c r="V25" s="68"/>
      <c r="W25" s="68"/>
      <c r="AA25" s="55"/>
      <c r="AB25" s="55"/>
    </row>
    <row r="26" spans="1:32" x14ac:dyDescent="0.25">
      <c r="D26" s="68"/>
      <c r="E26" s="68"/>
      <c r="F26" s="68"/>
      <c r="G26" s="68"/>
      <c r="H26" s="68"/>
      <c r="I26" s="68"/>
      <c r="J26" s="68"/>
      <c r="K26" s="68"/>
      <c r="L26" s="68"/>
      <c r="M26" s="68"/>
      <c r="N26" s="68"/>
      <c r="O26" s="68"/>
      <c r="P26" s="68"/>
      <c r="Q26" s="68"/>
      <c r="R26" s="68"/>
      <c r="S26" s="68"/>
      <c r="T26" s="68"/>
      <c r="U26" s="68"/>
      <c r="V26" s="68"/>
      <c r="W26" s="68"/>
      <c r="AA26" s="55"/>
      <c r="AB26" s="55"/>
    </row>
    <row r="27" spans="1:32" x14ac:dyDescent="0.25">
      <c r="D27" s="68"/>
      <c r="E27" s="68"/>
      <c r="F27" s="68"/>
      <c r="G27" s="68"/>
      <c r="H27" s="68"/>
      <c r="I27" s="68"/>
      <c r="J27" s="68"/>
      <c r="K27" s="68"/>
      <c r="L27" s="68"/>
      <c r="M27" s="68"/>
      <c r="N27" s="68"/>
      <c r="O27" s="68"/>
      <c r="P27" s="68"/>
      <c r="Q27" s="68"/>
      <c r="R27" s="68"/>
      <c r="S27" s="68"/>
      <c r="T27" s="68"/>
      <c r="U27" s="68"/>
      <c r="V27" s="68"/>
      <c r="W27" s="68"/>
      <c r="AA27" s="55"/>
      <c r="AB27" s="55"/>
    </row>
    <row r="28" spans="1:32" x14ac:dyDescent="0.25">
      <c r="D28" s="68"/>
      <c r="E28" s="68"/>
      <c r="F28" s="68"/>
      <c r="G28" s="68"/>
      <c r="H28" s="68"/>
      <c r="I28" s="68"/>
      <c r="J28" s="68"/>
      <c r="K28" s="68"/>
      <c r="L28" s="68"/>
      <c r="M28" s="68"/>
      <c r="N28" s="68"/>
      <c r="O28" s="68"/>
      <c r="P28" s="68"/>
      <c r="Q28" s="68"/>
      <c r="R28" s="68"/>
      <c r="S28" s="68"/>
      <c r="T28" s="68"/>
      <c r="U28" s="68"/>
      <c r="V28" s="68"/>
      <c r="W28" s="68"/>
      <c r="AA28" s="55"/>
      <c r="AB28" s="55"/>
    </row>
    <row r="29" spans="1:32" ht="12.75" customHeight="1" x14ac:dyDescent="0.25">
      <c r="A29" s="69">
        <v>6</v>
      </c>
      <c r="B29" s="70" t="s">
        <v>52</v>
      </c>
      <c r="C29" s="69"/>
      <c r="D29" s="4624" t="s">
        <v>368</v>
      </c>
      <c r="E29" s="4625"/>
      <c r="F29" s="4625"/>
      <c r="G29" s="4625"/>
      <c r="H29" s="4625"/>
      <c r="I29" s="4625"/>
      <c r="J29" s="4625"/>
      <c r="K29" s="4625"/>
      <c r="L29" s="4625"/>
      <c r="M29" s="4625"/>
      <c r="N29" s="4625"/>
      <c r="O29" s="4625"/>
      <c r="P29" s="4625"/>
      <c r="Q29" s="4625"/>
      <c r="R29" s="4625"/>
      <c r="S29" s="4625"/>
      <c r="T29" s="4625"/>
      <c r="U29" s="4625"/>
      <c r="V29" s="4625"/>
      <c r="W29" s="4625"/>
      <c r="X29" s="4625"/>
      <c r="Y29" s="4625"/>
      <c r="Z29" s="4625"/>
      <c r="AA29" s="4625"/>
      <c r="AB29" s="4625"/>
      <c r="AC29" s="4625"/>
      <c r="AD29" s="4626"/>
      <c r="AE29" s="880"/>
      <c r="AF29" s="880"/>
    </row>
    <row r="30" spans="1:32" ht="13.5" customHeight="1" x14ac:dyDescent="0.25">
      <c r="A30" s="90">
        <v>7</v>
      </c>
      <c r="B30" s="91" t="s">
        <v>54</v>
      </c>
      <c r="C30" s="90"/>
      <c r="D30" s="4624" t="s">
        <v>369</v>
      </c>
      <c r="E30" s="4625"/>
      <c r="F30" s="4625"/>
      <c r="G30" s="4625"/>
      <c r="H30" s="4625"/>
      <c r="I30" s="4625"/>
      <c r="J30" s="4625"/>
      <c r="K30" s="4625"/>
      <c r="L30" s="4625"/>
      <c r="M30" s="4625"/>
      <c r="N30" s="4625"/>
      <c r="O30" s="4625"/>
      <c r="P30" s="4625"/>
      <c r="Q30" s="4625"/>
      <c r="R30" s="4625"/>
      <c r="S30" s="4625"/>
      <c r="T30" s="4625"/>
      <c r="U30" s="4625"/>
      <c r="V30" s="4625"/>
      <c r="W30" s="4625"/>
      <c r="X30" s="4625"/>
      <c r="Y30" s="4625"/>
      <c r="Z30" s="4625"/>
      <c r="AA30" s="4625"/>
      <c r="AB30" s="4625"/>
      <c r="AC30" s="4625"/>
      <c r="AD30" s="4626"/>
      <c r="AE30" s="880"/>
      <c r="AF30" s="880"/>
    </row>
    <row r="31" spans="1:32" ht="12.75" customHeight="1" x14ac:dyDescent="0.25">
      <c r="A31" s="69">
        <v>8</v>
      </c>
      <c r="B31" s="70" t="s">
        <v>56</v>
      </c>
      <c r="C31" s="69"/>
      <c r="D31" s="4624" t="s">
        <v>370</v>
      </c>
      <c r="E31" s="4625"/>
      <c r="F31" s="4625"/>
      <c r="G31" s="4625"/>
      <c r="H31" s="4625"/>
      <c r="I31" s="4625"/>
      <c r="J31" s="4625"/>
      <c r="K31" s="4625"/>
      <c r="L31" s="4625"/>
      <c r="M31" s="4625"/>
      <c r="N31" s="4625"/>
      <c r="O31" s="4625"/>
      <c r="P31" s="4625"/>
      <c r="Q31" s="4625"/>
      <c r="R31" s="4625"/>
      <c r="S31" s="4625"/>
      <c r="T31" s="4625"/>
      <c r="U31" s="4625"/>
      <c r="V31" s="4625"/>
      <c r="W31" s="4625"/>
      <c r="X31" s="4625"/>
      <c r="Y31" s="4625"/>
      <c r="Z31" s="4625"/>
      <c r="AA31" s="4625"/>
      <c r="AB31" s="4625"/>
      <c r="AC31" s="4625"/>
      <c r="AD31" s="4626"/>
      <c r="AE31" s="880"/>
      <c r="AF31" s="880"/>
    </row>
    <row r="32" spans="1:32" hidden="1" x14ac:dyDescent="0.25">
      <c r="A32" s="69">
        <v>10</v>
      </c>
      <c r="B32" s="70" t="s">
        <v>56</v>
      </c>
      <c r="D32" s="4671" t="s">
        <v>371</v>
      </c>
      <c r="E32" s="4672"/>
      <c r="F32" s="4672"/>
      <c r="G32" s="4672"/>
      <c r="H32" s="4672"/>
      <c r="I32" s="4672"/>
      <c r="J32" s="4672"/>
      <c r="K32" s="4672"/>
      <c r="L32" s="4672"/>
      <c r="M32" s="4672"/>
      <c r="N32" s="4672"/>
      <c r="O32" s="4672"/>
      <c r="P32" s="4672"/>
      <c r="Q32" s="4672"/>
      <c r="R32" s="4672"/>
      <c r="S32" s="4672"/>
      <c r="T32" s="4673"/>
      <c r="U32" s="880"/>
      <c r="V32" s="880"/>
      <c r="W32" s="880"/>
    </row>
    <row r="33" spans="2:28" hidden="1" x14ac:dyDescent="0.25">
      <c r="B33" s="70" t="s">
        <v>56</v>
      </c>
    </row>
    <row r="34" spans="2:28" hidden="1" x14ac:dyDescent="0.25">
      <c r="B34" s="70" t="s">
        <v>56</v>
      </c>
    </row>
    <row r="35" spans="2:28" hidden="1" x14ac:dyDescent="0.25">
      <c r="B35" s="70" t="s">
        <v>56</v>
      </c>
      <c r="AB35" s="34"/>
    </row>
    <row r="36" spans="2:28" hidden="1" x14ac:dyDescent="0.25">
      <c r="B36" s="70" t="s">
        <v>56</v>
      </c>
    </row>
    <row r="37" spans="2:28" hidden="1" x14ac:dyDescent="0.25">
      <c r="B37" s="70" t="s">
        <v>56</v>
      </c>
    </row>
    <row r="38" spans="2:28" hidden="1" x14ac:dyDescent="0.25">
      <c r="B38" s="70" t="s">
        <v>56</v>
      </c>
    </row>
    <row r="39" spans="2:28" hidden="1" x14ac:dyDescent="0.25">
      <c r="B39" s="70" t="s">
        <v>56</v>
      </c>
    </row>
    <row r="40" spans="2:28" hidden="1" x14ac:dyDescent="0.25">
      <c r="B40" s="70" t="s">
        <v>56</v>
      </c>
    </row>
    <row r="41" spans="2:28" hidden="1" x14ac:dyDescent="0.25">
      <c r="B41" s="70" t="s">
        <v>56</v>
      </c>
    </row>
    <row r="42" spans="2:28" hidden="1" x14ac:dyDescent="0.25">
      <c r="B42" s="70" t="s">
        <v>56</v>
      </c>
    </row>
    <row r="43" spans="2:28" hidden="1" x14ac:dyDescent="0.25">
      <c r="B43" s="70" t="s">
        <v>56</v>
      </c>
    </row>
    <row r="44" spans="2:28" hidden="1" x14ac:dyDescent="0.25">
      <c r="B44" s="70" t="s">
        <v>56</v>
      </c>
    </row>
    <row r="45" spans="2:28" hidden="1" x14ac:dyDescent="0.25">
      <c r="B45" s="70" t="s">
        <v>56</v>
      </c>
    </row>
    <row r="46" spans="2:28" hidden="1" x14ac:dyDescent="0.25">
      <c r="B46" s="70" t="s">
        <v>56</v>
      </c>
    </row>
    <row r="47" spans="2:28" hidden="1" x14ac:dyDescent="0.25">
      <c r="B47" s="70" t="s">
        <v>56</v>
      </c>
    </row>
    <row r="48" spans="2:28" hidden="1" x14ac:dyDescent="0.25">
      <c r="B48" s="70" t="s">
        <v>56</v>
      </c>
    </row>
    <row r="49" spans="1:32" hidden="1" x14ac:dyDescent="0.25">
      <c r="B49" s="70" t="s">
        <v>56</v>
      </c>
    </row>
    <row r="50" spans="1:32" hidden="1" x14ac:dyDescent="0.25">
      <c r="B50" s="70" t="s">
        <v>56</v>
      </c>
    </row>
    <row r="51" spans="1:32" hidden="1" x14ac:dyDescent="0.25">
      <c r="B51" s="70" t="s">
        <v>56</v>
      </c>
    </row>
    <row r="52" spans="1:32" hidden="1" x14ac:dyDescent="0.25">
      <c r="B52" s="70" t="s">
        <v>56</v>
      </c>
    </row>
    <row r="53" spans="1:32" hidden="1" x14ac:dyDescent="0.25">
      <c r="B53" s="70" t="s">
        <v>56</v>
      </c>
    </row>
    <row r="54" spans="1:32" hidden="1" x14ac:dyDescent="0.25">
      <c r="B54" s="70" t="s">
        <v>56</v>
      </c>
    </row>
    <row r="55" spans="1:32" hidden="1" x14ac:dyDescent="0.25">
      <c r="B55" s="70" t="s">
        <v>56</v>
      </c>
    </row>
    <row r="56" spans="1:32" hidden="1" x14ac:dyDescent="0.25">
      <c r="B56" s="70" t="s">
        <v>56</v>
      </c>
    </row>
    <row r="57" spans="1:32" hidden="1" x14ac:dyDescent="0.25">
      <c r="B57" s="70" t="s">
        <v>56</v>
      </c>
    </row>
    <row r="58" spans="1:32" hidden="1" x14ac:dyDescent="0.25">
      <c r="B58" s="70" t="s">
        <v>56</v>
      </c>
    </row>
    <row r="59" spans="1:32" hidden="1" x14ac:dyDescent="0.25">
      <c r="B59" s="70" t="s">
        <v>56</v>
      </c>
    </row>
    <row r="60" spans="1:32" hidden="1" x14ac:dyDescent="0.25">
      <c r="B60" s="70" t="s">
        <v>56</v>
      </c>
    </row>
    <row r="61" spans="1:32" x14ac:dyDescent="0.25">
      <c r="A61" s="69">
        <v>9</v>
      </c>
      <c r="B61" s="70" t="s">
        <v>355</v>
      </c>
      <c r="D61" s="4624" t="s">
        <v>372</v>
      </c>
      <c r="E61" s="4625"/>
      <c r="F61" s="4625"/>
      <c r="G61" s="4625"/>
      <c r="H61" s="4625"/>
      <c r="I61" s="4625"/>
      <c r="J61" s="4625"/>
      <c r="K61" s="4625"/>
      <c r="L61" s="4625"/>
      <c r="M61" s="4625"/>
      <c r="N61" s="4625"/>
      <c r="O61" s="4625"/>
      <c r="P61" s="4625"/>
      <c r="Q61" s="4625"/>
      <c r="R61" s="4625"/>
      <c r="S61" s="4625"/>
      <c r="T61" s="4625"/>
      <c r="U61" s="4625"/>
      <c r="V61" s="4625"/>
      <c r="W61" s="4625"/>
      <c r="X61" s="4625"/>
      <c r="Y61" s="4625"/>
      <c r="Z61" s="4625"/>
      <c r="AA61" s="4625"/>
      <c r="AB61" s="4625"/>
      <c r="AC61" s="4625"/>
      <c r="AD61" s="4626"/>
      <c r="AE61" s="880"/>
      <c r="AF61" s="880"/>
    </row>
    <row r="62" spans="1:32" x14ac:dyDescent="0.25">
      <c r="A62" s="4"/>
      <c r="B62" s="4"/>
    </row>
    <row r="64" spans="1:32" x14ac:dyDescent="0.25">
      <c r="C64" s="92"/>
      <c r="D64" s="47">
        <v>1.092341810975328</v>
      </c>
      <c r="E64" s="47">
        <v>0.97551868188288093</v>
      </c>
      <c r="F64" s="47">
        <v>2.1401992280490889</v>
      </c>
      <c r="G64" s="47">
        <v>0.51365600887018914</v>
      </c>
      <c r="H64" s="47">
        <v>-1.5758667266996818</v>
      </c>
      <c r="I64" s="47">
        <v>0.24245196706313976</v>
      </c>
      <c r="J64" s="47">
        <v>2.0741112581572629</v>
      </c>
      <c r="K64" s="47">
        <v>0.76003129540627157</v>
      </c>
      <c r="L64" s="47">
        <v>1.603993344425958</v>
      </c>
      <c r="M64" s="47">
        <v>1.0677322153805902</v>
      </c>
      <c r="N64" s="47">
        <v>2.847451768315068</v>
      </c>
      <c r="O64" s="47">
        <v>3.6340720512551217</v>
      </c>
      <c r="P64" s="47">
        <v>4.0458092632005727</v>
      </c>
      <c r="Q64" s="47">
        <v>3.9021254212853851</v>
      </c>
      <c r="R64" s="47">
        <v>1.8524768440394412</v>
      </c>
      <c r="S64" s="47">
        <v>-2.7318581790066632</v>
      </c>
      <c r="T64" s="47">
        <v>1.8641886521064466</v>
      </c>
      <c r="U64" s="47">
        <v>2.0567415417200863</v>
      </c>
      <c r="V64" s="47">
        <v>1.0704533042053432</v>
      </c>
      <c r="W64" s="47">
        <v>0.94744046975756557</v>
      </c>
      <c r="X64" s="47"/>
      <c r="Y64" s="47"/>
    </row>
    <row r="66" spans="7:10" x14ac:dyDescent="0.25">
      <c r="G66" s="93"/>
      <c r="I66" s="94"/>
      <c r="J66" s="55"/>
    </row>
    <row r="67" spans="7:10" x14ac:dyDescent="0.25">
      <c r="G67" s="93"/>
      <c r="I67" s="94"/>
      <c r="J67" s="55"/>
    </row>
    <row r="68" spans="7:10" x14ac:dyDescent="0.25">
      <c r="G68" s="93"/>
      <c r="I68" s="94"/>
      <c r="J68" s="55"/>
    </row>
    <row r="69" spans="7:10" x14ac:dyDescent="0.25">
      <c r="G69" s="93"/>
      <c r="I69" s="94"/>
      <c r="J69" s="55"/>
    </row>
    <row r="70" spans="7:10" x14ac:dyDescent="0.25">
      <c r="G70" s="93"/>
      <c r="I70" s="94"/>
      <c r="J70" s="55"/>
    </row>
    <row r="71" spans="7:10" x14ac:dyDescent="0.25">
      <c r="G71" s="93"/>
      <c r="I71" s="94"/>
      <c r="J71" s="55"/>
    </row>
    <row r="72" spans="7:10" x14ac:dyDescent="0.25">
      <c r="G72" s="93"/>
      <c r="I72" s="94"/>
      <c r="J72" s="55"/>
    </row>
    <row r="73" spans="7:10" x14ac:dyDescent="0.25">
      <c r="G73" s="93"/>
      <c r="I73" s="94"/>
      <c r="J73" s="55"/>
    </row>
    <row r="74" spans="7:10" x14ac:dyDescent="0.25">
      <c r="G74" s="93"/>
      <c r="I74" s="94"/>
      <c r="J74" s="55"/>
    </row>
    <row r="75" spans="7:10" x14ac:dyDescent="0.25">
      <c r="G75" s="93"/>
      <c r="I75" s="94"/>
      <c r="J75" s="55"/>
    </row>
    <row r="76" spans="7:10" x14ac:dyDescent="0.25">
      <c r="G76" s="93"/>
      <c r="I76" s="94"/>
      <c r="J76" s="55"/>
    </row>
    <row r="77" spans="7:10" x14ac:dyDescent="0.25">
      <c r="G77" s="93"/>
      <c r="I77" s="94"/>
      <c r="J77" s="55"/>
    </row>
    <row r="78" spans="7:10" x14ac:dyDescent="0.25">
      <c r="G78" s="93"/>
      <c r="I78" s="94"/>
      <c r="J78" s="55"/>
    </row>
    <row r="79" spans="7:10" x14ac:dyDescent="0.25">
      <c r="G79" s="93"/>
      <c r="I79" s="94"/>
      <c r="J79" s="55"/>
    </row>
    <row r="80" spans="7:10" x14ac:dyDescent="0.25">
      <c r="G80" s="93"/>
      <c r="I80" s="94"/>
      <c r="J80" s="55"/>
    </row>
    <row r="81" spans="7:10" x14ac:dyDescent="0.25">
      <c r="G81" s="93"/>
      <c r="I81" s="94"/>
      <c r="J81" s="55"/>
    </row>
    <row r="82" spans="7:10" x14ac:dyDescent="0.25">
      <c r="G82" s="93"/>
      <c r="I82" s="94"/>
      <c r="J82" s="55"/>
    </row>
    <row r="83" spans="7:10" x14ac:dyDescent="0.25">
      <c r="G83" s="93"/>
      <c r="I83" s="94"/>
      <c r="J83" s="55"/>
    </row>
    <row r="84" spans="7:10" x14ac:dyDescent="0.25">
      <c r="G84" s="93"/>
      <c r="I84" s="94"/>
      <c r="J84" s="55"/>
    </row>
    <row r="85" spans="7:10" x14ac:dyDescent="0.25">
      <c r="G85" s="93"/>
      <c r="I85" s="94"/>
      <c r="J85" s="55"/>
    </row>
    <row r="86" spans="7:10" x14ac:dyDescent="0.25">
      <c r="G86" s="93"/>
      <c r="I86" s="94"/>
      <c r="J86" s="55"/>
    </row>
    <row r="87" spans="7:10" x14ac:dyDescent="0.25">
      <c r="I87" s="94"/>
      <c r="J87" s="55"/>
    </row>
  </sheetData>
  <mergeCells count="9">
    <mergeCell ref="D31:AD31"/>
    <mergeCell ref="D32:T32"/>
    <mergeCell ref="D61:AD61"/>
    <mergeCell ref="D2:AD2"/>
    <mergeCell ref="D3:AD3"/>
    <mergeCell ref="D4:AD4"/>
    <mergeCell ref="D5:AD5"/>
    <mergeCell ref="D29:AD29"/>
    <mergeCell ref="D30:AD30"/>
  </mergeCells>
  <pageMargins left="0.74803149606299202" right="0.74803149606299202" top="0.98425196850393704" bottom="0.98425196850393704" header="0.511811023622047" footer="0.511811023622047"/>
  <pageSetup paperSize="9" scale="55"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CAD5F-0594-421E-858C-7E2EEC9EEFD8}">
  <sheetPr>
    <tabColor theme="4" tint="-0.249977111117893"/>
    <pageSetUpPr fitToPage="1"/>
  </sheetPr>
  <dimension ref="A1:W54"/>
  <sheetViews>
    <sheetView showGridLines="0" view="pageBreakPreview" topLeftCell="A13" zoomScaleNormal="100" zoomScaleSheetLayoutView="100" workbookViewId="0">
      <selection activeCell="T52" sqref="T52"/>
    </sheetView>
  </sheetViews>
  <sheetFormatPr defaultColWidth="9.140625" defaultRowHeight="15" x14ac:dyDescent="0.25"/>
  <cols>
    <col min="1" max="1" width="3.85546875" style="509" customWidth="1"/>
    <col min="2" max="2" width="12.85546875" style="1119" customWidth="1"/>
    <col min="3" max="3" width="8" style="1119" customWidth="1"/>
    <col min="4" max="4" width="23.85546875" style="113" customWidth="1"/>
    <col min="5" max="5" width="7.85546875" style="113" customWidth="1"/>
    <col min="6" max="6" width="8.140625" style="1987" customWidth="1"/>
    <col min="7" max="7" width="7.85546875" style="113" customWidth="1"/>
    <col min="8" max="8" width="8.5703125" style="113" customWidth="1"/>
    <col min="9" max="9" width="8.42578125" style="113" customWidth="1"/>
    <col min="10" max="10" width="8.85546875" style="113" customWidth="1"/>
    <col min="11" max="11" width="7.85546875" style="113" customWidth="1"/>
    <col min="12" max="12" width="7.85546875" style="113" bestFit="1" customWidth="1"/>
    <col min="13" max="15" width="7.85546875" style="113" customWidth="1"/>
    <col min="16" max="16" width="8.140625" style="113" customWidth="1"/>
    <col min="17" max="17" width="8.42578125" style="113" customWidth="1"/>
    <col min="18" max="18" width="8.85546875" style="113" customWidth="1"/>
    <col min="19" max="19" width="8" style="113" customWidth="1"/>
    <col min="20" max="20" width="8.140625" style="113" customWidth="1"/>
    <col min="21" max="21" width="6.5703125" style="113" customWidth="1"/>
    <col min="22" max="22" width="7.5703125" style="113" customWidth="1"/>
    <col min="23" max="23" width="6.85546875" style="113" customWidth="1"/>
    <col min="24" max="16384" width="9.140625" style="113"/>
  </cols>
  <sheetData>
    <row r="1" spans="1:23" x14ac:dyDescent="0.25">
      <c r="D1" s="1137"/>
      <c r="E1" s="1137"/>
      <c r="F1" s="1974"/>
      <c r="G1" s="1137"/>
      <c r="H1" s="1137"/>
      <c r="I1" s="1137"/>
      <c r="J1" s="1137"/>
      <c r="K1" s="1137"/>
      <c r="L1" s="1137"/>
      <c r="M1" s="1137"/>
      <c r="N1" s="1137"/>
      <c r="O1" s="1137"/>
      <c r="P1" s="1137"/>
      <c r="Q1" s="1137"/>
      <c r="R1" s="1137"/>
    </row>
    <row r="2" spans="1:23" ht="13.35" customHeight="1" x14ac:dyDescent="0.25">
      <c r="A2" s="509">
        <v>1</v>
      </c>
      <c r="B2" s="509" t="s">
        <v>1786</v>
      </c>
      <c r="C2" s="509">
        <v>73</v>
      </c>
      <c r="D2" s="4734" t="s">
        <v>1902</v>
      </c>
      <c r="E2" s="4735"/>
      <c r="F2" s="4735"/>
      <c r="G2" s="4735"/>
      <c r="H2" s="4735"/>
      <c r="I2" s="4735"/>
      <c r="J2" s="4735"/>
      <c r="K2" s="4735"/>
      <c r="L2" s="4735"/>
      <c r="M2" s="4735"/>
      <c r="N2" s="4735"/>
      <c r="O2" s="4735"/>
      <c r="P2" s="4735"/>
      <c r="Q2" s="4735"/>
      <c r="R2" s="4735"/>
      <c r="S2" s="4735"/>
      <c r="T2" s="4736"/>
    </row>
    <row r="3" spans="1:23" ht="15" customHeight="1" x14ac:dyDescent="0.25">
      <c r="A3" s="509">
        <v>2</v>
      </c>
      <c r="B3" s="509" t="s">
        <v>1788</v>
      </c>
      <c r="C3" s="509"/>
      <c r="D3" s="4734" t="s">
        <v>1789</v>
      </c>
      <c r="E3" s="4735"/>
      <c r="F3" s="4735"/>
      <c r="G3" s="4735"/>
      <c r="H3" s="4735"/>
      <c r="I3" s="4735"/>
      <c r="J3" s="4735"/>
      <c r="K3" s="4735"/>
      <c r="L3" s="4735"/>
      <c r="M3" s="4735"/>
      <c r="N3" s="4735"/>
      <c r="O3" s="4735"/>
      <c r="P3" s="4735"/>
      <c r="Q3" s="4735"/>
      <c r="R3" s="4735"/>
      <c r="S3" s="4735"/>
      <c r="T3" s="4736"/>
    </row>
    <row r="4" spans="1:23" ht="12.75" customHeight="1" x14ac:dyDescent="0.25">
      <c r="A4" s="509">
        <v>3</v>
      </c>
      <c r="B4" s="509" t="s">
        <v>4</v>
      </c>
      <c r="C4" s="509"/>
      <c r="D4" s="4734" t="s">
        <v>1903</v>
      </c>
      <c r="E4" s="4735"/>
      <c r="F4" s="4735"/>
      <c r="G4" s="4735"/>
      <c r="H4" s="4735"/>
      <c r="I4" s="4735"/>
      <c r="J4" s="4735"/>
      <c r="K4" s="4735"/>
      <c r="L4" s="4735"/>
      <c r="M4" s="4735"/>
      <c r="N4" s="4735"/>
      <c r="O4" s="4735"/>
      <c r="P4" s="4735"/>
      <c r="Q4" s="4735"/>
      <c r="R4" s="4735"/>
      <c r="S4" s="4735"/>
      <c r="T4" s="4736"/>
    </row>
    <row r="5" spans="1:23" ht="12.75" customHeight="1" x14ac:dyDescent="0.25">
      <c r="B5" s="509"/>
      <c r="C5" s="509"/>
      <c r="D5" s="867"/>
      <c r="E5" s="867"/>
      <c r="F5" s="867"/>
      <c r="G5" s="867"/>
      <c r="H5" s="867"/>
      <c r="I5" s="867"/>
      <c r="J5" s="867"/>
      <c r="K5" s="867"/>
      <c r="L5" s="867"/>
      <c r="M5" s="867"/>
      <c r="N5" s="867"/>
      <c r="O5" s="867"/>
      <c r="P5" s="867"/>
      <c r="Q5" s="867"/>
      <c r="R5" s="867"/>
      <c r="S5" s="867"/>
      <c r="T5" s="867"/>
    </row>
    <row r="6" spans="1:23" x14ac:dyDescent="0.25">
      <c r="A6" s="509">
        <v>4</v>
      </c>
      <c r="B6" s="509" t="s">
        <v>6</v>
      </c>
      <c r="D6" s="72" t="s">
        <v>80</v>
      </c>
      <c r="E6" s="72" t="s">
        <v>1904</v>
      </c>
      <c r="F6" s="95"/>
      <c r="G6" s="95"/>
      <c r="H6" s="95"/>
      <c r="I6" s="95"/>
      <c r="J6" s="95"/>
      <c r="K6" s="95"/>
      <c r="L6" s="95"/>
      <c r="M6" s="95"/>
      <c r="N6" s="71"/>
      <c r="O6" s="1137"/>
      <c r="P6" s="1137"/>
      <c r="Q6" s="88"/>
      <c r="R6" s="88"/>
      <c r="S6" s="88"/>
      <c r="T6" s="88"/>
    </row>
    <row r="7" spans="1:23" x14ac:dyDescent="0.25">
      <c r="D7" s="88"/>
      <c r="E7" s="1968" t="s">
        <v>16</v>
      </c>
      <c r="F7" s="1968" t="s">
        <v>17</v>
      </c>
      <c r="G7" s="1968" t="s">
        <v>18</v>
      </c>
      <c r="H7" s="1968" t="s">
        <v>19</v>
      </c>
      <c r="I7" s="1968" t="s">
        <v>20</v>
      </c>
      <c r="J7" s="1968" t="s">
        <v>21</v>
      </c>
      <c r="K7" s="1968" t="s">
        <v>22</v>
      </c>
      <c r="L7" s="1968" t="s">
        <v>23</v>
      </c>
      <c r="M7" s="1968" t="s">
        <v>24</v>
      </c>
      <c r="N7" s="3155" t="s">
        <v>25</v>
      </c>
      <c r="O7" s="3155" t="s">
        <v>26</v>
      </c>
      <c r="P7" s="3155" t="s">
        <v>27</v>
      </c>
      <c r="Q7" s="3155" t="s">
        <v>28</v>
      </c>
      <c r="R7" s="3155" t="s">
        <v>29</v>
      </c>
      <c r="S7" s="3155" t="s">
        <v>30</v>
      </c>
      <c r="T7" s="3155" t="s">
        <v>31</v>
      </c>
      <c r="U7" s="3155" t="s">
        <v>32</v>
      </c>
      <c r="V7" s="3155" t="s">
        <v>33</v>
      </c>
      <c r="W7" s="3155" t="s">
        <v>59</v>
      </c>
    </row>
    <row r="8" spans="1:23" ht="13.5" customHeight="1" x14ac:dyDescent="0.25">
      <c r="D8" s="3435"/>
      <c r="E8" s="3465"/>
      <c r="F8" s="3465"/>
      <c r="G8" s="3465"/>
      <c r="H8" s="3465"/>
      <c r="I8" s="3465"/>
      <c r="J8" s="3465"/>
      <c r="K8" s="3465"/>
      <c r="L8" s="3465"/>
      <c r="M8" s="10"/>
      <c r="N8" s="3465"/>
      <c r="O8" s="3465"/>
      <c r="P8" s="3465"/>
      <c r="Q8" s="3620"/>
      <c r="R8" s="3620"/>
      <c r="S8" s="3620"/>
      <c r="T8" s="3620"/>
      <c r="U8" s="3620"/>
      <c r="V8" s="3621"/>
      <c r="W8" s="3622"/>
    </row>
    <row r="9" spans="1:23" x14ac:dyDescent="0.25">
      <c r="D9" s="88" t="s">
        <v>276</v>
      </c>
      <c r="E9" s="3177">
        <v>7893</v>
      </c>
      <c r="F9" s="3177">
        <v>9061</v>
      </c>
      <c r="G9" s="3177">
        <v>7511</v>
      </c>
      <c r="H9" s="3177">
        <v>7231</v>
      </c>
      <c r="I9" s="3177">
        <v>8003</v>
      </c>
      <c r="J9" s="3177">
        <v>8437</v>
      </c>
      <c r="K9" s="1519">
        <v>8946</v>
      </c>
      <c r="L9" s="1519">
        <v>9557</v>
      </c>
      <c r="M9" s="3178">
        <v>11643</v>
      </c>
      <c r="N9" s="1519">
        <v>12871</v>
      </c>
      <c r="O9" s="1519">
        <v>15032</v>
      </c>
      <c r="P9" s="1519">
        <v>16038</v>
      </c>
      <c r="Q9" s="1519">
        <v>16129</v>
      </c>
      <c r="R9" s="1519">
        <v>17710</v>
      </c>
      <c r="S9" s="1519">
        <v>18936</v>
      </c>
      <c r="T9" s="1519">
        <v>15213</v>
      </c>
      <c r="U9" s="1519">
        <v>13343</v>
      </c>
      <c r="V9" s="1519">
        <v>9780</v>
      </c>
      <c r="W9" s="1519">
        <v>9561</v>
      </c>
    </row>
    <row r="10" spans="1:23" x14ac:dyDescent="0.25">
      <c r="D10" s="88" t="s">
        <v>1834</v>
      </c>
      <c r="E10" s="3177">
        <v>3550</v>
      </c>
      <c r="F10" s="3177">
        <v>4063</v>
      </c>
      <c r="G10" s="3177">
        <v>5074</v>
      </c>
      <c r="H10" s="3177">
        <v>5462</v>
      </c>
      <c r="I10" s="3177">
        <v>4525</v>
      </c>
      <c r="J10" s="3177">
        <v>4561</v>
      </c>
      <c r="K10" s="1519">
        <v>5110</v>
      </c>
      <c r="L10" s="1519">
        <v>4189</v>
      </c>
      <c r="M10" s="1519">
        <v>4455</v>
      </c>
      <c r="N10" s="1519">
        <v>6153</v>
      </c>
      <c r="O10" s="1519">
        <v>8189</v>
      </c>
      <c r="P10" s="1519">
        <v>8776</v>
      </c>
      <c r="Q10" s="1519">
        <v>9623</v>
      </c>
      <c r="R10" s="1519">
        <v>11314</v>
      </c>
      <c r="S10" s="1519">
        <v>12176</v>
      </c>
      <c r="T10" s="1519">
        <v>7888</v>
      </c>
      <c r="U10" s="1519">
        <v>3989</v>
      </c>
      <c r="V10" s="1519">
        <v>3379</v>
      </c>
      <c r="W10" s="1519">
        <v>4143</v>
      </c>
    </row>
    <row r="11" spans="1:23" x14ac:dyDescent="0.25">
      <c r="D11" s="88" t="s">
        <v>1751</v>
      </c>
      <c r="E11" s="3177">
        <v>9428</v>
      </c>
      <c r="F11" s="3177">
        <v>10722</v>
      </c>
      <c r="G11" s="3177">
        <v>14202</v>
      </c>
      <c r="H11" s="3177">
        <v>12582</v>
      </c>
      <c r="I11" s="3177">
        <v>12742</v>
      </c>
      <c r="J11" s="3177">
        <v>13574</v>
      </c>
      <c r="K11" s="1519">
        <v>14729</v>
      </c>
      <c r="L11" s="1519">
        <v>16432</v>
      </c>
      <c r="M11" s="1519">
        <v>25923</v>
      </c>
      <c r="N11" s="1519">
        <v>38131</v>
      </c>
      <c r="O11" s="1519">
        <v>74667</v>
      </c>
      <c r="P11" s="1519">
        <v>70264</v>
      </c>
      <c r="Q11" s="1519">
        <v>55442</v>
      </c>
      <c r="R11" s="1519">
        <v>62837</v>
      </c>
      <c r="S11" s="1519">
        <v>69285</v>
      </c>
      <c r="T11" s="1519">
        <v>55639</v>
      </c>
      <c r="U11" s="1519">
        <v>43275</v>
      </c>
      <c r="V11" s="1519">
        <v>28034</v>
      </c>
      <c r="W11" s="1519">
        <v>29578</v>
      </c>
    </row>
    <row r="12" spans="1:23" x14ac:dyDescent="0.25">
      <c r="D12" s="88" t="s">
        <v>1835</v>
      </c>
      <c r="E12" s="3177">
        <v>13599</v>
      </c>
      <c r="F12" s="3177">
        <v>19290</v>
      </c>
      <c r="G12" s="3177">
        <v>23206</v>
      </c>
      <c r="H12" s="3177">
        <v>26228</v>
      </c>
      <c r="I12" s="3177">
        <v>24100</v>
      </c>
      <c r="J12" s="3177">
        <v>23819</v>
      </c>
      <c r="K12" s="1519">
        <v>28693</v>
      </c>
      <c r="L12" s="1519">
        <v>32454</v>
      </c>
      <c r="M12" s="1519">
        <v>37414</v>
      </c>
      <c r="N12" s="1519">
        <v>42167</v>
      </c>
      <c r="O12" s="1519">
        <v>45950</v>
      </c>
      <c r="P12" s="1519">
        <v>47377</v>
      </c>
      <c r="Q12" s="1519">
        <v>46354</v>
      </c>
      <c r="R12" s="1519">
        <v>50429</v>
      </c>
      <c r="S12" s="1519">
        <v>53987</v>
      </c>
      <c r="T12" s="1519">
        <v>35358</v>
      </c>
      <c r="U12" s="1519">
        <v>25990</v>
      </c>
      <c r="V12" s="1519">
        <v>19505</v>
      </c>
      <c r="W12" s="1519">
        <v>19965</v>
      </c>
    </row>
    <row r="13" spans="1:23" x14ac:dyDescent="0.25">
      <c r="D13" s="88" t="s">
        <v>280</v>
      </c>
      <c r="E13" s="3177">
        <v>1706</v>
      </c>
      <c r="F13" s="3177">
        <v>1786</v>
      </c>
      <c r="G13" s="3177">
        <v>1977</v>
      </c>
      <c r="H13" s="3177">
        <v>2178</v>
      </c>
      <c r="I13" s="3177">
        <v>3198</v>
      </c>
      <c r="J13" s="3177">
        <v>3316</v>
      </c>
      <c r="K13" s="1519">
        <v>4837</v>
      </c>
      <c r="L13" s="1519">
        <v>4633</v>
      </c>
      <c r="M13" s="1519">
        <v>5253</v>
      </c>
      <c r="N13" s="1519">
        <v>7528</v>
      </c>
      <c r="O13" s="1519">
        <v>9608</v>
      </c>
      <c r="P13" s="1519">
        <v>11716</v>
      </c>
      <c r="Q13" s="1519">
        <v>11268</v>
      </c>
      <c r="R13" s="1519">
        <v>14393</v>
      </c>
      <c r="S13" s="1519">
        <v>19592</v>
      </c>
      <c r="T13" s="1519">
        <v>13533</v>
      </c>
      <c r="U13" s="1519">
        <v>4775</v>
      </c>
      <c r="V13" s="1519">
        <v>5904</v>
      </c>
      <c r="W13" s="1519">
        <v>5507</v>
      </c>
    </row>
    <row r="14" spans="1:23" x14ac:dyDescent="0.25">
      <c r="D14" s="88" t="s">
        <v>1836</v>
      </c>
      <c r="E14" s="3177">
        <v>1314</v>
      </c>
      <c r="F14" s="3177">
        <v>1714</v>
      </c>
      <c r="G14" s="3177">
        <v>1794</v>
      </c>
      <c r="H14" s="3177">
        <v>2068</v>
      </c>
      <c r="I14" s="3177">
        <v>1770</v>
      </c>
      <c r="J14" s="3177">
        <v>1642</v>
      </c>
      <c r="K14" s="1519">
        <v>2041</v>
      </c>
      <c r="L14" s="1519">
        <v>3167</v>
      </c>
      <c r="M14" s="1519">
        <v>4151</v>
      </c>
      <c r="N14" s="1519">
        <v>5834</v>
      </c>
      <c r="O14" s="1519">
        <v>7459</v>
      </c>
      <c r="P14" s="1519">
        <v>8841</v>
      </c>
      <c r="Q14" s="1519">
        <v>9820</v>
      </c>
      <c r="R14" s="1519">
        <v>11519</v>
      </c>
      <c r="S14" s="1519">
        <v>13026</v>
      </c>
      <c r="T14" s="1519">
        <v>9959</v>
      </c>
      <c r="U14" s="1519">
        <v>6670</v>
      </c>
      <c r="V14" s="1519">
        <v>4517</v>
      </c>
      <c r="W14" s="3693">
        <v>4663</v>
      </c>
    </row>
    <row r="15" spans="1:23" x14ac:dyDescent="0.25">
      <c r="D15" s="88" t="s">
        <v>282</v>
      </c>
      <c r="E15" s="3177">
        <v>3117</v>
      </c>
      <c r="F15" s="3177">
        <v>4383</v>
      </c>
      <c r="G15" s="3177">
        <v>5053</v>
      </c>
      <c r="H15" s="3177">
        <v>5759</v>
      </c>
      <c r="I15" s="3177">
        <v>6610</v>
      </c>
      <c r="J15" s="3177">
        <v>7109</v>
      </c>
      <c r="K15" s="1519">
        <v>7704</v>
      </c>
      <c r="L15" s="1519">
        <v>7163</v>
      </c>
      <c r="M15" s="1519">
        <v>7677</v>
      </c>
      <c r="N15" s="1519">
        <v>9152</v>
      </c>
      <c r="O15" s="1519">
        <v>11007</v>
      </c>
      <c r="P15" s="1519">
        <v>11632</v>
      </c>
      <c r="Q15" s="1519">
        <v>12189</v>
      </c>
      <c r="R15" s="1519">
        <v>11972</v>
      </c>
      <c r="S15" s="1519">
        <v>13825</v>
      </c>
      <c r="T15" s="1519">
        <v>9910</v>
      </c>
      <c r="U15" s="1519">
        <v>7140</v>
      </c>
      <c r="V15" s="1519">
        <v>3511</v>
      </c>
      <c r="W15" s="1519">
        <v>4705</v>
      </c>
    </row>
    <row r="16" spans="1:23" x14ac:dyDescent="0.25">
      <c r="D16" s="88" t="s">
        <v>1837</v>
      </c>
      <c r="E16" s="3177">
        <v>2142</v>
      </c>
      <c r="F16" s="3177">
        <v>2550</v>
      </c>
      <c r="G16" s="3177">
        <v>2085</v>
      </c>
      <c r="H16" s="3177">
        <v>2114</v>
      </c>
      <c r="I16" s="3177">
        <v>2201</v>
      </c>
      <c r="J16" s="3177">
        <v>1933</v>
      </c>
      <c r="K16" s="1519">
        <v>2371</v>
      </c>
      <c r="L16" s="1519">
        <v>2412</v>
      </c>
      <c r="M16" s="1519">
        <v>2667</v>
      </c>
      <c r="N16" s="1519">
        <v>2852</v>
      </c>
      <c r="O16" s="1519">
        <v>3247</v>
      </c>
      <c r="P16" s="1519">
        <v>3527</v>
      </c>
      <c r="Q16" s="3179">
        <v>4344</v>
      </c>
      <c r="R16" s="1519">
        <v>5136</v>
      </c>
      <c r="S16" s="1519">
        <v>5563</v>
      </c>
      <c r="T16" s="1519">
        <v>3813</v>
      </c>
      <c r="U16" s="1519">
        <v>2620</v>
      </c>
      <c r="V16" s="1519">
        <v>2108</v>
      </c>
      <c r="W16" s="1519">
        <v>1969</v>
      </c>
    </row>
    <row r="17" spans="2:23" x14ac:dyDescent="0.25">
      <c r="D17" s="88" t="s">
        <v>284</v>
      </c>
      <c r="E17" s="3177">
        <v>19940</v>
      </c>
      <c r="F17" s="3177">
        <v>30432</v>
      </c>
      <c r="G17" s="3177">
        <v>34788</v>
      </c>
      <c r="H17" s="3177">
        <v>41067</v>
      </c>
      <c r="I17" s="3177">
        <v>45985</v>
      </c>
      <c r="J17" s="3177">
        <v>52781</v>
      </c>
      <c r="K17" s="1519">
        <v>60409</v>
      </c>
      <c r="L17" s="1519">
        <v>70554</v>
      </c>
      <c r="M17" s="1519">
        <v>77035</v>
      </c>
      <c r="N17" s="1519">
        <v>82033</v>
      </c>
      <c r="O17" s="1519">
        <v>85437</v>
      </c>
      <c r="P17" s="1519">
        <v>88731</v>
      </c>
      <c r="Q17" s="1519">
        <v>93996</v>
      </c>
      <c r="R17" s="1519">
        <v>107379</v>
      </c>
      <c r="S17" s="1519">
        <v>117157</v>
      </c>
      <c r="T17" s="1519">
        <v>81344</v>
      </c>
      <c r="U17" s="1519">
        <v>62708</v>
      </c>
      <c r="V17" s="1519">
        <v>44621</v>
      </c>
      <c r="W17" s="1519">
        <v>60235</v>
      </c>
    </row>
    <row r="18" spans="2:23" x14ac:dyDescent="0.25">
      <c r="D18" s="72" t="s">
        <v>1905</v>
      </c>
      <c r="E18" s="3180">
        <f>SUM(E9:E17)</f>
        <v>62689</v>
      </c>
      <c r="F18" s="3180">
        <v>84001</v>
      </c>
      <c r="G18" s="3180">
        <v>95690</v>
      </c>
      <c r="H18" s="3180">
        <v>104689</v>
      </c>
      <c r="I18" s="3180">
        <v>109134</v>
      </c>
      <c r="J18" s="3180">
        <v>117172</v>
      </c>
      <c r="K18" s="2002">
        <v>134840</v>
      </c>
      <c r="L18" s="2002">
        <v>150561</v>
      </c>
      <c r="M18" s="2002">
        <v>176218</v>
      </c>
      <c r="N18" s="2002">
        <v>206721</v>
      </c>
      <c r="O18" s="2002">
        <v>260596</v>
      </c>
      <c r="P18" s="2002">
        <v>266902</v>
      </c>
      <c r="Q18" s="2002">
        <v>259165</v>
      </c>
      <c r="R18" s="2002">
        <v>292689</v>
      </c>
      <c r="S18" s="2002">
        <f>SUM(S9:S17)</f>
        <v>323547</v>
      </c>
      <c r="T18" s="2002">
        <f>SUM(T9:T17)</f>
        <v>232657</v>
      </c>
      <c r="U18" s="2002">
        <v>170510</v>
      </c>
      <c r="V18" s="2002">
        <v>121359</v>
      </c>
      <c r="W18" s="2002">
        <f>SUM(W9:W17)</f>
        <v>140326</v>
      </c>
    </row>
    <row r="19" spans="2:23" x14ac:dyDescent="0.25">
      <c r="D19" s="71"/>
      <c r="E19" s="3181"/>
      <c r="F19" s="3182"/>
      <c r="G19" s="3182"/>
      <c r="H19" s="3182"/>
      <c r="I19" s="3182"/>
      <c r="J19" s="3182"/>
      <c r="K19" s="3182"/>
      <c r="L19" s="3182"/>
      <c r="M19" s="3182"/>
      <c r="N19" s="3182"/>
      <c r="O19" s="3182"/>
      <c r="P19" s="3182"/>
      <c r="Q19" s="3182"/>
      <c r="R19" s="3182"/>
      <c r="S19" s="3182"/>
      <c r="T19" s="3182"/>
      <c r="U19" s="3182"/>
      <c r="V19" s="617"/>
    </row>
    <row r="20" spans="2:23" hidden="1" x14ac:dyDescent="0.25">
      <c r="D20" s="72" t="s">
        <v>267</v>
      </c>
      <c r="E20" s="5102" t="s">
        <v>1906</v>
      </c>
      <c r="F20" s="5102"/>
      <c r="G20" s="5102"/>
      <c r="H20" s="5102"/>
      <c r="I20" s="5102"/>
      <c r="J20" s="5102"/>
      <c r="K20" s="5102"/>
      <c r="L20" s="5102"/>
      <c r="M20" s="5102"/>
      <c r="N20" s="617"/>
      <c r="O20" s="312"/>
      <c r="P20" s="312"/>
      <c r="Q20" s="312"/>
      <c r="R20" s="866"/>
      <c r="S20" s="312"/>
      <c r="T20" s="1762"/>
      <c r="U20" s="1762"/>
      <c r="V20" s="617"/>
    </row>
    <row r="21" spans="2:23" hidden="1" x14ac:dyDescent="0.25">
      <c r="D21" s="2003"/>
      <c r="E21" s="1977" t="s">
        <v>16</v>
      </c>
      <c r="F21" s="1977" t="s">
        <v>17</v>
      </c>
      <c r="G21" s="1977" t="s">
        <v>18</v>
      </c>
      <c r="H21" s="1977" t="s">
        <v>19</v>
      </c>
      <c r="I21" s="1977" t="s">
        <v>20</v>
      </c>
      <c r="J21" s="1977" t="s">
        <v>21</v>
      </c>
      <c r="K21" s="1977" t="s">
        <v>22</v>
      </c>
      <c r="L21" s="1977" t="s">
        <v>23</v>
      </c>
      <c r="M21" s="1977" t="s">
        <v>24</v>
      </c>
      <c r="N21" s="1977" t="s">
        <v>25</v>
      </c>
      <c r="O21" s="1977" t="s">
        <v>26</v>
      </c>
      <c r="P21" s="1977" t="s">
        <v>27</v>
      </c>
      <c r="Q21" s="1977" t="s">
        <v>28</v>
      </c>
      <c r="R21" s="1977" t="s">
        <v>29</v>
      </c>
      <c r="S21" s="1977" t="s">
        <v>30</v>
      </c>
      <c r="T21" s="1762"/>
      <c r="U21" s="1762"/>
      <c r="V21" s="617"/>
    </row>
    <row r="22" spans="2:23" hidden="1" x14ac:dyDescent="0.25">
      <c r="D22" s="88" t="s">
        <v>276</v>
      </c>
      <c r="E22" s="3183">
        <v>114.2</v>
      </c>
      <c r="F22" s="3183">
        <v>131.4</v>
      </c>
      <c r="G22" s="3177">
        <v>109</v>
      </c>
      <c r="H22" s="3177">
        <v>104.9</v>
      </c>
      <c r="I22" s="3177">
        <v>115.9</v>
      </c>
      <c r="J22" s="3177">
        <v>128.19999999999999</v>
      </c>
      <c r="K22" s="3177">
        <v>134.6</v>
      </c>
      <c r="L22" s="3177">
        <v>141.80000000000001</v>
      </c>
      <c r="M22" s="3177">
        <v>170.6</v>
      </c>
      <c r="N22" s="3177">
        <v>195.5</v>
      </c>
      <c r="O22" s="3177">
        <v>227.5</v>
      </c>
      <c r="P22" s="3177">
        <v>236.30888551464699</v>
      </c>
      <c r="Q22" s="3177">
        <v>233.20609583297201</v>
      </c>
      <c r="R22" s="1143">
        <f>(17710/6493176)*100000</f>
        <v>272.74788177619087</v>
      </c>
      <c r="S22" s="1143">
        <f>(S9/6501008)*100000</f>
        <v>291.27790644158569</v>
      </c>
      <c r="T22" s="1762"/>
      <c r="U22" s="1762"/>
      <c r="V22" s="617"/>
    </row>
    <row r="23" spans="2:23" hidden="1" x14ac:dyDescent="0.25">
      <c r="D23" s="88" t="s">
        <v>1834</v>
      </c>
      <c r="E23" s="3183">
        <v>119.6</v>
      </c>
      <c r="F23" s="3183">
        <v>138.4</v>
      </c>
      <c r="G23" s="3177">
        <v>171.8</v>
      </c>
      <c r="H23" s="3177">
        <v>184.6</v>
      </c>
      <c r="I23" s="3177">
        <v>152.9</v>
      </c>
      <c r="J23" s="3177">
        <v>158.5</v>
      </c>
      <c r="K23" s="3177">
        <v>176.1</v>
      </c>
      <c r="L23" s="3177">
        <v>149</v>
      </c>
      <c r="M23" s="3177">
        <v>161.69999999999999</v>
      </c>
      <c r="N23" s="3177">
        <v>224.4</v>
      </c>
      <c r="O23" s="3177">
        <v>297.8</v>
      </c>
      <c r="P23" s="3177">
        <v>314.91800038140599</v>
      </c>
      <c r="Q23" s="3177">
        <v>341.49543986656698</v>
      </c>
      <c r="R23" s="1143">
        <f>(R10/2849339)*100000</f>
        <v>397.0745495709707</v>
      </c>
      <c r="S23" s="1143">
        <f>(S10/2872757)*100000</f>
        <v>423.84371528813608</v>
      </c>
      <c r="T23" s="1762"/>
      <c r="U23" s="1762"/>
      <c r="V23" s="617"/>
    </row>
    <row r="24" spans="2:23" hidden="1" x14ac:dyDescent="0.25">
      <c r="D24" s="88" t="s">
        <v>1751</v>
      </c>
      <c r="E24" s="3183">
        <v>103.7</v>
      </c>
      <c r="F24" s="3183">
        <v>116.8</v>
      </c>
      <c r="G24" s="3177">
        <v>152.19999999999999</v>
      </c>
      <c r="H24" s="3177">
        <v>132.1</v>
      </c>
      <c r="I24" s="3177">
        <v>131.5</v>
      </c>
      <c r="J24" s="3177">
        <v>129.9</v>
      </c>
      <c r="K24" s="3177">
        <v>139.9</v>
      </c>
      <c r="L24" s="3177">
        <v>147</v>
      </c>
      <c r="M24" s="3177">
        <v>229.1</v>
      </c>
      <c r="N24" s="3177">
        <v>306.2</v>
      </c>
      <c r="O24" s="3177">
        <v>587</v>
      </c>
      <c r="P24" s="3177">
        <v>544.05727471369505</v>
      </c>
      <c r="Q24" s="3177">
        <v>420.00560593319801</v>
      </c>
      <c r="R24" s="1143">
        <f>(62837/13999402)*100000</f>
        <v>448.85488680159335</v>
      </c>
      <c r="S24" s="1143">
        <f>(S11/14373250)*100000</f>
        <v>482.04129198337193</v>
      </c>
      <c r="T24" s="1762"/>
      <c r="U24" s="1762"/>
      <c r="V24" s="617"/>
    </row>
    <row r="25" spans="2:23" hidden="1" x14ac:dyDescent="0.25">
      <c r="D25" s="88" t="s">
        <v>1835</v>
      </c>
      <c r="E25" s="3183">
        <v>139.6</v>
      </c>
      <c r="F25" s="3183">
        <v>197.2</v>
      </c>
      <c r="G25" s="3177">
        <v>235.7</v>
      </c>
      <c r="H25" s="3177">
        <v>264.3</v>
      </c>
      <c r="I25" s="3177">
        <v>240.7</v>
      </c>
      <c r="J25" s="3177">
        <v>235.7</v>
      </c>
      <c r="K25" s="3177">
        <v>274.60000000000002</v>
      </c>
      <c r="L25" s="3177">
        <v>304.89999999999998</v>
      </c>
      <c r="M25" s="3177">
        <v>345.8</v>
      </c>
      <c r="N25" s="3177">
        <v>407.6</v>
      </c>
      <c r="O25" s="3177">
        <v>439.5</v>
      </c>
      <c r="P25" s="3177">
        <v>443.00613031320199</v>
      </c>
      <c r="Q25" s="3177">
        <v>424.52216757791399</v>
      </c>
      <c r="R25" s="1143">
        <f>(50429/10974209)*100000</f>
        <v>459.52286857303335</v>
      </c>
      <c r="S25" s="1143">
        <f>(S12/11109313)*100000</f>
        <v>485.96164317271462</v>
      </c>
      <c r="T25" s="1762"/>
      <c r="U25" s="1762"/>
      <c r="V25" s="617"/>
    </row>
    <row r="26" spans="2:23" hidden="1" x14ac:dyDescent="0.25">
      <c r="D26" s="88" t="s">
        <v>280</v>
      </c>
      <c r="E26" s="3183">
        <v>32</v>
      </c>
      <c r="F26" s="3183">
        <v>33.6</v>
      </c>
      <c r="G26" s="3177">
        <v>37</v>
      </c>
      <c r="H26" s="3177">
        <v>40.6</v>
      </c>
      <c r="I26" s="3177">
        <v>59.2</v>
      </c>
      <c r="J26" s="3177">
        <v>62.9</v>
      </c>
      <c r="K26" s="3177">
        <v>92.5</v>
      </c>
      <c r="L26" s="3177">
        <v>85.2</v>
      </c>
      <c r="M26" s="3177">
        <v>94.6</v>
      </c>
      <c r="N26" s="3177">
        <v>138.1</v>
      </c>
      <c r="O26" s="3177">
        <v>174.1</v>
      </c>
      <c r="P26" s="3177">
        <v>208.082299532543</v>
      </c>
      <c r="Q26" s="3177">
        <f>(Q13/5654931)*100000</f>
        <v>199.25972571548616</v>
      </c>
      <c r="R26" s="1143">
        <f>(14393/5724477)*100000</f>
        <v>251.42908251705788</v>
      </c>
      <c r="S26" s="1143">
        <f>(S13/5797008)*100000</f>
        <v>337.96744803526229</v>
      </c>
      <c r="T26" s="1762"/>
      <c r="U26" s="1762"/>
      <c r="V26" s="617"/>
    </row>
    <row r="27" spans="2:23" hidden="1" x14ac:dyDescent="0.25">
      <c r="D27" s="88" t="s">
        <v>1836</v>
      </c>
      <c r="E27" s="3183">
        <v>37.799999999999997</v>
      </c>
      <c r="F27" s="3183">
        <v>49.7</v>
      </c>
      <c r="G27" s="3177">
        <v>51.7</v>
      </c>
      <c r="H27" s="3177">
        <v>59</v>
      </c>
      <c r="I27" s="3177">
        <v>50.1</v>
      </c>
      <c r="J27" s="3177">
        <v>45.7</v>
      </c>
      <c r="K27" s="3177">
        <v>56.6</v>
      </c>
      <c r="L27" s="3177">
        <v>87.8</v>
      </c>
      <c r="M27" s="3177">
        <v>113.6</v>
      </c>
      <c r="N27" s="3177">
        <v>143.4</v>
      </c>
      <c r="O27" s="3177">
        <v>180.8</v>
      </c>
      <c r="P27" s="3177">
        <v>209.04056336517101</v>
      </c>
      <c r="Q27" s="3177">
        <v>229.23037419174099</v>
      </c>
      <c r="R27" s="1143">
        <f>(11519/4386153)*100000</f>
        <v>262.62193772082276</v>
      </c>
      <c r="S27" s="1143">
        <f>(S14/4463733)*100000</f>
        <v>291.81852946849642</v>
      </c>
      <c r="T27" s="1762"/>
      <c r="U27" s="1762"/>
      <c r="V27" s="617"/>
    </row>
    <row r="28" spans="2:23" hidden="1" x14ac:dyDescent="0.25">
      <c r="D28" s="88" t="s">
        <v>282</v>
      </c>
      <c r="E28" s="3183">
        <v>93.3</v>
      </c>
      <c r="F28" s="3183">
        <v>130.69999999999999</v>
      </c>
      <c r="G28" s="3177">
        <v>151.80000000000001</v>
      </c>
      <c r="H28" s="3177">
        <v>170.7</v>
      </c>
      <c r="I28" s="3177">
        <v>194.7</v>
      </c>
      <c r="J28" s="3177">
        <v>207.6</v>
      </c>
      <c r="K28" s="3177">
        <v>223.3</v>
      </c>
      <c r="L28" s="3177">
        <v>223.9</v>
      </c>
      <c r="M28" s="3177">
        <v>236</v>
      </c>
      <c r="N28" s="3177">
        <v>258.2</v>
      </c>
      <c r="O28" s="3177">
        <v>306.2</v>
      </c>
      <c r="P28" s="3177">
        <v>316.407359017977</v>
      </c>
      <c r="Q28" s="3177">
        <f>(12189/3741240)*100000</f>
        <v>325.80107130256278</v>
      </c>
      <c r="R28" s="1143">
        <f>(11972/3806079)*100000</f>
        <v>314.54943525870061</v>
      </c>
      <c r="S28" s="1143">
        <f>(S15/3873298)*100000</f>
        <v>356.930966840145</v>
      </c>
      <c r="T28" s="1762"/>
      <c r="U28" s="1762"/>
      <c r="V28" s="617"/>
    </row>
    <row r="29" spans="2:23" ht="14.25" hidden="1" customHeight="1" x14ac:dyDescent="0.25">
      <c r="B29" s="3038"/>
      <c r="C29" s="1978"/>
      <c r="D29" s="88" t="s">
        <v>1837</v>
      </c>
      <c r="E29" s="3183">
        <v>200.8</v>
      </c>
      <c r="F29" s="3183">
        <v>238</v>
      </c>
      <c r="G29" s="3177">
        <v>193.3</v>
      </c>
      <c r="H29" s="3177">
        <v>193.1</v>
      </c>
      <c r="I29" s="3177">
        <v>199.7</v>
      </c>
      <c r="J29" s="3177">
        <v>171.7</v>
      </c>
      <c r="K29" s="3177">
        <v>206.6</v>
      </c>
      <c r="L29" s="3177">
        <v>219</v>
      </c>
      <c r="M29" s="3177">
        <v>243.6</v>
      </c>
      <c r="N29" s="3177">
        <v>248.1</v>
      </c>
      <c r="O29" s="3177">
        <v>279.60000000000002</v>
      </c>
      <c r="P29" s="3177">
        <v>302.31070902104102</v>
      </c>
      <c r="Q29" s="3177">
        <v>366.39676113360298</v>
      </c>
      <c r="R29" s="3184">
        <f>(5136/1202571)*100000</f>
        <v>427.08497045080918</v>
      </c>
      <c r="S29" s="3184">
        <f>(S16/1217917)*100000</f>
        <v>456.76347402983947</v>
      </c>
      <c r="T29" s="1935"/>
      <c r="U29" s="1935"/>
      <c r="V29" s="617"/>
    </row>
    <row r="30" spans="2:23" hidden="1" x14ac:dyDescent="0.25">
      <c r="B30" s="3038"/>
      <c r="C30" s="1978"/>
      <c r="D30" s="88" t="s">
        <v>284</v>
      </c>
      <c r="E30" s="672">
        <v>443.2</v>
      </c>
      <c r="F30" s="672">
        <v>666.6</v>
      </c>
      <c r="G30" s="3177">
        <v>749.4</v>
      </c>
      <c r="H30" s="3177">
        <v>864.8</v>
      </c>
      <c r="I30" s="3177">
        <v>950.1</v>
      </c>
      <c r="J30" s="3177">
        <v>1003.1</v>
      </c>
      <c r="K30" s="3177">
        <v>1127.7</v>
      </c>
      <c r="L30" s="3177">
        <v>1351.3</v>
      </c>
      <c r="M30" s="3177">
        <v>1457.5</v>
      </c>
      <c r="N30" s="3177">
        <v>1389.9</v>
      </c>
      <c r="O30" s="3177">
        <v>1420.4</v>
      </c>
      <c r="P30" s="3177">
        <v>1450.7244150121301</v>
      </c>
      <c r="Q30" s="3177">
        <v>1516.04006386994</v>
      </c>
      <c r="R30" s="3184">
        <f>(107379/6407604)*100000</f>
        <v>1675.8058082241037</v>
      </c>
      <c r="S30" s="3184">
        <f>(S17/6545042)*100000</f>
        <v>1790.011431553839</v>
      </c>
      <c r="T30" s="1935"/>
      <c r="U30" s="1935"/>
      <c r="V30" s="617"/>
    </row>
    <row r="31" spans="2:23" hidden="1" x14ac:dyDescent="0.25">
      <c r="B31" s="3038"/>
      <c r="C31" s="1978"/>
      <c r="D31" s="72" t="s">
        <v>1907</v>
      </c>
      <c r="E31" s="3185">
        <v>135.1</v>
      </c>
      <c r="F31" s="3185">
        <v>180.3</v>
      </c>
      <c r="G31" s="3185">
        <v>204.1</v>
      </c>
      <c r="H31" s="3185">
        <v>220.9</v>
      </c>
      <c r="I31" s="3185">
        <v>228.1</v>
      </c>
      <c r="J31" s="3185">
        <v>240.7</v>
      </c>
      <c r="K31" s="3185">
        <v>273.39999999999998</v>
      </c>
      <c r="L31" s="3185">
        <v>301.39999999999998</v>
      </c>
      <c r="M31" s="3185">
        <v>348.5</v>
      </c>
      <c r="N31" s="3185">
        <v>395.6</v>
      </c>
      <c r="O31" s="3185">
        <v>492.1</v>
      </c>
      <c r="P31" s="762">
        <v>494.24508833133001</v>
      </c>
      <c r="Q31" s="2008">
        <v>471.57863707741899</v>
      </c>
      <c r="R31" s="1940">
        <f>(292689/55843011)*100000</f>
        <v>524.12825662283865</v>
      </c>
      <c r="S31" s="1940">
        <f>(S18/56753327)*100000</f>
        <v>570.09345020424973</v>
      </c>
      <c r="T31" s="1935"/>
      <c r="U31" s="617"/>
      <c r="V31" s="617"/>
    </row>
    <row r="32" spans="2:23" x14ac:dyDescent="0.25">
      <c r="B32" s="3038"/>
      <c r="C32" s="1978"/>
      <c r="D32" s="1935"/>
      <c r="E32" s="1935"/>
      <c r="F32" s="1935"/>
      <c r="G32" s="1935"/>
      <c r="H32" s="1935"/>
      <c r="I32" s="1935"/>
      <c r="J32" s="1935"/>
      <c r="K32" s="1935"/>
      <c r="L32" s="1935"/>
      <c r="M32" s="1935"/>
      <c r="N32" s="1935"/>
      <c r="O32" s="1935"/>
      <c r="P32" s="1935"/>
      <c r="Q32" s="1935"/>
      <c r="R32" s="1935"/>
      <c r="S32" s="1935"/>
      <c r="T32" s="1935"/>
      <c r="U32" s="617"/>
      <c r="V32" s="617"/>
    </row>
    <row r="33" spans="1:22" ht="15" customHeight="1" x14ac:dyDescent="0.25">
      <c r="B33" s="3038"/>
      <c r="C33" s="38"/>
      <c r="D33" s="72" t="s">
        <v>656</v>
      </c>
      <c r="E33" s="5103" t="s">
        <v>1908</v>
      </c>
      <c r="F33" s="5103"/>
      <c r="G33" s="5103"/>
      <c r="H33" s="5103"/>
      <c r="I33" s="5103"/>
      <c r="J33" s="5103"/>
      <c r="K33" s="5103"/>
      <c r="L33" s="5103"/>
      <c r="M33" s="5103"/>
      <c r="N33" s="3037"/>
      <c r="O33" s="1935"/>
      <c r="P33" s="1935"/>
      <c r="Q33" s="1935"/>
      <c r="R33" s="1935"/>
      <c r="S33" s="1935"/>
      <c r="T33" s="1935"/>
      <c r="U33" s="617"/>
      <c r="V33" s="617"/>
    </row>
    <row r="34" spans="1:22" s="2014" customFormat="1" ht="28.5" customHeight="1" x14ac:dyDescent="0.2">
      <c r="A34" s="860"/>
      <c r="B34" s="2010"/>
      <c r="C34" s="2011"/>
      <c r="D34" s="2012"/>
      <c r="E34" s="2013" t="s">
        <v>1909</v>
      </c>
      <c r="F34" s="2013" t="s">
        <v>1910</v>
      </c>
      <c r="G34" s="2013" t="s">
        <v>1911</v>
      </c>
      <c r="H34" s="2013" t="s">
        <v>1912</v>
      </c>
      <c r="I34" s="2013" t="s">
        <v>1913</v>
      </c>
      <c r="J34" s="2013" t="s">
        <v>1914</v>
      </c>
      <c r="K34" s="2013" t="s">
        <v>1915</v>
      </c>
      <c r="L34" s="2013" t="s">
        <v>1916</v>
      </c>
      <c r="M34" s="2013" t="s">
        <v>1917</v>
      </c>
      <c r="N34" s="2013" t="s">
        <v>1918</v>
      </c>
      <c r="O34" s="2013" t="s">
        <v>1919</v>
      </c>
      <c r="P34" s="2013" t="s">
        <v>1920</v>
      </c>
      <c r="Q34" s="2047" t="s">
        <v>1921</v>
      </c>
      <c r="R34" s="2047" t="s">
        <v>1922</v>
      </c>
      <c r="S34" s="2013" t="s">
        <v>1923</v>
      </c>
      <c r="T34" s="2047" t="s">
        <v>1924</v>
      </c>
      <c r="U34" s="2047" t="s">
        <v>1925</v>
      </c>
      <c r="V34" s="3186" t="s">
        <v>1926</v>
      </c>
    </row>
    <row r="35" spans="1:22" x14ac:dyDescent="0.25">
      <c r="B35" s="3038"/>
      <c r="C35" s="1978"/>
      <c r="D35" s="88" t="s">
        <v>276</v>
      </c>
      <c r="E35" s="2015">
        <v>0.14799999999999999</v>
      </c>
      <c r="F35" s="2015">
        <f>(F9-E9)/E9</f>
        <v>0.14797922209552769</v>
      </c>
      <c r="G35" s="2015">
        <f>(G9-F9)/F9</f>
        <v>-0.17106279660081669</v>
      </c>
      <c r="H35" s="2015">
        <f t="shared" ref="H35:P44" si="0">(H9-G9)/G9</f>
        <v>-3.7278657968313138E-2</v>
      </c>
      <c r="I35" s="2015">
        <f t="shared" si="0"/>
        <v>0.10676255013137878</v>
      </c>
      <c r="J35" s="2015">
        <f t="shared" si="0"/>
        <v>5.4229663876046483E-2</v>
      </c>
      <c r="K35" s="2015">
        <f t="shared" si="0"/>
        <v>6.0329501007467111E-2</v>
      </c>
      <c r="L35" s="2015">
        <f t="shared" si="0"/>
        <v>6.8298680974737319E-2</v>
      </c>
      <c r="M35" s="2015">
        <f t="shared" si="0"/>
        <v>0.21826933138014021</v>
      </c>
      <c r="N35" s="2015">
        <f t="shared" si="0"/>
        <v>0.10547109851412866</v>
      </c>
      <c r="O35" s="2015">
        <f t="shared" si="0"/>
        <v>0.16789682231372854</v>
      </c>
      <c r="P35" s="2015">
        <f t="shared" si="0"/>
        <v>6.6923895689196378E-2</v>
      </c>
      <c r="Q35" s="2015">
        <f t="shared" ref="Q35:V44" si="1">(R9-Q9)/Q9</f>
        <v>9.8022196044392093E-2</v>
      </c>
      <c r="R35" s="2015">
        <f t="shared" si="1"/>
        <v>6.9226425748164885E-2</v>
      </c>
      <c r="S35" s="2015">
        <f t="shared" si="1"/>
        <v>-0.19660963244613436</v>
      </c>
      <c r="T35" s="3187">
        <f t="shared" si="1"/>
        <v>-0.12292118582791034</v>
      </c>
      <c r="U35" s="3187">
        <f t="shared" si="1"/>
        <v>-0.26703140223338079</v>
      </c>
      <c r="V35" s="3623">
        <f t="shared" si="1"/>
        <v>-2.2392638036809815E-2</v>
      </c>
    </row>
    <row r="36" spans="1:22" ht="12.75" customHeight="1" x14ac:dyDescent="0.25">
      <c r="B36" s="3038"/>
      <c r="C36" s="1978"/>
      <c r="D36" s="88" t="s">
        <v>1834</v>
      </c>
      <c r="E36" s="2015">
        <v>0.14499999999999999</v>
      </c>
      <c r="F36" s="2015">
        <f t="shared" ref="F36:G44" si="2">(F10-E10)/E10</f>
        <v>0.14450704225352112</v>
      </c>
      <c r="G36" s="2015">
        <f t="shared" si="2"/>
        <v>0.24883091311838543</v>
      </c>
      <c r="H36" s="2015">
        <f t="shared" si="0"/>
        <v>7.6468269609775319E-2</v>
      </c>
      <c r="I36" s="2015">
        <f t="shared" si="0"/>
        <v>-0.1715488831929696</v>
      </c>
      <c r="J36" s="2015">
        <f t="shared" si="0"/>
        <v>7.9558011049723765E-3</v>
      </c>
      <c r="K36" s="2015">
        <f t="shared" si="0"/>
        <v>0.1203683402762552</v>
      </c>
      <c r="L36" s="2015">
        <f t="shared" si="0"/>
        <v>-0.18023483365949119</v>
      </c>
      <c r="M36" s="2015">
        <f t="shared" si="0"/>
        <v>6.3499641919312483E-2</v>
      </c>
      <c r="N36" s="2015">
        <f t="shared" si="0"/>
        <v>0.38114478114478112</v>
      </c>
      <c r="O36" s="2015">
        <f t="shared" si="0"/>
        <v>0.330895498130993</v>
      </c>
      <c r="P36" s="2015">
        <f t="shared" si="0"/>
        <v>7.168152399560386E-2</v>
      </c>
      <c r="Q36" s="2015">
        <f t="shared" si="1"/>
        <v>0.17572482593785721</v>
      </c>
      <c r="R36" s="2015">
        <f t="shared" si="1"/>
        <v>7.6188792646278952E-2</v>
      </c>
      <c r="S36" s="2015">
        <f t="shared" si="1"/>
        <v>-0.35216819973718794</v>
      </c>
      <c r="T36" s="3187">
        <f t="shared" si="1"/>
        <v>-0.49429513184584178</v>
      </c>
      <c r="U36" s="3187">
        <f t="shared" si="1"/>
        <v>-0.15292053146151918</v>
      </c>
      <c r="V36" s="3337">
        <f t="shared" si="1"/>
        <v>0.22610239715892275</v>
      </c>
    </row>
    <row r="37" spans="1:22" x14ac:dyDescent="0.25">
      <c r="B37" s="3038"/>
      <c r="C37" s="1978"/>
      <c r="D37" s="88" t="s">
        <v>1751</v>
      </c>
      <c r="E37" s="2015">
        <v>0.13700000000000001</v>
      </c>
      <c r="F37" s="2015">
        <f t="shared" si="2"/>
        <v>0.13725074246924057</v>
      </c>
      <c r="G37" s="2015">
        <f t="shared" si="2"/>
        <v>0.32456631225517629</v>
      </c>
      <c r="H37" s="2015">
        <f t="shared" si="0"/>
        <v>-0.11406844106463879</v>
      </c>
      <c r="I37" s="2015">
        <f t="shared" si="0"/>
        <v>1.271657924018439E-2</v>
      </c>
      <c r="J37" s="2015">
        <f t="shared" si="0"/>
        <v>6.5295871919635845E-2</v>
      </c>
      <c r="K37" s="2015">
        <f t="shared" si="0"/>
        <v>8.5089141004862243E-2</v>
      </c>
      <c r="L37" s="2015">
        <f t="shared" si="0"/>
        <v>0.11562224183583407</v>
      </c>
      <c r="M37" s="2015">
        <f t="shared" si="0"/>
        <v>0.57759250243427462</v>
      </c>
      <c r="N37" s="2015">
        <f t="shared" si="0"/>
        <v>0.47093314816957915</v>
      </c>
      <c r="O37" s="2015">
        <f t="shared" si="0"/>
        <v>0.95817051742676562</v>
      </c>
      <c r="P37" s="2015">
        <f t="shared" si="0"/>
        <v>-5.8968486747827016E-2</v>
      </c>
      <c r="Q37" s="2015">
        <f t="shared" si="1"/>
        <v>0.1333826341041088</v>
      </c>
      <c r="R37" s="2015">
        <f t="shared" si="1"/>
        <v>0.10261470152935373</v>
      </c>
      <c r="S37" s="2015">
        <f t="shared" si="1"/>
        <v>-0.19695460777946164</v>
      </c>
      <c r="T37" s="3187">
        <f t="shared" si="1"/>
        <v>-0.22221822822121173</v>
      </c>
      <c r="U37" s="3187">
        <f t="shared" si="1"/>
        <v>-0.35218948584633158</v>
      </c>
      <c r="V37" s="3337">
        <f t="shared" si="1"/>
        <v>5.5075979168152954E-2</v>
      </c>
    </row>
    <row r="38" spans="1:22" x14ac:dyDescent="0.25">
      <c r="B38" s="3038"/>
      <c r="C38" s="1978"/>
      <c r="D38" s="88" t="s">
        <v>1835</v>
      </c>
      <c r="E38" s="2015">
        <v>0.41799999999999998</v>
      </c>
      <c r="F38" s="2015">
        <f t="shared" si="2"/>
        <v>0.41848665343039931</v>
      </c>
      <c r="G38" s="2015">
        <f t="shared" si="2"/>
        <v>0.20300673924313115</v>
      </c>
      <c r="H38" s="2015">
        <f t="shared" si="0"/>
        <v>0.13022494182538999</v>
      </c>
      <c r="I38" s="2015">
        <f t="shared" si="0"/>
        <v>-8.1134665243251483E-2</v>
      </c>
      <c r="J38" s="2015">
        <f t="shared" si="0"/>
        <v>-1.1659751037344398E-2</v>
      </c>
      <c r="K38" s="2015">
        <f t="shared" si="0"/>
        <v>0.20462655862966539</v>
      </c>
      <c r="L38" s="2015">
        <f t="shared" si="0"/>
        <v>0.13107726623218208</v>
      </c>
      <c r="M38" s="2015">
        <f t="shared" si="0"/>
        <v>0.15283170025266532</v>
      </c>
      <c r="N38" s="2015">
        <f t="shared" si="0"/>
        <v>0.12703800716309402</v>
      </c>
      <c r="O38" s="2015">
        <f t="shared" si="0"/>
        <v>8.9714705812602269E-2</v>
      </c>
      <c r="P38" s="2015">
        <f t="shared" si="0"/>
        <v>3.1055495103373233E-2</v>
      </c>
      <c r="Q38" s="2015">
        <f t="shared" si="1"/>
        <v>8.7910428441989902E-2</v>
      </c>
      <c r="R38" s="2015">
        <f t="shared" si="1"/>
        <v>7.0554641178686872E-2</v>
      </c>
      <c r="S38" s="2015">
        <f t="shared" si="1"/>
        <v>-0.34506455257747237</v>
      </c>
      <c r="T38" s="3187">
        <f t="shared" si="1"/>
        <v>-0.26494711239323493</v>
      </c>
      <c r="U38" s="3187">
        <f t="shared" si="1"/>
        <v>-0.24951904578684109</v>
      </c>
      <c r="V38" s="3337">
        <f t="shared" si="1"/>
        <v>2.358369648807998E-2</v>
      </c>
    </row>
    <row r="39" spans="1:22" x14ac:dyDescent="0.25">
      <c r="B39" s="3038"/>
      <c r="C39" s="1978"/>
      <c r="D39" s="88" t="s">
        <v>280</v>
      </c>
      <c r="E39" s="2015">
        <v>4.7E-2</v>
      </c>
      <c r="F39" s="2015">
        <f t="shared" si="2"/>
        <v>4.6893317702227433E-2</v>
      </c>
      <c r="G39" s="2015">
        <f t="shared" si="2"/>
        <v>0.10694288913773796</v>
      </c>
      <c r="H39" s="2015">
        <f t="shared" si="0"/>
        <v>0.10166919575113809</v>
      </c>
      <c r="I39" s="2015">
        <f t="shared" si="0"/>
        <v>0.46831955922865015</v>
      </c>
      <c r="J39" s="2015">
        <f t="shared" si="0"/>
        <v>3.6898061288305188E-2</v>
      </c>
      <c r="K39" s="2015">
        <f t="shared" si="0"/>
        <v>0.45868516284680338</v>
      </c>
      <c r="L39" s="2015">
        <f t="shared" si="0"/>
        <v>-4.217490179863552E-2</v>
      </c>
      <c r="M39" s="2015">
        <f t="shared" si="0"/>
        <v>0.13382257716382473</v>
      </c>
      <c r="N39" s="2015">
        <f t="shared" si="0"/>
        <v>0.43308585570150393</v>
      </c>
      <c r="O39" s="2015">
        <f t="shared" si="0"/>
        <v>0.27630180658873538</v>
      </c>
      <c r="P39" s="2015">
        <f t="shared" si="0"/>
        <v>0.21940049958368027</v>
      </c>
      <c r="Q39" s="2015">
        <f t="shared" si="1"/>
        <v>0.27733404330848421</v>
      </c>
      <c r="R39" s="2015">
        <f t="shared" si="1"/>
        <v>0.36121725838949487</v>
      </c>
      <c r="S39" s="2015">
        <f t="shared" si="1"/>
        <v>-0.30925888117599021</v>
      </c>
      <c r="T39" s="3187">
        <f t="shared" si="1"/>
        <v>-0.6471587970147048</v>
      </c>
      <c r="U39" s="3187">
        <f t="shared" si="1"/>
        <v>0.23643979057591624</v>
      </c>
      <c r="V39" s="3337">
        <f t="shared" si="1"/>
        <v>-6.7242547425474253E-2</v>
      </c>
    </row>
    <row r="40" spans="1:22" x14ac:dyDescent="0.25">
      <c r="B40" s="3038"/>
      <c r="C40" s="1978"/>
      <c r="D40" s="88" t="s">
        <v>1836</v>
      </c>
      <c r="E40" s="2015">
        <v>0.30399999999999999</v>
      </c>
      <c r="F40" s="2015">
        <f t="shared" si="2"/>
        <v>0.30441400304414001</v>
      </c>
      <c r="G40" s="2015">
        <f t="shared" si="2"/>
        <v>4.6674445740956826E-2</v>
      </c>
      <c r="H40" s="2015">
        <f t="shared" si="0"/>
        <v>0.15273132664437011</v>
      </c>
      <c r="I40" s="2015">
        <f t="shared" si="0"/>
        <v>-0.14410058027079303</v>
      </c>
      <c r="J40" s="2015">
        <f t="shared" si="0"/>
        <v>-7.2316384180790963E-2</v>
      </c>
      <c r="K40" s="2015">
        <f t="shared" si="0"/>
        <v>0.24299634591961022</v>
      </c>
      <c r="L40" s="2015">
        <f t="shared" si="0"/>
        <v>0.55169034786869187</v>
      </c>
      <c r="M40" s="2015">
        <f t="shared" si="0"/>
        <v>0.31070413640669403</v>
      </c>
      <c r="N40" s="2015">
        <f t="shared" si="0"/>
        <v>0.4054444712117562</v>
      </c>
      <c r="O40" s="2015">
        <f t="shared" si="0"/>
        <v>0.27853959547480289</v>
      </c>
      <c r="P40" s="2015">
        <f t="shared" si="0"/>
        <v>0.18527952808687492</v>
      </c>
      <c r="Q40" s="2015">
        <f t="shared" si="1"/>
        <v>0.1730142566191446</v>
      </c>
      <c r="R40" s="2015">
        <f t="shared" si="1"/>
        <v>0.1308273287611772</v>
      </c>
      <c r="S40" s="2015">
        <f t="shared" si="1"/>
        <v>-0.23545217257792109</v>
      </c>
      <c r="T40" s="3187">
        <f t="shared" si="1"/>
        <v>-0.33025404157043881</v>
      </c>
      <c r="U40" s="3187">
        <f t="shared" si="1"/>
        <v>-0.3227886056971514</v>
      </c>
      <c r="V40" s="3337">
        <f t="shared" si="1"/>
        <v>3.2322337834846136E-2</v>
      </c>
    </row>
    <row r="41" spans="1:22" x14ac:dyDescent="0.25">
      <c r="B41" s="3038"/>
      <c r="C41" s="1978"/>
      <c r="D41" s="88" t="s">
        <v>282</v>
      </c>
      <c r="E41" s="2015">
        <v>0.40600000000000003</v>
      </c>
      <c r="F41" s="2015">
        <f t="shared" si="2"/>
        <v>0.40615976900866219</v>
      </c>
      <c r="G41" s="2015">
        <f t="shared" si="2"/>
        <v>0.15286333561487567</v>
      </c>
      <c r="H41" s="2015">
        <f t="shared" si="0"/>
        <v>0.13971897882446072</v>
      </c>
      <c r="I41" s="2015">
        <f t="shared" si="0"/>
        <v>0.14776870984545928</v>
      </c>
      <c r="J41" s="2015">
        <f t="shared" si="0"/>
        <v>7.5491679273827536E-2</v>
      </c>
      <c r="K41" s="2015">
        <f t="shared" si="0"/>
        <v>8.3696722464481649E-2</v>
      </c>
      <c r="L41" s="2015">
        <f t="shared" si="0"/>
        <v>-7.0223260643821395E-2</v>
      </c>
      <c r="M41" s="2015">
        <f t="shared" si="0"/>
        <v>7.1757643445483729E-2</v>
      </c>
      <c r="N41" s="2015">
        <f t="shared" si="0"/>
        <v>0.19213234336329296</v>
      </c>
      <c r="O41" s="2015">
        <f t="shared" si="0"/>
        <v>0.20268793706293706</v>
      </c>
      <c r="P41" s="2015">
        <f t="shared" si="0"/>
        <v>5.678204778777142E-2</v>
      </c>
      <c r="Q41" s="2015">
        <f t="shared" si="1"/>
        <v>-1.7802937074411353E-2</v>
      </c>
      <c r="R41" s="2015">
        <f t="shared" si="1"/>
        <v>0.15477781490143669</v>
      </c>
      <c r="S41" s="2015">
        <f t="shared" si="1"/>
        <v>-0.28318264014466549</v>
      </c>
      <c r="T41" s="3187">
        <f t="shared" si="1"/>
        <v>-0.27951564076690211</v>
      </c>
      <c r="U41" s="3187">
        <f t="shared" si="1"/>
        <v>-0.50826330532212882</v>
      </c>
      <c r="V41" s="3337">
        <f t="shared" si="1"/>
        <v>0.34007405297636001</v>
      </c>
    </row>
    <row r="42" spans="1:22" x14ac:dyDescent="0.25">
      <c r="C42" s="1978"/>
      <c r="D42" s="88" t="s">
        <v>1837</v>
      </c>
      <c r="E42" s="2015">
        <v>0.19</v>
      </c>
      <c r="F42" s="2015">
        <f t="shared" si="2"/>
        <v>0.19047619047619047</v>
      </c>
      <c r="G42" s="2015">
        <f t="shared" si="2"/>
        <v>-0.18235294117647058</v>
      </c>
      <c r="H42" s="2015">
        <f t="shared" si="0"/>
        <v>1.3908872901678656E-2</v>
      </c>
      <c r="I42" s="2015">
        <f t="shared" si="0"/>
        <v>4.1154210028382217E-2</v>
      </c>
      <c r="J42" s="2015">
        <f t="shared" si="0"/>
        <v>-0.12176283507496592</v>
      </c>
      <c r="K42" s="2015">
        <f t="shared" si="0"/>
        <v>0.22659079151577857</v>
      </c>
      <c r="L42" s="2015">
        <f t="shared" si="0"/>
        <v>1.7292281737663433E-2</v>
      </c>
      <c r="M42" s="2015">
        <f t="shared" si="0"/>
        <v>0.10572139303482588</v>
      </c>
      <c r="N42" s="2015">
        <f t="shared" si="0"/>
        <v>6.9366329208848887E-2</v>
      </c>
      <c r="O42" s="2015">
        <f t="shared" si="0"/>
        <v>0.1384992987377279</v>
      </c>
      <c r="P42" s="2015">
        <f t="shared" si="0"/>
        <v>8.6233446258084392E-2</v>
      </c>
      <c r="Q42" s="2015">
        <f t="shared" si="1"/>
        <v>0.18232044198895028</v>
      </c>
      <c r="R42" s="2015">
        <f t="shared" si="1"/>
        <v>8.3138629283489099E-2</v>
      </c>
      <c r="S42" s="2015">
        <f t="shared" si="1"/>
        <v>-0.31457846485709151</v>
      </c>
      <c r="T42" s="3187">
        <f t="shared" si="1"/>
        <v>-0.3128769997377393</v>
      </c>
      <c r="U42" s="3187">
        <f t="shared" si="1"/>
        <v>-0.19541984732824427</v>
      </c>
      <c r="V42" s="3337">
        <f t="shared" si="1"/>
        <v>-6.5939278937381399E-2</v>
      </c>
    </row>
    <row r="43" spans="1:22" x14ac:dyDescent="0.25">
      <c r="B43" s="531"/>
      <c r="C43" s="1978"/>
      <c r="D43" s="88" t="s">
        <v>284</v>
      </c>
      <c r="E43" s="2015">
        <v>0.52600000000000002</v>
      </c>
      <c r="F43" s="2015">
        <f t="shared" si="2"/>
        <v>0.52617853560682049</v>
      </c>
      <c r="G43" s="2015">
        <f t="shared" si="2"/>
        <v>0.14313880126182965</v>
      </c>
      <c r="H43" s="2015">
        <f t="shared" si="0"/>
        <v>0.18049327354260089</v>
      </c>
      <c r="I43" s="2015">
        <f t="shared" si="0"/>
        <v>0.11975552146492317</v>
      </c>
      <c r="J43" s="2015">
        <f t="shared" si="0"/>
        <v>0.14778732195281069</v>
      </c>
      <c r="K43" s="2015">
        <f t="shared" si="0"/>
        <v>0.14452170288550803</v>
      </c>
      <c r="L43" s="2015">
        <f t="shared" si="0"/>
        <v>0.16793855220248638</v>
      </c>
      <c r="M43" s="2015">
        <f t="shared" si="0"/>
        <v>9.1858718144966975E-2</v>
      </c>
      <c r="N43" s="2015">
        <f t="shared" si="0"/>
        <v>6.4879600181735581E-2</v>
      </c>
      <c r="O43" s="2015">
        <f t="shared" si="0"/>
        <v>4.1495495715139032E-2</v>
      </c>
      <c r="P43" s="2015">
        <f t="shared" si="0"/>
        <v>3.855472453386706E-2</v>
      </c>
      <c r="Q43" s="2015">
        <f t="shared" si="1"/>
        <v>0.14237839908081196</v>
      </c>
      <c r="R43" s="2015">
        <f t="shared" si="1"/>
        <v>9.1060635692267577E-2</v>
      </c>
      <c r="S43" s="2015">
        <f t="shared" si="1"/>
        <v>-0.30568382597710764</v>
      </c>
      <c r="T43" s="3187">
        <f t="shared" si="1"/>
        <v>-0.22910110149488591</v>
      </c>
      <c r="U43" s="3187">
        <f t="shared" si="1"/>
        <v>-0.28843209797792946</v>
      </c>
      <c r="V43" s="3337">
        <f t="shared" si="1"/>
        <v>0.34992492324241947</v>
      </c>
    </row>
    <row r="44" spans="1:22" x14ac:dyDescent="0.25">
      <c r="C44" s="1978"/>
      <c r="D44" s="460" t="s">
        <v>50</v>
      </c>
      <c r="E44" s="2017">
        <v>0.34</v>
      </c>
      <c r="F44" s="2017">
        <f t="shared" si="2"/>
        <v>0.33996394901816906</v>
      </c>
      <c r="G44" s="2017">
        <f t="shared" si="2"/>
        <v>0.13915310532017475</v>
      </c>
      <c r="H44" s="2017">
        <f t="shared" si="0"/>
        <v>9.4043264708956006E-2</v>
      </c>
      <c r="I44" s="2017">
        <f t="shared" si="0"/>
        <v>4.2459093123441816E-2</v>
      </c>
      <c r="J44" s="2017">
        <f t="shared" si="0"/>
        <v>7.3652573899976176E-2</v>
      </c>
      <c r="K44" s="2017">
        <f>(L18-K18)/K18</f>
        <v>0.11659003263126669</v>
      </c>
      <c r="L44" s="2017">
        <f>(M18-L18)/L18</f>
        <v>0.1704093357509581</v>
      </c>
      <c r="M44" s="2017">
        <f t="shared" ref="M44:R44" si="3">(N18-M18)/M18</f>
        <v>0.17309809440579282</v>
      </c>
      <c r="N44" s="2017">
        <f t="shared" si="3"/>
        <v>0.26061696682968832</v>
      </c>
      <c r="O44" s="2017">
        <f t="shared" si="3"/>
        <v>2.4198376030330475E-2</v>
      </c>
      <c r="P44" s="2017">
        <f t="shared" si="3"/>
        <v>-2.8988167941791369E-2</v>
      </c>
      <c r="Q44" s="2017">
        <f t="shared" si="3"/>
        <v>0.12935388652017055</v>
      </c>
      <c r="R44" s="2017">
        <f t="shared" si="3"/>
        <v>0.1054293123417689</v>
      </c>
      <c r="S44" s="2017">
        <f t="shared" si="1"/>
        <v>-0.28091745557832404</v>
      </c>
      <c r="T44" s="3188">
        <f t="shared" si="1"/>
        <v>-0.26711854790528544</v>
      </c>
      <c r="U44" s="3188">
        <f t="shared" si="1"/>
        <v>-0.28825875315230776</v>
      </c>
      <c r="V44" s="3338">
        <f t="shared" si="1"/>
        <v>0.15628836757059633</v>
      </c>
    </row>
    <row r="45" spans="1:22" x14ac:dyDescent="0.25">
      <c r="T45" s="617"/>
      <c r="U45" s="617"/>
      <c r="V45" s="617"/>
    </row>
    <row r="46" spans="1:22" ht="12.75" customHeight="1" x14ac:dyDescent="0.25">
      <c r="A46" s="509">
        <v>5</v>
      </c>
      <c r="B46" s="509" t="s">
        <v>52</v>
      </c>
      <c r="C46" s="1978"/>
      <c r="D46" s="4603" t="s">
        <v>1927</v>
      </c>
      <c r="E46" s="4604"/>
      <c r="F46" s="4604"/>
      <c r="G46" s="4604"/>
      <c r="H46" s="4604"/>
      <c r="I46" s="4604"/>
      <c r="J46" s="4604"/>
      <c r="K46" s="4604"/>
      <c r="L46" s="4604"/>
      <c r="M46" s="4604"/>
      <c r="N46" s="4604"/>
      <c r="O46" s="4604"/>
      <c r="P46" s="4604"/>
      <c r="Q46" s="4604"/>
      <c r="R46" s="4604"/>
      <c r="S46" s="4604"/>
      <c r="T46" s="4605"/>
    </row>
    <row r="47" spans="1:22" ht="12.75" customHeight="1" x14ac:dyDescent="0.25">
      <c r="A47" s="546">
        <v>6</v>
      </c>
      <c r="B47" s="546" t="s">
        <v>54</v>
      </c>
      <c r="C47" s="1978"/>
      <c r="D47" s="4618" t="s">
        <v>1928</v>
      </c>
      <c r="E47" s="4619"/>
      <c r="F47" s="4619"/>
      <c r="G47" s="4619"/>
      <c r="H47" s="4619"/>
      <c r="I47" s="4619"/>
      <c r="J47" s="4619"/>
      <c r="K47" s="4619"/>
      <c r="L47" s="4619"/>
      <c r="M47" s="4619"/>
      <c r="N47" s="3753"/>
      <c r="O47" s="3753"/>
      <c r="P47" s="3753"/>
      <c r="Q47" s="3773"/>
      <c r="R47" s="3773"/>
      <c r="S47" s="3773"/>
      <c r="T47" s="3774"/>
    </row>
    <row r="48" spans="1:22" s="162" customFormat="1" ht="12.75" customHeight="1" x14ac:dyDescent="0.2">
      <c r="A48" s="509">
        <v>7</v>
      </c>
      <c r="B48" s="509" t="s">
        <v>56</v>
      </c>
      <c r="C48" s="1119"/>
      <c r="D48" s="4603" t="s">
        <v>1867</v>
      </c>
      <c r="E48" s="4604"/>
      <c r="F48" s="4604"/>
      <c r="G48" s="4604"/>
      <c r="H48" s="4604"/>
      <c r="I48" s="4604"/>
      <c r="J48" s="4604"/>
      <c r="K48" s="4604"/>
      <c r="L48" s="4604"/>
      <c r="M48" s="4604"/>
      <c r="N48" s="3753"/>
      <c r="O48" s="3753"/>
      <c r="P48" s="3753"/>
      <c r="Q48" s="3773"/>
      <c r="R48" s="3773"/>
      <c r="S48" s="3773"/>
      <c r="T48" s="3774"/>
    </row>
    <row r="49" spans="3:20" ht="15" customHeight="1" x14ac:dyDescent="0.25">
      <c r="C49" s="509"/>
      <c r="F49" s="113"/>
    </row>
    <row r="50" spans="3:20" ht="12.75" customHeight="1" x14ac:dyDescent="0.25">
      <c r="C50" s="546"/>
      <c r="F50" s="113"/>
    </row>
    <row r="51" spans="3:20" ht="12.75" customHeight="1" x14ac:dyDescent="0.25">
      <c r="C51" s="509"/>
      <c r="D51" s="2019" t="s">
        <v>1929</v>
      </c>
      <c r="E51" s="2019" t="s">
        <v>19</v>
      </c>
      <c r="F51" s="2019" t="s">
        <v>20</v>
      </c>
      <c r="G51" s="2019" t="s">
        <v>21</v>
      </c>
      <c r="H51" s="2019" t="s">
        <v>22</v>
      </c>
      <c r="I51" s="2019" t="s">
        <v>23</v>
      </c>
      <c r="J51" s="2019" t="s">
        <v>24</v>
      </c>
      <c r="K51" s="2019" t="s">
        <v>25</v>
      </c>
      <c r="L51" s="2019" t="s">
        <v>26</v>
      </c>
      <c r="M51" s="2019" t="s">
        <v>27</v>
      </c>
      <c r="N51" s="2019" t="s">
        <v>28</v>
      </c>
      <c r="O51" s="2020" t="s">
        <v>29</v>
      </c>
      <c r="P51" s="2020" t="s">
        <v>30</v>
      </c>
      <c r="Q51" s="2020" t="s">
        <v>31</v>
      </c>
      <c r="R51" s="2020" t="s">
        <v>32</v>
      </c>
      <c r="S51" s="2020" t="s">
        <v>33</v>
      </c>
      <c r="T51" s="2020" t="s">
        <v>59</v>
      </c>
    </row>
    <row r="52" spans="3:20" x14ac:dyDescent="0.25">
      <c r="D52" s="2021" t="s">
        <v>1905</v>
      </c>
      <c r="E52" s="2022">
        <v>104689</v>
      </c>
      <c r="F52" s="2022">
        <v>109134</v>
      </c>
      <c r="G52" s="2022">
        <v>117172</v>
      </c>
      <c r="H52" s="2022">
        <v>134480</v>
      </c>
      <c r="I52" s="2022">
        <v>150561</v>
      </c>
      <c r="J52" s="2022">
        <v>176218</v>
      </c>
      <c r="K52" s="2022">
        <v>206721</v>
      </c>
      <c r="L52" s="2022">
        <v>260596</v>
      </c>
      <c r="M52" s="2022">
        <v>266902</v>
      </c>
      <c r="N52" s="2022">
        <v>259165</v>
      </c>
      <c r="O52" s="2023">
        <v>292689</v>
      </c>
      <c r="P52" s="2023">
        <v>323547</v>
      </c>
      <c r="Q52" s="2023">
        <v>232657</v>
      </c>
      <c r="R52" s="3189">
        <f>U18</f>
        <v>170510</v>
      </c>
      <c r="S52" s="3189">
        <f>V18</f>
        <v>121359</v>
      </c>
      <c r="T52" s="3336">
        <f>W18</f>
        <v>140326</v>
      </c>
    </row>
    <row r="53" spans="3:20" ht="26.25" x14ac:dyDescent="0.25">
      <c r="D53" s="2021" t="s">
        <v>1930</v>
      </c>
      <c r="E53" s="2024">
        <v>220.9</v>
      </c>
      <c r="F53" s="2024">
        <v>228.1</v>
      </c>
      <c r="G53" s="2024">
        <v>240.7</v>
      </c>
      <c r="H53" s="2024">
        <v>273.39999999999998</v>
      </c>
      <c r="I53" s="3190">
        <f>(150561/51029719.02)*100000</f>
        <v>295.04571628346775</v>
      </c>
      <c r="J53" s="3190">
        <f>(176218/51759547.67)*100000</f>
        <v>340.45506178589835</v>
      </c>
      <c r="K53" s="3190">
        <f>(206721/52517864.18)*100000</f>
        <v>393.6203484808205</v>
      </c>
      <c r="L53" s="3190">
        <f>(260596/53304520.02)*100000</f>
        <v>488.88161811085376</v>
      </c>
      <c r="M53" s="3190">
        <f>(266902/54120306.16)*100000</f>
        <v>493.16424635687986</v>
      </c>
      <c r="N53" s="3190">
        <f>(259165/54965281.74)*100000</f>
        <v>471.50672532875836</v>
      </c>
      <c r="O53" s="3191">
        <f>(292689/55843010.66)*100000</f>
        <v>524.12825981399192</v>
      </c>
      <c r="P53" s="3191">
        <f>(323547/56753326.89)*100000</f>
        <v>570.0934513092119</v>
      </c>
      <c r="Q53" s="3191">
        <f>(323547/57698414.32)*100000</f>
        <v>560.75544503802575</v>
      </c>
      <c r="R53" s="3192">
        <f>(R52/58678234.75)*100000</f>
        <v>290.58474701303112</v>
      </c>
      <c r="S53" s="3192">
        <f>(S52/59695848)*100000</f>
        <v>203.2955457806714</v>
      </c>
      <c r="T53" s="3192">
        <f>(T52/59695848)*100000</f>
        <v>235.06827476510594</v>
      </c>
    </row>
    <row r="54" spans="3:20" ht="31.5" customHeight="1" x14ac:dyDescent="0.25"/>
  </sheetData>
  <mergeCells count="8">
    <mergeCell ref="D47:M47"/>
    <mergeCell ref="D48:M48"/>
    <mergeCell ref="D2:T2"/>
    <mergeCell ref="D3:T3"/>
    <mergeCell ref="D4:T4"/>
    <mergeCell ref="E20:M20"/>
    <mergeCell ref="E33:M33"/>
    <mergeCell ref="D46:T46"/>
  </mergeCells>
  <pageMargins left="0.74803149606299202" right="0.74803149606299202" top="0.98425196850393704" bottom="0.98425196850393704" header="0.511811023622047" footer="0.511811023622047"/>
  <pageSetup paperSize="9" scale="64"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CB6D8-ABBC-4221-958F-971C231ACB49}">
  <sheetPr>
    <tabColor theme="4" tint="-0.249977111117893"/>
    <pageSetUpPr fitToPage="1"/>
  </sheetPr>
  <dimension ref="A1:W52"/>
  <sheetViews>
    <sheetView showGridLines="0" view="pageBreakPreview" topLeftCell="A40" zoomScale="110" zoomScaleNormal="100" zoomScaleSheetLayoutView="110" workbookViewId="0">
      <selection activeCell="X65" sqref="X65"/>
    </sheetView>
  </sheetViews>
  <sheetFormatPr defaultColWidth="9.140625" defaultRowHeight="15" x14ac:dyDescent="0.25"/>
  <cols>
    <col min="1" max="1" width="3.85546875" style="509" customWidth="1"/>
    <col min="2" max="2" width="10.85546875" style="1119" customWidth="1"/>
    <col min="3" max="3" width="7.140625" style="1119" customWidth="1"/>
    <col min="4" max="4" width="22.140625" style="113" customWidth="1"/>
    <col min="5" max="5" width="8.140625" style="113" customWidth="1"/>
    <col min="6" max="6" width="8" style="1987" customWidth="1"/>
    <col min="7" max="7" width="8.140625" style="113" customWidth="1"/>
    <col min="8" max="8" width="7.5703125" style="113" customWidth="1"/>
    <col min="9" max="10" width="7.85546875" style="113" customWidth="1"/>
    <col min="11" max="11" width="8" style="113" customWidth="1"/>
    <col min="12" max="12" width="7.42578125" style="113" customWidth="1"/>
    <col min="13" max="13" width="7.5703125" style="113" customWidth="1"/>
    <col min="14" max="14" width="7.85546875" style="113" customWidth="1"/>
    <col min="15" max="15" width="7.140625" style="113" customWidth="1"/>
    <col min="16" max="17" width="7.42578125" style="113" customWidth="1"/>
    <col min="18" max="18" width="6.85546875" style="113" customWidth="1"/>
    <col min="19" max="19" width="8.85546875" style="113" customWidth="1"/>
    <col min="20" max="20" width="8.5703125" style="113" customWidth="1"/>
    <col min="21" max="21" width="7" style="113" customWidth="1"/>
    <col min="22" max="22" width="6.5703125" style="113" customWidth="1"/>
    <col min="23" max="23" width="6.85546875" style="113" customWidth="1"/>
    <col min="24" max="256" width="9.140625" style="113"/>
    <col min="257" max="257" width="3.85546875" style="113" customWidth="1"/>
    <col min="258" max="258" width="14.42578125" style="113" customWidth="1"/>
    <col min="259" max="259" width="3.85546875" style="113" customWidth="1"/>
    <col min="260" max="260" width="15.5703125" style="113" customWidth="1"/>
    <col min="261" max="261" width="12.85546875" style="113" customWidth="1"/>
    <col min="262" max="262" width="13.140625" style="113" customWidth="1"/>
    <col min="263" max="263" width="11.85546875" style="113" customWidth="1"/>
    <col min="264" max="264" width="13.85546875" style="113" customWidth="1"/>
    <col min="265" max="265" width="13.140625" style="113" customWidth="1"/>
    <col min="266" max="266" width="13.42578125" style="113" customWidth="1"/>
    <col min="267" max="267" width="13.85546875" style="113" customWidth="1"/>
    <col min="268" max="268" width="12.5703125" style="113" customWidth="1"/>
    <col min="269" max="273" width="9.5703125" style="113" customWidth="1"/>
    <col min="274" max="275" width="9" style="113" customWidth="1"/>
    <col min="276" max="512" width="9.140625" style="113"/>
    <col min="513" max="513" width="3.85546875" style="113" customWidth="1"/>
    <col min="514" max="514" width="14.42578125" style="113" customWidth="1"/>
    <col min="515" max="515" width="3.85546875" style="113" customWidth="1"/>
    <col min="516" max="516" width="15.5703125" style="113" customWidth="1"/>
    <col min="517" max="517" width="12.85546875" style="113" customWidth="1"/>
    <col min="518" max="518" width="13.140625" style="113" customWidth="1"/>
    <col min="519" max="519" width="11.85546875" style="113" customWidth="1"/>
    <col min="520" max="520" width="13.85546875" style="113" customWidth="1"/>
    <col min="521" max="521" width="13.140625" style="113" customWidth="1"/>
    <col min="522" max="522" width="13.42578125" style="113" customWidth="1"/>
    <col min="523" max="523" width="13.85546875" style="113" customWidth="1"/>
    <col min="524" max="524" width="12.5703125" style="113" customWidth="1"/>
    <col min="525" max="529" width="9.5703125" style="113" customWidth="1"/>
    <col min="530" max="531" width="9" style="113" customWidth="1"/>
    <col min="532" max="768" width="9.140625" style="113"/>
    <col min="769" max="769" width="3.85546875" style="113" customWidth="1"/>
    <col min="770" max="770" width="14.42578125" style="113" customWidth="1"/>
    <col min="771" max="771" width="3.85546875" style="113" customWidth="1"/>
    <col min="772" max="772" width="15.5703125" style="113" customWidth="1"/>
    <col min="773" max="773" width="12.85546875" style="113" customWidth="1"/>
    <col min="774" max="774" width="13.140625" style="113" customWidth="1"/>
    <col min="775" max="775" width="11.85546875" style="113" customWidth="1"/>
    <col min="776" max="776" width="13.85546875" style="113" customWidth="1"/>
    <col min="777" max="777" width="13.140625" style="113" customWidth="1"/>
    <col min="778" max="778" width="13.42578125" style="113" customWidth="1"/>
    <col min="779" max="779" width="13.85546875" style="113" customWidth="1"/>
    <col min="780" max="780" width="12.5703125" style="113" customWidth="1"/>
    <col min="781" max="785" width="9.5703125" style="113" customWidth="1"/>
    <col min="786" max="787" width="9" style="113" customWidth="1"/>
    <col min="788" max="1024" width="9.140625" style="113"/>
    <col min="1025" max="1025" width="3.85546875" style="113" customWidth="1"/>
    <col min="1026" max="1026" width="14.42578125" style="113" customWidth="1"/>
    <col min="1027" max="1027" width="3.85546875" style="113" customWidth="1"/>
    <col min="1028" max="1028" width="15.5703125" style="113" customWidth="1"/>
    <col min="1029" max="1029" width="12.85546875" style="113" customWidth="1"/>
    <col min="1030" max="1030" width="13.140625" style="113" customWidth="1"/>
    <col min="1031" max="1031" width="11.85546875" style="113" customWidth="1"/>
    <col min="1032" max="1032" width="13.85546875" style="113" customWidth="1"/>
    <col min="1033" max="1033" width="13.140625" style="113" customWidth="1"/>
    <col min="1034" max="1034" width="13.42578125" style="113" customWidth="1"/>
    <col min="1035" max="1035" width="13.85546875" style="113" customWidth="1"/>
    <col min="1036" max="1036" width="12.5703125" style="113" customWidth="1"/>
    <col min="1037" max="1041" width="9.5703125" style="113" customWidth="1"/>
    <col min="1042" max="1043" width="9" style="113" customWidth="1"/>
    <col min="1044" max="1280" width="9.140625" style="113"/>
    <col min="1281" max="1281" width="3.85546875" style="113" customWidth="1"/>
    <col min="1282" max="1282" width="14.42578125" style="113" customWidth="1"/>
    <col min="1283" max="1283" width="3.85546875" style="113" customWidth="1"/>
    <col min="1284" max="1284" width="15.5703125" style="113" customWidth="1"/>
    <col min="1285" max="1285" width="12.85546875" style="113" customWidth="1"/>
    <col min="1286" max="1286" width="13.140625" style="113" customWidth="1"/>
    <col min="1287" max="1287" width="11.85546875" style="113" customWidth="1"/>
    <col min="1288" max="1288" width="13.85546875" style="113" customWidth="1"/>
    <col min="1289" max="1289" width="13.140625" style="113" customWidth="1"/>
    <col min="1290" max="1290" width="13.42578125" style="113" customWidth="1"/>
    <col min="1291" max="1291" width="13.85546875" style="113" customWidth="1"/>
    <col min="1292" max="1292" width="12.5703125" style="113" customWidth="1"/>
    <col min="1293" max="1297" width="9.5703125" style="113" customWidth="1"/>
    <col min="1298" max="1299" width="9" style="113" customWidth="1"/>
    <col min="1300" max="1536" width="9.140625" style="113"/>
    <col min="1537" max="1537" width="3.85546875" style="113" customWidth="1"/>
    <col min="1538" max="1538" width="14.42578125" style="113" customWidth="1"/>
    <col min="1539" max="1539" width="3.85546875" style="113" customWidth="1"/>
    <col min="1540" max="1540" width="15.5703125" style="113" customWidth="1"/>
    <col min="1541" max="1541" width="12.85546875" style="113" customWidth="1"/>
    <col min="1542" max="1542" width="13.140625" style="113" customWidth="1"/>
    <col min="1543" max="1543" width="11.85546875" style="113" customWidth="1"/>
    <col min="1544" max="1544" width="13.85546875" style="113" customWidth="1"/>
    <col min="1545" max="1545" width="13.140625" style="113" customWidth="1"/>
    <col min="1546" max="1546" width="13.42578125" style="113" customWidth="1"/>
    <col min="1547" max="1547" width="13.85546875" style="113" customWidth="1"/>
    <col min="1548" max="1548" width="12.5703125" style="113" customWidth="1"/>
    <col min="1549" max="1553" width="9.5703125" style="113" customWidth="1"/>
    <col min="1554" max="1555" width="9" style="113" customWidth="1"/>
    <col min="1556" max="1792" width="9.140625" style="113"/>
    <col min="1793" max="1793" width="3.85546875" style="113" customWidth="1"/>
    <col min="1794" max="1794" width="14.42578125" style="113" customWidth="1"/>
    <col min="1795" max="1795" width="3.85546875" style="113" customWidth="1"/>
    <col min="1796" max="1796" width="15.5703125" style="113" customWidth="1"/>
    <col min="1797" max="1797" width="12.85546875" style="113" customWidth="1"/>
    <col min="1798" max="1798" width="13.140625" style="113" customWidth="1"/>
    <col min="1799" max="1799" width="11.85546875" style="113" customWidth="1"/>
    <col min="1800" max="1800" width="13.85546875" style="113" customWidth="1"/>
    <col min="1801" max="1801" width="13.140625" style="113" customWidth="1"/>
    <col min="1802" max="1802" width="13.42578125" style="113" customWidth="1"/>
    <col min="1803" max="1803" width="13.85546875" style="113" customWidth="1"/>
    <col min="1804" max="1804" width="12.5703125" style="113" customWidth="1"/>
    <col min="1805" max="1809" width="9.5703125" style="113" customWidth="1"/>
    <col min="1810" max="1811" width="9" style="113" customWidth="1"/>
    <col min="1812" max="2048" width="9.140625" style="113"/>
    <col min="2049" max="2049" width="3.85546875" style="113" customWidth="1"/>
    <col min="2050" max="2050" width="14.42578125" style="113" customWidth="1"/>
    <col min="2051" max="2051" width="3.85546875" style="113" customWidth="1"/>
    <col min="2052" max="2052" width="15.5703125" style="113" customWidth="1"/>
    <col min="2053" max="2053" width="12.85546875" style="113" customWidth="1"/>
    <col min="2054" max="2054" width="13.140625" style="113" customWidth="1"/>
    <col min="2055" max="2055" width="11.85546875" style="113" customWidth="1"/>
    <col min="2056" max="2056" width="13.85546875" style="113" customWidth="1"/>
    <col min="2057" max="2057" width="13.140625" style="113" customWidth="1"/>
    <col min="2058" max="2058" width="13.42578125" style="113" customWidth="1"/>
    <col min="2059" max="2059" width="13.85546875" style="113" customWidth="1"/>
    <col min="2060" max="2060" width="12.5703125" style="113" customWidth="1"/>
    <col min="2061" max="2065" width="9.5703125" style="113" customWidth="1"/>
    <col min="2066" max="2067" width="9" style="113" customWidth="1"/>
    <col min="2068" max="2304" width="9.140625" style="113"/>
    <col min="2305" max="2305" width="3.85546875" style="113" customWidth="1"/>
    <col min="2306" max="2306" width="14.42578125" style="113" customWidth="1"/>
    <col min="2307" max="2307" width="3.85546875" style="113" customWidth="1"/>
    <col min="2308" max="2308" width="15.5703125" style="113" customWidth="1"/>
    <col min="2309" max="2309" width="12.85546875" style="113" customWidth="1"/>
    <col min="2310" max="2310" width="13.140625" style="113" customWidth="1"/>
    <col min="2311" max="2311" width="11.85546875" style="113" customWidth="1"/>
    <col min="2312" max="2312" width="13.85546875" style="113" customWidth="1"/>
    <col min="2313" max="2313" width="13.140625" style="113" customWidth="1"/>
    <col min="2314" max="2314" width="13.42578125" style="113" customWidth="1"/>
    <col min="2315" max="2315" width="13.85546875" style="113" customWidth="1"/>
    <col min="2316" max="2316" width="12.5703125" style="113" customWidth="1"/>
    <col min="2317" max="2321" width="9.5703125" style="113" customWidth="1"/>
    <col min="2322" max="2323" width="9" style="113" customWidth="1"/>
    <col min="2324" max="2560" width="9.140625" style="113"/>
    <col min="2561" max="2561" width="3.85546875" style="113" customWidth="1"/>
    <col min="2562" max="2562" width="14.42578125" style="113" customWidth="1"/>
    <col min="2563" max="2563" width="3.85546875" style="113" customWidth="1"/>
    <col min="2564" max="2564" width="15.5703125" style="113" customWidth="1"/>
    <col min="2565" max="2565" width="12.85546875" style="113" customWidth="1"/>
    <col min="2566" max="2566" width="13.140625" style="113" customWidth="1"/>
    <col min="2567" max="2567" width="11.85546875" style="113" customWidth="1"/>
    <col min="2568" max="2568" width="13.85546875" style="113" customWidth="1"/>
    <col min="2569" max="2569" width="13.140625" style="113" customWidth="1"/>
    <col min="2570" max="2570" width="13.42578125" style="113" customWidth="1"/>
    <col min="2571" max="2571" width="13.85546875" style="113" customWidth="1"/>
    <col min="2572" max="2572" width="12.5703125" style="113" customWidth="1"/>
    <col min="2573" max="2577" width="9.5703125" style="113" customWidth="1"/>
    <col min="2578" max="2579" width="9" style="113" customWidth="1"/>
    <col min="2580" max="2816" width="9.140625" style="113"/>
    <col min="2817" max="2817" width="3.85546875" style="113" customWidth="1"/>
    <col min="2818" max="2818" width="14.42578125" style="113" customWidth="1"/>
    <col min="2819" max="2819" width="3.85546875" style="113" customWidth="1"/>
    <col min="2820" max="2820" width="15.5703125" style="113" customWidth="1"/>
    <col min="2821" max="2821" width="12.85546875" style="113" customWidth="1"/>
    <col min="2822" max="2822" width="13.140625" style="113" customWidth="1"/>
    <col min="2823" max="2823" width="11.85546875" style="113" customWidth="1"/>
    <col min="2824" max="2824" width="13.85546875" style="113" customWidth="1"/>
    <col min="2825" max="2825" width="13.140625" style="113" customWidth="1"/>
    <col min="2826" max="2826" width="13.42578125" style="113" customWidth="1"/>
    <col min="2827" max="2827" width="13.85546875" style="113" customWidth="1"/>
    <col min="2828" max="2828" width="12.5703125" style="113" customWidth="1"/>
    <col min="2829" max="2833" width="9.5703125" style="113" customWidth="1"/>
    <col min="2834" max="2835" width="9" style="113" customWidth="1"/>
    <col min="2836" max="3072" width="9.140625" style="113"/>
    <col min="3073" max="3073" width="3.85546875" style="113" customWidth="1"/>
    <col min="3074" max="3074" width="14.42578125" style="113" customWidth="1"/>
    <col min="3075" max="3075" width="3.85546875" style="113" customWidth="1"/>
    <col min="3076" max="3076" width="15.5703125" style="113" customWidth="1"/>
    <col min="3077" max="3077" width="12.85546875" style="113" customWidth="1"/>
    <col min="3078" max="3078" width="13.140625" style="113" customWidth="1"/>
    <col min="3079" max="3079" width="11.85546875" style="113" customWidth="1"/>
    <col min="3080" max="3080" width="13.85546875" style="113" customWidth="1"/>
    <col min="3081" max="3081" width="13.140625" style="113" customWidth="1"/>
    <col min="3082" max="3082" width="13.42578125" style="113" customWidth="1"/>
    <col min="3083" max="3083" width="13.85546875" style="113" customWidth="1"/>
    <col min="3084" max="3084" width="12.5703125" style="113" customWidth="1"/>
    <col min="3085" max="3089" width="9.5703125" style="113" customWidth="1"/>
    <col min="3090" max="3091" width="9" style="113" customWidth="1"/>
    <col min="3092" max="3328" width="9.140625" style="113"/>
    <col min="3329" max="3329" width="3.85546875" style="113" customWidth="1"/>
    <col min="3330" max="3330" width="14.42578125" style="113" customWidth="1"/>
    <col min="3331" max="3331" width="3.85546875" style="113" customWidth="1"/>
    <col min="3332" max="3332" width="15.5703125" style="113" customWidth="1"/>
    <col min="3333" max="3333" width="12.85546875" style="113" customWidth="1"/>
    <col min="3334" max="3334" width="13.140625" style="113" customWidth="1"/>
    <col min="3335" max="3335" width="11.85546875" style="113" customWidth="1"/>
    <col min="3336" max="3336" width="13.85546875" style="113" customWidth="1"/>
    <col min="3337" max="3337" width="13.140625" style="113" customWidth="1"/>
    <col min="3338" max="3338" width="13.42578125" style="113" customWidth="1"/>
    <col min="3339" max="3339" width="13.85546875" style="113" customWidth="1"/>
    <col min="3340" max="3340" width="12.5703125" style="113" customWidth="1"/>
    <col min="3341" max="3345" width="9.5703125" style="113" customWidth="1"/>
    <col min="3346" max="3347" width="9" style="113" customWidth="1"/>
    <col min="3348" max="3584" width="9.140625" style="113"/>
    <col min="3585" max="3585" width="3.85546875" style="113" customWidth="1"/>
    <col min="3586" max="3586" width="14.42578125" style="113" customWidth="1"/>
    <col min="3587" max="3587" width="3.85546875" style="113" customWidth="1"/>
    <col min="3588" max="3588" width="15.5703125" style="113" customWidth="1"/>
    <col min="3589" max="3589" width="12.85546875" style="113" customWidth="1"/>
    <col min="3590" max="3590" width="13.140625" style="113" customWidth="1"/>
    <col min="3591" max="3591" width="11.85546875" style="113" customWidth="1"/>
    <col min="3592" max="3592" width="13.85546875" style="113" customWidth="1"/>
    <col min="3593" max="3593" width="13.140625" style="113" customWidth="1"/>
    <col min="3594" max="3594" width="13.42578125" style="113" customWidth="1"/>
    <col min="3595" max="3595" width="13.85546875" style="113" customWidth="1"/>
    <col min="3596" max="3596" width="12.5703125" style="113" customWidth="1"/>
    <col min="3597" max="3601" width="9.5703125" style="113" customWidth="1"/>
    <col min="3602" max="3603" width="9" style="113" customWidth="1"/>
    <col min="3604" max="3840" width="9.140625" style="113"/>
    <col min="3841" max="3841" width="3.85546875" style="113" customWidth="1"/>
    <col min="3842" max="3842" width="14.42578125" style="113" customWidth="1"/>
    <col min="3843" max="3843" width="3.85546875" style="113" customWidth="1"/>
    <col min="3844" max="3844" width="15.5703125" style="113" customWidth="1"/>
    <col min="3845" max="3845" width="12.85546875" style="113" customWidth="1"/>
    <col min="3846" max="3846" width="13.140625" style="113" customWidth="1"/>
    <col min="3847" max="3847" width="11.85546875" style="113" customWidth="1"/>
    <col min="3848" max="3848" width="13.85546875" style="113" customWidth="1"/>
    <col min="3849" max="3849" width="13.140625" style="113" customWidth="1"/>
    <col min="3850" max="3850" width="13.42578125" style="113" customWidth="1"/>
    <col min="3851" max="3851" width="13.85546875" style="113" customWidth="1"/>
    <col min="3852" max="3852" width="12.5703125" style="113" customWidth="1"/>
    <col min="3853" max="3857" width="9.5703125" style="113" customWidth="1"/>
    <col min="3858" max="3859" width="9" style="113" customWidth="1"/>
    <col min="3860" max="4096" width="9.140625" style="113"/>
    <col min="4097" max="4097" width="3.85546875" style="113" customWidth="1"/>
    <col min="4098" max="4098" width="14.42578125" style="113" customWidth="1"/>
    <col min="4099" max="4099" width="3.85546875" style="113" customWidth="1"/>
    <col min="4100" max="4100" width="15.5703125" style="113" customWidth="1"/>
    <col min="4101" max="4101" width="12.85546875" style="113" customWidth="1"/>
    <col min="4102" max="4102" width="13.140625" style="113" customWidth="1"/>
    <col min="4103" max="4103" width="11.85546875" style="113" customWidth="1"/>
    <col min="4104" max="4104" width="13.85546875" style="113" customWidth="1"/>
    <col min="4105" max="4105" width="13.140625" style="113" customWidth="1"/>
    <col min="4106" max="4106" width="13.42578125" style="113" customWidth="1"/>
    <col min="4107" max="4107" width="13.85546875" style="113" customWidth="1"/>
    <col min="4108" max="4108" width="12.5703125" style="113" customWidth="1"/>
    <col min="4109" max="4113" width="9.5703125" style="113" customWidth="1"/>
    <col min="4114" max="4115" width="9" style="113" customWidth="1"/>
    <col min="4116" max="4352" width="9.140625" style="113"/>
    <col min="4353" max="4353" width="3.85546875" style="113" customWidth="1"/>
    <col min="4354" max="4354" width="14.42578125" style="113" customWidth="1"/>
    <col min="4355" max="4355" width="3.85546875" style="113" customWidth="1"/>
    <col min="4356" max="4356" width="15.5703125" style="113" customWidth="1"/>
    <col min="4357" max="4357" width="12.85546875" style="113" customWidth="1"/>
    <col min="4358" max="4358" width="13.140625" style="113" customWidth="1"/>
    <col min="4359" max="4359" width="11.85546875" style="113" customWidth="1"/>
    <col min="4360" max="4360" width="13.85546875" style="113" customWidth="1"/>
    <col min="4361" max="4361" width="13.140625" style="113" customWidth="1"/>
    <col min="4362" max="4362" width="13.42578125" style="113" customWidth="1"/>
    <col min="4363" max="4363" width="13.85546875" style="113" customWidth="1"/>
    <col min="4364" max="4364" width="12.5703125" style="113" customWidth="1"/>
    <col min="4365" max="4369" width="9.5703125" style="113" customWidth="1"/>
    <col min="4370" max="4371" width="9" style="113" customWidth="1"/>
    <col min="4372" max="4608" width="9.140625" style="113"/>
    <col min="4609" max="4609" width="3.85546875" style="113" customWidth="1"/>
    <col min="4610" max="4610" width="14.42578125" style="113" customWidth="1"/>
    <col min="4611" max="4611" width="3.85546875" style="113" customWidth="1"/>
    <col min="4612" max="4612" width="15.5703125" style="113" customWidth="1"/>
    <col min="4613" max="4613" width="12.85546875" style="113" customWidth="1"/>
    <col min="4614" max="4614" width="13.140625" style="113" customWidth="1"/>
    <col min="4615" max="4615" width="11.85546875" style="113" customWidth="1"/>
    <col min="4616" max="4616" width="13.85546875" style="113" customWidth="1"/>
    <col min="4617" max="4617" width="13.140625" style="113" customWidth="1"/>
    <col min="4618" max="4618" width="13.42578125" style="113" customWidth="1"/>
    <col min="4619" max="4619" width="13.85546875" style="113" customWidth="1"/>
    <col min="4620" max="4620" width="12.5703125" style="113" customWidth="1"/>
    <col min="4621" max="4625" width="9.5703125" style="113" customWidth="1"/>
    <col min="4626" max="4627" width="9" style="113" customWidth="1"/>
    <col min="4628" max="4864" width="9.140625" style="113"/>
    <col min="4865" max="4865" width="3.85546875" style="113" customWidth="1"/>
    <col min="4866" max="4866" width="14.42578125" style="113" customWidth="1"/>
    <col min="4867" max="4867" width="3.85546875" style="113" customWidth="1"/>
    <col min="4868" max="4868" width="15.5703125" style="113" customWidth="1"/>
    <col min="4869" max="4869" width="12.85546875" style="113" customWidth="1"/>
    <col min="4870" max="4870" width="13.140625" style="113" customWidth="1"/>
    <col min="4871" max="4871" width="11.85546875" style="113" customWidth="1"/>
    <col min="4872" max="4872" width="13.85546875" style="113" customWidth="1"/>
    <col min="4873" max="4873" width="13.140625" style="113" customWidth="1"/>
    <col min="4874" max="4874" width="13.42578125" style="113" customWidth="1"/>
    <col min="4875" max="4875" width="13.85546875" style="113" customWidth="1"/>
    <col min="4876" max="4876" width="12.5703125" style="113" customWidth="1"/>
    <col min="4877" max="4881" width="9.5703125" style="113" customWidth="1"/>
    <col min="4882" max="4883" width="9" style="113" customWidth="1"/>
    <col min="4884" max="5120" width="9.140625" style="113"/>
    <col min="5121" max="5121" width="3.85546875" style="113" customWidth="1"/>
    <col min="5122" max="5122" width="14.42578125" style="113" customWidth="1"/>
    <col min="5123" max="5123" width="3.85546875" style="113" customWidth="1"/>
    <col min="5124" max="5124" width="15.5703125" style="113" customWidth="1"/>
    <col min="5125" max="5125" width="12.85546875" style="113" customWidth="1"/>
    <col min="5126" max="5126" width="13.140625" style="113" customWidth="1"/>
    <col min="5127" max="5127" width="11.85546875" style="113" customWidth="1"/>
    <col min="5128" max="5128" width="13.85546875" style="113" customWidth="1"/>
    <col min="5129" max="5129" width="13.140625" style="113" customWidth="1"/>
    <col min="5130" max="5130" width="13.42578125" style="113" customWidth="1"/>
    <col min="5131" max="5131" width="13.85546875" style="113" customWidth="1"/>
    <col min="5132" max="5132" width="12.5703125" style="113" customWidth="1"/>
    <col min="5133" max="5137" width="9.5703125" style="113" customWidth="1"/>
    <col min="5138" max="5139" width="9" style="113" customWidth="1"/>
    <col min="5140" max="5376" width="9.140625" style="113"/>
    <col min="5377" max="5377" width="3.85546875" style="113" customWidth="1"/>
    <col min="5378" max="5378" width="14.42578125" style="113" customWidth="1"/>
    <col min="5379" max="5379" width="3.85546875" style="113" customWidth="1"/>
    <col min="5380" max="5380" width="15.5703125" style="113" customWidth="1"/>
    <col min="5381" max="5381" width="12.85546875" style="113" customWidth="1"/>
    <col min="5382" max="5382" width="13.140625" style="113" customWidth="1"/>
    <col min="5383" max="5383" width="11.85546875" style="113" customWidth="1"/>
    <col min="5384" max="5384" width="13.85546875" style="113" customWidth="1"/>
    <col min="5385" max="5385" width="13.140625" style="113" customWidth="1"/>
    <col min="5386" max="5386" width="13.42578125" style="113" customWidth="1"/>
    <col min="5387" max="5387" width="13.85546875" style="113" customWidth="1"/>
    <col min="5388" max="5388" width="12.5703125" style="113" customWidth="1"/>
    <col min="5389" max="5393" width="9.5703125" style="113" customWidth="1"/>
    <col min="5394" max="5395" width="9" style="113" customWidth="1"/>
    <col min="5396" max="5632" width="9.140625" style="113"/>
    <col min="5633" max="5633" width="3.85546875" style="113" customWidth="1"/>
    <col min="5634" max="5634" width="14.42578125" style="113" customWidth="1"/>
    <col min="5635" max="5635" width="3.85546875" style="113" customWidth="1"/>
    <col min="5636" max="5636" width="15.5703125" style="113" customWidth="1"/>
    <col min="5637" max="5637" width="12.85546875" style="113" customWidth="1"/>
    <col min="5638" max="5638" width="13.140625" style="113" customWidth="1"/>
    <col min="5639" max="5639" width="11.85546875" style="113" customWidth="1"/>
    <col min="5640" max="5640" width="13.85546875" style="113" customWidth="1"/>
    <col min="5641" max="5641" width="13.140625" style="113" customWidth="1"/>
    <col min="5642" max="5642" width="13.42578125" style="113" customWidth="1"/>
    <col min="5643" max="5643" width="13.85546875" style="113" customWidth="1"/>
    <col min="5644" max="5644" width="12.5703125" style="113" customWidth="1"/>
    <col min="5645" max="5649" width="9.5703125" style="113" customWidth="1"/>
    <col min="5650" max="5651" width="9" style="113" customWidth="1"/>
    <col min="5652" max="5888" width="9.140625" style="113"/>
    <col min="5889" max="5889" width="3.85546875" style="113" customWidth="1"/>
    <col min="5890" max="5890" width="14.42578125" style="113" customWidth="1"/>
    <col min="5891" max="5891" width="3.85546875" style="113" customWidth="1"/>
    <col min="5892" max="5892" width="15.5703125" style="113" customWidth="1"/>
    <col min="5893" max="5893" width="12.85546875" style="113" customWidth="1"/>
    <col min="5894" max="5894" width="13.140625" style="113" customWidth="1"/>
    <col min="5895" max="5895" width="11.85546875" style="113" customWidth="1"/>
    <col min="5896" max="5896" width="13.85546875" style="113" customWidth="1"/>
    <col min="5897" max="5897" width="13.140625" style="113" customWidth="1"/>
    <col min="5898" max="5898" width="13.42578125" style="113" customWidth="1"/>
    <col min="5899" max="5899" width="13.85546875" style="113" customWidth="1"/>
    <col min="5900" max="5900" width="12.5703125" style="113" customWidth="1"/>
    <col min="5901" max="5905" width="9.5703125" style="113" customWidth="1"/>
    <col min="5906" max="5907" width="9" style="113" customWidth="1"/>
    <col min="5908" max="6144" width="9.140625" style="113"/>
    <col min="6145" max="6145" width="3.85546875" style="113" customWidth="1"/>
    <col min="6146" max="6146" width="14.42578125" style="113" customWidth="1"/>
    <col min="6147" max="6147" width="3.85546875" style="113" customWidth="1"/>
    <col min="6148" max="6148" width="15.5703125" style="113" customWidth="1"/>
    <col min="6149" max="6149" width="12.85546875" style="113" customWidth="1"/>
    <col min="6150" max="6150" width="13.140625" style="113" customWidth="1"/>
    <col min="6151" max="6151" width="11.85546875" style="113" customWidth="1"/>
    <col min="6152" max="6152" width="13.85546875" style="113" customWidth="1"/>
    <col min="6153" max="6153" width="13.140625" style="113" customWidth="1"/>
    <col min="6154" max="6154" width="13.42578125" style="113" customWidth="1"/>
    <col min="6155" max="6155" width="13.85546875" style="113" customWidth="1"/>
    <col min="6156" max="6156" width="12.5703125" style="113" customWidth="1"/>
    <col min="6157" max="6161" width="9.5703125" style="113" customWidth="1"/>
    <col min="6162" max="6163" width="9" style="113" customWidth="1"/>
    <col min="6164" max="6400" width="9.140625" style="113"/>
    <col min="6401" max="6401" width="3.85546875" style="113" customWidth="1"/>
    <col min="6402" max="6402" width="14.42578125" style="113" customWidth="1"/>
    <col min="6403" max="6403" width="3.85546875" style="113" customWidth="1"/>
    <col min="6404" max="6404" width="15.5703125" style="113" customWidth="1"/>
    <col min="6405" max="6405" width="12.85546875" style="113" customWidth="1"/>
    <col min="6406" max="6406" width="13.140625" style="113" customWidth="1"/>
    <col min="6407" max="6407" width="11.85546875" style="113" customWidth="1"/>
    <col min="6408" max="6408" width="13.85546875" style="113" customWidth="1"/>
    <col min="6409" max="6409" width="13.140625" style="113" customWidth="1"/>
    <col min="6410" max="6410" width="13.42578125" style="113" customWidth="1"/>
    <col min="6411" max="6411" width="13.85546875" style="113" customWidth="1"/>
    <col min="6412" max="6412" width="12.5703125" style="113" customWidth="1"/>
    <col min="6413" max="6417" width="9.5703125" style="113" customWidth="1"/>
    <col min="6418" max="6419" width="9" style="113" customWidth="1"/>
    <col min="6420" max="6656" width="9.140625" style="113"/>
    <col min="6657" max="6657" width="3.85546875" style="113" customWidth="1"/>
    <col min="6658" max="6658" width="14.42578125" style="113" customWidth="1"/>
    <col min="6659" max="6659" width="3.85546875" style="113" customWidth="1"/>
    <col min="6660" max="6660" width="15.5703125" style="113" customWidth="1"/>
    <col min="6661" max="6661" width="12.85546875" style="113" customWidth="1"/>
    <col min="6662" max="6662" width="13.140625" style="113" customWidth="1"/>
    <col min="6663" max="6663" width="11.85546875" style="113" customWidth="1"/>
    <col min="6664" max="6664" width="13.85546875" style="113" customWidth="1"/>
    <col min="6665" max="6665" width="13.140625" style="113" customWidth="1"/>
    <col min="6666" max="6666" width="13.42578125" style="113" customWidth="1"/>
    <col min="6667" max="6667" width="13.85546875" style="113" customWidth="1"/>
    <col min="6668" max="6668" width="12.5703125" style="113" customWidth="1"/>
    <col min="6669" max="6673" width="9.5703125" style="113" customWidth="1"/>
    <col min="6674" max="6675" width="9" style="113" customWidth="1"/>
    <col min="6676" max="6912" width="9.140625" style="113"/>
    <col min="6913" max="6913" width="3.85546875" style="113" customWidth="1"/>
    <col min="6914" max="6914" width="14.42578125" style="113" customWidth="1"/>
    <col min="6915" max="6915" width="3.85546875" style="113" customWidth="1"/>
    <col min="6916" max="6916" width="15.5703125" style="113" customWidth="1"/>
    <col min="6917" max="6917" width="12.85546875" style="113" customWidth="1"/>
    <col min="6918" max="6918" width="13.140625" style="113" customWidth="1"/>
    <col min="6919" max="6919" width="11.85546875" style="113" customWidth="1"/>
    <col min="6920" max="6920" width="13.85546875" style="113" customWidth="1"/>
    <col min="6921" max="6921" width="13.140625" style="113" customWidth="1"/>
    <col min="6922" max="6922" width="13.42578125" style="113" customWidth="1"/>
    <col min="6923" max="6923" width="13.85546875" style="113" customWidth="1"/>
    <col min="6924" max="6924" width="12.5703125" style="113" customWidth="1"/>
    <col min="6925" max="6929" width="9.5703125" style="113" customWidth="1"/>
    <col min="6930" max="6931" width="9" style="113" customWidth="1"/>
    <col min="6932" max="7168" width="9.140625" style="113"/>
    <col min="7169" max="7169" width="3.85546875" style="113" customWidth="1"/>
    <col min="7170" max="7170" width="14.42578125" style="113" customWidth="1"/>
    <col min="7171" max="7171" width="3.85546875" style="113" customWidth="1"/>
    <col min="7172" max="7172" width="15.5703125" style="113" customWidth="1"/>
    <col min="7173" max="7173" width="12.85546875" style="113" customWidth="1"/>
    <col min="7174" max="7174" width="13.140625" style="113" customWidth="1"/>
    <col min="7175" max="7175" width="11.85546875" style="113" customWidth="1"/>
    <col min="7176" max="7176" width="13.85546875" style="113" customWidth="1"/>
    <col min="7177" max="7177" width="13.140625" style="113" customWidth="1"/>
    <col min="7178" max="7178" width="13.42578125" style="113" customWidth="1"/>
    <col min="7179" max="7179" width="13.85546875" style="113" customWidth="1"/>
    <col min="7180" max="7180" width="12.5703125" style="113" customWidth="1"/>
    <col min="7181" max="7185" width="9.5703125" style="113" customWidth="1"/>
    <col min="7186" max="7187" width="9" style="113" customWidth="1"/>
    <col min="7188" max="7424" width="9.140625" style="113"/>
    <col min="7425" max="7425" width="3.85546875" style="113" customWidth="1"/>
    <col min="7426" max="7426" width="14.42578125" style="113" customWidth="1"/>
    <col min="7427" max="7427" width="3.85546875" style="113" customWidth="1"/>
    <col min="7428" max="7428" width="15.5703125" style="113" customWidth="1"/>
    <col min="7429" max="7429" width="12.85546875" style="113" customWidth="1"/>
    <col min="7430" max="7430" width="13.140625" style="113" customWidth="1"/>
    <col min="7431" max="7431" width="11.85546875" style="113" customWidth="1"/>
    <col min="7432" max="7432" width="13.85546875" style="113" customWidth="1"/>
    <col min="7433" max="7433" width="13.140625" style="113" customWidth="1"/>
    <col min="7434" max="7434" width="13.42578125" style="113" customWidth="1"/>
    <col min="7435" max="7435" width="13.85546875" style="113" customWidth="1"/>
    <col min="7436" max="7436" width="12.5703125" style="113" customWidth="1"/>
    <col min="7437" max="7441" width="9.5703125" style="113" customWidth="1"/>
    <col min="7442" max="7443" width="9" style="113" customWidth="1"/>
    <col min="7444" max="7680" width="9.140625" style="113"/>
    <col min="7681" max="7681" width="3.85546875" style="113" customWidth="1"/>
    <col min="7682" max="7682" width="14.42578125" style="113" customWidth="1"/>
    <col min="7683" max="7683" width="3.85546875" style="113" customWidth="1"/>
    <col min="7684" max="7684" width="15.5703125" style="113" customWidth="1"/>
    <col min="7685" max="7685" width="12.85546875" style="113" customWidth="1"/>
    <col min="7686" max="7686" width="13.140625" style="113" customWidth="1"/>
    <col min="7687" max="7687" width="11.85546875" style="113" customWidth="1"/>
    <col min="7688" max="7688" width="13.85546875" style="113" customWidth="1"/>
    <col min="7689" max="7689" width="13.140625" style="113" customWidth="1"/>
    <col min="7690" max="7690" width="13.42578125" style="113" customWidth="1"/>
    <col min="7691" max="7691" width="13.85546875" style="113" customWidth="1"/>
    <col min="7692" max="7692" width="12.5703125" style="113" customWidth="1"/>
    <col min="7693" max="7697" width="9.5703125" style="113" customWidth="1"/>
    <col min="7698" max="7699" width="9" style="113" customWidth="1"/>
    <col min="7700" max="7936" width="9.140625" style="113"/>
    <col min="7937" max="7937" width="3.85546875" style="113" customWidth="1"/>
    <col min="7938" max="7938" width="14.42578125" style="113" customWidth="1"/>
    <col min="7939" max="7939" width="3.85546875" style="113" customWidth="1"/>
    <col min="7940" max="7940" width="15.5703125" style="113" customWidth="1"/>
    <col min="7941" max="7941" width="12.85546875" style="113" customWidth="1"/>
    <col min="7942" max="7942" width="13.140625" style="113" customWidth="1"/>
    <col min="7943" max="7943" width="11.85546875" style="113" customWidth="1"/>
    <col min="7944" max="7944" width="13.85546875" style="113" customWidth="1"/>
    <col min="7945" max="7945" width="13.140625" style="113" customWidth="1"/>
    <col min="7946" max="7946" width="13.42578125" style="113" customWidth="1"/>
    <col min="7947" max="7947" width="13.85546875" style="113" customWidth="1"/>
    <col min="7948" max="7948" width="12.5703125" style="113" customWidth="1"/>
    <col min="7949" max="7953" width="9.5703125" style="113" customWidth="1"/>
    <col min="7954" max="7955" width="9" style="113" customWidth="1"/>
    <col min="7956" max="8192" width="9.140625" style="113"/>
    <col min="8193" max="8193" width="3.85546875" style="113" customWidth="1"/>
    <col min="8194" max="8194" width="14.42578125" style="113" customWidth="1"/>
    <col min="8195" max="8195" width="3.85546875" style="113" customWidth="1"/>
    <col min="8196" max="8196" width="15.5703125" style="113" customWidth="1"/>
    <col min="8197" max="8197" width="12.85546875" style="113" customWidth="1"/>
    <col min="8198" max="8198" width="13.140625" style="113" customWidth="1"/>
    <col min="8199" max="8199" width="11.85546875" style="113" customWidth="1"/>
    <col min="8200" max="8200" width="13.85546875" style="113" customWidth="1"/>
    <col min="8201" max="8201" width="13.140625" style="113" customWidth="1"/>
    <col min="8202" max="8202" width="13.42578125" style="113" customWidth="1"/>
    <col min="8203" max="8203" width="13.85546875" style="113" customWidth="1"/>
    <col min="8204" max="8204" width="12.5703125" style="113" customWidth="1"/>
    <col min="8205" max="8209" width="9.5703125" style="113" customWidth="1"/>
    <col min="8210" max="8211" width="9" style="113" customWidth="1"/>
    <col min="8212" max="8448" width="9.140625" style="113"/>
    <col min="8449" max="8449" width="3.85546875" style="113" customWidth="1"/>
    <col min="8450" max="8450" width="14.42578125" style="113" customWidth="1"/>
    <col min="8451" max="8451" width="3.85546875" style="113" customWidth="1"/>
    <col min="8452" max="8452" width="15.5703125" style="113" customWidth="1"/>
    <col min="8453" max="8453" width="12.85546875" style="113" customWidth="1"/>
    <col min="8454" max="8454" width="13.140625" style="113" customWidth="1"/>
    <col min="8455" max="8455" width="11.85546875" style="113" customWidth="1"/>
    <col min="8456" max="8456" width="13.85546875" style="113" customWidth="1"/>
    <col min="8457" max="8457" width="13.140625" style="113" customWidth="1"/>
    <col min="8458" max="8458" width="13.42578125" style="113" customWidth="1"/>
    <col min="8459" max="8459" width="13.85546875" style="113" customWidth="1"/>
    <col min="8460" max="8460" width="12.5703125" style="113" customWidth="1"/>
    <col min="8461" max="8465" width="9.5703125" style="113" customWidth="1"/>
    <col min="8466" max="8467" width="9" style="113" customWidth="1"/>
    <col min="8468" max="8704" width="9.140625" style="113"/>
    <col min="8705" max="8705" width="3.85546875" style="113" customWidth="1"/>
    <col min="8706" max="8706" width="14.42578125" style="113" customWidth="1"/>
    <col min="8707" max="8707" width="3.85546875" style="113" customWidth="1"/>
    <col min="8708" max="8708" width="15.5703125" style="113" customWidth="1"/>
    <col min="8709" max="8709" width="12.85546875" style="113" customWidth="1"/>
    <col min="8710" max="8710" width="13.140625" style="113" customWidth="1"/>
    <col min="8711" max="8711" width="11.85546875" style="113" customWidth="1"/>
    <col min="8712" max="8712" width="13.85546875" style="113" customWidth="1"/>
    <col min="8713" max="8713" width="13.140625" style="113" customWidth="1"/>
    <col min="8714" max="8714" width="13.42578125" style="113" customWidth="1"/>
    <col min="8715" max="8715" width="13.85546875" style="113" customWidth="1"/>
    <col min="8716" max="8716" width="12.5703125" style="113" customWidth="1"/>
    <col min="8717" max="8721" width="9.5703125" style="113" customWidth="1"/>
    <col min="8722" max="8723" width="9" style="113" customWidth="1"/>
    <col min="8724" max="8960" width="9.140625" style="113"/>
    <col min="8961" max="8961" width="3.85546875" style="113" customWidth="1"/>
    <col min="8962" max="8962" width="14.42578125" style="113" customWidth="1"/>
    <col min="8963" max="8963" width="3.85546875" style="113" customWidth="1"/>
    <col min="8964" max="8964" width="15.5703125" style="113" customWidth="1"/>
    <col min="8965" max="8965" width="12.85546875" style="113" customWidth="1"/>
    <col min="8966" max="8966" width="13.140625" style="113" customWidth="1"/>
    <col min="8967" max="8967" width="11.85546875" style="113" customWidth="1"/>
    <col min="8968" max="8968" width="13.85546875" style="113" customWidth="1"/>
    <col min="8969" max="8969" width="13.140625" style="113" customWidth="1"/>
    <col min="8970" max="8970" width="13.42578125" style="113" customWidth="1"/>
    <col min="8971" max="8971" width="13.85546875" style="113" customWidth="1"/>
    <col min="8972" max="8972" width="12.5703125" style="113" customWidth="1"/>
    <col min="8973" max="8977" width="9.5703125" style="113" customWidth="1"/>
    <col min="8978" max="8979" width="9" style="113" customWidth="1"/>
    <col min="8980" max="9216" width="9.140625" style="113"/>
    <col min="9217" max="9217" width="3.85546875" style="113" customWidth="1"/>
    <col min="9218" max="9218" width="14.42578125" style="113" customWidth="1"/>
    <col min="9219" max="9219" width="3.85546875" style="113" customWidth="1"/>
    <col min="9220" max="9220" width="15.5703125" style="113" customWidth="1"/>
    <col min="9221" max="9221" width="12.85546875" style="113" customWidth="1"/>
    <col min="9222" max="9222" width="13.140625" style="113" customWidth="1"/>
    <col min="9223" max="9223" width="11.85546875" style="113" customWidth="1"/>
    <col min="9224" max="9224" width="13.85546875" style="113" customWidth="1"/>
    <col min="9225" max="9225" width="13.140625" style="113" customWidth="1"/>
    <col min="9226" max="9226" width="13.42578125" style="113" customWidth="1"/>
    <col min="9227" max="9227" width="13.85546875" style="113" customWidth="1"/>
    <col min="9228" max="9228" width="12.5703125" style="113" customWidth="1"/>
    <col min="9229" max="9233" width="9.5703125" style="113" customWidth="1"/>
    <col min="9234" max="9235" width="9" style="113" customWidth="1"/>
    <col min="9236" max="9472" width="9.140625" style="113"/>
    <col min="9473" max="9473" width="3.85546875" style="113" customWidth="1"/>
    <col min="9474" max="9474" width="14.42578125" style="113" customWidth="1"/>
    <col min="9475" max="9475" width="3.85546875" style="113" customWidth="1"/>
    <col min="9476" max="9476" width="15.5703125" style="113" customWidth="1"/>
    <col min="9477" max="9477" width="12.85546875" style="113" customWidth="1"/>
    <col min="9478" max="9478" width="13.140625" style="113" customWidth="1"/>
    <col min="9479" max="9479" width="11.85546875" style="113" customWidth="1"/>
    <col min="9480" max="9480" width="13.85546875" style="113" customWidth="1"/>
    <col min="9481" max="9481" width="13.140625" style="113" customWidth="1"/>
    <col min="9482" max="9482" width="13.42578125" style="113" customWidth="1"/>
    <col min="9483" max="9483" width="13.85546875" style="113" customWidth="1"/>
    <col min="9484" max="9484" width="12.5703125" style="113" customWidth="1"/>
    <col min="9485" max="9489" width="9.5703125" style="113" customWidth="1"/>
    <col min="9490" max="9491" width="9" style="113" customWidth="1"/>
    <col min="9492" max="9728" width="9.140625" style="113"/>
    <col min="9729" max="9729" width="3.85546875" style="113" customWidth="1"/>
    <col min="9730" max="9730" width="14.42578125" style="113" customWidth="1"/>
    <col min="9731" max="9731" width="3.85546875" style="113" customWidth="1"/>
    <col min="9732" max="9732" width="15.5703125" style="113" customWidth="1"/>
    <col min="9733" max="9733" width="12.85546875" style="113" customWidth="1"/>
    <col min="9734" max="9734" width="13.140625" style="113" customWidth="1"/>
    <col min="9735" max="9735" width="11.85546875" style="113" customWidth="1"/>
    <col min="9736" max="9736" width="13.85546875" style="113" customWidth="1"/>
    <col min="9737" max="9737" width="13.140625" style="113" customWidth="1"/>
    <col min="9738" max="9738" width="13.42578125" style="113" customWidth="1"/>
    <col min="9739" max="9739" width="13.85546875" style="113" customWidth="1"/>
    <col min="9740" max="9740" width="12.5703125" style="113" customWidth="1"/>
    <col min="9741" max="9745" width="9.5703125" style="113" customWidth="1"/>
    <col min="9746" max="9747" width="9" style="113" customWidth="1"/>
    <col min="9748" max="9984" width="9.140625" style="113"/>
    <col min="9985" max="9985" width="3.85546875" style="113" customWidth="1"/>
    <col min="9986" max="9986" width="14.42578125" style="113" customWidth="1"/>
    <col min="9987" max="9987" width="3.85546875" style="113" customWidth="1"/>
    <col min="9988" max="9988" width="15.5703125" style="113" customWidth="1"/>
    <col min="9989" max="9989" width="12.85546875" style="113" customWidth="1"/>
    <col min="9990" max="9990" width="13.140625" style="113" customWidth="1"/>
    <col min="9991" max="9991" width="11.85546875" style="113" customWidth="1"/>
    <col min="9992" max="9992" width="13.85546875" style="113" customWidth="1"/>
    <col min="9993" max="9993" width="13.140625" style="113" customWidth="1"/>
    <col min="9994" max="9994" width="13.42578125" style="113" customWidth="1"/>
    <col min="9995" max="9995" width="13.85546875" style="113" customWidth="1"/>
    <col min="9996" max="9996" width="12.5703125" style="113" customWidth="1"/>
    <col min="9997" max="10001" width="9.5703125" style="113" customWidth="1"/>
    <col min="10002" max="10003" width="9" style="113" customWidth="1"/>
    <col min="10004" max="10240" width="9.140625" style="113"/>
    <col min="10241" max="10241" width="3.85546875" style="113" customWidth="1"/>
    <col min="10242" max="10242" width="14.42578125" style="113" customWidth="1"/>
    <col min="10243" max="10243" width="3.85546875" style="113" customWidth="1"/>
    <col min="10244" max="10244" width="15.5703125" style="113" customWidth="1"/>
    <col min="10245" max="10245" width="12.85546875" style="113" customWidth="1"/>
    <col min="10246" max="10246" width="13.140625" style="113" customWidth="1"/>
    <col min="10247" max="10247" width="11.85546875" style="113" customWidth="1"/>
    <col min="10248" max="10248" width="13.85546875" style="113" customWidth="1"/>
    <col min="10249" max="10249" width="13.140625" style="113" customWidth="1"/>
    <col min="10250" max="10250" width="13.42578125" style="113" customWidth="1"/>
    <col min="10251" max="10251" width="13.85546875" style="113" customWidth="1"/>
    <col min="10252" max="10252" width="12.5703125" style="113" customWidth="1"/>
    <col min="10253" max="10257" width="9.5703125" style="113" customWidth="1"/>
    <col min="10258" max="10259" width="9" style="113" customWidth="1"/>
    <col min="10260" max="10496" width="9.140625" style="113"/>
    <col min="10497" max="10497" width="3.85546875" style="113" customWidth="1"/>
    <col min="10498" max="10498" width="14.42578125" style="113" customWidth="1"/>
    <col min="10499" max="10499" width="3.85546875" style="113" customWidth="1"/>
    <col min="10500" max="10500" width="15.5703125" style="113" customWidth="1"/>
    <col min="10501" max="10501" width="12.85546875" style="113" customWidth="1"/>
    <col min="10502" max="10502" width="13.140625" style="113" customWidth="1"/>
    <col min="10503" max="10503" width="11.85546875" style="113" customWidth="1"/>
    <col min="10504" max="10504" width="13.85546875" style="113" customWidth="1"/>
    <col min="10505" max="10505" width="13.140625" style="113" customWidth="1"/>
    <col min="10506" max="10506" width="13.42578125" style="113" customWidth="1"/>
    <col min="10507" max="10507" width="13.85546875" style="113" customWidth="1"/>
    <col min="10508" max="10508" width="12.5703125" style="113" customWidth="1"/>
    <col min="10509" max="10513" width="9.5703125" style="113" customWidth="1"/>
    <col min="10514" max="10515" width="9" style="113" customWidth="1"/>
    <col min="10516" max="10752" width="9.140625" style="113"/>
    <col min="10753" max="10753" width="3.85546875" style="113" customWidth="1"/>
    <col min="10754" max="10754" width="14.42578125" style="113" customWidth="1"/>
    <col min="10755" max="10755" width="3.85546875" style="113" customWidth="1"/>
    <col min="10756" max="10756" width="15.5703125" style="113" customWidth="1"/>
    <col min="10757" max="10757" width="12.85546875" style="113" customWidth="1"/>
    <col min="10758" max="10758" width="13.140625" style="113" customWidth="1"/>
    <col min="10759" max="10759" width="11.85546875" style="113" customWidth="1"/>
    <col min="10760" max="10760" width="13.85546875" style="113" customWidth="1"/>
    <col min="10761" max="10761" width="13.140625" style="113" customWidth="1"/>
    <col min="10762" max="10762" width="13.42578125" style="113" customWidth="1"/>
    <col min="10763" max="10763" width="13.85546875" style="113" customWidth="1"/>
    <col min="10764" max="10764" width="12.5703125" style="113" customWidth="1"/>
    <col min="10765" max="10769" width="9.5703125" style="113" customWidth="1"/>
    <col min="10770" max="10771" width="9" style="113" customWidth="1"/>
    <col min="10772" max="11008" width="9.140625" style="113"/>
    <col min="11009" max="11009" width="3.85546875" style="113" customWidth="1"/>
    <col min="11010" max="11010" width="14.42578125" style="113" customWidth="1"/>
    <col min="11011" max="11011" width="3.85546875" style="113" customWidth="1"/>
    <col min="11012" max="11012" width="15.5703125" style="113" customWidth="1"/>
    <col min="11013" max="11013" width="12.85546875" style="113" customWidth="1"/>
    <col min="11014" max="11014" width="13.140625" style="113" customWidth="1"/>
    <col min="11015" max="11015" width="11.85546875" style="113" customWidth="1"/>
    <col min="11016" max="11016" width="13.85546875" style="113" customWidth="1"/>
    <col min="11017" max="11017" width="13.140625" style="113" customWidth="1"/>
    <col min="11018" max="11018" width="13.42578125" style="113" customWidth="1"/>
    <col min="11019" max="11019" width="13.85546875" style="113" customWidth="1"/>
    <col min="11020" max="11020" width="12.5703125" style="113" customWidth="1"/>
    <col min="11021" max="11025" width="9.5703125" style="113" customWidth="1"/>
    <col min="11026" max="11027" width="9" style="113" customWidth="1"/>
    <col min="11028" max="11264" width="9.140625" style="113"/>
    <col min="11265" max="11265" width="3.85546875" style="113" customWidth="1"/>
    <col min="11266" max="11266" width="14.42578125" style="113" customWidth="1"/>
    <col min="11267" max="11267" width="3.85546875" style="113" customWidth="1"/>
    <col min="11268" max="11268" width="15.5703125" style="113" customWidth="1"/>
    <col min="11269" max="11269" width="12.85546875" style="113" customWidth="1"/>
    <col min="11270" max="11270" width="13.140625" style="113" customWidth="1"/>
    <col min="11271" max="11271" width="11.85546875" style="113" customWidth="1"/>
    <col min="11272" max="11272" width="13.85546875" style="113" customWidth="1"/>
    <col min="11273" max="11273" width="13.140625" style="113" customWidth="1"/>
    <col min="11274" max="11274" width="13.42578125" style="113" customWidth="1"/>
    <col min="11275" max="11275" width="13.85546875" style="113" customWidth="1"/>
    <col min="11276" max="11276" width="12.5703125" style="113" customWidth="1"/>
    <col min="11277" max="11281" width="9.5703125" style="113" customWidth="1"/>
    <col min="11282" max="11283" width="9" style="113" customWidth="1"/>
    <col min="11284" max="11520" width="9.140625" style="113"/>
    <col min="11521" max="11521" width="3.85546875" style="113" customWidth="1"/>
    <col min="11522" max="11522" width="14.42578125" style="113" customWidth="1"/>
    <col min="11523" max="11523" width="3.85546875" style="113" customWidth="1"/>
    <col min="11524" max="11524" width="15.5703125" style="113" customWidth="1"/>
    <col min="11525" max="11525" width="12.85546875" style="113" customWidth="1"/>
    <col min="11526" max="11526" width="13.140625" style="113" customWidth="1"/>
    <col min="11527" max="11527" width="11.85546875" style="113" customWidth="1"/>
    <col min="11528" max="11528" width="13.85546875" style="113" customWidth="1"/>
    <col min="11529" max="11529" width="13.140625" style="113" customWidth="1"/>
    <col min="11530" max="11530" width="13.42578125" style="113" customWidth="1"/>
    <col min="11531" max="11531" width="13.85546875" style="113" customWidth="1"/>
    <col min="11532" max="11532" width="12.5703125" style="113" customWidth="1"/>
    <col min="11533" max="11537" width="9.5703125" style="113" customWidth="1"/>
    <col min="11538" max="11539" width="9" style="113" customWidth="1"/>
    <col min="11540" max="11776" width="9.140625" style="113"/>
    <col min="11777" max="11777" width="3.85546875" style="113" customWidth="1"/>
    <col min="11778" max="11778" width="14.42578125" style="113" customWidth="1"/>
    <col min="11779" max="11779" width="3.85546875" style="113" customWidth="1"/>
    <col min="11780" max="11780" width="15.5703125" style="113" customWidth="1"/>
    <col min="11781" max="11781" width="12.85546875" style="113" customWidth="1"/>
    <col min="11782" max="11782" width="13.140625" style="113" customWidth="1"/>
    <col min="11783" max="11783" width="11.85546875" style="113" customWidth="1"/>
    <col min="11784" max="11784" width="13.85546875" style="113" customWidth="1"/>
    <col min="11785" max="11785" width="13.140625" style="113" customWidth="1"/>
    <col min="11786" max="11786" width="13.42578125" style="113" customWidth="1"/>
    <col min="11787" max="11787" width="13.85546875" style="113" customWidth="1"/>
    <col min="11788" max="11788" width="12.5703125" style="113" customWidth="1"/>
    <col min="11789" max="11793" width="9.5703125" style="113" customWidth="1"/>
    <col min="11794" max="11795" width="9" style="113" customWidth="1"/>
    <col min="11796" max="12032" width="9.140625" style="113"/>
    <col min="12033" max="12033" width="3.85546875" style="113" customWidth="1"/>
    <col min="12034" max="12034" width="14.42578125" style="113" customWidth="1"/>
    <col min="12035" max="12035" width="3.85546875" style="113" customWidth="1"/>
    <col min="12036" max="12036" width="15.5703125" style="113" customWidth="1"/>
    <col min="12037" max="12037" width="12.85546875" style="113" customWidth="1"/>
    <col min="12038" max="12038" width="13.140625" style="113" customWidth="1"/>
    <col min="12039" max="12039" width="11.85546875" style="113" customWidth="1"/>
    <col min="12040" max="12040" width="13.85546875" style="113" customWidth="1"/>
    <col min="12041" max="12041" width="13.140625" style="113" customWidth="1"/>
    <col min="12042" max="12042" width="13.42578125" style="113" customWidth="1"/>
    <col min="12043" max="12043" width="13.85546875" style="113" customWidth="1"/>
    <col min="12044" max="12044" width="12.5703125" style="113" customWidth="1"/>
    <col min="12045" max="12049" width="9.5703125" style="113" customWidth="1"/>
    <col min="12050" max="12051" width="9" style="113" customWidth="1"/>
    <col min="12052" max="12288" width="9.140625" style="113"/>
    <col min="12289" max="12289" width="3.85546875" style="113" customWidth="1"/>
    <col min="12290" max="12290" width="14.42578125" style="113" customWidth="1"/>
    <col min="12291" max="12291" width="3.85546875" style="113" customWidth="1"/>
    <col min="12292" max="12292" width="15.5703125" style="113" customWidth="1"/>
    <col min="12293" max="12293" width="12.85546875" style="113" customWidth="1"/>
    <col min="12294" max="12294" width="13.140625" style="113" customWidth="1"/>
    <col min="12295" max="12295" width="11.85546875" style="113" customWidth="1"/>
    <col min="12296" max="12296" width="13.85546875" style="113" customWidth="1"/>
    <col min="12297" max="12297" width="13.140625" style="113" customWidth="1"/>
    <col min="12298" max="12298" width="13.42578125" style="113" customWidth="1"/>
    <col min="12299" max="12299" width="13.85546875" style="113" customWidth="1"/>
    <col min="12300" max="12300" width="12.5703125" style="113" customWidth="1"/>
    <col min="12301" max="12305" width="9.5703125" style="113" customWidth="1"/>
    <col min="12306" max="12307" width="9" style="113" customWidth="1"/>
    <col min="12308" max="12544" width="9.140625" style="113"/>
    <col min="12545" max="12545" width="3.85546875" style="113" customWidth="1"/>
    <col min="12546" max="12546" width="14.42578125" style="113" customWidth="1"/>
    <col min="12547" max="12547" width="3.85546875" style="113" customWidth="1"/>
    <col min="12548" max="12548" width="15.5703125" style="113" customWidth="1"/>
    <col min="12549" max="12549" width="12.85546875" style="113" customWidth="1"/>
    <col min="12550" max="12550" width="13.140625" style="113" customWidth="1"/>
    <col min="12551" max="12551" width="11.85546875" style="113" customWidth="1"/>
    <col min="12552" max="12552" width="13.85546875" style="113" customWidth="1"/>
    <col min="12553" max="12553" width="13.140625" style="113" customWidth="1"/>
    <col min="12554" max="12554" width="13.42578125" style="113" customWidth="1"/>
    <col min="12555" max="12555" width="13.85546875" style="113" customWidth="1"/>
    <col min="12556" max="12556" width="12.5703125" style="113" customWidth="1"/>
    <col min="12557" max="12561" width="9.5703125" style="113" customWidth="1"/>
    <col min="12562" max="12563" width="9" style="113" customWidth="1"/>
    <col min="12564" max="12800" width="9.140625" style="113"/>
    <col min="12801" max="12801" width="3.85546875" style="113" customWidth="1"/>
    <col min="12802" max="12802" width="14.42578125" style="113" customWidth="1"/>
    <col min="12803" max="12803" width="3.85546875" style="113" customWidth="1"/>
    <col min="12804" max="12804" width="15.5703125" style="113" customWidth="1"/>
    <col min="12805" max="12805" width="12.85546875" style="113" customWidth="1"/>
    <col min="12806" max="12806" width="13.140625" style="113" customWidth="1"/>
    <col min="12807" max="12807" width="11.85546875" style="113" customWidth="1"/>
    <col min="12808" max="12808" width="13.85546875" style="113" customWidth="1"/>
    <col min="12809" max="12809" width="13.140625" style="113" customWidth="1"/>
    <col min="12810" max="12810" width="13.42578125" style="113" customWidth="1"/>
    <col min="12811" max="12811" width="13.85546875" style="113" customWidth="1"/>
    <col min="12812" max="12812" width="12.5703125" style="113" customWidth="1"/>
    <col min="12813" max="12817" width="9.5703125" style="113" customWidth="1"/>
    <col min="12818" max="12819" width="9" style="113" customWidth="1"/>
    <col min="12820" max="13056" width="9.140625" style="113"/>
    <col min="13057" max="13057" width="3.85546875" style="113" customWidth="1"/>
    <col min="13058" max="13058" width="14.42578125" style="113" customWidth="1"/>
    <col min="13059" max="13059" width="3.85546875" style="113" customWidth="1"/>
    <col min="13060" max="13060" width="15.5703125" style="113" customWidth="1"/>
    <col min="13061" max="13061" width="12.85546875" style="113" customWidth="1"/>
    <col min="13062" max="13062" width="13.140625" style="113" customWidth="1"/>
    <col min="13063" max="13063" width="11.85546875" style="113" customWidth="1"/>
    <col min="13064" max="13064" width="13.85546875" style="113" customWidth="1"/>
    <col min="13065" max="13065" width="13.140625" style="113" customWidth="1"/>
    <col min="13066" max="13066" width="13.42578125" style="113" customWidth="1"/>
    <col min="13067" max="13067" width="13.85546875" style="113" customWidth="1"/>
    <col min="13068" max="13068" width="12.5703125" style="113" customWidth="1"/>
    <col min="13069" max="13073" width="9.5703125" style="113" customWidth="1"/>
    <col min="13074" max="13075" width="9" style="113" customWidth="1"/>
    <col min="13076" max="13312" width="9.140625" style="113"/>
    <col min="13313" max="13313" width="3.85546875" style="113" customWidth="1"/>
    <col min="13314" max="13314" width="14.42578125" style="113" customWidth="1"/>
    <col min="13315" max="13315" width="3.85546875" style="113" customWidth="1"/>
    <col min="13316" max="13316" width="15.5703125" style="113" customWidth="1"/>
    <col min="13317" max="13317" width="12.85546875" style="113" customWidth="1"/>
    <col min="13318" max="13318" width="13.140625" style="113" customWidth="1"/>
    <col min="13319" max="13319" width="11.85546875" style="113" customWidth="1"/>
    <col min="13320" max="13320" width="13.85546875" style="113" customWidth="1"/>
    <col min="13321" max="13321" width="13.140625" style="113" customWidth="1"/>
    <col min="13322" max="13322" width="13.42578125" style="113" customWidth="1"/>
    <col min="13323" max="13323" width="13.85546875" style="113" customWidth="1"/>
    <col min="13324" max="13324" width="12.5703125" style="113" customWidth="1"/>
    <col min="13325" max="13329" width="9.5703125" style="113" customWidth="1"/>
    <col min="13330" max="13331" width="9" style="113" customWidth="1"/>
    <col min="13332" max="13568" width="9.140625" style="113"/>
    <col min="13569" max="13569" width="3.85546875" style="113" customWidth="1"/>
    <col min="13570" max="13570" width="14.42578125" style="113" customWidth="1"/>
    <col min="13571" max="13571" width="3.85546875" style="113" customWidth="1"/>
    <col min="13572" max="13572" width="15.5703125" style="113" customWidth="1"/>
    <col min="13573" max="13573" width="12.85546875" style="113" customWidth="1"/>
    <col min="13574" max="13574" width="13.140625" style="113" customWidth="1"/>
    <col min="13575" max="13575" width="11.85546875" style="113" customWidth="1"/>
    <col min="13576" max="13576" width="13.85546875" style="113" customWidth="1"/>
    <col min="13577" max="13577" width="13.140625" style="113" customWidth="1"/>
    <col min="13578" max="13578" width="13.42578125" style="113" customWidth="1"/>
    <col min="13579" max="13579" width="13.85546875" style="113" customWidth="1"/>
    <col min="13580" max="13580" width="12.5703125" style="113" customWidth="1"/>
    <col min="13581" max="13585" width="9.5703125" style="113" customWidth="1"/>
    <col min="13586" max="13587" width="9" style="113" customWidth="1"/>
    <col min="13588" max="13824" width="9.140625" style="113"/>
    <col min="13825" max="13825" width="3.85546875" style="113" customWidth="1"/>
    <col min="13826" max="13826" width="14.42578125" style="113" customWidth="1"/>
    <col min="13827" max="13827" width="3.85546875" style="113" customWidth="1"/>
    <col min="13828" max="13828" width="15.5703125" style="113" customWidth="1"/>
    <col min="13829" max="13829" width="12.85546875" style="113" customWidth="1"/>
    <col min="13830" max="13830" width="13.140625" style="113" customWidth="1"/>
    <col min="13831" max="13831" width="11.85546875" style="113" customWidth="1"/>
    <col min="13832" max="13832" width="13.85546875" style="113" customWidth="1"/>
    <col min="13833" max="13833" width="13.140625" style="113" customWidth="1"/>
    <col min="13834" max="13834" width="13.42578125" style="113" customWidth="1"/>
    <col min="13835" max="13835" width="13.85546875" style="113" customWidth="1"/>
    <col min="13836" max="13836" width="12.5703125" style="113" customWidth="1"/>
    <col min="13837" max="13841" width="9.5703125" style="113" customWidth="1"/>
    <col min="13842" max="13843" width="9" style="113" customWidth="1"/>
    <col min="13844" max="14080" width="9.140625" style="113"/>
    <col min="14081" max="14081" width="3.85546875" style="113" customWidth="1"/>
    <col min="14082" max="14082" width="14.42578125" style="113" customWidth="1"/>
    <col min="14083" max="14083" width="3.85546875" style="113" customWidth="1"/>
    <col min="14084" max="14084" width="15.5703125" style="113" customWidth="1"/>
    <col min="14085" max="14085" width="12.85546875" style="113" customWidth="1"/>
    <col min="14086" max="14086" width="13.140625" style="113" customWidth="1"/>
    <col min="14087" max="14087" width="11.85546875" style="113" customWidth="1"/>
    <col min="14088" max="14088" width="13.85546875" style="113" customWidth="1"/>
    <col min="14089" max="14089" width="13.140625" style="113" customWidth="1"/>
    <col min="14090" max="14090" width="13.42578125" style="113" customWidth="1"/>
    <col min="14091" max="14091" width="13.85546875" style="113" customWidth="1"/>
    <col min="14092" max="14092" width="12.5703125" style="113" customWidth="1"/>
    <col min="14093" max="14097" width="9.5703125" style="113" customWidth="1"/>
    <col min="14098" max="14099" width="9" style="113" customWidth="1"/>
    <col min="14100" max="14336" width="9.140625" style="113"/>
    <col min="14337" max="14337" width="3.85546875" style="113" customWidth="1"/>
    <col min="14338" max="14338" width="14.42578125" style="113" customWidth="1"/>
    <col min="14339" max="14339" width="3.85546875" style="113" customWidth="1"/>
    <col min="14340" max="14340" width="15.5703125" style="113" customWidth="1"/>
    <col min="14341" max="14341" width="12.85546875" style="113" customWidth="1"/>
    <col min="14342" max="14342" width="13.140625" style="113" customWidth="1"/>
    <col min="14343" max="14343" width="11.85546875" style="113" customWidth="1"/>
    <col min="14344" max="14344" width="13.85546875" style="113" customWidth="1"/>
    <col min="14345" max="14345" width="13.140625" style="113" customWidth="1"/>
    <col min="14346" max="14346" width="13.42578125" style="113" customWidth="1"/>
    <col min="14347" max="14347" width="13.85546875" style="113" customWidth="1"/>
    <col min="14348" max="14348" width="12.5703125" style="113" customWidth="1"/>
    <col min="14349" max="14353" width="9.5703125" style="113" customWidth="1"/>
    <col min="14354" max="14355" width="9" style="113" customWidth="1"/>
    <col min="14356" max="14592" width="9.140625" style="113"/>
    <col min="14593" max="14593" width="3.85546875" style="113" customWidth="1"/>
    <col min="14594" max="14594" width="14.42578125" style="113" customWidth="1"/>
    <col min="14595" max="14595" width="3.85546875" style="113" customWidth="1"/>
    <col min="14596" max="14596" width="15.5703125" style="113" customWidth="1"/>
    <col min="14597" max="14597" width="12.85546875" style="113" customWidth="1"/>
    <col min="14598" max="14598" width="13.140625" style="113" customWidth="1"/>
    <col min="14599" max="14599" width="11.85546875" style="113" customWidth="1"/>
    <col min="14600" max="14600" width="13.85546875" style="113" customWidth="1"/>
    <col min="14601" max="14601" width="13.140625" style="113" customWidth="1"/>
    <col min="14602" max="14602" width="13.42578125" style="113" customWidth="1"/>
    <col min="14603" max="14603" width="13.85546875" style="113" customWidth="1"/>
    <col min="14604" max="14604" width="12.5703125" style="113" customWidth="1"/>
    <col min="14605" max="14609" width="9.5703125" style="113" customWidth="1"/>
    <col min="14610" max="14611" width="9" style="113" customWidth="1"/>
    <col min="14612" max="14848" width="9.140625" style="113"/>
    <col min="14849" max="14849" width="3.85546875" style="113" customWidth="1"/>
    <col min="14850" max="14850" width="14.42578125" style="113" customWidth="1"/>
    <col min="14851" max="14851" width="3.85546875" style="113" customWidth="1"/>
    <col min="14852" max="14852" width="15.5703125" style="113" customWidth="1"/>
    <col min="14853" max="14853" width="12.85546875" style="113" customWidth="1"/>
    <col min="14854" max="14854" width="13.140625" style="113" customWidth="1"/>
    <col min="14855" max="14855" width="11.85546875" style="113" customWidth="1"/>
    <col min="14856" max="14856" width="13.85546875" style="113" customWidth="1"/>
    <col min="14857" max="14857" width="13.140625" style="113" customWidth="1"/>
    <col min="14858" max="14858" width="13.42578125" style="113" customWidth="1"/>
    <col min="14859" max="14859" width="13.85546875" style="113" customWidth="1"/>
    <col min="14860" max="14860" width="12.5703125" style="113" customWidth="1"/>
    <col min="14861" max="14865" width="9.5703125" style="113" customWidth="1"/>
    <col min="14866" max="14867" width="9" style="113" customWidth="1"/>
    <col min="14868" max="15104" width="9.140625" style="113"/>
    <col min="15105" max="15105" width="3.85546875" style="113" customWidth="1"/>
    <col min="15106" max="15106" width="14.42578125" style="113" customWidth="1"/>
    <col min="15107" max="15107" width="3.85546875" style="113" customWidth="1"/>
    <col min="15108" max="15108" width="15.5703125" style="113" customWidth="1"/>
    <col min="15109" max="15109" width="12.85546875" style="113" customWidth="1"/>
    <col min="15110" max="15110" width="13.140625" style="113" customWidth="1"/>
    <col min="15111" max="15111" width="11.85546875" style="113" customWidth="1"/>
    <col min="15112" max="15112" width="13.85546875" style="113" customWidth="1"/>
    <col min="15113" max="15113" width="13.140625" style="113" customWidth="1"/>
    <col min="15114" max="15114" width="13.42578125" style="113" customWidth="1"/>
    <col min="15115" max="15115" width="13.85546875" style="113" customWidth="1"/>
    <col min="15116" max="15116" width="12.5703125" style="113" customWidth="1"/>
    <col min="15117" max="15121" width="9.5703125" style="113" customWidth="1"/>
    <col min="15122" max="15123" width="9" style="113" customWidth="1"/>
    <col min="15124" max="15360" width="9.140625" style="113"/>
    <col min="15361" max="15361" width="3.85546875" style="113" customWidth="1"/>
    <col min="15362" max="15362" width="14.42578125" style="113" customWidth="1"/>
    <col min="15363" max="15363" width="3.85546875" style="113" customWidth="1"/>
    <col min="15364" max="15364" width="15.5703125" style="113" customWidth="1"/>
    <col min="15365" max="15365" width="12.85546875" style="113" customWidth="1"/>
    <col min="15366" max="15366" width="13.140625" style="113" customWidth="1"/>
    <col min="15367" max="15367" width="11.85546875" style="113" customWidth="1"/>
    <col min="15368" max="15368" width="13.85546875" style="113" customWidth="1"/>
    <col min="15369" max="15369" width="13.140625" style="113" customWidth="1"/>
    <col min="15370" max="15370" width="13.42578125" style="113" customWidth="1"/>
    <col min="15371" max="15371" width="13.85546875" style="113" customWidth="1"/>
    <col min="15372" max="15372" width="12.5703125" style="113" customWidth="1"/>
    <col min="15373" max="15377" width="9.5703125" style="113" customWidth="1"/>
    <col min="15378" max="15379" width="9" style="113" customWidth="1"/>
    <col min="15380" max="15616" width="9.140625" style="113"/>
    <col min="15617" max="15617" width="3.85546875" style="113" customWidth="1"/>
    <col min="15618" max="15618" width="14.42578125" style="113" customWidth="1"/>
    <col min="15619" max="15619" width="3.85546875" style="113" customWidth="1"/>
    <col min="15620" max="15620" width="15.5703125" style="113" customWidth="1"/>
    <col min="15621" max="15621" width="12.85546875" style="113" customWidth="1"/>
    <col min="15622" max="15622" width="13.140625" style="113" customWidth="1"/>
    <col min="15623" max="15623" width="11.85546875" style="113" customWidth="1"/>
    <col min="15624" max="15624" width="13.85546875" style="113" customWidth="1"/>
    <col min="15625" max="15625" width="13.140625" style="113" customWidth="1"/>
    <col min="15626" max="15626" width="13.42578125" style="113" customWidth="1"/>
    <col min="15627" max="15627" width="13.85546875" style="113" customWidth="1"/>
    <col min="15628" max="15628" width="12.5703125" style="113" customWidth="1"/>
    <col min="15629" max="15633" width="9.5703125" style="113" customWidth="1"/>
    <col min="15634" max="15635" width="9" style="113" customWidth="1"/>
    <col min="15636" max="15872" width="9.140625" style="113"/>
    <col min="15873" max="15873" width="3.85546875" style="113" customWidth="1"/>
    <col min="15874" max="15874" width="14.42578125" style="113" customWidth="1"/>
    <col min="15875" max="15875" width="3.85546875" style="113" customWidth="1"/>
    <col min="15876" max="15876" width="15.5703125" style="113" customWidth="1"/>
    <col min="15877" max="15877" width="12.85546875" style="113" customWidth="1"/>
    <col min="15878" max="15878" width="13.140625" style="113" customWidth="1"/>
    <col min="15879" max="15879" width="11.85546875" style="113" customWidth="1"/>
    <col min="15880" max="15880" width="13.85546875" style="113" customWidth="1"/>
    <col min="15881" max="15881" width="13.140625" style="113" customWidth="1"/>
    <col min="15882" max="15882" width="13.42578125" style="113" customWidth="1"/>
    <col min="15883" max="15883" width="13.85546875" style="113" customWidth="1"/>
    <col min="15884" max="15884" width="12.5703125" style="113" customWidth="1"/>
    <col min="15885" max="15889" width="9.5703125" style="113" customWidth="1"/>
    <col min="15890" max="15891" width="9" style="113" customWidth="1"/>
    <col min="15892" max="16128" width="9.140625" style="113"/>
    <col min="16129" max="16129" width="3.85546875" style="113" customWidth="1"/>
    <col min="16130" max="16130" width="14.42578125" style="113" customWidth="1"/>
    <col min="16131" max="16131" width="3.85546875" style="113" customWidth="1"/>
    <col min="16132" max="16132" width="15.5703125" style="113" customWidth="1"/>
    <col min="16133" max="16133" width="12.85546875" style="113" customWidth="1"/>
    <col min="16134" max="16134" width="13.140625" style="113" customWidth="1"/>
    <col min="16135" max="16135" width="11.85546875" style="113" customWidth="1"/>
    <col min="16136" max="16136" width="13.85546875" style="113" customWidth="1"/>
    <col min="16137" max="16137" width="13.140625" style="113" customWidth="1"/>
    <col min="16138" max="16138" width="13.42578125" style="113" customWidth="1"/>
    <col min="16139" max="16139" width="13.85546875" style="113" customWidth="1"/>
    <col min="16140" max="16140" width="12.5703125" style="113" customWidth="1"/>
    <col min="16141" max="16145" width="9.5703125" style="113" customWidth="1"/>
    <col min="16146" max="16147" width="9" style="113" customWidth="1"/>
    <col min="16148" max="16384" width="9.140625" style="113"/>
  </cols>
  <sheetData>
    <row r="1" spans="1:23" x14ac:dyDescent="0.25">
      <c r="D1" s="1137"/>
      <c r="E1" s="1137"/>
      <c r="F1" s="1974"/>
      <c r="G1" s="1137"/>
      <c r="H1" s="1137"/>
      <c r="I1" s="1137"/>
      <c r="J1" s="1137"/>
      <c r="K1" s="1137"/>
      <c r="L1" s="1137"/>
      <c r="M1" s="1137"/>
      <c r="N1" s="1137"/>
      <c r="O1" s="1137"/>
      <c r="P1" s="1137"/>
      <c r="Q1" s="1137"/>
      <c r="R1" s="1137"/>
    </row>
    <row r="2" spans="1:23" ht="15" customHeight="1" x14ac:dyDescent="0.25">
      <c r="A2" s="509">
        <v>1</v>
      </c>
      <c r="B2" s="509" t="s">
        <v>1786</v>
      </c>
      <c r="C2" s="509">
        <v>74</v>
      </c>
      <c r="D2" s="5104" t="s">
        <v>1931</v>
      </c>
      <c r="E2" s="5105"/>
      <c r="F2" s="5105"/>
      <c r="G2" s="5105"/>
      <c r="H2" s="5105"/>
      <c r="I2" s="5105"/>
      <c r="J2" s="5105"/>
      <c r="K2" s="5105"/>
      <c r="L2" s="5105"/>
      <c r="M2" s="5105"/>
      <c r="N2" s="5105"/>
      <c r="O2" s="5105"/>
      <c r="P2" s="5105"/>
      <c r="Q2" s="5105"/>
      <c r="R2" s="5105"/>
      <c r="S2" s="5105"/>
      <c r="T2" s="5106"/>
    </row>
    <row r="3" spans="1:23" ht="15" customHeight="1" x14ac:dyDescent="0.25">
      <c r="A3" s="509">
        <v>2</v>
      </c>
      <c r="B3" s="509" t="s">
        <v>1788</v>
      </c>
      <c r="C3" s="509"/>
      <c r="D3" s="5104" t="s">
        <v>1789</v>
      </c>
      <c r="E3" s="5105"/>
      <c r="F3" s="5105"/>
      <c r="G3" s="5105"/>
      <c r="H3" s="5105"/>
      <c r="I3" s="5105"/>
      <c r="J3" s="5105"/>
      <c r="K3" s="5105"/>
      <c r="L3" s="5105"/>
      <c r="M3" s="5105"/>
      <c r="N3" s="5105"/>
      <c r="O3" s="5105"/>
      <c r="P3" s="5105"/>
      <c r="Q3" s="5105"/>
      <c r="R3" s="5105"/>
      <c r="S3" s="5105"/>
      <c r="T3" s="5106"/>
    </row>
    <row r="4" spans="1:23" ht="12.75" customHeight="1" x14ac:dyDescent="0.25">
      <c r="A4" s="509">
        <v>3</v>
      </c>
      <c r="B4" s="509" t="s">
        <v>4</v>
      </c>
      <c r="C4" s="509"/>
      <c r="D4" s="5104" t="s">
        <v>1932</v>
      </c>
      <c r="E4" s="5105"/>
      <c r="F4" s="5105"/>
      <c r="G4" s="5105"/>
      <c r="H4" s="5105"/>
      <c r="I4" s="5105"/>
      <c r="J4" s="5105"/>
      <c r="K4" s="5105"/>
      <c r="L4" s="5105"/>
      <c r="M4" s="5105"/>
      <c r="N4" s="5105"/>
      <c r="O4" s="5105"/>
      <c r="P4" s="5105"/>
      <c r="Q4" s="5105"/>
      <c r="R4" s="5105"/>
      <c r="S4" s="5105"/>
      <c r="T4" s="5106"/>
    </row>
    <row r="5" spans="1:23" ht="13.5" customHeight="1" x14ac:dyDescent="0.25">
      <c r="A5" s="506"/>
      <c r="B5" s="506"/>
      <c r="C5" s="506"/>
      <c r="D5" s="5107"/>
      <c r="E5" s="5107"/>
      <c r="F5" s="5107"/>
      <c r="G5" s="5107"/>
      <c r="H5" s="5107"/>
      <c r="I5" s="5107"/>
      <c r="J5" s="5107"/>
      <c r="K5" s="5107"/>
      <c r="L5" s="5107"/>
      <c r="M5" s="5107"/>
      <c r="N5" s="3556"/>
      <c r="O5" s="3556"/>
      <c r="P5" s="344"/>
      <c r="Q5" s="88"/>
      <c r="R5" s="88"/>
    </row>
    <row r="6" spans="1:23" x14ac:dyDescent="0.25">
      <c r="A6" s="509">
        <v>4</v>
      </c>
      <c r="B6" s="509" t="s">
        <v>6</v>
      </c>
      <c r="D6" s="72" t="s">
        <v>80</v>
      </c>
      <c r="E6" s="72" t="s">
        <v>1904</v>
      </c>
      <c r="F6" s="95"/>
      <c r="G6" s="95"/>
      <c r="H6" s="95"/>
      <c r="I6" s="95"/>
      <c r="J6" s="95"/>
      <c r="K6" s="95"/>
      <c r="L6" s="95"/>
      <c r="M6" s="95"/>
      <c r="N6" s="71"/>
      <c r="O6" s="1137"/>
      <c r="P6" s="1137"/>
      <c r="Q6" s="88"/>
      <c r="R6" s="88"/>
      <c r="S6" s="88"/>
    </row>
    <row r="7" spans="1:23" x14ac:dyDescent="0.25">
      <c r="D7" s="88"/>
      <c r="E7" s="1968" t="s">
        <v>16</v>
      </c>
      <c r="F7" s="1968" t="s">
        <v>17</v>
      </c>
      <c r="G7" s="1968" t="s">
        <v>18</v>
      </c>
      <c r="H7" s="1968" t="s">
        <v>19</v>
      </c>
      <c r="I7" s="1968" t="s">
        <v>20</v>
      </c>
      <c r="J7" s="1968" t="s">
        <v>21</v>
      </c>
      <c r="K7" s="1968" t="s">
        <v>22</v>
      </c>
      <c r="L7" s="1968" t="s">
        <v>23</v>
      </c>
      <c r="M7" s="1968" t="s">
        <v>24</v>
      </c>
      <c r="N7" s="3155" t="s">
        <v>25</v>
      </c>
      <c r="O7" s="3155" t="s">
        <v>26</v>
      </c>
      <c r="P7" s="3155" t="s">
        <v>27</v>
      </c>
      <c r="Q7" s="3155" t="s">
        <v>28</v>
      </c>
      <c r="R7" s="3155" t="s">
        <v>29</v>
      </c>
      <c r="S7" s="3155" t="s">
        <v>30</v>
      </c>
      <c r="T7" s="3155" t="s">
        <v>31</v>
      </c>
      <c r="U7" s="3155" t="s">
        <v>32</v>
      </c>
      <c r="V7" s="3155" t="s">
        <v>33</v>
      </c>
      <c r="W7" s="3527" t="s">
        <v>59</v>
      </c>
    </row>
    <row r="8" spans="1:23" ht="5.0999999999999996" customHeight="1" x14ac:dyDescent="0.25">
      <c r="D8" s="3435"/>
      <c r="E8" s="3624"/>
      <c r="F8" s="3624"/>
      <c r="G8" s="3624"/>
      <c r="H8" s="3624"/>
      <c r="I8" s="3624"/>
      <c r="J8" s="3624"/>
      <c r="K8" s="3624"/>
      <c r="L8" s="3624"/>
      <c r="M8" s="3624"/>
      <c r="N8" s="3624"/>
      <c r="O8" s="3624"/>
      <c r="P8" s="3624"/>
      <c r="Q8" s="3620"/>
      <c r="R8" s="3620"/>
      <c r="S8" s="3193"/>
      <c r="T8" s="3193"/>
      <c r="U8" s="3193"/>
      <c r="V8" s="3194"/>
      <c r="W8" s="3195"/>
    </row>
    <row r="9" spans="1:23" x14ac:dyDescent="0.25">
      <c r="D9" s="88" t="s">
        <v>276</v>
      </c>
      <c r="E9" s="2025">
        <v>8238</v>
      </c>
      <c r="F9" s="2025">
        <v>8626</v>
      </c>
      <c r="G9" s="2025">
        <v>10312</v>
      </c>
      <c r="H9" s="2025">
        <v>9117</v>
      </c>
      <c r="I9" s="2025">
        <v>9087</v>
      </c>
      <c r="J9" s="2025">
        <v>9456</v>
      </c>
      <c r="K9" s="2025">
        <v>9047</v>
      </c>
      <c r="L9" s="3196">
        <v>9211</v>
      </c>
      <c r="M9" s="3196">
        <v>9001</v>
      </c>
      <c r="N9" s="3196">
        <v>9288</v>
      </c>
      <c r="O9" s="3196">
        <v>9616</v>
      </c>
      <c r="P9" s="3196">
        <v>9224</v>
      </c>
      <c r="Q9" s="3196">
        <v>8797</v>
      </c>
      <c r="R9" s="3196">
        <v>8050</v>
      </c>
      <c r="S9" s="3196">
        <v>8094</v>
      </c>
      <c r="T9" s="3196">
        <v>8731</v>
      </c>
      <c r="U9" s="3196">
        <v>8708</v>
      </c>
      <c r="V9" s="3196">
        <v>7445</v>
      </c>
      <c r="W9" s="3197">
        <v>8404</v>
      </c>
    </row>
    <row r="10" spans="1:23" x14ac:dyDescent="0.25">
      <c r="D10" s="88" t="s">
        <v>1834</v>
      </c>
      <c r="E10" s="2025">
        <v>4734</v>
      </c>
      <c r="F10" s="2025">
        <v>4972</v>
      </c>
      <c r="G10" s="2025">
        <v>4559</v>
      </c>
      <c r="H10" s="2025">
        <v>4386</v>
      </c>
      <c r="I10" s="2025">
        <v>4396</v>
      </c>
      <c r="J10" s="2025">
        <v>4523</v>
      </c>
      <c r="K10" s="2025">
        <v>4581</v>
      </c>
      <c r="L10" s="3196">
        <v>4737</v>
      </c>
      <c r="M10" s="3196">
        <v>4785</v>
      </c>
      <c r="N10" s="3196">
        <v>5098</v>
      </c>
      <c r="O10" s="3196">
        <v>4584</v>
      </c>
      <c r="P10" s="3196">
        <v>4094</v>
      </c>
      <c r="Q10" s="3196">
        <v>3928</v>
      </c>
      <c r="R10" s="3196">
        <v>3488</v>
      </c>
      <c r="S10" s="3196">
        <v>3284</v>
      </c>
      <c r="T10" s="3196">
        <v>3457</v>
      </c>
      <c r="U10" s="3196">
        <v>3746</v>
      </c>
      <c r="V10" s="3196">
        <v>2971</v>
      </c>
      <c r="W10" s="3197">
        <v>3416</v>
      </c>
    </row>
    <row r="11" spans="1:23" x14ac:dyDescent="0.25">
      <c r="D11" s="88" t="s">
        <v>1751</v>
      </c>
      <c r="E11" s="2025">
        <v>16402</v>
      </c>
      <c r="F11" s="2025">
        <v>16333</v>
      </c>
      <c r="G11" s="2025">
        <v>15676</v>
      </c>
      <c r="H11" s="2025">
        <v>15124</v>
      </c>
      <c r="I11" s="2025">
        <v>15398</v>
      </c>
      <c r="J11" s="2025">
        <v>18176</v>
      </c>
      <c r="K11" s="2025">
        <v>15645</v>
      </c>
      <c r="L11" s="3196">
        <v>13664</v>
      </c>
      <c r="M11" s="3196">
        <v>11512</v>
      </c>
      <c r="N11" s="3196">
        <v>11113</v>
      </c>
      <c r="O11" s="3196">
        <v>10264</v>
      </c>
      <c r="P11" s="3196">
        <v>9902</v>
      </c>
      <c r="Q11" s="3196">
        <v>9510</v>
      </c>
      <c r="R11" s="3196">
        <v>9566</v>
      </c>
      <c r="S11" s="3196">
        <v>10116</v>
      </c>
      <c r="T11" s="3196">
        <v>10752</v>
      </c>
      <c r="U11" s="3196">
        <v>10810</v>
      </c>
      <c r="V11" s="3196">
        <v>9749</v>
      </c>
      <c r="W11" s="3197">
        <v>11178</v>
      </c>
    </row>
    <row r="12" spans="1:23" x14ac:dyDescent="0.25">
      <c r="D12" s="88" t="s">
        <v>1835</v>
      </c>
      <c r="E12" s="2025">
        <v>11378</v>
      </c>
      <c r="F12" s="2025">
        <v>12122</v>
      </c>
      <c r="G12" s="2025">
        <v>11932</v>
      </c>
      <c r="H12" s="2025">
        <v>11649</v>
      </c>
      <c r="I12" s="2025">
        <v>11355</v>
      </c>
      <c r="J12" s="2025">
        <v>13279</v>
      </c>
      <c r="K12" s="2025">
        <v>13269</v>
      </c>
      <c r="L12" s="3196">
        <v>12480</v>
      </c>
      <c r="M12" s="3196">
        <v>11034</v>
      </c>
      <c r="N12" s="3196">
        <v>10964</v>
      </c>
      <c r="O12" s="3196">
        <v>9889</v>
      </c>
      <c r="P12" s="3196">
        <v>9079</v>
      </c>
      <c r="Q12" s="3196">
        <v>8947</v>
      </c>
      <c r="R12" s="3196">
        <v>8484</v>
      </c>
      <c r="S12" s="3196">
        <v>8759</v>
      </c>
      <c r="T12" s="3196">
        <v>9308</v>
      </c>
      <c r="U12" s="3196">
        <v>9809</v>
      </c>
      <c r="V12" s="3196">
        <v>8201</v>
      </c>
      <c r="W12" s="3197">
        <v>9617</v>
      </c>
    </row>
    <row r="13" spans="1:23" x14ac:dyDescent="0.25">
      <c r="D13" s="88" t="s">
        <v>280</v>
      </c>
      <c r="E13" s="2025">
        <v>4491</v>
      </c>
      <c r="F13" s="2025">
        <v>5070</v>
      </c>
      <c r="G13" s="2025">
        <v>4671</v>
      </c>
      <c r="H13" s="2025">
        <v>4780</v>
      </c>
      <c r="I13" s="2025">
        <v>4528</v>
      </c>
      <c r="J13" s="2025">
        <v>4675</v>
      </c>
      <c r="K13" s="2026">
        <v>4905</v>
      </c>
      <c r="L13" s="3196">
        <v>4799</v>
      </c>
      <c r="M13" s="3196">
        <v>4836</v>
      </c>
      <c r="N13" s="3196">
        <v>4866</v>
      </c>
      <c r="O13" s="3196">
        <v>4423</v>
      </c>
      <c r="P13" s="3196">
        <v>4312</v>
      </c>
      <c r="Q13" s="3196">
        <v>4369</v>
      </c>
      <c r="R13" s="3196">
        <v>3828</v>
      </c>
      <c r="S13" s="3196">
        <v>3862</v>
      </c>
      <c r="T13" s="3196">
        <v>4060</v>
      </c>
      <c r="U13" s="3196">
        <v>3990</v>
      </c>
      <c r="V13" s="3196">
        <v>3720</v>
      </c>
      <c r="W13" s="3197">
        <v>4309</v>
      </c>
    </row>
    <row r="14" spans="1:23" x14ac:dyDescent="0.25">
      <c r="D14" s="88" t="s">
        <v>1836</v>
      </c>
      <c r="E14" s="2025">
        <v>4375</v>
      </c>
      <c r="F14" s="2025">
        <v>4674</v>
      </c>
      <c r="G14" s="2025">
        <v>4756</v>
      </c>
      <c r="H14" s="2025">
        <v>4631</v>
      </c>
      <c r="I14" s="2025">
        <v>4169</v>
      </c>
      <c r="J14" s="2025">
        <v>4695</v>
      </c>
      <c r="K14" s="2025">
        <v>4603</v>
      </c>
      <c r="L14" s="3196">
        <v>4345</v>
      </c>
      <c r="M14" s="3196">
        <v>3955</v>
      </c>
      <c r="N14" s="3196">
        <v>4065</v>
      </c>
      <c r="O14" s="3196">
        <v>3797</v>
      </c>
      <c r="P14" s="3196">
        <v>3474</v>
      </c>
      <c r="Q14" s="3196">
        <v>3331</v>
      </c>
      <c r="R14" s="3196">
        <v>3216</v>
      </c>
      <c r="S14" s="3196">
        <v>3198</v>
      </c>
      <c r="T14" s="3196">
        <v>3470</v>
      </c>
      <c r="U14" s="3196">
        <v>3513</v>
      </c>
      <c r="V14" s="3196">
        <v>3134</v>
      </c>
      <c r="W14" s="3197">
        <v>3553</v>
      </c>
    </row>
    <row r="15" spans="1:23" x14ac:dyDescent="0.25">
      <c r="D15" s="88" t="s">
        <v>282</v>
      </c>
      <c r="E15" s="2025">
        <v>4519</v>
      </c>
      <c r="F15" s="2025">
        <v>4610</v>
      </c>
      <c r="G15" s="2025">
        <v>4546</v>
      </c>
      <c r="H15" s="2025">
        <v>4588</v>
      </c>
      <c r="I15" s="2025">
        <v>4513</v>
      </c>
      <c r="J15" s="2025">
        <v>5021</v>
      </c>
      <c r="K15" s="2025">
        <v>4759</v>
      </c>
      <c r="L15" s="3196">
        <v>4649</v>
      </c>
      <c r="M15" s="3196">
        <v>4885</v>
      </c>
      <c r="N15" s="3196">
        <v>5228</v>
      </c>
      <c r="O15" s="3196">
        <v>4616</v>
      </c>
      <c r="P15" s="3196">
        <v>4585</v>
      </c>
      <c r="Q15" s="3196">
        <v>4164</v>
      </c>
      <c r="R15" s="3196">
        <v>4326</v>
      </c>
      <c r="S15" s="3196">
        <v>4182</v>
      </c>
      <c r="T15" s="3196">
        <v>4021</v>
      </c>
      <c r="U15" s="3196">
        <v>3824</v>
      </c>
      <c r="V15" s="3196">
        <v>3262</v>
      </c>
      <c r="W15" s="3197">
        <v>3737</v>
      </c>
    </row>
    <row r="16" spans="1:23" x14ac:dyDescent="0.25">
      <c r="D16" s="88" t="s">
        <v>1837</v>
      </c>
      <c r="E16" s="2025">
        <v>2191</v>
      </c>
      <c r="F16" s="2025">
        <v>2212</v>
      </c>
      <c r="G16" s="2025">
        <v>1993</v>
      </c>
      <c r="H16" s="2025">
        <v>1957</v>
      </c>
      <c r="I16" s="2025">
        <v>1749</v>
      </c>
      <c r="J16" s="2025">
        <v>1917</v>
      </c>
      <c r="K16" s="2025">
        <v>1845</v>
      </c>
      <c r="L16" s="3196">
        <v>1857</v>
      </c>
      <c r="M16" s="3196">
        <v>1722</v>
      </c>
      <c r="N16" s="3196">
        <v>1826</v>
      </c>
      <c r="O16" s="3196">
        <v>1731</v>
      </c>
      <c r="P16" s="3196">
        <v>1578</v>
      </c>
      <c r="Q16" s="3196">
        <v>1719</v>
      </c>
      <c r="R16" s="3196">
        <v>1587</v>
      </c>
      <c r="S16" s="3196">
        <v>1538</v>
      </c>
      <c r="T16" s="3196">
        <v>1578</v>
      </c>
      <c r="U16" s="3196">
        <v>1590</v>
      </c>
      <c r="V16" s="3196">
        <v>1295</v>
      </c>
      <c r="W16" s="3197">
        <v>1317</v>
      </c>
    </row>
    <row r="17" spans="2:23" x14ac:dyDescent="0.25">
      <c r="D17" s="88" t="s">
        <v>284</v>
      </c>
      <c r="E17" s="2027">
        <v>9751</v>
      </c>
      <c r="F17" s="2027">
        <v>10498</v>
      </c>
      <c r="G17" s="2027">
        <v>9631</v>
      </c>
      <c r="H17" s="2027">
        <v>8969</v>
      </c>
      <c r="I17" s="2027">
        <v>8623</v>
      </c>
      <c r="J17" s="2027">
        <v>8772</v>
      </c>
      <c r="K17" s="2027">
        <v>9678</v>
      </c>
      <c r="L17" s="3196">
        <v>9179</v>
      </c>
      <c r="M17" s="3196">
        <v>8809</v>
      </c>
      <c r="N17" s="3196">
        <v>8440</v>
      </c>
      <c r="O17" s="3196">
        <v>7760</v>
      </c>
      <c r="P17" s="3196">
        <v>7369</v>
      </c>
      <c r="Q17" s="3196">
        <v>7130</v>
      </c>
      <c r="R17" s="3196">
        <v>7115</v>
      </c>
      <c r="S17" s="3196">
        <v>7075</v>
      </c>
      <c r="T17" s="3196">
        <v>7043</v>
      </c>
      <c r="U17" s="3196">
        <v>7303</v>
      </c>
      <c r="V17" s="3196">
        <v>6437</v>
      </c>
      <c r="W17" s="3197">
        <v>7163</v>
      </c>
    </row>
    <row r="18" spans="2:23" x14ac:dyDescent="0.25">
      <c r="D18" s="72" t="s">
        <v>1905</v>
      </c>
      <c r="E18" s="2028">
        <v>66079</v>
      </c>
      <c r="F18" s="2028">
        <v>69117</v>
      </c>
      <c r="G18" s="2028">
        <v>68076</v>
      </c>
      <c r="H18" s="2028">
        <v>65201</v>
      </c>
      <c r="I18" s="2028">
        <v>63818</v>
      </c>
      <c r="J18" s="2028">
        <v>69197</v>
      </c>
      <c r="K18" s="2028">
        <v>68332</v>
      </c>
      <c r="L18" s="3198">
        <v>64921</v>
      </c>
      <c r="M18" s="3198">
        <v>60539</v>
      </c>
      <c r="N18" s="3198">
        <v>60888</v>
      </c>
      <c r="O18" s="3198">
        <v>56680</v>
      </c>
      <c r="P18" s="3198">
        <v>53617</v>
      </c>
      <c r="Q18" s="3198">
        <v>51895</v>
      </c>
      <c r="R18" s="3198">
        <v>49660</v>
      </c>
      <c r="S18" s="3198">
        <v>50108</v>
      </c>
      <c r="T18" s="1043">
        <v>52420</v>
      </c>
      <c r="U18" s="3198">
        <v>53293</v>
      </c>
      <c r="V18" s="3198">
        <v>46214</v>
      </c>
      <c r="W18" s="3199">
        <f>SUM(W9:W17)</f>
        <v>52694</v>
      </c>
    </row>
    <row r="19" spans="2:23" hidden="1" x14ac:dyDescent="0.25">
      <c r="D19" s="71"/>
      <c r="E19" s="2029"/>
      <c r="F19" s="2029"/>
      <c r="G19" s="2029"/>
      <c r="H19" s="2029"/>
      <c r="I19" s="2029"/>
      <c r="J19" s="2029"/>
      <c r="K19" s="2029"/>
      <c r="L19" s="2029"/>
      <c r="M19" s="2029"/>
      <c r="N19" s="312"/>
      <c r="O19" s="312"/>
      <c r="P19" s="2030"/>
      <c r="Q19" s="2030"/>
      <c r="R19" s="2031"/>
      <c r="S19" s="2031"/>
      <c r="T19" s="1762"/>
    </row>
    <row r="20" spans="2:23" hidden="1" x14ac:dyDescent="0.25">
      <c r="D20" s="72" t="s">
        <v>267</v>
      </c>
      <c r="E20" s="5102" t="s">
        <v>1906</v>
      </c>
      <c r="F20" s="5102"/>
      <c r="G20" s="5102"/>
      <c r="H20" s="5102"/>
      <c r="I20" s="5102"/>
      <c r="J20" s="5102"/>
      <c r="K20" s="5102"/>
      <c r="L20" s="5102"/>
      <c r="M20" s="5102"/>
      <c r="N20" s="2032"/>
      <c r="O20" s="312"/>
      <c r="P20" s="2030"/>
      <c r="Q20" s="2030"/>
      <c r="R20" s="2031"/>
      <c r="S20" s="2031"/>
      <c r="T20" s="1762"/>
    </row>
    <row r="21" spans="2:23" hidden="1" x14ac:dyDescent="0.25">
      <c r="D21" s="2003"/>
      <c r="E21" s="1977" t="s">
        <v>16</v>
      </c>
      <c r="F21" s="1977" t="s">
        <v>17</v>
      </c>
      <c r="G21" s="1977" t="s">
        <v>18</v>
      </c>
      <c r="H21" s="1977" t="s">
        <v>19</v>
      </c>
      <c r="I21" s="1977" t="s">
        <v>20</v>
      </c>
      <c r="J21" s="1977" t="s">
        <v>21</v>
      </c>
      <c r="K21" s="1977" t="s">
        <v>22</v>
      </c>
      <c r="L21" s="1977" t="s">
        <v>85</v>
      </c>
      <c r="M21" s="1977" t="s">
        <v>24</v>
      </c>
      <c r="N21" s="1977" t="s">
        <v>25</v>
      </c>
      <c r="O21" s="1977" t="s">
        <v>26</v>
      </c>
      <c r="P21" s="2033" t="s">
        <v>27</v>
      </c>
      <c r="Q21" s="2033" t="s">
        <v>28</v>
      </c>
      <c r="R21" s="2004" t="s">
        <v>29</v>
      </c>
      <c r="S21" s="2004" t="s">
        <v>30</v>
      </c>
      <c r="T21" s="1762"/>
    </row>
    <row r="22" spans="2:23" hidden="1" x14ac:dyDescent="0.25">
      <c r="D22" s="88" t="s">
        <v>276</v>
      </c>
      <c r="E22" s="2034">
        <v>119.2</v>
      </c>
      <c r="F22" s="2034">
        <v>125.1</v>
      </c>
      <c r="G22" s="2034">
        <v>149.6</v>
      </c>
      <c r="H22" s="2035">
        <v>140.53696589936499</v>
      </c>
      <c r="I22" s="2035">
        <v>140.15557432089599</v>
      </c>
      <c r="J22" s="2035">
        <v>145.91531539266501</v>
      </c>
      <c r="K22" s="2035">
        <v>139.65280640654601</v>
      </c>
      <c r="L22" s="2035">
        <v>144.832950144943</v>
      </c>
      <c r="M22" s="2035">
        <v>142.68147870236899</v>
      </c>
      <c r="N22" s="2035">
        <v>147.74346693412201</v>
      </c>
      <c r="O22" s="2035">
        <v>152.79310256767101</v>
      </c>
      <c r="P22" s="2036">
        <v>142.32071151437199</v>
      </c>
      <c r="Q22" s="1151">
        <v>135.61955835725399</v>
      </c>
      <c r="R22" s="2005">
        <f>(R9/6493176)*100000</f>
        <v>123.97630989826858</v>
      </c>
      <c r="S22" s="2005">
        <f>(S9/6501008)*100000</f>
        <v>124.50376926162836</v>
      </c>
      <c r="T22" s="1762"/>
    </row>
    <row r="23" spans="2:23" hidden="1" x14ac:dyDescent="0.25">
      <c r="D23" s="88" t="s">
        <v>1834</v>
      </c>
      <c r="E23" s="2034">
        <v>159.5</v>
      </c>
      <c r="F23" s="2034">
        <v>169.4</v>
      </c>
      <c r="G23" s="2034">
        <v>154.30000000000001</v>
      </c>
      <c r="H23" s="2035">
        <v>163.481725475307</v>
      </c>
      <c r="I23" s="2035">
        <v>163.15870734321001</v>
      </c>
      <c r="J23" s="2035">
        <v>167.086941343852</v>
      </c>
      <c r="K23" s="2035">
        <v>168.37012958061999</v>
      </c>
      <c r="L23" s="2035">
        <v>176.845434530962</v>
      </c>
      <c r="M23" s="2035">
        <v>179.052487472076</v>
      </c>
      <c r="N23" s="2035">
        <v>189.68544390059299</v>
      </c>
      <c r="O23" s="2035">
        <v>172.72489033258401</v>
      </c>
      <c r="P23" s="2036">
        <v>145.87056963926901</v>
      </c>
      <c r="Q23" s="1151">
        <v>138.93058617038</v>
      </c>
      <c r="R23" s="2005">
        <f>(R10/2849339)*100000</f>
        <v>122.41435645249652</v>
      </c>
      <c r="S23" s="2005">
        <f>(S10/2872759)*100000</f>
        <v>114.31519316448056</v>
      </c>
      <c r="T23" s="1762"/>
    </row>
    <row r="24" spans="2:23" hidden="1" x14ac:dyDescent="0.25">
      <c r="D24" s="88" t="s">
        <v>1751</v>
      </c>
      <c r="E24" s="2034">
        <v>180.4</v>
      </c>
      <c r="F24" s="2034">
        <v>178</v>
      </c>
      <c r="G24" s="2034">
        <v>168</v>
      </c>
      <c r="H24" s="2035">
        <v>139.525358461151</v>
      </c>
      <c r="I24" s="2035">
        <v>138.569597064915</v>
      </c>
      <c r="J24" s="2035">
        <v>159.51935057768401</v>
      </c>
      <c r="K24" s="2035">
        <v>133.88436213565001</v>
      </c>
      <c r="L24" s="2035">
        <v>116.68302429119601</v>
      </c>
      <c r="M24" s="2035">
        <v>100.97337387556</v>
      </c>
      <c r="N24" s="2035">
        <v>97.361147980753699</v>
      </c>
      <c r="O24" s="2035">
        <v>85.097256290721205</v>
      </c>
      <c r="P24" s="2036">
        <v>74.507109421560699</v>
      </c>
      <c r="Q24" s="1151">
        <v>69.728606235057597</v>
      </c>
      <c r="R24" s="2005">
        <f>(R11/13999402)*100000</f>
        <v>68.331490159365373</v>
      </c>
      <c r="S24" s="2005">
        <f>(S11/14373250)*100000</f>
        <v>70.380742003374323</v>
      </c>
      <c r="T24" s="1762"/>
    </row>
    <row r="25" spans="2:23" hidden="1" x14ac:dyDescent="0.25">
      <c r="D25" s="88" t="s">
        <v>1835</v>
      </c>
      <c r="E25" s="2034">
        <v>116.8</v>
      </c>
      <c r="F25" s="2034">
        <v>123.9</v>
      </c>
      <c r="G25" s="2034">
        <v>121.2</v>
      </c>
      <c r="H25" s="2035">
        <v>117.11260136120301</v>
      </c>
      <c r="I25" s="2035">
        <v>113.252209165178</v>
      </c>
      <c r="J25" s="2035">
        <v>131.340994835526</v>
      </c>
      <c r="K25" s="2035">
        <v>130.100087280358</v>
      </c>
      <c r="L25" s="2035">
        <v>124.29558726904</v>
      </c>
      <c r="M25" s="2035">
        <v>118.25918603876001</v>
      </c>
      <c r="N25" s="2035">
        <v>118.20140994360101</v>
      </c>
      <c r="O25" s="2035">
        <v>111.976168847069</v>
      </c>
      <c r="P25" s="2036">
        <v>84.679895449036707</v>
      </c>
      <c r="Q25" s="1151">
        <v>82.501490260105598</v>
      </c>
      <c r="R25" s="2005">
        <f>(R12/10974209)*100000</f>
        <v>77.308533125257583</v>
      </c>
      <c r="S25" s="2005">
        <f>(S12/11109313)*100000</f>
        <v>78.843759285565184</v>
      </c>
      <c r="T25" s="1762"/>
    </row>
    <row r="26" spans="2:23" hidden="1" x14ac:dyDescent="0.25">
      <c r="D26" s="88" t="s">
        <v>280</v>
      </c>
      <c r="E26" s="2034">
        <v>84.2</v>
      </c>
      <c r="F26" s="2034">
        <v>95.5</v>
      </c>
      <c r="G26" s="2034">
        <v>87.4</v>
      </c>
      <c r="H26" s="2035">
        <v>92.367569965482005</v>
      </c>
      <c r="I26" s="2035">
        <v>86.769986068435401</v>
      </c>
      <c r="J26" s="2035">
        <v>88.811718667052901</v>
      </c>
      <c r="K26" s="2035">
        <v>92.3468952609295</v>
      </c>
      <c r="L26" s="2035">
        <v>91.087418136711506</v>
      </c>
      <c r="M26" s="2035">
        <v>105.05821936222399</v>
      </c>
      <c r="N26" s="2035">
        <v>118.289256354681</v>
      </c>
      <c r="O26" s="2035">
        <v>116.23286118883701</v>
      </c>
      <c r="P26" s="2036">
        <v>77.155671156429406</v>
      </c>
      <c r="Q26" s="1151">
        <v>77.260005387755299</v>
      </c>
      <c r="R26" s="2005">
        <f>(R13/5724477)*100000</f>
        <v>66.870737711060769</v>
      </c>
      <c r="S26" s="2005">
        <f>(S13/5797008)*100000</f>
        <v>66.620573923651648</v>
      </c>
      <c r="T26" s="1762"/>
    </row>
    <row r="27" spans="2:23" hidden="1" x14ac:dyDescent="0.25">
      <c r="D27" s="88" t="s">
        <v>1836</v>
      </c>
      <c r="E27" s="2034">
        <v>125.8</v>
      </c>
      <c r="F27" s="2034">
        <v>135.6</v>
      </c>
      <c r="G27" s="2034">
        <v>137.1</v>
      </c>
      <c r="H27" s="2035">
        <v>124.65286891644899</v>
      </c>
      <c r="I27" s="2035">
        <v>110.445305987656</v>
      </c>
      <c r="J27" s="2035">
        <v>122.39772096870701</v>
      </c>
      <c r="K27" s="2035">
        <v>118.074456113851</v>
      </c>
      <c r="L27" s="2035">
        <v>112.108007591527</v>
      </c>
      <c r="M27" s="2035">
        <v>101.59697948337801</v>
      </c>
      <c r="N27" s="2035">
        <v>104.196624126534</v>
      </c>
      <c r="O27" s="2035">
        <v>94.916549613881898</v>
      </c>
      <c r="P27" s="2036">
        <v>82.002913052295298</v>
      </c>
      <c r="Q27" s="1151">
        <v>77.281583357616398</v>
      </c>
      <c r="R27" s="2005">
        <f>(R14/4386153)*100000</f>
        <v>73.321655674118063</v>
      </c>
      <c r="S27" s="2005">
        <f>(S14/4463733)*100000</f>
        <v>71.644070109032057</v>
      </c>
      <c r="T27" s="1762"/>
    </row>
    <row r="28" spans="2:23" hidden="1" x14ac:dyDescent="0.25">
      <c r="D28" s="88" t="s">
        <v>282</v>
      </c>
      <c r="E28" s="2034">
        <v>135.30000000000001</v>
      </c>
      <c r="F28" s="2034">
        <v>137.4</v>
      </c>
      <c r="G28" s="2034">
        <v>136.6</v>
      </c>
      <c r="H28" s="2035">
        <v>141.418653812526</v>
      </c>
      <c r="I28" s="2035">
        <v>137.06297433228099</v>
      </c>
      <c r="J28" s="2035">
        <v>150.20530978300599</v>
      </c>
      <c r="K28" s="2035">
        <v>140.20318083553701</v>
      </c>
      <c r="L28" s="2035">
        <v>136.50541886240899</v>
      </c>
      <c r="M28" s="2035">
        <v>141.96659199326299</v>
      </c>
      <c r="N28" s="2035">
        <v>155.12784934733401</v>
      </c>
      <c r="O28" s="2035">
        <v>134.05815141226</v>
      </c>
      <c r="P28" s="2036">
        <v>124.639276042373</v>
      </c>
      <c r="Q28" s="1151">
        <v>111.299983569443</v>
      </c>
      <c r="R28" s="2005">
        <f>(R15/3806079)*100000</f>
        <v>113.6602787277931</v>
      </c>
      <c r="S28" s="2005">
        <f>(S15/3873298)*100000</f>
        <v>107.97000385717804</v>
      </c>
      <c r="T28" s="1762"/>
    </row>
    <row r="29" spans="2:23" ht="14.25" hidden="1" customHeight="1" x14ac:dyDescent="0.25">
      <c r="B29" s="3038"/>
      <c r="C29" s="1978"/>
      <c r="D29" s="88" t="s">
        <v>1837</v>
      </c>
      <c r="E29" s="2034">
        <v>205.4</v>
      </c>
      <c r="F29" s="2034">
        <v>206.4</v>
      </c>
      <c r="G29" s="2034">
        <v>184.8</v>
      </c>
      <c r="H29" s="2035">
        <v>182.31886619032801</v>
      </c>
      <c r="I29" s="2035">
        <v>161.27684735246601</v>
      </c>
      <c r="J29" s="2035">
        <v>174.91145872103701</v>
      </c>
      <c r="K29" s="2035">
        <v>166.53305770277001</v>
      </c>
      <c r="L29" s="2035">
        <v>166.75968763057799</v>
      </c>
      <c r="M29" s="2035">
        <v>153.42117432948601</v>
      </c>
      <c r="N29" s="2035">
        <v>160.92359380575601</v>
      </c>
      <c r="O29" s="2035">
        <v>151.288220138247</v>
      </c>
      <c r="P29" s="2036">
        <v>134.4910624986</v>
      </c>
      <c r="Q29" s="2037">
        <v>144.734417787333</v>
      </c>
      <c r="R29" s="2005">
        <f>(R16/1202571)*100000</f>
        <v>131.96726014513905</v>
      </c>
      <c r="S29" s="2006">
        <f>(S16/1217917)*100000</f>
        <v>126.28118336471205</v>
      </c>
      <c r="T29" s="2007"/>
    </row>
    <row r="30" spans="2:23" hidden="1" x14ac:dyDescent="0.25">
      <c r="B30" s="3038"/>
      <c r="C30" s="1978"/>
      <c r="D30" s="88" t="s">
        <v>284</v>
      </c>
      <c r="E30" s="2034">
        <v>216.7</v>
      </c>
      <c r="F30" s="2034">
        <v>229.9</v>
      </c>
      <c r="G30" s="2034">
        <v>207.5</v>
      </c>
      <c r="H30" s="2035">
        <v>172.64213467888499</v>
      </c>
      <c r="I30" s="2035">
        <v>162.58261702383999</v>
      </c>
      <c r="J30" s="2035">
        <v>161.97972949202199</v>
      </c>
      <c r="K30" s="2035">
        <v>175.01204697000301</v>
      </c>
      <c r="L30" s="2035">
        <v>164.66273036666101</v>
      </c>
      <c r="M30" s="2035">
        <v>158.69734123094301</v>
      </c>
      <c r="N30" s="2035">
        <v>148.98128973702799</v>
      </c>
      <c r="O30" s="2035">
        <v>134.00603493643001</v>
      </c>
      <c r="P30" s="2036">
        <v>119.93917448678999</v>
      </c>
      <c r="Q30" s="2037">
        <v>113.641387558425</v>
      </c>
      <c r="R30" s="2005">
        <f>(R17/6274123)*100000</f>
        <v>113.40230339762228</v>
      </c>
      <c r="S30" s="2006">
        <f>(S17/6545042)*100000</f>
        <v>108.09709089720128</v>
      </c>
      <c r="T30" s="2007"/>
    </row>
    <row r="31" spans="2:23" hidden="1" x14ac:dyDescent="0.25">
      <c r="B31" s="3038"/>
      <c r="C31" s="1978"/>
      <c r="D31" s="72" t="s">
        <v>1907</v>
      </c>
      <c r="E31" s="2038">
        <v>142.5</v>
      </c>
      <c r="F31" s="2038">
        <v>148.4</v>
      </c>
      <c r="G31" s="2038">
        <v>145.19999999999999</v>
      </c>
      <c r="H31" s="2039">
        <v>134.825715214643</v>
      </c>
      <c r="I31" s="2039">
        <v>130.26683024641099</v>
      </c>
      <c r="J31" s="2039">
        <v>142.03350564921701</v>
      </c>
      <c r="K31" s="2039">
        <v>135.77990292035801</v>
      </c>
      <c r="L31" s="2039">
        <v>129.72048694851301</v>
      </c>
      <c r="M31" s="2039">
        <v>124.64173839102401</v>
      </c>
      <c r="N31" s="2039">
        <v>126.408415566599</v>
      </c>
      <c r="O31" s="2039">
        <v>117.530370738757</v>
      </c>
      <c r="P31" s="1890">
        <v>99.070023437985199</v>
      </c>
      <c r="Q31" s="2040">
        <v>94.414143546077796</v>
      </c>
      <c r="R31" s="2009">
        <f>(R18/56753327)*100000</f>
        <v>87.501478107177746</v>
      </c>
      <c r="S31" s="2041">
        <f>(S18/56753327)*100000</f>
        <v>88.29085914205524</v>
      </c>
    </row>
    <row r="32" spans="2:23" x14ac:dyDescent="0.25">
      <c r="B32" s="3038"/>
      <c r="C32" s="1978"/>
      <c r="D32" s="1935"/>
      <c r="E32" s="1935"/>
      <c r="F32" s="1935"/>
      <c r="G32" s="1935"/>
      <c r="H32" s="1935"/>
      <c r="I32" s="1935"/>
      <c r="J32" s="1935"/>
      <c r="K32" s="1935"/>
      <c r="L32" s="1935"/>
      <c r="M32" s="1935"/>
      <c r="N32" s="1935"/>
      <c r="O32" s="1935"/>
      <c r="P32" s="2007"/>
      <c r="Q32" s="2007"/>
      <c r="R32" s="1943"/>
      <c r="S32" s="3200"/>
      <c r="T32" s="3122"/>
    </row>
    <row r="33" spans="1:23" ht="15" customHeight="1" x14ac:dyDescent="0.25">
      <c r="B33" s="3038"/>
      <c r="C33" s="38"/>
      <c r="D33" s="72" t="s">
        <v>656</v>
      </c>
      <c r="E33" s="5108" t="s">
        <v>1908</v>
      </c>
      <c r="F33" s="5108"/>
      <c r="G33" s="5108"/>
      <c r="H33" s="5108"/>
      <c r="I33" s="5108"/>
      <c r="J33" s="5108"/>
      <c r="K33" s="5108"/>
      <c r="L33" s="5108"/>
      <c r="M33" s="5108"/>
      <c r="N33" s="862"/>
      <c r="O33" s="1979"/>
      <c r="P33" s="2042"/>
      <c r="Q33" s="2007"/>
      <c r="R33" s="1943"/>
      <c r="S33" s="1943"/>
    </row>
    <row r="34" spans="1:23" ht="27.75" customHeight="1" x14ac:dyDescent="0.25">
      <c r="B34" s="3038"/>
      <c r="C34" s="1978"/>
      <c r="D34" s="2012"/>
      <c r="E34" s="2043" t="s">
        <v>1933</v>
      </c>
      <c r="F34" s="2043" t="s">
        <v>1934</v>
      </c>
      <c r="G34" s="2043" t="s">
        <v>1935</v>
      </c>
      <c r="H34" s="2043" t="s">
        <v>1936</v>
      </c>
      <c r="I34" s="2043" t="s">
        <v>1937</v>
      </c>
      <c r="J34" s="2043" t="s">
        <v>1938</v>
      </c>
      <c r="K34" s="2043" t="s">
        <v>1915</v>
      </c>
      <c r="L34" s="2043" t="s">
        <v>1916</v>
      </c>
      <c r="M34" s="2043" t="s">
        <v>1917</v>
      </c>
      <c r="N34" s="2043" t="s">
        <v>1918</v>
      </c>
      <c r="O34" s="3625" t="s">
        <v>1919</v>
      </c>
      <c r="P34" s="2044" t="s">
        <v>1920</v>
      </c>
      <c r="Q34" s="2045" t="s">
        <v>1939</v>
      </c>
      <c r="R34" s="2046" t="s">
        <v>1922</v>
      </c>
      <c r="S34" s="2047" t="s">
        <v>1923</v>
      </c>
      <c r="T34" s="2047" t="s">
        <v>1940</v>
      </c>
      <c r="U34" s="2047" t="s">
        <v>1941</v>
      </c>
      <c r="V34" s="3186" t="s">
        <v>1942</v>
      </c>
      <c r="W34" s="2048"/>
    </row>
    <row r="35" spans="1:23" x14ac:dyDescent="0.25">
      <c r="B35" s="3038"/>
      <c r="C35" s="1978"/>
      <c r="D35" s="88" t="s">
        <v>276</v>
      </c>
      <c r="E35" s="2049">
        <v>4.7E-2</v>
      </c>
      <c r="F35" s="2049">
        <f t="shared" ref="F35:P44" si="0">(F9-E9)/E9</f>
        <v>4.7098810390871569E-2</v>
      </c>
      <c r="G35" s="2049">
        <f t="shared" si="0"/>
        <v>0.1954555993507999</v>
      </c>
      <c r="H35" s="2050">
        <f t="shared" si="0"/>
        <v>-0.1158844065166796</v>
      </c>
      <c r="I35" s="2050">
        <f t="shared" si="0"/>
        <v>-3.290556103981573E-3</v>
      </c>
      <c r="J35" s="2049">
        <f t="shared" si="0"/>
        <v>4.0607461208319574E-2</v>
      </c>
      <c r="K35" s="2050">
        <f t="shared" si="0"/>
        <v>-4.3252961082910324E-2</v>
      </c>
      <c r="L35" s="2049">
        <f t="shared" si="0"/>
        <v>1.8127556095943406E-2</v>
      </c>
      <c r="M35" s="2051">
        <f t="shared" si="0"/>
        <v>-2.2798827488872003E-2</v>
      </c>
      <c r="N35" s="2049">
        <f t="shared" si="0"/>
        <v>3.1885346072658596E-2</v>
      </c>
      <c r="O35" s="2050">
        <f t="shared" si="0"/>
        <v>3.5314384151593457E-2</v>
      </c>
      <c r="P35" s="2052">
        <f t="shared" si="0"/>
        <v>-4.076539101497504E-2</v>
      </c>
      <c r="Q35" s="2052">
        <f t="shared" ref="Q35:V44" si="1">(R9-Q9)/Q9</f>
        <v>-8.4915312038194843E-2</v>
      </c>
      <c r="R35" s="2053">
        <f t="shared" si="1"/>
        <v>5.46583850931677E-3</v>
      </c>
      <c r="S35" s="2053">
        <f t="shared" si="1"/>
        <v>7.8700271806276256E-2</v>
      </c>
      <c r="T35" s="2055">
        <f t="shared" si="1"/>
        <v>-2.6342916046271903E-3</v>
      </c>
      <c r="U35" s="2055">
        <f t="shared" si="1"/>
        <v>-0.14503904455672945</v>
      </c>
      <c r="V35" s="3201">
        <f t="shared" si="1"/>
        <v>0.12881128274009401</v>
      </c>
      <c r="W35" s="2054"/>
    </row>
    <row r="36" spans="1:23" ht="12.75" customHeight="1" x14ac:dyDescent="0.25">
      <c r="B36" s="3038"/>
      <c r="C36" s="1978"/>
      <c r="D36" s="88" t="s">
        <v>1834</v>
      </c>
      <c r="E36" s="2049">
        <v>0.05</v>
      </c>
      <c r="F36" s="2049">
        <f t="shared" si="0"/>
        <v>5.0274609209970428E-2</v>
      </c>
      <c r="G36" s="2050">
        <f t="shared" si="0"/>
        <v>-8.3065164923572007E-2</v>
      </c>
      <c r="H36" s="2050">
        <f t="shared" si="0"/>
        <v>-3.7946918183812239E-2</v>
      </c>
      <c r="I36" s="2049">
        <f t="shared" si="0"/>
        <v>2.2799817601459188E-3</v>
      </c>
      <c r="J36" s="2049">
        <f t="shared" si="0"/>
        <v>2.8889899909008188E-2</v>
      </c>
      <c r="K36" s="2049">
        <f t="shared" si="0"/>
        <v>1.2823347335839045E-2</v>
      </c>
      <c r="L36" s="2049">
        <f t="shared" si="0"/>
        <v>3.4053700065487885E-2</v>
      </c>
      <c r="M36" s="2049">
        <f t="shared" si="0"/>
        <v>1.013299556681444E-2</v>
      </c>
      <c r="N36" s="2049">
        <f t="shared" si="0"/>
        <v>6.5412748171368856E-2</v>
      </c>
      <c r="O36" s="2050">
        <f t="shared" si="0"/>
        <v>-0.10082385249117301</v>
      </c>
      <c r="P36" s="2052">
        <f t="shared" si="0"/>
        <v>-0.10689354275741711</v>
      </c>
      <c r="Q36" s="2052">
        <f t="shared" si="1"/>
        <v>-0.11201629327902241</v>
      </c>
      <c r="R36" s="2055">
        <f t="shared" si="1"/>
        <v>-5.8486238532110095E-2</v>
      </c>
      <c r="S36" s="2053">
        <f t="shared" si="1"/>
        <v>5.2679658952496954E-2</v>
      </c>
      <c r="T36" s="2053">
        <f t="shared" si="1"/>
        <v>8.3598495805611808E-2</v>
      </c>
      <c r="U36" s="2055">
        <f t="shared" si="1"/>
        <v>-0.20688734650293647</v>
      </c>
      <c r="V36" s="3201">
        <f t="shared" si="1"/>
        <v>0.14978121844496803</v>
      </c>
      <c r="W36" s="2054"/>
    </row>
    <row r="37" spans="1:23" ht="10.5" customHeight="1" x14ac:dyDescent="0.25">
      <c r="B37" s="3038"/>
      <c r="C37" s="1978"/>
      <c r="D37" s="88" t="s">
        <v>1751</v>
      </c>
      <c r="E37" s="2050">
        <v>-4.0000000000000001E-3</v>
      </c>
      <c r="F37" s="2050">
        <f t="shared" si="0"/>
        <v>-4.2068040482867945E-3</v>
      </c>
      <c r="G37" s="2050">
        <f t="shared" si="0"/>
        <v>-4.0225310720626954E-2</v>
      </c>
      <c r="H37" s="2050">
        <f t="shared" si="0"/>
        <v>-3.5213064557285019E-2</v>
      </c>
      <c r="I37" s="2049">
        <f t="shared" si="0"/>
        <v>1.8116900290928325E-2</v>
      </c>
      <c r="J37" s="2049">
        <f t="shared" si="0"/>
        <v>0.18041304065463046</v>
      </c>
      <c r="K37" s="2050">
        <f t="shared" si="0"/>
        <v>-0.13924955985915494</v>
      </c>
      <c r="L37" s="2050">
        <f t="shared" si="0"/>
        <v>-0.12662192393736019</v>
      </c>
      <c r="M37" s="2051">
        <f t="shared" si="0"/>
        <v>-0.15749414519906324</v>
      </c>
      <c r="N37" s="2051">
        <f t="shared" si="0"/>
        <v>-3.4659485753995828E-2</v>
      </c>
      <c r="O37" s="2050">
        <f t="shared" si="0"/>
        <v>-7.639701250787366E-2</v>
      </c>
      <c r="P37" s="2052">
        <f t="shared" si="0"/>
        <v>-3.5268901013250198E-2</v>
      </c>
      <c r="Q37" s="2016">
        <f t="shared" si="1"/>
        <v>5.8885383806519453E-3</v>
      </c>
      <c r="R37" s="2053">
        <f t="shared" si="1"/>
        <v>5.7495295839431318E-2</v>
      </c>
      <c r="S37" s="2053">
        <f t="shared" si="1"/>
        <v>6.2870699881376044E-2</v>
      </c>
      <c r="T37" s="2053">
        <f t="shared" si="1"/>
        <v>5.394345238095238E-3</v>
      </c>
      <c r="U37" s="2055">
        <f t="shared" si="1"/>
        <v>-9.8149861239592975E-2</v>
      </c>
      <c r="V37" s="3201">
        <f t="shared" si="1"/>
        <v>0.14657913632167402</v>
      </c>
      <c r="W37" s="2054"/>
    </row>
    <row r="38" spans="1:23" hidden="1" x14ac:dyDescent="0.25">
      <c r="B38" s="3038"/>
      <c r="C38" s="1978"/>
      <c r="D38" s="88" t="s">
        <v>1835</v>
      </c>
      <c r="E38" s="2049">
        <v>6.5000000000000002E-2</v>
      </c>
      <c r="F38" s="2049">
        <f t="shared" si="0"/>
        <v>6.5389347864299521E-2</v>
      </c>
      <c r="G38" s="2050">
        <f t="shared" si="0"/>
        <v>-1.5673981191222569E-2</v>
      </c>
      <c r="H38" s="2050">
        <f t="shared" si="0"/>
        <v>-2.3717733825008382E-2</v>
      </c>
      <c r="I38" s="2050">
        <f t="shared" si="0"/>
        <v>-2.523821787277878E-2</v>
      </c>
      <c r="J38" s="2049">
        <f t="shared" si="0"/>
        <v>0.16944077498899163</v>
      </c>
      <c r="K38" s="2050">
        <f t="shared" si="0"/>
        <v>-7.5306875517734771E-4</v>
      </c>
      <c r="L38" s="2050">
        <f t="shared" si="0"/>
        <v>-5.9461903685281481E-2</v>
      </c>
      <c r="M38" s="2051">
        <f t="shared" si="0"/>
        <v>-0.11586538461538462</v>
      </c>
      <c r="N38" s="2049">
        <f t="shared" si="0"/>
        <v>-6.3440275512053656E-3</v>
      </c>
      <c r="O38" s="2050">
        <f t="shared" si="0"/>
        <v>-9.8048157606712885E-2</v>
      </c>
      <c r="P38" s="2052">
        <f t="shared" si="0"/>
        <v>-8.1909192031550213E-2</v>
      </c>
      <c r="Q38" s="2052">
        <f t="shared" si="1"/>
        <v>-5.1749189672515926E-2</v>
      </c>
      <c r="R38" s="2053">
        <f t="shared" si="1"/>
        <v>3.2413955681282414E-2</v>
      </c>
      <c r="S38" s="2053">
        <f t="shared" si="1"/>
        <v>6.2678387943829197E-2</v>
      </c>
      <c r="T38" s="2053">
        <f t="shared" si="1"/>
        <v>5.3824666953158573E-2</v>
      </c>
      <c r="U38" s="2055">
        <f t="shared" si="1"/>
        <v>-0.16393108369864409</v>
      </c>
      <c r="V38" s="3201">
        <f t="shared" si="1"/>
        <v>0.17266187050359713</v>
      </c>
      <c r="W38" s="2054"/>
    </row>
    <row r="39" spans="1:23" hidden="1" x14ac:dyDescent="0.25">
      <c r="B39" s="3038"/>
      <c r="C39" s="1978"/>
      <c r="D39" s="88" t="s">
        <v>280</v>
      </c>
      <c r="E39" s="2049">
        <v>0.129</v>
      </c>
      <c r="F39" s="2049">
        <f t="shared" si="0"/>
        <v>0.12892451569806279</v>
      </c>
      <c r="G39" s="2050">
        <f t="shared" si="0"/>
        <v>-7.8698224852071008E-2</v>
      </c>
      <c r="H39" s="2049">
        <f t="shared" si="0"/>
        <v>2.3335474202526227E-2</v>
      </c>
      <c r="I39" s="2050">
        <f t="shared" si="0"/>
        <v>-5.2719665271966525E-2</v>
      </c>
      <c r="J39" s="2049">
        <f t="shared" si="0"/>
        <v>3.2464664310954065E-2</v>
      </c>
      <c r="K39" s="2049">
        <f t="shared" si="0"/>
        <v>4.9197860962566842E-2</v>
      </c>
      <c r="L39" s="2050">
        <f t="shared" si="0"/>
        <v>-2.1610601427115187E-2</v>
      </c>
      <c r="M39" s="2049">
        <f t="shared" si="0"/>
        <v>7.7099395707439051E-3</v>
      </c>
      <c r="N39" s="2049">
        <f t="shared" si="0"/>
        <v>6.2034739454094297E-3</v>
      </c>
      <c r="O39" s="2050">
        <f t="shared" si="0"/>
        <v>-9.1039868475133581E-2</v>
      </c>
      <c r="P39" s="2052">
        <f t="shared" si="0"/>
        <v>-2.5096088627628306E-2</v>
      </c>
      <c r="Q39" s="2052">
        <f t="shared" si="1"/>
        <v>-0.12382696269169147</v>
      </c>
      <c r="R39" s="2053">
        <f t="shared" si="1"/>
        <v>8.881922675026124E-3</v>
      </c>
      <c r="S39" s="2053">
        <f t="shared" si="1"/>
        <v>5.1268772656654582E-2</v>
      </c>
      <c r="T39" s="2053">
        <f t="shared" si="1"/>
        <v>-1.7241379310344827E-2</v>
      </c>
      <c r="U39" s="2055">
        <f t="shared" si="1"/>
        <v>-6.7669172932330823E-2</v>
      </c>
      <c r="V39" s="3201">
        <f t="shared" si="1"/>
        <v>0.15833333333333333</v>
      </c>
      <c r="W39" s="2054"/>
    </row>
    <row r="40" spans="1:23" x14ac:dyDescent="0.25">
      <c r="B40" s="3038"/>
      <c r="C40" s="1978"/>
      <c r="D40" s="88" t="s">
        <v>1836</v>
      </c>
      <c r="E40" s="2049">
        <v>6.8000000000000005E-2</v>
      </c>
      <c r="F40" s="2049">
        <f t="shared" si="0"/>
        <v>6.834285714285715E-2</v>
      </c>
      <c r="G40" s="2049">
        <f t="shared" si="0"/>
        <v>1.7543859649122806E-2</v>
      </c>
      <c r="H40" s="2050">
        <f t="shared" si="0"/>
        <v>-2.6282590412111017E-2</v>
      </c>
      <c r="I40" s="2050">
        <f t="shared" si="0"/>
        <v>-9.9762470308788598E-2</v>
      </c>
      <c r="J40" s="2050">
        <f t="shared" si="0"/>
        <v>0.12616934516670664</v>
      </c>
      <c r="K40" s="2050">
        <f t="shared" si="0"/>
        <v>-1.9595314164004261E-2</v>
      </c>
      <c r="L40" s="2050">
        <f t="shared" si="0"/>
        <v>-5.6050401911796652E-2</v>
      </c>
      <c r="M40" s="2051">
        <f t="shared" si="0"/>
        <v>-8.9758342922899886E-2</v>
      </c>
      <c r="N40" s="2049">
        <f t="shared" si="0"/>
        <v>2.7812895069532238E-2</v>
      </c>
      <c r="O40" s="2050">
        <f t="shared" si="0"/>
        <v>-6.5928659286592861E-2</v>
      </c>
      <c r="P40" s="2052">
        <f t="shared" si="0"/>
        <v>-8.5067158282854882E-2</v>
      </c>
      <c r="Q40" s="2052">
        <f t="shared" si="1"/>
        <v>-3.4524166916841792E-2</v>
      </c>
      <c r="R40" s="2055">
        <f t="shared" si="1"/>
        <v>-5.597014925373134E-3</v>
      </c>
      <c r="S40" s="2053">
        <f t="shared" si="1"/>
        <v>8.5053158223889938E-2</v>
      </c>
      <c r="T40" s="2053">
        <f t="shared" si="1"/>
        <v>1.2391930835734871E-2</v>
      </c>
      <c r="U40" s="2055">
        <f t="shared" si="1"/>
        <v>-0.10788499857671506</v>
      </c>
      <c r="V40" s="3201">
        <f t="shared" si="1"/>
        <v>0.13369495851946395</v>
      </c>
      <c r="W40" s="2054"/>
    </row>
    <row r="41" spans="1:23" x14ac:dyDescent="0.25">
      <c r="B41" s="3038"/>
      <c r="C41" s="1978"/>
      <c r="D41" s="88" t="s">
        <v>282</v>
      </c>
      <c r="E41" s="2049">
        <v>0.02</v>
      </c>
      <c r="F41" s="2049">
        <f t="shared" si="0"/>
        <v>2.0137198495242311E-2</v>
      </c>
      <c r="G41" s="2050">
        <f t="shared" si="0"/>
        <v>-1.3882863340563991E-2</v>
      </c>
      <c r="H41" s="2049">
        <f t="shared" si="0"/>
        <v>9.2388913330400356E-3</v>
      </c>
      <c r="I41" s="2050">
        <f t="shared" si="0"/>
        <v>-1.6346992153443766E-2</v>
      </c>
      <c r="J41" s="2049">
        <f t="shared" si="0"/>
        <v>0.11256370485264791</v>
      </c>
      <c r="K41" s="2051">
        <f t="shared" si="0"/>
        <v>-5.2180840470025892E-2</v>
      </c>
      <c r="L41" s="2050">
        <f t="shared" si="0"/>
        <v>-2.3114099600756461E-2</v>
      </c>
      <c r="M41" s="2049">
        <f t="shared" si="0"/>
        <v>5.0763605076360505E-2</v>
      </c>
      <c r="N41" s="2049">
        <f t="shared" si="0"/>
        <v>7.0214943705220065E-2</v>
      </c>
      <c r="O41" s="2050">
        <f t="shared" si="0"/>
        <v>-0.117061973986228</v>
      </c>
      <c r="P41" s="2052">
        <f t="shared" si="0"/>
        <v>-6.7157712305025994E-3</v>
      </c>
      <c r="Q41" s="2016">
        <f t="shared" si="1"/>
        <v>3.8904899135446688E-2</v>
      </c>
      <c r="R41" s="2055">
        <f t="shared" si="1"/>
        <v>-3.3287101248266296E-2</v>
      </c>
      <c r="S41" s="2055">
        <f t="shared" si="1"/>
        <v>-3.8498326159732185E-2</v>
      </c>
      <c r="T41" s="2055">
        <f t="shared" si="1"/>
        <v>-4.8992787863715491E-2</v>
      </c>
      <c r="U41" s="2055">
        <f t="shared" si="1"/>
        <v>-0.14696652719665271</v>
      </c>
      <c r="V41" s="3201">
        <f t="shared" si="1"/>
        <v>0.14561618638871857</v>
      </c>
      <c r="W41" s="2054"/>
    </row>
    <row r="42" spans="1:23" x14ac:dyDescent="0.25">
      <c r="C42" s="1978"/>
      <c r="D42" s="88" t="s">
        <v>1837</v>
      </c>
      <c r="E42" s="2049">
        <v>0.01</v>
      </c>
      <c r="F42" s="2049">
        <f t="shared" si="0"/>
        <v>9.5846645367412137E-3</v>
      </c>
      <c r="G42" s="2050">
        <f t="shared" si="0"/>
        <v>-9.9005424954792046E-2</v>
      </c>
      <c r="H42" s="2050">
        <f t="shared" si="0"/>
        <v>-1.8063221274460611E-2</v>
      </c>
      <c r="I42" s="2050">
        <f t="shared" si="0"/>
        <v>-0.10628513030148186</v>
      </c>
      <c r="J42" s="2049">
        <f t="shared" si="0"/>
        <v>9.6054888507718691E-2</v>
      </c>
      <c r="K42" s="2050">
        <f t="shared" si="0"/>
        <v>-3.7558685446009391E-2</v>
      </c>
      <c r="L42" s="2049">
        <f t="shared" si="0"/>
        <v>6.5040650406504065E-3</v>
      </c>
      <c r="M42" s="2051">
        <f t="shared" si="0"/>
        <v>-7.2697899838449112E-2</v>
      </c>
      <c r="N42" s="2049">
        <f t="shared" si="0"/>
        <v>6.039488966318235E-2</v>
      </c>
      <c r="O42" s="2050">
        <f t="shared" si="0"/>
        <v>-5.2026286966046005E-2</v>
      </c>
      <c r="P42" s="2052">
        <f t="shared" si="0"/>
        <v>-8.838821490467938E-2</v>
      </c>
      <c r="Q42" s="2052">
        <f t="shared" si="1"/>
        <v>-7.6788830715532289E-2</v>
      </c>
      <c r="R42" s="2055">
        <f t="shared" si="1"/>
        <v>-3.0875866414618779E-2</v>
      </c>
      <c r="S42" s="2053">
        <f t="shared" si="1"/>
        <v>2.600780234070221E-2</v>
      </c>
      <c r="T42" s="2053">
        <f t="shared" si="1"/>
        <v>7.6045627376425855E-3</v>
      </c>
      <c r="U42" s="2055">
        <f t="shared" si="1"/>
        <v>-0.18553459119496854</v>
      </c>
      <c r="V42" s="3201">
        <f t="shared" si="1"/>
        <v>1.698841698841699E-2</v>
      </c>
      <c r="W42" s="2054"/>
    </row>
    <row r="43" spans="1:23" x14ac:dyDescent="0.25">
      <c r="B43" s="531"/>
      <c r="C43" s="1978"/>
      <c r="D43" s="88" t="s">
        <v>284</v>
      </c>
      <c r="E43" s="2049">
        <v>7.6999999999999999E-2</v>
      </c>
      <c r="F43" s="2049">
        <f t="shared" si="0"/>
        <v>7.6607527433083786E-2</v>
      </c>
      <c r="G43" s="2050">
        <f t="shared" si="0"/>
        <v>-8.2587159458944556E-2</v>
      </c>
      <c r="H43" s="2050">
        <f t="shared" si="0"/>
        <v>-6.8736372131658188E-2</v>
      </c>
      <c r="I43" s="2050">
        <f t="shared" si="0"/>
        <v>-3.8577321886497935E-2</v>
      </c>
      <c r="J43" s="2049">
        <f t="shared" si="0"/>
        <v>1.7279369129073407E-2</v>
      </c>
      <c r="K43" s="2049">
        <f t="shared" si="0"/>
        <v>0.10328317373461013</v>
      </c>
      <c r="L43" s="2050">
        <f t="shared" si="0"/>
        <v>-5.1560239718950199E-2</v>
      </c>
      <c r="M43" s="2051">
        <f t="shared" si="0"/>
        <v>-4.0309401895631335E-2</v>
      </c>
      <c r="N43" s="2051">
        <f t="shared" si="0"/>
        <v>-4.188897718242706E-2</v>
      </c>
      <c r="O43" s="2050">
        <f t="shared" si="0"/>
        <v>-8.0568720379146919E-2</v>
      </c>
      <c r="P43" s="2052">
        <f t="shared" si="0"/>
        <v>-5.0386597938144331E-2</v>
      </c>
      <c r="Q43" s="2052">
        <f t="shared" si="1"/>
        <v>-2.1037868162692847E-3</v>
      </c>
      <c r="R43" s="2055">
        <f t="shared" si="1"/>
        <v>-5.6219255094869993E-3</v>
      </c>
      <c r="S43" s="2055">
        <f t="shared" si="1"/>
        <v>-4.5229681978798588E-3</v>
      </c>
      <c r="T43" s="2053">
        <f t="shared" si="1"/>
        <v>3.6916086894789153E-2</v>
      </c>
      <c r="U43" s="2055">
        <f t="shared" si="1"/>
        <v>-0.11858140490209503</v>
      </c>
      <c r="V43" s="3201">
        <f t="shared" si="1"/>
        <v>0.11278545906478173</v>
      </c>
      <c r="W43" s="2054"/>
    </row>
    <row r="44" spans="1:23" x14ac:dyDescent="0.25">
      <c r="C44" s="1978"/>
      <c r="D44" s="460" t="s">
        <v>50</v>
      </c>
      <c r="E44" s="2018">
        <v>4.5999999999999999E-2</v>
      </c>
      <c r="F44" s="2018">
        <f t="shared" si="0"/>
        <v>4.5975272022881701E-2</v>
      </c>
      <c r="G44" s="2056">
        <f t="shared" si="0"/>
        <v>-1.5061417596249837E-2</v>
      </c>
      <c r="H44" s="2056">
        <f t="shared" si="0"/>
        <v>-4.2232211058229038E-2</v>
      </c>
      <c r="I44" s="2056">
        <f t="shared" si="0"/>
        <v>-2.1211331114553457E-2</v>
      </c>
      <c r="J44" s="2018">
        <f t="shared" si="0"/>
        <v>8.428656491898838E-2</v>
      </c>
      <c r="K44" s="2056">
        <f t="shared" si="0"/>
        <v>-1.2500541931008569E-2</v>
      </c>
      <c r="L44" s="2056">
        <f t="shared" si="0"/>
        <v>-4.9918047181408416E-2</v>
      </c>
      <c r="M44" s="2057">
        <f t="shared" si="0"/>
        <v>-6.7497419941159251E-2</v>
      </c>
      <c r="N44" s="2018">
        <f t="shared" si="0"/>
        <v>5.7648788384347281E-3</v>
      </c>
      <c r="O44" s="2056">
        <f t="shared" si="0"/>
        <v>-6.9110497963473919E-2</v>
      </c>
      <c r="P44" s="2056">
        <f t="shared" si="0"/>
        <v>-5.4040225829216658E-2</v>
      </c>
      <c r="Q44" s="2056">
        <f t="shared" si="1"/>
        <v>-4.3067732922246846E-2</v>
      </c>
      <c r="R44" s="2018">
        <f t="shared" si="1"/>
        <v>9.0213451469995966E-3</v>
      </c>
      <c r="S44" s="2018">
        <f t="shared" si="1"/>
        <v>4.6140336872355713E-2</v>
      </c>
      <c r="T44" s="3202">
        <f t="shared" si="1"/>
        <v>1.665394887447539E-2</v>
      </c>
      <c r="U44" s="3203">
        <f t="shared" si="1"/>
        <v>-0.13283170397613195</v>
      </c>
      <c r="V44" s="3204">
        <f t="shared" si="1"/>
        <v>0.14021725018392694</v>
      </c>
      <c r="W44" s="2054"/>
    </row>
    <row r="46" spans="1:23" ht="12.75" customHeight="1" x14ac:dyDescent="0.25">
      <c r="A46" s="509">
        <v>5</v>
      </c>
      <c r="B46" s="509" t="s">
        <v>52</v>
      </c>
      <c r="C46" s="1978"/>
      <c r="D46" s="5104" t="s">
        <v>1943</v>
      </c>
      <c r="E46" s="5105"/>
      <c r="F46" s="5105"/>
      <c r="G46" s="5105"/>
      <c r="H46" s="5105"/>
      <c r="I46" s="5105"/>
      <c r="J46" s="5105"/>
      <c r="K46" s="5105"/>
      <c r="L46" s="5105"/>
      <c r="M46" s="5105"/>
      <c r="N46" s="5105"/>
      <c r="O46" s="5105"/>
      <c r="P46" s="5105"/>
      <c r="Q46" s="5105"/>
      <c r="R46" s="5105"/>
      <c r="S46" s="5105"/>
    </row>
    <row r="47" spans="1:23" ht="12.75" customHeight="1" x14ac:dyDescent="0.25">
      <c r="A47" s="546">
        <v>6</v>
      </c>
      <c r="B47" s="546" t="s">
        <v>54</v>
      </c>
      <c r="C47" s="1978"/>
      <c r="D47" s="5104" t="s">
        <v>1944</v>
      </c>
      <c r="E47" s="5105"/>
      <c r="F47" s="5105"/>
      <c r="G47" s="5105"/>
      <c r="H47" s="5105"/>
      <c r="I47" s="5105"/>
      <c r="J47" s="5105"/>
      <c r="K47" s="5105"/>
      <c r="L47" s="5105"/>
      <c r="M47" s="5105"/>
      <c r="N47" s="5105"/>
      <c r="O47" s="5105"/>
      <c r="P47" s="5105"/>
      <c r="Q47" s="5105"/>
      <c r="R47" s="5105"/>
      <c r="S47" s="5106"/>
    </row>
    <row r="48" spans="1:23" s="162" customFormat="1" ht="12.75" customHeight="1" x14ac:dyDescent="0.2">
      <c r="A48" s="509">
        <v>7</v>
      </c>
      <c r="B48" s="509" t="s">
        <v>56</v>
      </c>
      <c r="C48" s="1119"/>
      <c r="D48" s="5104" t="s">
        <v>1898</v>
      </c>
      <c r="E48" s="5105"/>
      <c r="F48" s="5105"/>
      <c r="G48" s="5105"/>
      <c r="H48" s="5105"/>
      <c r="I48" s="5105"/>
      <c r="J48" s="5105"/>
      <c r="K48" s="5105"/>
      <c r="L48" s="5105"/>
      <c r="M48" s="5105"/>
      <c r="N48" s="5105"/>
      <c r="O48" s="5105"/>
      <c r="P48" s="5105"/>
      <c r="Q48" s="5105"/>
      <c r="R48" s="5105"/>
      <c r="S48" s="5106"/>
    </row>
    <row r="49" spans="3:20" ht="15" customHeight="1" x14ac:dyDescent="0.25">
      <c r="C49" s="509"/>
      <c r="F49" s="113"/>
    </row>
    <row r="50" spans="3:20" ht="16.5" customHeight="1" x14ac:dyDescent="0.25">
      <c r="C50" s="546"/>
      <c r="D50" s="2058" t="s">
        <v>1945</v>
      </c>
      <c r="E50" s="2059" t="s">
        <v>19</v>
      </c>
      <c r="F50" s="2059" t="s">
        <v>20</v>
      </c>
      <c r="G50" s="2059" t="s">
        <v>21</v>
      </c>
      <c r="H50" s="2059" t="s">
        <v>22</v>
      </c>
      <c r="I50" s="2059" t="s">
        <v>23</v>
      </c>
      <c r="J50" s="2059" t="s">
        <v>24</v>
      </c>
      <c r="K50" s="2058" t="s">
        <v>25</v>
      </c>
      <c r="L50" s="2058" t="s">
        <v>26</v>
      </c>
      <c r="M50" s="2058" t="s">
        <v>27</v>
      </c>
      <c r="N50" s="2058" t="s">
        <v>28</v>
      </c>
      <c r="O50" s="2058" t="s">
        <v>29</v>
      </c>
      <c r="P50" s="3205" t="s">
        <v>30</v>
      </c>
      <c r="Q50" s="3205" t="s">
        <v>31</v>
      </c>
      <c r="R50" s="3205" t="s">
        <v>32</v>
      </c>
      <c r="S50" s="3205" t="s">
        <v>33</v>
      </c>
      <c r="T50" s="3206" t="s">
        <v>59</v>
      </c>
    </row>
    <row r="51" spans="3:20" ht="15.6" customHeight="1" x14ac:dyDescent="0.25">
      <c r="C51" s="509"/>
      <c r="D51" s="2060" t="s">
        <v>1905</v>
      </c>
      <c r="E51" s="2061">
        <v>65201</v>
      </c>
      <c r="F51" s="3207">
        <v>63818</v>
      </c>
      <c r="G51" s="3207">
        <v>70514</v>
      </c>
      <c r="H51" s="3207">
        <v>64921</v>
      </c>
      <c r="I51" s="3207">
        <v>64921</v>
      </c>
      <c r="J51" s="3207">
        <v>60539</v>
      </c>
      <c r="K51" s="3207">
        <v>60888</v>
      </c>
      <c r="L51" s="3207">
        <v>56680</v>
      </c>
      <c r="M51" s="3207">
        <v>53617</v>
      </c>
      <c r="N51" s="3207">
        <v>51895</v>
      </c>
      <c r="O51" s="3207">
        <v>49660</v>
      </c>
      <c r="P51" s="3207">
        <v>50108</v>
      </c>
      <c r="Q51" s="3208">
        <v>52420</v>
      </c>
      <c r="R51" s="3208">
        <v>53293</v>
      </c>
      <c r="S51" s="3208">
        <v>46214</v>
      </c>
      <c r="T51" s="3208">
        <v>52694</v>
      </c>
    </row>
    <row r="52" spans="3:20" ht="29.45" customHeight="1" x14ac:dyDescent="0.25">
      <c r="D52" s="2062" t="s">
        <v>1946</v>
      </c>
      <c r="E52" s="2063">
        <v>134.825715214643</v>
      </c>
      <c r="F52" s="2064">
        <v>130.26683024641099</v>
      </c>
      <c r="G52" s="2064">
        <v>142.03350564921701</v>
      </c>
      <c r="H52" s="2064">
        <f>(53293/58678234.75)*100000</f>
        <v>90.822432247759465</v>
      </c>
      <c r="I52" s="2064">
        <f>(64921/51029719.02)*100000</f>
        <v>127.22194291243424</v>
      </c>
      <c r="J52" s="2064">
        <f>(60539/51759547.67)*100000</f>
        <v>116.96199585431964</v>
      </c>
      <c r="K52" s="2064">
        <f>(60888/52517864.18)*100000</f>
        <v>115.93769272739682</v>
      </c>
      <c r="L52" s="2064">
        <f>(56680/53304520.02)*100000</f>
        <v>106.33244606411147</v>
      </c>
      <c r="M52" s="2064">
        <f>(53617/54120306.16)*100000</f>
        <v>99.070023442749857</v>
      </c>
      <c r="N52" s="2064">
        <f>(51895/54965281.74)*100000</f>
        <v>94.414143541511848</v>
      </c>
      <c r="O52" s="2064">
        <f>(49660/55843010.66)*100000</f>
        <v>88.927870136434379</v>
      </c>
      <c r="P52" s="2064">
        <f>(50108/55843010.66)*100000</f>
        <v>89.730119146122703</v>
      </c>
      <c r="Q52" s="2064">
        <f>(50108/57698414.32)*100000</f>
        <v>86.844674313053105</v>
      </c>
      <c r="R52" s="2064">
        <f>(53293/58678234.75)*100000</f>
        <v>90.822432247759465</v>
      </c>
      <c r="S52" s="3209">
        <v>89.3</v>
      </c>
      <c r="T52" s="3209">
        <v>87.4</v>
      </c>
    </row>
  </sheetData>
  <mergeCells count="9">
    <mergeCell ref="D46:S46"/>
    <mergeCell ref="D47:S47"/>
    <mergeCell ref="D48:S48"/>
    <mergeCell ref="D2:T2"/>
    <mergeCell ref="D3:T3"/>
    <mergeCell ref="D4:T4"/>
    <mergeCell ref="D5:M5"/>
    <mergeCell ref="E20:M20"/>
    <mergeCell ref="E33:M33"/>
  </mergeCells>
  <pageMargins left="0.74803149606299202" right="0.74803149606299202" top="0.98425196850393704" bottom="0.98425196850393704" header="0.511811023622047" footer="0.511811023622047"/>
  <pageSetup paperSize="9" scale="62"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271D3-E691-4B44-A14C-22F6CD022F12}">
  <sheetPr>
    <tabColor theme="4" tint="-0.249977111117893"/>
    <pageSetUpPr fitToPage="1"/>
  </sheetPr>
  <dimension ref="A1:R39"/>
  <sheetViews>
    <sheetView showGridLines="0" view="pageBreakPreview" topLeftCell="A4" zoomScaleNormal="100" workbookViewId="0">
      <selection activeCell="W11" sqref="W11"/>
    </sheetView>
  </sheetViews>
  <sheetFormatPr defaultColWidth="9.140625" defaultRowHeight="14.25" x14ac:dyDescent="0.2"/>
  <cols>
    <col min="1" max="1" width="3.85546875" style="509" customWidth="1"/>
    <col min="2" max="2" width="12.42578125" style="1497" customWidth="1"/>
    <col min="3" max="3" width="8.140625" style="1497" customWidth="1"/>
    <col min="4" max="4" width="33.5703125" style="1545" customWidth="1"/>
    <col min="5" max="5" width="8" style="1545" customWidth="1"/>
    <col min="6" max="6" width="7.5703125" style="1545" customWidth="1"/>
    <col min="7" max="9" width="8" style="1545" customWidth="1"/>
    <col min="10" max="10" width="7.5703125" style="1545" customWidth="1"/>
    <col min="11" max="11" width="8.85546875" style="1545" customWidth="1"/>
    <col min="12" max="12" width="7.85546875" style="1545" customWidth="1"/>
    <col min="13" max="13" width="8.140625" style="1545" customWidth="1"/>
    <col min="14" max="14" width="7.42578125" style="2065" customWidth="1"/>
    <col min="15" max="15" width="7.85546875" style="1545" customWidth="1"/>
    <col min="16" max="16" width="8.85546875" style="1545" customWidth="1"/>
    <col min="17" max="17" width="7.42578125" style="1545" customWidth="1"/>
    <col min="18" max="18" width="13.5703125" style="1545" customWidth="1"/>
    <col min="19" max="16384" width="9.140625" style="1545"/>
  </cols>
  <sheetData>
    <row r="1" spans="1:18" x14ac:dyDescent="0.2">
      <c r="D1" s="1616"/>
      <c r="E1" s="3626"/>
    </row>
    <row r="2" spans="1:18" ht="14.1" customHeight="1" x14ac:dyDescent="0.2">
      <c r="A2" s="509">
        <v>1</v>
      </c>
      <c r="B2" s="509" t="s">
        <v>1947</v>
      </c>
      <c r="C2" s="509">
        <v>75</v>
      </c>
      <c r="D2" s="4603" t="s">
        <v>1948</v>
      </c>
      <c r="E2" s="4604"/>
      <c r="F2" s="4604"/>
      <c r="G2" s="4604"/>
      <c r="H2" s="4604"/>
      <c r="I2" s="4604"/>
      <c r="J2" s="4604"/>
      <c r="K2" s="4604"/>
      <c r="L2" s="4604"/>
      <c r="M2" s="4604"/>
      <c r="N2" s="4604"/>
      <c r="O2" s="4605"/>
    </row>
    <row r="3" spans="1:18" ht="14.25" customHeight="1" x14ac:dyDescent="0.2">
      <c r="A3" s="509">
        <v>2</v>
      </c>
      <c r="B3" s="509" t="s">
        <v>1949</v>
      </c>
      <c r="C3" s="509"/>
      <c r="D3" s="4603" t="s">
        <v>1950</v>
      </c>
      <c r="E3" s="4604"/>
      <c r="F3" s="4604"/>
      <c r="G3" s="4604"/>
      <c r="H3" s="4604"/>
      <c r="I3" s="4604"/>
      <c r="J3" s="4604"/>
      <c r="K3" s="4604"/>
      <c r="L3" s="4604"/>
      <c r="M3" s="4604"/>
      <c r="N3" s="4604"/>
      <c r="O3" s="4605"/>
    </row>
    <row r="4" spans="1:18" ht="14.1" customHeight="1" x14ac:dyDescent="0.2">
      <c r="A4" s="509">
        <v>3</v>
      </c>
      <c r="B4" s="509" t="s">
        <v>4</v>
      </c>
      <c r="C4" s="509"/>
      <c r="D4" s="4603" t="s">
        <v>1951</v>
      </c>
      <c r="E4" s="4604"/>
      <c r="F4" s="4604"/>
      <c r="G4" s="4604"/>
      <c r="H4" s="4604"/>
      <c r="I4" s="4604"/>
      <c r="J4" s="4604"/>
      <c r="K4" s="4604"/>
      <c r="L4" s="4604"/>
      <c r="M4" s="4604"/>
      <c r="N4" s="4604"/>
      <c r="O4" s="4605"/>
    </row>
    <row r="5" spans="1:18" ht="15" customHeight="1" x14ac:dyDescent="0.2">
      <c r="A5" s="509">
        <v>4</v>
      </c>
      <c r="B5" s="509" t="s">
        <v>1043</v>
      </c>
      <c r="C5" s="509"/>
      <c r="D5" s="4671" t="s">
        <v>1952</v>
      </c>
      <c r="E5" s="4610"/>
      <c r="F5" s="5066"/>
      <c r="G5" s="5066"/>
      <c r="H5" s="5066"/>
      <c r="I5" s="5066"/>
      <c r="J5" s="5066"/>
      <c r="K5" s="5066"/>
      <c r="L5" s="5066"/>
      <c r="M5" s="5066"/>
      <c r="N5" s="5066"/>
      <c r="O5" s="4673"/>
    </row>
    <row r="6" spans="1:18" ht="15.75" customHeight="1" x14ac:dyDescent="0.2">
      <c r="A6" s="509">
        <v>5</v>
      </c>
      <c r="B6" s="506" t="s">
        <v>6</v>
      </c>
      <c r="C6" s="506"/>
      <c r="D6" s="2066"/>
      <c r="E6" s="3694"/>
      <c r="F6" s="2066"/>
      <c r="G6" s="2066"/>
      <c r="H6" s="2066"/>
      <c r="I6" s="2066"/>
      <c r="J6" s="2066"/>
      <c r="R6" s="3048"/>
    </row>
    <row r="7" spans="1:18" ht="15.75" customHeight="1" x14ac:dyDescent="0.2">
      <c r="B7" s="506"/>
      <c r="C7" s="506"/>
      <c r="D7" s="3210" t="s">
        <v>1953</v>
      </c>
      <c r="E7" s="3211"/>
      <c r="F7" s="38"/>
      <c r="G7" s="38"/>
      <c r="H7" s="38"/>
      <c r="I7" s="38"/>
      <c r="J7" s="1485"/>
      <c r="K7" s="1485"/>
      <c r="L7" s="1485"/>
      <c r="M7" s="1485"/>
      <c r="N7" s="2327"/>
      <c r="O7" s="38"/>
      <c r="P7" s="38"/>
      <c r="Q7" s="1081"/>
      <c r="R7" s="3212"/>
    </row>
    <row r="8" spans="1:18" ht="39" customHeight="1" x14ac:dyDescent="0.2">
      <c r="B8" s="506"/>
      <c r="C8" s="506"/>
      <c r="D8" s="3213" t="s">
        <v>1954</v>
      </c>
      <c r="E8" s="3058"/>
      <c r="F8" s="3058" t="s">
        <v>28</v>
      </c>
      <c r="G8" s="3058" t="s">
        <v>29</v>
      </c>
      <c r="H8" s="3058" t="s">
        <v>30</v>
      </c>
      <c r="I8" s="3088" t="s">
        <v>31</v>
      </c>
      <c r="J8" s="3059" t="s">
        <v>32</v>
      </c>
      <c r="K8" s="3057" t="s">
        <v>33</v>
      </c>
      <c r="L8" s="3214" t="s">
        <v>59</v>
      </c>
      <c r="M8" s="3057" t="s">
        <v>35</v>
      </c>
      <c r="N8" s="3215" t="s">
        <v>1955</v>
      </c>
    </row>
    <row r="9" spans="1:18" ht="27.75" customHeight="1" x14ac:dyDescent="0.2">
      <c r="B9" s="506"/>
      <c r="C9" s="506"/>
      <c r="D9" s="2073" t="s">
        <v>1956</v>
      </c>
      <c r="E9" s="3216"/>
      <c r="F9" s="3217">
        <f>125/182</f>
        <v>0.68681318681318682</v>
      </c>
      <c r="G9" s="3217">
        <f>93/207</f>
        <v>0.44927536231884058</v>
      </c>
      <c r="H9" s="3217">
        <f>48/130</f>
        <v>0.36923076923076925</v>
      </c>
      <c r="I9" s="3218">
        <f>104/130</f>
        <v>0.8</v>
      </c>
      <c r="J9" s="3219">
        <f>73/91</f>
        <v>0.80219780219780223</v>
      </c>
      <c r="K9" s="3219">
        <f>67/103</f>
        <v>0.65048543689320393</v>
      </c>
      <c r="L9" s="3047">
        <f>53/66</f>
        <v>0.80303030303030298</v>
      </c>
      <c r="M9" s="3220"/>
    </row>
    <row r="10" spans="1:18" ht="25.5" customHeight="1" x14ac:dyDescent="0.2">
      <c r="B10" s="506"/>
      <c r="C10" s="506"/>
      <c r="D10" s="2073" t="s">
        <v>1957</v>
      </c>
      <c r="E10" s="3066" t="s">
        <v>85</v>
      </c>
      <c r="F10" s="3221" t="s">
        <v>1958</v>
      </c>
      <c r="G10" s="3221" t="s">
        <v>1959</v>
      </c>
      <c r="H10" s="3221" t="s">
        <v>1960</v>
      </c>
      <c r="I10" s="3221" t="s">
        <v>1961</v>
      </c>
      <c r="J10" s="3221" t="s">
        <v>1962</v>
      </c>
      <c r="K10" s="3221" t="s">
        <v>1963</v>
      </c>
      <c r="L10" s="3221" t="s">
        <v>1964</v>
      </c>
      <c r="M10" s="4601" t="s">
        <v>85</v>
      </c>
    </row>
    <row r="11" spans="1:18" ht="16.5" customHeight="1" x14ac:dyDescent="0.2">
      <c r="B11" s="506"/>
      <c r="C11" s="506"/>
      <c r="D11" s="3222"/>
      <c r="E11" s="3061"/>
      <c r="F11" s="3061"/>
      <c r="G11" s="3061"/>
      <c r="H11" s="3061"/>
      <c r="I11" s="3061"/>
      <c r="J11" s="3061"/>
      <c r="K11" s="3061"/>
      <c r="L11" s="3061"/>
      <c r="M11" s="3061"/>
      <c r="N11" s="3062"/>
      <c r="O11" s="3223"/>
      <c r="P11" s="38"/>
      <c r="Q11" s="1081"/>
      <c r="R11" s="3212"/>
    </row>
    <row r="12" spans="1:18" ht="15.75" customHeight="1" x14ac:dyDescent="0.2">
      <c r="B12" s="506"/>
      <c r="C12" s="506" t="s">
        <v>85</v>
      </c>
      <c r="D12" s="3075" t="s">
        <v>2261</v>
      </c>
      <c r="E12" s="3224"/>
      <c r="F12" s="3225"/>
      <c r="G12" s="3225"/>
      <c r="H12" s="3225"/>
      <c r="I12" s="1485"/>
      <c r="J12" s="1485"/>
      <c r="K12" s="1485"/>
      <c r="L12" s="1485"/>
      <c r="M12" s="1485"/>
      <c r="N12" s="3226"/>
      <c r="O12" s="1485"/>
      <c r="P12" s="1485"/>
      <c r="Q12" s="3227"/>
      <c r="R12" s="3212"/>
    </row>
    <row r="13" spans="1:18" ht="15.75" customHeight="1" x14ac:dyDescent="0.2">
      <c r="B13" s="506"/>
      <c r="C13" s="506"/>
      <c r="D13" s="4599" t="s">
        <v>2260</v>
      </c>
      <c r="E13" s="4597"/>
      <c r="F13" s="4598"/>
      <c r="G13" s="4598"/>
      <c r="H13" s="3228" t="s">
        <v>26</v>
      </c>
      <c r="I13" s="3228" t="s">
        <v>27</v>
      </c>
      <c r="J13" s="3228" t="s">
        <v>28</v>
      </c>
      <c r="K13" s="3228" t="s">
        <v>29</v>
      </c>
      <c r="L13" s="3228" t="s">
        <v>30</v>
      </c>
      <c r="M13" s="3229" t="s">
        <v>31</v>
      </c>
      <c r="N13" s="3229" t="s">
        <v>32</v>
      </c>
      <c r="O13" s="3229" t="s">
        <v>33</v>
      </c>
      <c r="P13" s="3229" t="s">
        <v>59</v>
      </c>
      <c r="Q13" s="3229" t="s">
        <v>35</v>
      </c>
      <c r="R13" s="1081"/>
    </row>
    <row r="14" spans="1:18" ht="24" customHeight="1" x14ac:dyDescent="0.2">
      <c r="B14" s="506"/>
      <c r="C14" s="506"/>
      <c r="D14" s="3230" t="s">
        <v>1966</v>
      </c>
      <c r="E14" s="3231"/>
      <c r="F14" s="3231"/>
      <c r="G14" s="3231"/>
      <c r="H14" s="3231">
        <v>0.94799999999999995</v>
      </c>
      <c r="I14" s="3231">
        <v>0.95099999999999996</v>
      </c>
      <c r="J14" s="3231">
        <v>0.95699999999999996</v>
      </c>
      <c r="K14" s="3231">
        <v>0.97</v>
      </c>
      <c r="L14" s="3231">
        <v>0.98499999999999999</v>
      </c>
      <c r="M14" s="3231">
        <v>0.99099999999999999</v>
      </c>
      <c r="N14" s="3231">
        <v>0.98499999999999999</v>
      </c>
      <c r="O14" s="3231">
        <v>0.99</v>
      </c>
      <c r="P14" s="4596">
        <v>0.97399999999999998</v>
      </c>
      <c r="Q14" s="4600">
        <v>0.92900000000000005</v>
      </c>
      <c r="R14" s="1081"/>
    </row>
    <row r="15" spans="1:18" ht="15.75" customHeight="1" x14ac:dyDescent="0.2">
      <c r="B15" s="506"/>
      <c r="C15" s="506"/>
      <c r="D15" s="3232" t="s">
        <v>1967</v>
      </c>
      <c r="E15" s="38"/>
      <c r="F15" s="38"/>
      <c r="G15" s="3061"/>
      <c r="H15" s="4602">
        <v>211</v>
      </c>
      <c r="I15" s="3061">
        <v>232</v>
      </c>
      <c r="J15" s="3061">
        <v>191</v>
      </c>
      <c r="K15" s="3061">
        <v>289</v>
      </c>
      <c r="L15" s="3061">
        <v>330</v>
      </c>
      <c r="M15" s="3061">
        <v>440</v>
      </c>
      <c r="N15" s="3061">
        <v>320</v>
      </c>
      <c r="O15" s="3233">
        <v>88</v>
      </c>
      <c r="P15" s="3233">
        <v>149</v>
      </c>
      <c r="Q15" s="3234">
        <v>39</v>
      </c>
      <c r="R15" s="1081"/>
    </row>
    <row r="16" spans="1:18" ht="3" customHeight="1" x14ac:dyDescent="0.2">
      <c r="B16" s="506"/>
      <c r="C16" s="506"/>
      <c r="D16" s="3235"/>
      <c r="E16" s="1485"/>
      <c r="F16" s="1485"/>
      <c r="G16" s="3066"/>
      <c r="I16" s="3066"/>
      <c r="J16" s="3066"/>
      <c r="K16" s="3066"/>
      <c r="L16" s="3066"/>
      <c r="M16" s="3066"/>
      <c r="N16" s="3066"/>
      <c r="O16" s="3066"/>
      <c r="P16" s="3236"/>
      <c r="Q16" s="3221"/>
      <c r="R16" s="1081"/>
    </row>
    <row r="17" spans="1:18" ht="20.45" customHeight="1" x14ac:dyDescent="0.2">
      <c r="B17" s="506"/>
      <c r="C17" s="506"/>
      <c r="D17" s="3237"/>
      <c r="E17" s="3061"/>
      <c r="F17" s="3061"/>
      <c r="G17" s="3057"/>
      <c r="H17" s="3057"/>
      <c r="I17" s="3057"/>
      <c r="J17" s="3057"/>
      <c r="K17" s="3057"/>
      <c r="L17" s="3057"/>
      <c r="M17" s="3057"/>
      <c r="N17" s="3059"/>
      <c r="O17" s="3059"/>
      <c r="P17" s="38"/>
      <c r="Q17" s="1081"/>
      <c r="R17" s="1081"/>
    </row>
    <row r="18" spans="1:18" ht="15.75" customHeight="1" x14ac:dyDescent="0.2">
      <c r="B18" s="506"/>
      <c r="C18" s="506"/>
      <c r="D18" s="2066"/>
      <c r="E18" s="2066"/>
      <c r="F18" s="2066"/>
      <c r="G18" s="2066"/>
      <c r="H18" s="2066"/>
      <c r="I18" s="2066"/>
      <c r="J18" s="2066"/>
      <c r="Q18" s="3073"/>
    </row>
    <row r="19" spans="1:18" ht="15.75" customHeight="1" x14ac:dyDescent="0.2">
      <c r="B19" s="506"/>
      <c r="C19" s="506"/>
      <c r="D19" s="2066"/>
      <c r="E19" s="2066"/>
      <c r="F19" s="2066"/>
      <c r="G19" s="2066"/>
      <c r="H19" s="2066"/>
      <c r="I19" s="2066"/>
      <c r="J19" s="2066"/>
      <c r="Q19" s="1545" t="s">
        <v>85</v>
      </c>
    </row>
    <row r="20" spans="1:18" ht="15" x14ac:dyDescent="0.2">
      <c r="B20" s="506"/>
      <c r="C20" s="506"/>
    </row>
    <row r="21" spans="1:18" ht="15" x14ac:dyDescent="0.2">
      <c r="B21" s="506"/>
      <c r="C21" s="506"/>
    </row>
    <row r="22" spans="1:18" ht="15" x14ac:dyDescent="0.25">
      <c r="A22" s="2074"/>
      <c r="D22" s="2075"/>
      <c r="E22" s="2076"/>
      <c r="F22" s="2076"/>
      <c r="G22" s="2076"/>
      <c r="H22" s="2077"/>
      <c r="I22" s="2078"/>
      <c r="N22" s="2079"/>
      <c r="O22" s="2080"/>
      <c r="P22" s="2080"/>
    </row>
    <row r="23" spans="1:18" ht="15" x14ac:dyDescent="0.25">
      <c r="A23" s="2074"/>
      <c r="D23" s="2075"/>
      <c r="E23" s="2076"/>
      <c r="F23" s="2076"/>
      <c r="G23" s="2076"/>
      <c r="H23" s="2077"/>
      <c r="I23" s="2078"/>
      <c r="N23" s="2079"/>
      <c r="O23" s="2080"/>
      <c r="P23" s="2080"/>
    </row>
    <row r="24" spans="1:18" ht="15" x14ac:dyDescent="0.25">
      <c r="A24" s="2074"/>
      <c r="N24" s="2079"/>
      <c r="O24" s="2080"/>
      <c r="P24" s="2080"/>
    </row>
    <row r="25" spans="1:18" ht="15" x14ac:dyDescent="0.25">
      <c r="A25" s="2074"/>
      <c r="N25" s="2079"/>
      <c r="O25" s="2080"/>
      <c r="P25" s="2080"/>
    </row>
    <row r="26" spans="1:18" ht="15" x14ac:dyDescent="0.25">
      <c r="A26" s="2074"/>
      <c r="N26" s="2079"/>
      <c r="O26" s="2080"/>
      <c r="P26" s="2080"/>
    </row>
    <row r="27" spans="1:18" ht="15" x14ac:dyDescent="0.25">
      <c r="A27" s="2074"/>
      <c r="N27" s="2079"/>
      <c r="O27" s="2080"/>
      <c r="P27" s="2080"/>
    </row>
    <row r="28" spans="1:18" ht="15" x14ac:dyDescent="0.25">
      <c r="A28" s="2074"/>
      <c r="N28" s="2079"/>
      <c r="O28" s="2080"/>
      <c r="P28" s="2080"/>
    </row>
    <row r="29" spans="1:18" ht="15" x14ac:dyDescent="0.25">
      <c r="A29" s="2074"/>
      <c r="N29" s="2079"/>
      <c r="O29" s="2080"/>
      <c r="P29" s="2080"/>
    </row>
    <row r="30" spans="1:18" ht="15" x14ac:dyDescent="0.25">
      <c r="A30" s="2074"/>
      <c r="N30" s="2079"/>
      <c r="O30" s="2080"/>
      <c r="P30" s="2080"/>
    </row>
    <row r="31" spans="1:18" ht="15" x14ac:dyDescent="0.25">
      <c r="A31" s="2074"/>
      <c r="N31" s="2079"/>
      <c r="O31" s="2080"/>
      <c r="P31" s="2080"/>
    </row>
    <row r="32" spans="1:18" ht="18" customHeight="1" x14ac:dyDescent="0.25">
      <c r="A32" s="2074"/>
      <c r="N32" s="2079"/>
      <c r="O32" s="2080"/>
      <c r="P32" s="2080"/>
    </row>
    <row r="33" spans="1:15" ht="26.1" customHeight="1" x14ac:dyDescent="0.2">
      <c r="A33" s="1545"/>
      <c r="B33" s="1545"/>
      <c r="C33" s="1545"/>
      <c r="D33" s="1616"/>
    </row>
    <row r="34" spans="1:15" ht="20.45" customHeight="1" x14ac:dyDescent="0.2">
      <c r="A34" s="509">
        <v>7</v>
      </c>
      <c r="B34" s="509" t="s">
        <v>52</v>
      </c>
      <c r="C34" s="509"/>
      <c r="D34" s="4603" t="s">
        <v>1968</v>
      </c>
      <c r="E34" s="5066"/>
      <c r="F34" s="4604"/>
      <c r="G34" s="4604"/>
      <c r="H34" s="4604"/>
      <c r="I34" s="4604"/>
      <c r="J34" s="4604"/>
      <c r="K34" s="4604"/>
      <c r="L34" s="4604"/>
      <c r="M34" s="4604"/>
      <c r="N34" s="4604"/>
      <c r="O34" s="4605"/>
    </row>
    <row r="35" spans="1:15" ht="131.44999999999999" customHeight="1" x14ac:dyDescent="0.2">
      <c r="A35" s="546">
        <v>8</v>
      </c>
      <c r="B35" s="546" t="s">
        <v>54</v>
      </c>
      <c r="C35" s="546"/>
      <c r="D35" s="5109" t="s">
        <v>1969</v>
      </c>
      <c r="E35" s="5110"/>
      <c r="F35" s="5110"/>
      <c r="G35" s="5110"/>
      <c r="H35" s="5110"/>
      <c r="I35" s="5110"/>
      <c r="J35" s="5110"/>
      <c r="K35" s="5110"/>
      <c r="L35" s="5110"/>
      <c r="M35" s="5110"/>
      <c r="N35" s="5110"/>
      <c r="O35" s="5111"/>
    </row>
    <row r="36" spans="1:15" ht="67.5" customHeight="1" x14ac:dyDescent="0.2">
      <c r="A36" s="546"/>
      <c r="B36" s="546" t="s">
        <v>1970</v>
      </c>
      <c r="C36" s="546"/>
      <c r="D36" s="5109" t="s">
        <v>1971</v>
      </c>
      <c r="E36" s="5110"/>
      <c r="F36" s="5110"/>
      <c r="G36" s="5110"/>
      <c r="H36" s="5110"/>
      <c r="I36" s="5110"/>
      <c r="J36" s="5110"/>
      <c r="K36" s="5110"/>
      <c r="L36" s="5110"/>
      <c r="M36" s="5110"/>
      <c r="N36" s="5110"/>
      <c r="O36" s="5111"/>
    </row>
    <row r="37" spans="1:15" ht="14.1" customHeight="1" x14ac:dyDescent="0.2">
      <c r="A37" s="509">
        <v>9</v>
      </c>
      <c r="B37" s="509" t="s">
        <v>56</v>
      </c>
      <c r="C37" s="509"/>
      <c r="D37" s="4671" t="s">
        <v>1972</v>
      </c>
      <c r="E37" s="4610"/>
      <c r="F37" s="5066"/>
      <c r="G37" s="5066"/>
      <c r="H37" s="5066"/>
      <c r="I37" s="5066"/>
      <c r="J37" s="5066"/>
      <c r="K37" s="5066"/>
      <c r="L37" s="5066"/>
      <c r="M37" s="5066"/>
      <c r="N37" s="5066"/>
      <c r="O37" s="4673"/>
    </row>
    <row r="38" spans="1:15" x14ac:dyDescent="0.2">
      <c r="E38" s="3695"/>
    </row>
    <row r="39" spans="1:15" x14ac:dyDescent="0.2">
      <c r="A39" s="1545"/>
      <c r="B39" s="1545"/>
      <c r="C39" s="1545"/>
      <c r="D39" s="2081"/>
    </row>
  </sheetData>
  <mergeCells count="8">
    <mergeCell ref="D35:O35"/>
    <mergeCell ref="D36:O36"/>
    <mergeCell ref="D37:O37"/>
    <mergeCell ref="D2:O2"/>
    <mergeCell ref="D3:O3"/>
    <mergeCell ref="D4:O4"/>
    <mergeCell ref="D5:O5"/>
    <mergeCell ref="D34:O34"/>
  </mergeCells>
  <pageMargins left="0.74803149606299202" right="0.74803149606299202" top="0.98425196850393704" bottom="0.98425196850393704" header="0.511811023622047" footer="0.511811023622047"/>
  <pageSetup paperSize="9" scale="70" fitToHeight="0" orientation="landscape" r:id="rId1"/>
  <headerFooter alignWithMargins="0">
    <oddHeader>&amp;C&amp;"-,Bold"DEVELOPMENT INDICATORS 2014</oddHeader>
    <oddFooter>&amp;LDepartment of Planning, Monitoring and Evaluation (DPME). &amp;CPage &amp;P of &amp;N&amp;R&amp;D</oddFooter>
  </headerFooter>
  <rowBreaks count="1" manualBreakCount="1">
    <brk id="33" max="18"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58F05-5139-421A-99CF-B5737CE8C8C4}">
  <sheetPr>
    <tabColor rgb="FF0070C0"/>
    <pageSetUpPr fitToPage="1"/>
  </sheetPr>
  <dimension ref="A1:R38"/>
  <sheetViews>
    <sheetView showGridLines="0" view="pageBreakPreview" topLeftCell="A4" zoomScaleNormal="100" workbookViewId="0">
      <selection activeCell="I14" sqref="I14"/>
    </sheetView>
  </sheetViews>
  <sheetFormatPr defaultColWidth="9.140625" defaultRowHeight="14.25" x14ac:dyDescent="0.2"/>
  <cols>
    <col min="1" max="1" width="3.85546875" style="509" customWidth="1"/>
    <col min="2" max="2" width="9.140625" style="1497" customWidth="1"/>
    <col min="3" max="3" width="7.42578125" style="1497" customWidth="1"/>
    <col min="4" max="4" width="35.5703125" style="1545" customWidth="1"/>
    <col min="5" max="5" width="8" style="1545" customWidth="1"/>
    <col min="6" max="6" width="7.5703125" style="1545" customWidth="1"/>
    <col min="7" max="9" width="8" style="1545" customWidth="1"/>
    <col min="10" max="10" width="7.5703125" style="1545" customWidth="1"/>
    <col min="11" max="11" width="8.85546875" style="1545" customWidth="1"/>
    <col min="12" max="12" width="7.85546875" style="1545" customWidth="1"/>
    <col min="13" max="13" width="8.140625" style="1545" customWidth="1"/>
    <col min="14" max="14" width="7.42578125" style="2065" customWidth="1"/>
    <col min="15" max="16" width="7.85546875" style="1545" customWidth="1"/>
    <col min="17" max="17" width="8.5703125" style="1545" customWidth="1"/>
    <col min="18" max="18" width="10.140625" style="1545" customWidth="1"/>
    <col min="19" max="16384" width="9.140625" style="1545"/>
  </cols>
  <sheetData>
    <row r="1" spans="1:18" x14ac:dyDescent="0.2">
      <c r="D1" s="1616"/>
      <c r="E1" s="3528"/>
    </row>
    <row r="2" spans="1:18" ht="14.1" customHeight="1" x14ac:dyDescent="0.2">
      <c r="A2" s="509">
        <v>1</v>
      </c>
      <c r="B2" s="509" t="s">
        <v>1947</v>
      </c>
      <c r="C2" s="509">
        <v>76</v>
      </c>
      <c r="D2" s="4603" t="s">
        <v>1973</v>
      </c>
      <c r="E2" s="4604"/>
      <c r="F2" s="4604"/>
      <c r="G2" s="4604"/>
      <c r="H2" s="4604"/>
      <c r="I2" s="4604"/>
      <c r="J2" s="4604"/>
      <c r="K2" s="4604"/>
      <c r="L2" s="4604"/>
      <c r="M2" s="4604"/>
      <c r="N2" s="4604"/>
      <c r="O2" s="4605"/>
    </row>
    <row r="3" spans="1:18" ht="14.25" customHeight="1" x14ac:dyDescent="0.2">
      <c r="A3" s="509">
        <v>2</v>
      </c>
      <c r="B3" s="509" t="s">
        <v>1949</v>
      </c>
      <c r="C3" s="509"/>
      <c r="D3" s="4603" t="s">
        <v>1950</v>
      </c>
      <c r="E3" s="4604"/>
      <c r="F3" s="4604"/>
      <c r="G3" s="4604"/>
      <c r="H3" s="4604"/>
      <c r="I3" s="4604"/>
      <c r="J3" s="4604"/>
      <c r="K3" s="4604"/>
      <c r="L3" s="4604"/>
      <c r="M3" s="4604"/>
      <c r="N3" s="4604"/>
      <c r="O3" s="4605"/>
    </row>
    <row r="4" spans="1:18" ht="14.1" customHeight="1" x14ac:dyDescent="0.2">
      <c r="A4" s="509">
        <v>3</v>
      </c>
      <c r="B4" s="509" t="s">
        <v>4</v>
      </c>
      <c r="C4" s="509"/>
      <c r="D4" s="4603" t="s">
        <v>1974</v>
      </c>
      <c r="E4" s="4604"/>
      <c r="F4" s="4604"/>
      <c r="G4" s="4604"/>
      <c r="H4" s="4604"/>
      <c r="I4" s="4604"/>
      <c r="J4" s="4604"/>
      <c r="K4" s="4604"/>
      <c r="L4" s="4604"/>
      <c r="M4" s="4604"/>
      <c r="N4" s="4604"/>
      <c r="O4" s="4605"/>
    </row>
    <row r="5" spans="1:18" ht="15" customHeight="1" x14ac:dyDescent="0.2">
      <c r="A5" s="509">
        <v>4</v>
      </c>
      <c r="B5" s="509" t="s">
        <v>1043</v>
      </c>
      <c r="C5" s="509"/>
      <c r="D5" s="4671" t="s">
        <v>1975</v>
      </c>
      <c r="E5" s="5066"/>
      <c r="F5" s="5066"/>
      <c r="G5" s="5066"/>
      <c r="H5" s="5066"/>
      <c r="I5" s="5066"/>
      <c r="J5" s="5066"/>
      <c r="K5" s="5066"/>
      <c r="L5" s="5066"/>
      <c r="M5" s="5066"/>
      <c r="N5" s="5066"/>
      <c r="O5" s="4673"/>
    </row>
    <row r="6" spans="1:18" ht="15.75" customHeight="1" x14ac:dyDescent="0.2">
      <c r="A6" s="509">
        <v>5</v>
      </c>
      <c r="B6" s="506" t="s">
        <v>6</v>
      </c>
      <c r="C6" s="506"/>
      <c r="D6" s="2066"/>
      <c r="E6" s="2066"/>
      <c r="F6" s="2066"/>
      <c r="G6" s="2066"/>
      <c r="H6" s="2066"/>
      <c r="I6" s="2066"/>
      <c r="J6" s="2066"/>
      <c r="R6" s="3048"/>
    </row>
    <row r="7" spans="1:18" ht="15.75" customHeight="1" x14ac:dyDescent="0.2">
      <c r="B7" s="506"/>
      <c r="C7" s="506"/>
      <c r="D7" s="3049" t="s">
        <v>1976</v>
      </c>
      <c r="E7" s="3050"/>
      <c r="F7" s="3051"/>
      <c r="G7" s="3051"/>
      <c r="H7" s="2071"/>
      <c r="I7" s="2067"/>
      <c r="J7" s="3052"/>
      <c r="K7" s="3053"/>
      <c r="L7" s="3053"/>
      <c r="M7" s="3053"/>
      <c r="N7" s="3054"/>
      <c r="O7" s="3053"/>
      <c r="P7" s="3053"/>
      <c r="Q7" s="3055"/>
      <c r="R7" s="3056"/>
    </row>
    <row r="8" spans="1:18" ht="28.5" customHeight="1" x14ac:dyDescent="0.2">
      <c r="B8" s="506"/>
      <c r="C8" s="506"/>
      <c r="D8" s="2069" t="s">
        <v>1977</v>
      </c>
      <c r="E8" s="3057" t="s">
        <v>22</v>
      </c>
      <c r="F8" s="3057" t="s">
        <v>23</v>
      </c>
      <c r="G8" s="3057" t="s">
        <v>24</v>
      </c>
      <c r="H8" s="3057" t="s">
        <v>25</v>
      </c>
      <c r="I8" s="3058" t="s">
        <v>26</v>
      </c>
      <c r="J8" s="3057" t="s">
        <v>27</v>
      </c>
      <c r="K8" s="3057" t="s">
        <v>28</v>
      </c>
      <c r="L8" s="3057" t="s">
        <v>29</v>
      </c>
      <c r="M8" s="3057" t="s">
        <v>30</v>
      </c>
      <c r="N8" s="3059" t="s">
        <v>31</v>
      </c>
      <c r="O8" s="3059" t="s">
        <v>32</v>
      </c>
      <c r="P8" s="3057" t="s">
        <v>33</v>
      </c>
      <c r="Q8" s="3060" t="s">
        <v>59</v>
      </c>
      <c r="R8" s="3819" t="s">
        <v>2197</v>
      </c>
    </row>
    <row r="9" spans="1:18" ht="36" customHeight="1" x14ac:dyDescent="0.2">
      <c r="B9" s="506"/>
      <c r="C9" s="506"/>
      <c r="D9" s="2072" t="s">
        <v>1978</v>
      </c>
      <c r="E9" s="3061"/>
      <c r="F9" s="3061"/>
      <c r="G9" s="3061"/>
      <c r="H9" s="3061">
        <v>42</v>
      </c>
      <c r="I9" s="3061">
        <v>34</v>
      </c>
      <c r="J9" s="3061">
        <v>23</v>
      </c>
      <c r="K9" s="3061">
        <v>24</v>
      </c>
      <c r="L9" s="3061">
        <v>29</v>
      </c>
      <c r="M9" s="3061">
        <v>39</v>
      </c>
      <c r="N9" s="3062">
        <v>17</v>
      </c>
      <c r="O9" s="3063">
        <v>7</v>
      </c>
      <c r="P9" s="3064">
        <v>44</v>
      </c>
      <c r="Q9" s="3065">
        <v>37</v>
      </c>
      <c r="R9" s="4459">
        <f>(Q9-P9)/P9</f>
        <v>-0.15909090909090909</v>
      </c>
    </row>
    <row r="10" spans="1:18" ht="21" customHeight="1" x14ac:dyDescent="0.2">
      <c r="B10" s="506"/>
      <c r="C10" s="506"/>
      <c r="D10" s="2070" t="s">
        <v>1979</v>
      </c>
      <c r="E10" s="3066">
        <v>40</v>
      </c>
      <c r="F10" s="3066">
        <v>29</v>
      </c>
      <c r="G10" s="3066">
        <v>107</v>
      </c>
      <c r="H10" s="3066">
        <v>104</v>
      </c>
      <c r="I10" s="3066">
        <v>73</v>
      </c>
      <c r="J10" s="3066">
        <v>130</v>
      </c>
      <c r="K10" s="3066">
        <v>206</v>
      </c>
      <c r="L10" s="3066">
        <v>224</v>
      </c>
      <c r="M10" s="3066">
        <v>213</v>
      </c>
      <c r="N10" s="3067">
        <v>210</v>
      </c>
      <c r="O10" s="3068">
        <v>183</v>
      </c>
      <c r="P10" s="3069">
        <v>93</v>
      </c>
      <c r="Q10" s="3070">
        <v>130</v>
      </c>
      <c r="R10" s="3349">
        <f>((Q10-P10)/P10)*100</f>
        <v>39.784946236559136</v>
      </c>
    </row>
    <row r="11" spans="1:18" ht="16.5" customHeight="1" x14ac:dyDescent="0.2">
      <c r="B11" s="506"/>
      <c r="C11" s="506"/>
      <c r="D11" s="3071"/>
      <c r="E11" s="3072"/>
      <c r="F11" s="3072"/>
      <c r="G11" s="3072"/>
      <c r="H11" s="3072"/>
      <c r="I11" s="3072"/>
      <c r="J11" s="3072"/>
      <c r="K11" s="3072"/>
      <c r="L11" s="3072"/>
      <c r="M11" s="3072"/>
      <c r="N11" s="3073"/>
      <c r="O11" s="3074"/>
      <c r="P11" s="2068"/>
      <c r="R11" s="3056"/>
    </row>
    <row r="12" spans="1:18" ht="15.75" customHeight="1" x14ac:dyDescent="0.2">
      <c r="B12" s="506"/>
      <c r="C12" s="506" t="s">
        <v>85</v>
      </c>
      <c r="D12" s="3075" t="s">
        <v>1965</v>
      </c>
      <c r="E12" s="3076"/>
      <c r="F12" s="3076"/>
      <c r="G12" s="3076"/>
      <c r="H12" s="3077"/>
      <c r="I12" s="3051"/>
      <c r="J12" s="3051"/>
      <c r="K12" s="3051"/>
      <c r="L12" s="2067"/>
      <c r="M12" s="2067"/>
      <c r="N12" s="3078"/>
      <c r="O12" s="2067"/>
      <c r="P12" s="2068"/>
      <c r="R12" s="3056"/>
    </row>
    <row r="13" spans="1:18" ht="15.75" customHeight="1" x14ac:dyDescent="0.2">
      <c r="B13" s="506"/>
      <c r="C13" s="506"/>
      <c r="D13" s="3079"/>
      <c r="E13" s="3080"/>
      <c r="F13" s="3080"/>
      <c r="G13" s="3081" t="s">
        <v>24</v>
      </c>
      <c r="H13" s="3081" t="s">
        <v>25</v>
      </c>
      <c r="I13" s="3082" t="s">
        <v>26</v>
      </c>
      <c r="J13" s="3082" t="s">
        <v>27</v>
      </c>
      <c r="K13" s="3082" t="s">
        <v>28</v>
      </c>
      <c r="L13" s="3082" t="s">
        <v>29</v>
      </c>
      <c r="M13" s="3082" t="s">
        <v>30</v>
      </c>
      <c r="N13" s="3083" t="s">
        <v>31</v>
      </c>
      <c r="O13" s="3083" t="s">
        <v>32</v>
      </c>
      <c r="P13" s="3084" t="s">
        <v>33</v>
      </c>
      <c r="Q13" s="3529" t="s">
        <v>59</v>
      </c>
    </row>
    <row r="14" spans="1:18" ht="24" customHeight="1" x14ac:dyDescent="0.2">
      <c r="B14" s="506"/>
      <c r="C14" s="506"/>
      <c r="D14" s="2072" t="s">
        <v>2196</v>
      </c>
      <c r="E14" s="38"/>
      <c r="F14" s="38"/>
      <c r="G14" s="3085">
        <v>555</v>
      </c>
      <c r="H14" s="3085">
        <v>518</v>
      </c>
      <c r="I14" s="3085">
        <v>761</v>
      </c>
      <c r="J14" s="3085">
        <v>2763</v>
      </c>
      <c r="K14" s="3085">
        <v>778</v>
      </c>
      <c r="L14" s="3085">
        <v>1149</v>
      </c>
      <c r="M14" s="3085">
        <v>4384</v>
      </c>
      <c r="N14" s="3085">
        <v>466</v>
      </c>
      <c r="O14" s="3085">
        <v>1951</v>
      </c>
      <c r="P14" s="3085">
        <v>1027</v>
      </c>
      <c r="Q14" s="4458">
        <v>5500</v>
      </c>
    </row>
    <row r="15" spans="1:18" ht="15.75" customHeight="1" x14ac:dyDescent="0.2">
      <c r="B15" s="506"/>
      <c r="C15" s="506"/>
      <c r="D15" s="2073" t="s">
        <v>1980</v>
      </c>
      <c r="E15" s="1485"/>
      <c r="F15" s="1485"/>
      <c r="G15" s="3066">
        <v>323</v>
      </c>
      <c r="H15" s="3066">
        <v>276</v>
      </c>
      <c r="I15" s="3066">
        <v>366</v>
      </c>
      <c r="J15" s="3066">
        <v>362</v>
      </c>
      <c r="K15" s="3066">
        <v>352</v>
      </c>
      <c r="L15" s="3066">
        <v>414</v>
      </c>
      <c r="M15" s="3066">
        <v>345</v>
      </c>
      <c r="N15" s="3066">
        <v>283</v>
      </c>
      <c r="O15" s="3066">
        <v>326</v>
      </c>
      <c r="P15" s="3066">
        <v>308</v>
      </c>
      <c r="Q15" s="3086">
        <v>320</v>
      </c>
    </row>
    <row r="16" spans="1:18" ht="20.45" customHeight="1" x14ac:dyDescent="0.25">
      <c r="B16" s="506"/>
      <c r="C16" s="506"/>
      <c r="D16" s="3087" t="s">
        <v>1981</v>
      </c>
      <c r="E16" s="3061"/>
      <c r="F16" s="3061"/>
      <c r="G16" s="3058">
        <v>318</v>
      </c>
      <c r="H16" s="3058">
        <v>324</v>
      </c>
      <c r="I16" s="3058">
        <v>281</v>
      </c>
      <c r="J16" s="3058">
        <v>281</v>
      </c>
      <c r="K16" s="3057">
        <v>321</v>
      </c>
      <c r="L16" s="3058">
        <v>324</v>
      </c>
      <c r="M16" s="3058">
        <v>261</v>
      </c>
      <c r="N16" s="3088">
        <v>264</v>
      </c>
      <c r="O16" s="3089">
        <v>300</v>
      </c>
      <c r="P16" s="3090"/>
      <c r="Q16" s="3091"/>
    </row>
    <row r="17" spans="1:17" ht="15.75" customHeight="1" x14ac:dyDescent="0.2">
      <c r="B17" s="506"/>
      <c r="C17" s="506"/>
      <c r="D17" s="2066"/>
      <c r="E17" s="2066"/>
      <c r="F17" s="2066"/>
      <c r="G17" s="2066"/>
      <c r="H17" s="2066"/>
      <c r="I17" s="2066"/>
      <c r="J17" s="2066"/>
      <c r="Q17" s="3073"/>
    </row>
    <row r="18" spans="1:17" ht="15.75" customHeight="1" x14ac:dyDescent="0.2">
      <c r="B18" s="506"/>
      <c r="C18" s="506"/>
      <c r="D18" s="2066"/>
      <c r="E18" s="2066"/>
      <c r="F18" s="2066"/>
      <c r="G18" s="2066"/>
      <c r="H18" s="2066"/>
      <c r="I18" s="2066"/>
      <c r="J18" s="2066"/>
      <c r="Q18" s="1545" t="s">
        <v>85</v>
      </c>
    </row>
    <row r="19" spans="1:17" ht="15" x14ac:dyDescent="0.2">
      <c r="B19" s="506"/>
      <c r="C19" s="506"/>
    </row>
    <row r="20" spans="1:17" ht="15" x14ac:dyDescent="0.2">
      <c r="B20" s="506"/>
      <c r="C20" s="506"/>
    </row>
    <row r="21" spans="1:17" ht="15" x14ac:dyDescent="0.25">
      <c r="A21" s="2074"/>
      <c r="D21" s="2075"/>
      <c r="E21" s="2076"/>
      <c r="F21" s="2076"/>
      <c r="G21" s="2076"/>
      <c r="H21" s="2077"/>
      <c r="I21" s="2078"/>
      <c r="N21" s="2079"/>
      <c r="O21" s="2080"/>
      <c r="P21" s="2080"/>
    </row>
    <row r="22" spans="1:17" ht="15" x14ac:dyDescent="0.25">
      <c r="A22" s="2074"/>
      <c r="D22" s="2075"/>
      <c r="E22" s="2076"/>
      <c r="F22" s="2076"/>
      <c r="G22" s="2076"/>
      <c r="H22" s="2077"/>
      <c r="I22" s="2078"/>
      <c r="N22" s="2079"/>
      <c r="O22" s="2080"/>
      <c r="P22" s="2080"/>
    </row>
    <row r="23" spans="1:17" ht="15" x14ac:dyDescent="0.25">
      <c r="A23" s="2074"/>
      <c r="N23" s="2079"/>
      <c r="O23" s="2080"/>
      <c r="P23" s="2080"/>
    </row>
    <row r="24" spans="1:17" ht="15" x14ac:dyDescent="0.25">
      <c r="A24" s="2074"/>
      <c r="N24" s="2079"/>
      <c r="O24" s="2080"/>
      <c r="P24" s="2080"/>
    </row>
    <row r="25" spans="1:17" ht="15" x14ac:dyDescent="0.25">
      <c r="A25" s="2074"/>
      <c r="N25" s="2079"/>
      <c r="O25" s="2080"/>
      <c r="P25" s="2080"/>
    </row>
    <row r="26" spans="1:17" ht="15" x14ac:dyDescent="0.25">
      <c r="A26" s="2074"/>
      <c r="N26" s="2079"/>
      <c r="O26" s="2080"/>
      <c r="P26" s="2080"/>
    </row>
    <row r="27" spans="1:17" ht="15" x14ac:dyDescent="0.25">
      <c r="A27" s="2074"/>
      <c r="N27" s="2079"/>
      <c r="O27" s="2080"/>
      <c r="P27" s="2080"/>
    </row>
    <row r="28" spans="1:17" ht="15" x14ac:dyDescent="0.25">
      <c r="A28" s="2074"/>
      <c r="N28" s="2079"/>
      <c r="O28" s="2080"/>
      <c r="P28" s="2080"/>
    </row>
    <row r="29" spans="1:17" ht="15" x14ac:dyDescent="0.25">
      <c r="A29" s="2074"/>
      <c r="N29" s="2079"/>
      <c r="O29" s="2080"/>
      <c r="P29" s="2080"/>
    </row>
    <row r="30" spans="1:17" ht="15" x14ac:dyDescent="0.25">
      <c r="A30" s="2074"/>
      <c r="N30" s="2079"/>
      <c r="O30" s="2080"/>
      <c r="P30" s="2080"/>
    </row>
    <row r="31" spans="1:17" ht="18" customHeight="1" x14ac:dyDescent="0.25">
      <c r="A31" s="2074"/>
      <c r="N31" s="2079"/>
      <c r="O31" s="2080"/>
      <c r="P31" s="2080"/>
    </row>
    <row r="32" spans="1:17" ht="26.1" customHeight="1" x14ac:dyDescent="0.2">
      <c r="A32" s="1545"/>
      <c r="B32" s="1545"/>
      <c r="C32" s="1545"/>
      <c r="D32" s="1616"/>
    </row>
    <row r="33" spans="1:15" ht="16.5" customHeight="1" x14ac:dyDescent="0.2">
      <c r="A33" s="509">
        <v>7</v>
      </c>
      <c r="B33" s="509" t="s">
        <v>52</v>
      </c>
      <c r="C33" s="509"/>
      <c r="D33" s="4603" t="s">
        <v>1982</v>
      </c>
      <c r="E33" s="5066"/>
      <c r="F33" s="4604"/>
      <c r="G33" s="4604"/>
      <c r="H33" s="4604"/>
      <c r="I33" s="4604"/>
      <c r="J33" s="4604"/>
      <c r="K33" s="4604"/>
      <c r="L33" s="4604"/>
      <c r="M33" s="4604"/>
      <c r="N33" s="4604"/>
      <c r="O33" s="4605"/>
    </row>
    <row r="34" spans="1:15" ht="119.1" customHeight="1" x14ac:dyDescent="0.2">
      <c r="A34" s="546">
        <v>8</v>
      </c>
      <c r="B34" s="546" t="s">
        <v>54</v>
      </c>
      <c r="C34" s="546"/>
      <c r="D34" s="5109" t="s">
        <v>1983</v>
      </c>
      <c r="E34" s="5110"/>
      <c r="F34" s="5110"/>
      <c r="G34" s="5110"/>
      <c r="H34" s="5110"/>
      <c r="I34" s="5110"/>
      <c r="J34" s="5110"/>
      <c r="K34" s="5110"/>
      <c r="L34" s="5110"/>
      <c r="M34" s="5110"/>
      <c r="N34" s="5110"/>
      <c r="O34" s="5111"/>
    </row>
    <row r="35" spans="1:15" ht="57.6" customHeight="1" x14ac:dyDescent="0.2">
      <c r="A35" s="546"/>
      <c r="B35" s="546"/>
      <c r="C35" s="546"/>
      <c r="D35" s="4603" t="s">
        <v>1984</v>
      </c>
      <c r="E35" s="4604"/>
      <c r="F35" s="4604"/>
      <c r="G35" s="4604"/>
      <c r="H35" s="4604"/>
      <c r="I35" s="4604"/>
      <c r="J35" s="4604"/>
      <c r="K35" s="4604"/>
      <c r="L35" s="4604"/>
      <c r="M35" s="4604"/>
      <c r="N35" s="4604"/>
      <c r="O35" s="4605"/>
    </row>
    <row r="36" spans="1:15" ht="14.1" customHeight="1" x14ac:dyDescent="0.2">
      <c r="A36" s="509">
        <v>9</v>
      </c>
      <c r="B36" s="509" t="s">
        <v>56</v>
      </c>
      <c r="C36" s="509"/>
      <c r="D36" s="4671" t="s">
        <v>1985</v>
      </c>
      <c r="E36" s="4610"/>
      <c r="F36" s="4610"/>
      <c r="G36" s="5066"/>
      <c r="H36" s="5066"/>
      <c r="I36" s="5066"/>
      <c r="J36" s="5066"/>
      <c r="K36" s="5066"/>
      <c r="L36" s="5066"/>
      <c r="M36" s="5066"/>
      <c r="N36" s="5066"/>
      <c r="O36" s="4673"/>
    </row>
    <row r="37" spans="1:15" x14ac:dyDescent="0.2">
      <c r="E37" s="3695"/>
      <c r="F37" s="3695"/>
    </row>
    <row r="38" spans="1:15" x14ac:dyDescent="0.2">
      <c r="A38" s="1545"/>
      <c r="B38" s="1545"/>
      <c r="C38" s="1545"/>
      <c r="D38" s="2081"/>
    </row>
  </sheetData>
  <mergeCells count="8">
    <mergeCell ref="D35:O35"/>
    <mergeCell ref="D36:O36"/>
    <mergeCell ref="D2:O2"/>
    <mergeCell ref="D3:O3"/>
    <mergeCell ref="D4:O4"/>
    <mergeCell ref="D5:O5"/>
    <mergeCell ref="D33:O33"/>
    <mergeCell ref="D34:O34"/>
  </mergeCells>
  <pageMargins left="0.74803149606299202" right="0.74803149606299202" top="0.98425196850393704" bottom="0.98425196850393704" header="0.511811023622047" footer="0.511811023622047"/>
  <pageSetup paperSize="9" scale="72" fitToHeight="0" orientation="landscape" r:id="rId1"/>
  <headerFooter alignWithMargins="0">
    <oddHeader>&amp;C&amp;"-,Bold"DEVELOPMENT INDICATORS 2014</oddHeader>
    <oddFooter>&amp;LDepartment of Planning, Monitoring and Evaluation (DPME). &amp;CPage &amp;P of &amp;N&amp;R&amp;D</oddFooter>
  </headerFooter>
  <rowBreaks count="1" manualBreakCount="1">
    <brk id="32" max="18"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0C619-B3B5-45D9-9D0C-FB90C338DCEA}">
  <sheetPr>
    <tabColor rgb="FF0070C0"/>
    <pageSetUpPr fitToPage="1"/>
  </sheetPr>
  <dimension ref="A1:AM62"/>
  <sheetViews>
    <sheetView showGridLines="0" view="pageBreakPreview" topLeftCell="A11" zoomScaleNormal="100" zoomScaleSheetLayoutView="100" workbookViewId="0">
      <selection activeCell="M37" sqref="M37"/>
    </sheetView>
  </sheetViews>
  <sheetFormatPr defaultColWidth="9.140625" defaultRowHeight="15" x14ac:dyDescent="0.2"/>
  <cols>
    <col min="1" max="1" width="3.85546875" style="509" customWidth="1"/>
    <col min="2" max="2" width="10.42578125" style="1119" customWidth="1"/>
    <col min="3" max="3" width="5.85546875" style="1119" customWidth="1"/>
    <col min="4" max="4" width="20.85546875" style="1332" customWidth="1"/>
    <col min="5" max="5" width="8.140625" style="1332" customWidth="1"/>
    <col min="6" max="6" width="8" style="1332" customWidth="1"/>
    <col min="7" max="7" width="8.140625" style="1332" customWidth="1"/>
    <col min="8" max="9" width="7.5703125" style="1332" customWidth="1"/>
    <col min="10" max="10" width="8.140625" style="1332" customWidth="1"/>
    <col min="11" max="12" width="7.5703125" style="1332" customWidth="1"/>
    <col min="13" max="13" width="7.85546875" style="1332" customWidth="1"/>
    <col min="14" max="14" width="7.42578125" style="1332" customWidth="1"/>
    <col min="15" max="16" width="6.85546875" style="1332" customWidth="1"/>
    <col min="17" max="17" width="7.5703125" style="1332" customWidth="1"/>
    <col min="18" max="18" width="7.85546875" style="1332" customWidth="1"/>
    <col min="19" max="19" width="7.140625" style="1332" customWidth="1"/>
    <col min="20" max="20" width="6.85546875" style="1332" customWidth="1"/>
    <col min="21" max="21" width="8.140625" style="1332" customWidth="1"/>
    <col min="22" max="22" width="7.5703125" style="1332" customWidth="1"/>
    <col min="23" max="23" width="7.140625" style="1332" customWidth="1"/>
    <col min="24" max="24" width="7.85546875" style="1332" customWidth="1"/>
    <col min="25" max="25" width="6.85546875" style="1332" customWidth="1"/>
    <col min="26" max="260" width="9.140625" style="1332"/>
    <col min="261" max="261" width="3.85546875" style="1332" customWidth="1"/>
    <col min="262" max="262" width="14.42578125" style="1332" customWidth="1"/>
    <col min="263" max="263" width="4" style="1332" customWidth="1"/>
    <col min="264" max="264" width="22.42578125" style="1332" customWidth="1"/>
    <col min="265" max="265" width="11.5703125" style="1332" customWidth="1"/>
    <col min="266" max="275" width="8.85546875" style="1332" customWidth="1"/>
    <col min="276" max="516" width="9.140625" style="1332"/>
    <col min="517" max="517" width="3.85546875" style="1332" customWidth="1"/>
    <col min="518" max="518" width="14.42578125" style="1332" customWidth="1"/>
    <col min="519" max="519" width="4" style="1332" customWidth="1"/>
    <col min="520" max="520" width="22.42578125" style="1332" customWidth="1"/>
    <col min="521" max="521" width="11.5703125" style="1332" customWidth="1"/>
    <col min="522" max="531" width="8.85546875" style="1332" customWidth="1"/>
    <col min="532" max="772" width="9.140625" style="1332"/>
    <col min="773" max="773" width="3.85546875" style="1332" customWidth="1"/>
    <col min="774" max="774" width="14.42578125" style="1332" customWidth="1"/>
    <col min="775" max="775" width="4" style="1332" customWidth="1"/>
    <col min="776" max="776" width="22.42578125" style="1332" customWidth="1"/>
    <col min="777" max="777" width="11.5703125" style="1332" customWidth="1"/>
    <col min="778" max="787" width="8.85546875" style="1332" customWidth="1"/>
    <col min="788" max="1028" width="9.140625" style="1332"/>
    <col min="1029" max="1029" width="3.85546875" style="1332" customWidth="1"/>
    <col min="1030" max="1030" width="14.42578125" style="1332" customWidth="1"/>
    <col min="1031" max="1031" width="4" style="1332" customWidth="1"/>
    <col min="1032" max="1032" width="22.42578125" style="1332" customWidth="1"/>
    <col min="1033" max="1033" width="11.5703125" style="1332" customWidth="1"/>
    <col min="1034" max="1043" width="8.85546875" style="1332" customWidth="1"/>
    <col min="1044" max="1284" width="9.140625" style="1332"/>
    <col min="1285" max="1285" width="3.85546875" style="1332" customWidth="1"/>
    <col min="1286" max="1286" width="14.42578125" style="1332" customWidth="1"/>
    <col min="1287" max="1287" width="4" style="1332" customWidth="1"/>
    <col min="1288" max="1288" width="22.42578125" style="1332" customWidth="1"/>
    <col min="1289" max="1289" width="11.5703125" style="1332" customWidth="1"/>
    <col min="1290" max="1299" width="8.85546875" style="1332" customWidth="1"/>
    <col min="1300" max="1540" width="9.140625" style="1332"/>
    <col min="1541" max="1541" width="3.85546875" style="1332" customWidth="1"/>
    <col min="1542" max="1542" width="14.42578125" style="1332" customWidth="1"/>
    <col min="1543" max="1543" width="4" style="1332" customWidth="1"/>
    <col min="1544" max="1544" width="22.42578125" style="1332" customWidth="1"/>
    <col min="1545" max="1545" width="11.5703125" style="1332" customWidth="1"/>
    <col min="1546" max="1555" width="8.85546875" style="1332" customWidth="1"/>
    <col min="1556" max="1796" width="9.140625" style="1332"/>
    <col min="1797" max="1797" width="3.85546875" style="1332" customWidth="1"/>
    <col min="1798" max="1798" width="14.42578125" style="1332" customWidth="1"/>
    <col min="1799" max="1799" width="4" style="1332" customWidth="1"/>
    <col min="1800" max="1800" width="22.42578125" style="1332" customWidth="1"/>
    <col min="1801" max="1801" width="11.5703125" style="1332" customWidth="1"/>
    <col min="1802" max="1811" width="8.85546875" style="1332" customWidth="1"/>
    <col min="1812" max="2052" width="9.140625" style="1332"/>
    <col min="2053" max="2053" width="3.85546875" style="1332" customWidth="1"/>
    <col min="2054" max="2054" width="14.42578125" style="1332" customWidth="1"/>
    <col min="2055" max="2055" width="4" style="1332" customWidth="1"/>
    <col min="2056" max="2056" width="22.42578125" style="1332" customWidth="1"/>
    <col min="2057" max="2057" width="11.5703125" style="1332" customWidth="1"/>
    <col min="2058" max="2067" width="8.85546875" style="1332" customWidth="1"/>
    <col min="2068" max="2308" width="9.140625" style="1332"/>
    <col min="2309" max="2309" width="3.85546875" style="1332" customWidth="1"/>
    <col min="2310" max="2310" width="14.42578125" style="1332" customWidth="1"/>
    <col min="2311" max="2311" width="4" style="1332" customWidth="1"/>
    <col min="2312" max="2312" width="22.42578125" style="1332" customWidth="1"/>
    <col min="2313" max="2313" width="11.5703125" style="1332" customWidth="1"/>
    <col min="2314" max="2323" width="8.85546875" style="1332" customWidth="1"/>
    <col min="2324" max="2564" width="9.140625" style="1332"/>
    <col min="2565" max="2565" width="3.85546875" style="1332" customWidth="1"/>
    <col min="2566" max="2566" width="14.42578125" style="1332" customWidth="1"/>
    <col min="2567" max="2567" width="4" style="1332" customWidth="1"/>
    <col min="2568" max="2568" width="22.42578125" style="1332" customWidth="1"/>
    <col min="2569" max="2569" width="11.5703125" style="1332" customWidth="1"/>
    <col min="2570" max="2579" width="8.85546875" style="1332" customWidth="1"/>
    <col min="2580" max="2820" width="9.140625" style="1332"/>
    <col min="2821" max="2821" width="3.85546875" style="1332" customWidth="1"/>
    <col min="2822" max="2822" width="14.42578125" style="1332" customWidth="1"/>
    <col min="2823" max="2823" width="4" style="1332" customWidth="1"/>
    <col min="2824" max="2824" width="22.42578125" style="1332" customWidth="1"/>
    <col min="2825" max="2825" width="11.5703125" style="1332" customWidth="1"/>
    <col min="2826" max="2835" width="8.85546875" style="1332" customWidth="1"/>
    <col min="2836" max="3076" width="9.140625" style="1332"/>
    <col min="3077" max="3077" width="3.85546875" style="1332" customWidth="1"/>
    <col min="3078" max="3078" width="14.42578125" style="1332" customWidth="1"/>
    <col min="3079" max="3079" width="4" style="1332" customWidth="1"/>
    <col min="3080" max="3080" width="22.42578125" style="1332" customWidth="1"/>
    <col min="3081" max="3081" width="11.5703125" style="1332" customWidth="1"/>
    <col min="3082" max="3091" width="8.85546875" style="1332" customWidth="1"/>
    <col min="3092" max="3332" width="9.140625" style="1332"/>
    <col min="3333" max="3333" width="3.85546875" style="1332" customWidth="1"/>
    <col min="3334" max="3334" width="14.42578125" style="1332" customWidth="1"/>
    <col min="3335" max="3335" width="4" style="1332" customWidth="1"/>
    <col min="3336" max="3336" width="22.42578125" style="1332" customWidth="1"/>
    <col min="3337" max="3337" width="11.5703125" style="1332" customWidth="1"/>
    <col min="3338" max="3347" width="8.85546875" style="1332" customWidth="1"/>
    <col min="3348" max="3588" width="9.140625" style="1332"/>
    <col min="3589" max="3589" width="3.85546875" style="1332" customWidth="1"/>
    <col min="3590" max="3590" width="14.42578125" style="1332" customWidth="1"/>
    <col min="3591" max="3591" width="4" style="1332" customWidth="1"/>
    <col min="3592" max="3592" width="22.42578125" style="1332" customWidth="1"/>
    <col min="3593" max="3593" width="11.5703125" style="1332" customWidth="1"/>
    <col min="3594" max="3603" width="8.85546875" style="1332" customWidth="1"/>
    <col min="3604" max="3844" width="9.140625" style="1332"/>
    <col min="3845" max="3845" width="3.85546875" style="1332" customWidth="1"/>
    <col min="3846" max="3846" width="14.42578125" style="1332" customWidth="1"/>
    <col min="3847" max="3847" width="4" style="1332" customWidth="1"/>
    <col min="3848" max="3848" width="22.42578125" style="1332" customWidth="1"/>
    <col min="3849" max="3849" width="11.5703125" style="1332" customWidth="1"/>
    <col min="3850" max="3859" width="8.85546875" style="1332" customWidth="1"/>
    <col min="3860" max="4100" width="9.140625" style="1332"/>
    <col min="4101" max="4101" width="3.85546875" style="1332" customWidth="1"/>
    <col min="4102" max="4102" width="14.42578125" style="1332" customWidth="1"/>
    <col min="4103" max="4103" width="4" style="1332" customWidth="1"/>
    <col min="4104" max="4104" width="22.42578125" style="1332" customWidth="1"/>
    <col min="4105" max="4105" width="11.5703125" style="1332" customWidth="1"/>
    <col min="4106" max="4115" width="8.85546875" style="1332" customWidth="1"/>
    <col min="4116" max="4356" width="9.140625" style="1332"/>
    <col min="4357" max="4357" width="3.85546875" style="1332" customWidth="1"/>
    <col min="4358" max="4358" width="14.42578125" style="1332" customWidth="1"/>
    <col min="4359" max="4359" width="4" style="1332" customWidth="1"/>
    <col min="4360" max="4360" width="22.42578125" style="1332" customWidth="1"/>
    <col min="4361" max="4361" width="11.5703125" style="1332" customWidth="1"/>
    <col min="4362" max="4371" width="8.85546875" style="1332" customWidth="1"/>
    <col min="4372" max="4612" width="9.140625" style="1332"/>
    <col min="4613" max="4613" width="3.85546875" style="1332" customWidth="1"/>
    <col min="4614" max="4614" width="14.42578125" style="1332" customWidth="1"/>
    <col min="4615" max="4615" width="4" style="1332" customWidth="1"/>
    <col min="4616" max="4616" width="22.42578125" style="1332" customWidth="1"/>
    <col min="4617" max="4617" width="11.5703125" style="1332" customWidth="1"/>
    <col min="4618" max="4627" width="8.85546875" style="1332" customWidth="1"/>
    <col min="4628" max="4868" width="9.140625" style="1332"/>
    <col min="4869" max="4869" width="3.85546875" style="1332" customWidth="1"/>
    <col min="4870" max="4870" width="14.42578125" style="1332" customWidth="1"/>
    <col min="4871" max="4871" width="4" style="1332" customWidth="1"/>
    <col min="4872" max="4872" width="22.42578125" style="1332" customWidth="1"/>
    <col min="4873" max="4873" width="11.5703125" style="1332" customWidth="1"/>
    <col min="4874" max="4883" width="8.85546875" style="1332" customWidth="1"/>
    <col min="4884" max="5124" width="9.140625" style="1332"/>
    <col min="5125" max="5125" width="3.85546875" style="1332" customWidth="1"/>
    <col min="5126" max="5126" width="14.42578125" style="1332" customWidth="1"/>
    <col min="5127" max="5127" width="4" style="1332" customWidth="1"/>
    <col min="5128" max="5128" width="22.42578125" style="1332" customWidth="1"/>
    <col min="5129" max="5129" width="11.5703125" style="1332" customWidth="1"/>
    <col min="5130" max="5139" width="8.85546875" style="1332" customWidth="1"/>
    <col min="5140" max="5380" width="9.140625" style="1332"/>
    <col min="5381" max="5381" width="3.85546875" style="1332" customWidth="1"/>
    <col min="5382" max="5382" width="14.42578125" style="1332" customWidth="1"/>
    <col min="5383" max="5383" width="4" style="1332" customWidth="1"/>
    <col min="5384" max="5384" width="22.42578125" style="1332" customWidth="1"/>
    <col min="5385" max="5385" width="11.5703125" style="1332" customWidth="1"/>
    <col min="5386" max="5395" width="8.85546875" style="1332" customWidth="1"/>
    <col min="5396" max="5636" width="9.140625" style="1332"/>
    <col min="5637" max="5637" width="3.85546875" style="1332" customWidth="1"/>
    <col min="5638" max="5638" width="14.42578125" style="1332" customWidth="1"/>
    <col min="5639" max="5639" width="4" style="1332" customWidth="1"/>
    <col min="5640" max="5640" width="22.42578125" style="1332" customWidth="1"/>
    <col min="5641" max="5641" width="11.5703125" style="1332" customWidth="1"/>
    <col min="5642" max="5651" width="8.85546875" style="1332" customWidth="1"/>
    <col min="5652" max="5892" width="9.140625" style="1332"/>
    <col min="5893" max="5893" width="3.85546875" style="1332" customWidth="1"/>
    <col min="5894" max="5894" width="14.42578125" style="1332" customWidth="1"/>
    <col min="5895" max="5895" width="4" style="1332" customWidth="1"/>
    <col min="5896" max="5896" width="22.42578125" style="1332" customWidth="1"/>
    <col min="5897" max="5897" width="11.5703125" style="1332" customWidth="1"/>
    <col min="5898" max="5907" width="8.85546875" style="1332" customWidth="1"/>
    <col min="5908" max="6148" width="9.140625" style="1332"/>
    <col min="6149" max="6149" width="3.85546875" style="1332" customWidth="1"/>
    <col min="6150" max="6150" width="14.42578125" style="1332" customWidth="1"/>
    <col min="6151" max="6151" width="4" style="1332" customWidth="1"/>
    <col min="6152" max="6152" width="22.42578125" style="1332" customWidth="1"/>
    <col min="6153" max="6153" width="11.5703125" style="1332" customWidth="1"/>
    <col min="6154" max="6163" width="8.85546875" style="1332" customWidth="1"/>
    <col min="6164" max="6404" width="9.140625" style="1332"/>
    <col min="6405" max="6405" width="3.85546875" style="1332" customWidth="1"/>
    <col min="6406" max="6406" width="14.42578125" style="1332" customWidth="1"/>
    <col min="6407" max="6407" width="4" style="1332" customWidth="1"/>
    <col min="6408" max="6408" width="22.42578125" style="1332" customWidth="1"/>
    <col min="6409" max="6409" width="11.5703125" style="1332" customWidth="1"/>
    <col min="6410" max="6419" width="8.85546875" style="1332" customWidth="1"/>
    <col min="6420" max="6660" width="9.140625" style="1332"/>
    <col min="6661" max="6661" width="3.85546875" style="1332" customWidth="1"/>
    <col min="6662" max="6662" width="14.42578125" style="1332" customWidth="1"/>
    <col min="6663" max="6663" width="4" style="1332" customWidth="1"/>
    <col min="6664" max="6664" width="22.42578125" style="1332" customWidth="1"/>
    <col min="6665" max="6665" width="11.5703125" style="1332" customWidth="1"/>
    <col min="6666" max="6675" width="8.85546875" style="1332" customWidth="1"/>
    <col min="6676" max="6916" width="9.140625" style="1332"/>
    <col min="6917" max="6917" width="3.85546875" style="1332" customWidth="1"/>
    <col min="6918" max="6918" width="14.42578125" style="1332" customWidth="1"/>
    <col min="6919" max="6919" width="4" style="1332" customWidth="1"/>
    <col min="6920" max="6920" width="22.42578125" style="1332" customWidth="1"/>
    <col min="6921" max="6921" width="11.5703125" style="1332" customWidth="1"/>
    <col min="6922" max="6931" width="8.85546875" style="1332" customWidth="1"/>
    <col min="6932" max="7172" width="9.140625" style="1332"/>
    <col min="7173" max="7173" width="3.85546875" style="1332" customWidth="1"/>
    <col min="7174" max="7174" width="14.42578125" style="1332" customWidth="1"/>
    <col min="7175" max="7175" width="4" style="1332" customWidth="1"/>
    <col min="7176" max="7176" width="22.42578125" style="1332" customWidth="1"/>
    <col min="7177" max="7177" width="11.5703125" style="1332" customWidth="1"/>
    <col min="7178" max="7187" width="8.85546875" style="1332" customWidth="1"/>
    <col min="7188" max="7428" width="9.140625" style="1332"/>
    <col min="7429" max="7429" width="3.85546875" style="1332" customWidth="1"/>
    <col min="7430" max="7430" width="14.42578125" style="1332" customWidth="1"/>
    <col min="7431" max="7431" width="4" style="1332" customWidth="1"/>
    <col min="7432" max="7432" width="22.42578125" style="1332" customWidth="1"/>
    <col min="7433" max="7433" width="11.5703125" style="1332" customWidth="1"/>
    <col min="7434" max="7443" width="8.85546875" style="1332" customWidth="1"/>
    <col min="7444" max="7684" width="9.140625" style="1332"/>
    <col min="7685" max="7685" width="3.85546875" style="1332" customWidth="1"/>
    <col min="7686" max="7686" width="14.42578125" style="1332" customWidth="1"/>
    <col min="7687" max="7687" width="4" style="1332" customWidth="1"/>
    <col min="7688" max="7688" width="22.42578125" style="1332" customWidth="1"/>
    <col min="7689" max="7689" width="11.5703125" style="1332" customWidth="1"/>
    <col min="7690" max="7699" width="8.85546875" style="1332" customWidth="1"/>
    <col min="7700" max="7940" width="9.140625" style="1332"/>
    <col min="7941" max="7941" width="3.85546875" style="1332" customWidth="1"/>
    <col min="7942" max="7942" width="14.42578125" style="1332" customWidth="1"/>
    <col min="7943" max="7943" width="4" style="1332" customWidth="1"/>
    <col min="7944" max="7944" width="22.42578125" style="1332" customWidth="1"/>
    <col min="7945" max="7945" width="11.5703125" style="1332" customWidth="1"/>
    <col min="7946" max="7955" width="8.85546875" style="1332" customWidth="1"/>
    <col min="7956" max="8196" width="9.140625" style="1332"/>
    <col min="8197" max="8197" width="3.85546875" style="1332" customWidth="1"/>
    <col min="8198" max="8198" width="14.42578125" style="1332" customWidth="1"/>
    <col min="8199" max="8199" width="4" style="1332" customWidth="1"/>
    <col min="8200" max="8200" width="22.42578125" style="1332" customWidth="1"/>
    <col min="8201" max="8201" width="11.5703125" style="1332" customWidth="1"/>
    <col min="8202" max="8211" width="8.85546875" style="1332" customWidth="1"/>
    <col min="8212" max="8452" width="9.140625" style="1332"/>
    <col min="8453" max="8453" width="3.85546875" style="1332" customWidth="1"/>
    <col min="8454" max="8454" width="14.42578125" style="1332" customWidth="1"/>
    <col min="8455" max="8455" width="4" style="1332" customWidth="1"/>
    <col min="8456" max="8456" width="22.42578125" style="1332" customWidth="1"/>
    <col min="8457" max="8457" width="11.5703125" style="1332" customWidth="1"/>
    <col min="8458" max="8467" width="8.85546875" style="1332" customWidth="1"/>
    <col min="8468" max="8708" width="9.140625" style="1332"/>
    <col min="8709" max="8709" width="3.85546875" style="1332" customWidth="1"/>
    <col min="8710" max="8710" width="14.42578125" style="1332" customWidth="1"/>
    <col min="8711" max="8711" width="4" style="1332" customWidth="1"/>
    <col min="8712" max="8712" width="22.42578125" style="1332" customWidth="1"/>
    <col min="8713" max="8713" width="11.5703125" style="1332" customWidth="1"/>
    <col min="8714" max="8723" width="8.85546875" style="1332" customWidth="1"/>
    <col min="8724" max="8964" width="9.140625" style="1332"/>
    <col min="8965" max="8965" width="3.85546875" style="1332" customWidth="1"/>
    <col min="8966" max="8966" width="14.42578125" style="1332" customWidth="1"/>
    <col min="8967" max="8967" width="4" style="1332" customWidth="1"/>
    <col min="8968" max="8968" width="22.42578125" style="1332" customWidth="1"/>
    <col min="8969" max="8969" width="11.5703125" style="1332" customWidth="1"/>
    <col min="8970" max="8979" width="8.85546875" style="1332" customWidth="1"/>
    <col min="8980" max="9220" width="9.140625" style="1332"/>
    <col min="9221" max="9221" width="3.85546875" style="1332" customWidth="1"/>
    <col min="9222" max="9222" width="14.42578125" style="1332" customWidth="1"/>
    <col min="9223" max="9223" width="4" style="1332" customWidth="1"/>
    <col min="9224" max="9224" width="22.42578125" style="1332" customWidth="1"/>
    <col min="9225" max="9225" width="11.5703125" style="1332" customWidth="1"/>
    <col min="9226" max="9235" width="8.85546875" style="1332" customWidth="1"/>
    <col min="9236" max="9476" width="9.140625" style="1332"/>
    <col min="9477" max="9477" width="3.85546875" style="1332" customWidth="1"/>
    <col min="9478" max="9478" width="14.42578125" style="1332" customWidth="1"/>
    <col min="9479" max="9479" width="4" style="1332" customWidth="1"/>
    <col min="9480" max="9480" width="22.42578125" style="1332" customWidth="1"/>
    <col min="9481" max="9481" width="11.5703125" style="1332" customWidth="1"/>
    <col min="9482" max="9491" width="8.85546875" style="1332" customWidth="1"/>
    <col min="9492" max="9732" width="9.140625" style="1332"/>
    <col min="9733" max="9733" width="3.85546875" style="1332" customWidth="1"/>
    <col min="9734" max="9734" width="14.42578125" style="1332" customWidth="1"/>
    <col min="9735" max="9735" width="4" style="1332" customWidth="1"/>
    <col min="9736" max="9736" width="22.42578125" style="1332" customWidth="1"/>
    <col min="9737" max="9737" width="11.5703125" style="1332" customWidth="1"/>
    <col min="9738" max="9747" width="8.85546875" style="1332" customWidth="1"/>
    <col min="9748" max="9988" width="9.140625" style="1332"/>
    <col min="9989" max="9989" width="3.85546875" style="1332" customWidth="1"/>
    <col min="9990" max="9990" width="14.42578125" style="1332" customWidth="1"/>
    <col min="9991" max="9991" width="4" style="1332" customWidth="1"/>
    <col min="9992" max="9992" width="22.42578125" style="1332" customWidth="1"/>
    <col min="9993" max="9993" width="11.5703125" style="1332" customWidth="1"/>
    <col min="9994" max="10003" width="8.85546875" style="1332" customWidth="1"/>
    <col min="10004" max="10244" width="9.140625" style="1332"/>
    <col min="10245" max="10245" width="3.85546875" style="1332" customWidth="1"/>
    <col min="10246" max="10246" width="14.42578125" style="1332" customWidth="1"/>
    <col min="10247" max="10247" width="4" style="1332" customWidth="1"/>
    <col min="10248" max="10248" width="22.42578125" style="1332" customWidth="1"/>
    <col min="10249" max="10249" width="11.5703125" style="1332" customWidth="1"/>
    <col min="10250" max="10259" width="8.85546875" style="1332" customWidth="1"/>
    <col min="10260" max="10500" width="9.140625" style="1332"/>
    <col min="10501" max="10501" width="3.85546875" style="1332" customWidth="1"/>
    <col min="10502" max="10502" width="14.42578125" style="1332" customWidth="1"/>
    <col min="10503" max="10503" width="4" style="1332" customWidth="1"/>
    <col min="10504" max="10504" width="22.42578125" style="1332" customWidth="1"/>
    <col min="10505" max="10505" width="11.5703125" style="1332" customWidth="1"/>
    <col min="10506" max="10515" width="8.85546875" style="1332" customWidth="1"/>
    <col min="10516" max="10756" width="9.140625" style="1332"/>
    <col min="10757" max="10757" width="3.85546875" style="1332" customWidth="1"/>
    <col min="10758" max="10758" width="14.42578125" style="1332" customWidth="1"/>
    <col min="10759" max="10759" width="4" style="1332" customWidth="1"/>
    <col min="10760" max="10760" width="22.42578125" style="1332" customWidth="1"/>
    <col min="10761" max="10761" width="11.5703125" style="1332" customWidth="1"/>
    <col min="10762" max="10771" width="8.85546875" style="1332" customWidth="1"/>
    <col min="10772" max="11012" width="9.140625" style="1332"/>
    <col min="11013" max="11013" width="3.85546875" style="1332" customWidth="1"/>
    <col min="11014" max="11014" width="14.42578125" style="1332" customWidth="1"/>
    <col min="11015" max="11015" width="4" style="1332" customWidth="1"/>
    <col min="11016" max="11016" width="22.42578125" style="1332" customWidth="1"/>
    <col min="11017" max="11017" width="11.5703125" style="1332" customWidth="1"/>
    <col min="11018" max="11027" width="8.85546875" style="1332" customWidth="1"/>
    <col min="11028" max="11268" width="9.140625" style="1332"/>
    <col min="11269" max="11269" width="3.85546875" style="1332" customWidth="1"/>
    <col min="11270" max="11270" width="14.42578125" style="1332" customWidth="1"/>
    <col min="11271" max="11271" width="4" style="1332" customWidth="1"/>
    <col min="11272" max="11272" width="22.42578125" style="1332" customWidth="1"/>
    <col min="11273" max="11273" width="11.5703125" style="1332" customWidth="1"/>
    <col min="11274" max="11283" width="8.85546875" style="1332" customWidth="1"/>
    <col min="11284" max="11524" width="9.140625" style="1332"/>
    <col min="11525" max="11525" width="3.85546875" style="1332" customWidth="1"/>
    <col min="11526" max="11526" width="14.42578125" style="1332" customWidth="1"/>
    <col min="11527" max="11527" width="4" style="1332" customWidth="1"/>
    <col min="11528" max="11528" width="22.42578125" style="1332" customWidth="1"/>
    <col min="11529" max="11529" width="11.5703125" style="1332" customWidth="1"/>
    <col min="11530" max="11539" width="8.85546875" style="1332" customWidth="1"/>
    <col min="11540" max="11780" width="9.140625" style="1332"/>
    <col min="11781" max="11781" width="3.85546875" style="1332" customWidth="1"/>
    <col min="11782" max="11782" width="14.42578125" style="1332" customWidth="1"/>
    <col min="11783" max="11783" width="4" style="1332" customWidth="1"/>
    <col min="11784" max="11784" width="22.42578125" style="1332" customWidth="1"/>
    <col min="11785" max="11785" width="11.5703125" style="1332" customWidth="1"/>
    <col min="11786" max="11795" width="8.85546875" style="1332" customWidth="1"/>
    <col min="11796" max="12036" width="9.140625" style="1332"/>
    <col min="12037" max="12037" width="3.85546875" style="1332" customWidth="1"/>
    <col min="12038" max="12038" width="14.42578125" style="1332" customWidth="1"/>
    <col min="12039" max="12039" width="4" style="1332" customWidth="1"/>
    <col min="12040" max="12040" width="22.42578125" style="1332" customWidth="1"/>
    <col min="12041" max="12041" width="11.5703125" style="1332" customWidth="1"/>
    <col min="12042" max="12051" width="8.85546875" style="1332" customWidth="1"/>
    <col min="12052" max="12292" width="9.140625" style="1332"/>
    <col min="12293" max="12293" width="3.85546875" style="1332" customWidth="1"/>
    <col min="12294" max="12294" width="14.42578125" style="1332" customWidth="1"/>
    <col min="12295" max="12295" width="4" style="1332" customWidth="1"/>
    <col min="12296" max="12296" width="22.42578125" style="1332" customWidth="1"/>
    <col min="12297" max="12297" width="11.5703125" style="1332" customWidth="1"/>
    <col min="12298" max="12307" width="8.85546875" style="1332" customWidth="1"/>
    <col min="12308" max="12548" width="9.140625" style="1332"/>
    <col min="12549" max="12549" width="3.85546875" style="1332" customWidth="1"/>
    <col min="12550" max="12550" width="14.42578125" style="1332" customWidth="1"/>
    <col min="12551" max="12551" width="4" style="1332" customWidth="1"/>
    <col min="12552" max="12552" width="22.42578125" style="1332" customWidth="1"/>
    <col min="12553" max="12553" width="11.5703125" style="1332" customWidth="1"/>
    <col min="12554" max="12563" width="8.85546875" style="1332" customWidth="1"/>
    <col min="12564" max="12804" width="9.140625" style="1332"/>
    <col min="12805" max="12805" width="3.85546875" style="1332" customWidth="1"/>
    <col min="12806" max="12806" width="14.42578125" style="1332" customWidth="1"/>
    <col min="12807" max="12807" width="4" style="1332" customWidth="1"/>
    <col min="12808" max="12808" width="22.42578125" style="1332" customWidth="1"/>
    <col min="12809" max="12809" width="11.5703125" style="1332" customWidth="1"/>
    <col min="12810" max="12819" width="8.85546875" style="1332" customWidth="1"/>
    <col min="12820" max="13060" width="9.140625" style="1332"/>
    <col min="13061" max="13061" width="3.85546875" style="1332" customWidth="1"/>
    <col min="13062" max="13062" width="14.42578125" style="1332" customWidth="1"/>
    <col min="13063" max="13063" width="4" style="1332" customWidth="1"/>
    <col min="13064" max="13064" width="22.42578125" style="1332" customWidth="1"/>
    <col min="13065" max="13065" width="11.5703125" style="1332" customWidth="1"/>
    <col min="13066" max="13075" width="8.85546875" style="1332" customWidth="1"/>
    <col min="13076" max="13316" width="9.140625" style="1332"/>
    <col min="13317" max="13317" width="3.85546875" style="1332" customWidth="1"/>
    <col min="13318" max="13318" width="14.42578125" style="1332" customWidth="1"/>
    <col min="13319" max="13319" width="4" style="1332" customWidth="1"/>
    <col min="13320" max="13320" width="22.42578125" style="1332" customWidth="1"/>
    <col min="13321" max="13321" width="11.5703125" style="1332" customWidth="1"/>
    <col min="13322" max="13331" width="8.85546875" style="1332" customWidth="1"/>
    <col min="13332" max="13572" width="9.140625" style="1332"/>
    <col min="13573" max="13573" width="3.85546875" style="1332" customWidth="1"/>
    <col min="13574" max="13574" width="14.42578125" style="1332" customWidth="1"/>
    <col min="13575" max="13575" width="4" style="1332" customWidth="1"/>
    <col min="13576" max="13576" width="22.42578125" style="1332" customWidth="1"/>
    <col min="13577" max="13577" width="11.5703125" style="1332" customWidth="1"/>
    <col min="13578" max="13587" width="8.85546875" style="1332" customWidth="1"/>
    <col min="13588" max="13828" width="9.140625" style="1332"/>
    <col min="13829" max="13829" width="3.85546875" style="1332" customWidth="1"/>
    <col min="13830" max="13830" width="14.42578125" style="1332" customWidth="1"/>
    <col min="13831" max="13831" width="4" style="1332" customWidth="1"/>
    <col min="13832" max="13832" width="22.42578125" style="1332" customWidth="1"/>
    <col min="13833" max="13833" width="11.5703125" style="1332" customWidth="1"/>
    <col min="13834" max="13843" width="8.85546875" style="1332" customWidth="1"/>
    <col min="13844" max="14084" width="9.140625" style="1332"/>
    <col min="14085" max="14085" width="3.85546875" style="1332" customWidth="1"/>
    <col min="14086" max="14086" width="14.42578125" style="1332" customWidth="1"/>
    <col min="14087" max="14087" width="4" style="1332" customWidth="1"/>
    <col min="14088" max="14088" width="22.42578125" style="1332" customWidth="1"/>
    <col min="14089" max="14089" width="11.5703125" style="1332" customWidth="1"/>
    <col min="14090" max="14099" width="8.85546875" style="1332" customWidth="1"/>
    <col min="14100" max="14340" width="9.140625" style="1332"/>
    <col min="14341" max="14341" width="3.85546875" style="1332" customWidth="1"/>
    <col min="14342" max="14342" width="14.42578125" style="1332" customWidth="1"/>
    <col min="14343" max="14343" width="4" style="1332" customWidth="1"/>
    <col min="14344" max="14344" width="22.42578125" style="1332" customWidth="1"/>
    <col min="14345" max="14345" width="11.5703125" style="1332" customWidth="1"/>
    <col min="14346" max="14355" width="8.85546875" style="1332" customWidth="1"/>
    <col min="14356" max="14596" width="9.140625" style="1332"/>
    <col min="14597" max="14597" width="3.85546875" style="1332" customWidth="1"/>
    <col min="14598" max="14598" width="14.42578125" style="1332" customWidth="1"/>
    <col min="14599" max="14599" width="4" style="1332" customWidth="1"/>
    <col min="14600" max="14600" width="22.42578125" style="1332" customWidth="1"/>
    <col min="14601" max="14601" width="11.5703125" style="1332" customWidth="1"/>
    <col min="14602" max="14611" width="8.85546875" style="1332" customWidth="1"/>
    <col min="14612" max="14852" width="9.140625" style="1332"/>
    <col min="14853" max="14853" width="3.85546875" style="1332" customWidth="1"/>
    <col min="14854" max="14854" width="14.42578125" style="1332" customWidth="1"/>
    <col min="14855" max="14855" width="4" style="1332" customWidth="1"/>
    <col min="14856" max="14856" width="22.42578125" style="1332" customWidth="1"/>
    <col min="14857" max="14857" width="11.5703125" style="1332" customWidth="1"/>
    <col min="14858" max="14867" width="8.85546875" style="1332" customWidth="1"/>
    <col min="14868" max="15108" width="9.140625" style="1332"/>
    <col min="15109" max="15109" width="3.85546875" style="1332" customWidth="1"/>
    <col min="15110" max="15110" width="14.42578125" style="1332" customWidth="1"/>
    <col min="15111" max="15111" width="4" style="1332" customWidth="1"/>
    <col min="15112" max="15112" width="22.42578125" style="1332" customWidth="1"/>
    <col min="15113" max="15113" width="11.5703125" style="1332" customWidth="1"/>
    <col min="15114" max="15123" width="8.85546875" style="1332" customWidth="1"/>
    <col min="15124" max="15364" width="9.140625" style="1332"/>
    <col min="15365" max="15365" width="3.85546875" style="1332" customWidth="1"/>
    <col min="15366" max="15366" width="14.42578125" style="1332" customWidth="1"/>
    <col min="15367" max="15367" width="4" style="1332" customWidth="1"/>
    <col min="15368" max="15368" width="22.42578125" style="1332" customWidth="1"/>
    <col min="15369" max="15369" width="11.5703125" style="1332" customWidth="1"/>
    <col min="15370" max="15379" width="8.85546875" style="1332" customWidth="1"/>
    <col min="15380" max="15620" width="9.140625" style="1332"/>
    <col min="15621" max="15621" width="3.85546875" style="1332" customWidth="1"/>
    <col min="15622" max="15622" width="14.42578125" style="1332" customWidth="1"/>
    <col min="15623" max="15623" width="4" style="1332" customWidth="1"/>
    <col min="15624" max="15624" width="22.42578125" style="1332" customWidth="1"/>
    <col min="15625" max="15625" width="11.5703125" style="1332" customWidth="1"/>
    <col min="15626" max="15635" width="8.85546875" style="1332" customWidth="1"/>
    <col min="15636" max="15876" width="9.140625" style="1332"/>
    <col min="15877" max="15877" width="3.85546875" style="1332" customWidth="1"/>
    <col min="15878" max="15878" width="14.42578125" style="1332" customWidth="1"/>
    <col min="15879" max="15879" width="4" style="1332" customWidth="1"/>
    <col min="15880" max="15880" width="22.42578125" style="1332" customWidth="1"/>
    <col min="15881" max="15881" width="11.5703125" style="1332" customWidth="1"/>
    <col min="15882" max="15891" width="8.85546875" style="1332" customWidth="1"/>
    <col min="15892" max="16132" width="9.140625" style="1332"/>
    <col min="16133" max="16133" width="3.85546875" style="1332" customWidth="1"/>
    <col min="16134" max="16134" width="14.42578125" style="1332" customWidth="1"/>
    <col min="16135" max="16135" width="4" style="1332" customWidth="1"/>
    <col min="16136" max="16136" width="22.42578125" style="1332" customWidth="1"/>
    <col min="16137" max="16137" width="11.5703125" style="1332" customWidth="1"/>
    <col min="16138" max="16147" width="8.85546875" style="1332" customWidth="1"/>
    <col min="16148" max="16384" width="9.140625" style="1332"/>
  </cols>
  <sheetData>
    <row r="1" spans="1:39" x14ac:dyDescent="0.2">
      <c r="D1" s="510"/>
      <c r="E1" s="510"/>
      <c r="F1" s="510"/>
      <c r="G1" s="510"/>
      <c r="H1" s="510"/>
      <c r="I1" s="510"/>
      <c r="J1" s="510"/>
      <c r="K1" s="510"/>
      <c r="L1" s="510"/>
      <c r="M1" s="510"/>
      <c r="N1" s="510"/>
    </row>
    <row r="2" spans="1:39" ht="12.75" customHeight="1" x14ac:dyDescent="0.2">
      <c r="A2" s="509">
        <v>1</v>
      </c>
      <c r="B2" s="509" t="s">
        <v>1786</v>
      </c>
      <c r="C2" s="509">
        <v>77</v>
      </c>
      <c r="D2" s="5115" t="s">
        <v>1986</v>
      </c>
      <c r="E2" s="5116"/>
      <c r="F2" s="5116"/>
      <c r="G2" s="5116"/>
      <c r="H2" s="5116"/>
      <c r="I2" s="5116"/>
      <c r="J2" s="5116"/>
      <c r="K2" s="5116"/>
      <c r="L2" s="5116"/>
      <c r="M2" s="5116"/>
      <c r="N2" s="5116"/>
      <c r="O2" s="5116"/>
      <c r="P2" s="5116"/>
      <c r="Q2" s="5116"/>
      <c r="R2" s="5116"/>
      <c r="S2" s="5116"/>
      <c r="T2" s="5116"/>
      <c r="U2" s="5116"/>
      <c r="V2" s="5117"/>
      <c r="W2" s="309"/>
      <c r="X2" s="309"/>
      <c r="Y2" s="309"/>
      <c r="Z2" s="241"/>
      <c r="AA2" s="241"/>
      <c r="AB2" s="241"/>
      <c r="AC2" s="241"/>
      <c r="AD2" s="241"/>
      <c r="AE2" s="241"/>
      <c r="AF2" s="241"/>
      <c r="AG2" s="241"/>
      <c r="AH2" s="241"/>
      <c r="AI2" s="241"/>
      <c r="AJ2" s="241"/>
      <c r="AK2" s="241"/>
      <c r="AL2" s="241"/>
      <c r="AM2" s="241"/>
    </row>
    <row r="3" spans="1:39" ht="15" customHeight="1" x14ac:dyDescent="0.2">
      <c r="A3" s="509">
        <v>2</v>
      </c>
      <c r="B3" s="509" t="s">
        <v>1788</v>
      </c>
      <c r="C3" s="509"/>
      <c r="D3" s="5118" t="s">
        <v>1987</v>
      </c>
      <c r="E3" s="5119"/>
      <c r="F3" s="5119"/>
      <c r="G3" s="5119"/>
      <c r="H3" s="5119"/>
      <c r="I3" s="5119"/>
      <c r="J3" s="5119"/>
      <c r="K3" s="5119"/>
      <c r="L3" s="5119"/>
      <c r="M3" s="5119"/>
      <c r="N3" s="5119"/>
      <c r="O3" s="5119"/>
      <c r="P3" s="5119"/>
      <c r="Q3" s="5119"/>
      <c r="R3" s="5119"/>
      <c r="S3" s="5119"/>
      <c r="T3" s="5119"/>
      <c r="U3" s="5119"/>
      <c r="V3" s="5120"/>
      <c r="W3" s="241"/>
      <c r="X3" s="241"/>
      <c r="Y3" s="241"/>
      <c r="Z3" s="241"/>
      <c r="AA3" s="241"/>
      <c r="AB3" s="241"/>
      <c r="AC3" s="241"/>
      <c r="AD3" s="241"/>
      <c r="AE3" s="241"/>
      <c r="AF3" s="241"/>
      <c r="AG3" s="241"/>
      <c r="AH3" s="241"/>
      <c r="AI3" s="241"/>
      <c r="AJ3" s="241"/>
      <c r="AK3" s="241"/>
      <c r="AL3" s="241"/>
      <c r="AM3" s="241"/>
    </row>
    <row r="4" spans="1:39" ht="16.5" customHeight="1" x14ac:dyDescent="0.25">
      <c r="A4" s="509">
        <v>3</v>
      </c>
      <c r="B4" s="509" t="s">
        <v>4</v>
      </c>
      <c r="C4" s="509"/>
      <c r="D4" s="5121" t="s">
        <v>1988</v>
      </c>
      <c r="E4" s="5122"/>
      <c r="F4" s="5122"/>
      <c r="G4" s="5122"/>
      <c r="H4" s="5122"/>
      <c r="I4" s="5122"/>
      <c r="J4" s="5122"/>
      <c r="K4" s="5122"/>
      <c r="L4" s="5122"/>
      <c r="M4" s="5122"/>
      <c r="N4" s="5122"/>
      <c r="O4" s="5122"/>
      <c r="P4" s="5122"/>
      <c r="Q4" s="5122"/>
      <c r="R4" s="5122"/>
      <c r="S4" s="5122"/>
      <c r="T4" s="5122"/>
      <c r="U4" s="5122"/>
      <c r="V4" s="5123"/>
      <c r="W4" s="1137"/>
      <c r="X4" s="1137"/>
      <c r="Y4" s="1137"/>
      <c r="Z4" s="1137"/>
      <c r="AA4" s="1137"/>
      <c r="AB4" s="1137"/>
      <c r="AC4" s="1137"/>
      <c r="AD4" s="1137"/>
      <c r="AE4" s="241"/>
      <c r="AF4" s="241"/>
      <c r="AG4" s="241"/>
      <c r="AH4" s="241"/>
      <c r="AI4" s="241"/>
      <c r="AJ4" s="241"/>
      <c r="AK4" s="241"/>
      <c r="AL4" s="241"/>
      <c r="AM4" s="241"/>
    </row>
    <row r="5" spans="1:39" ht="12.75" x14ac:dyDescent="0.2">
      <c r="A5" s="1332"/>
      <c r="B5" s="1332"/>
      <c r="C5" s="1140"/>
      <c r="D5" s="550"/>
      <c r="E5" s="955"/>
      <c r="F5" s="955"/>
      <c r="G5" s="955"/>
      <c r="H5" s="955"/>
      <c r="I5" s="955"/>
      <c r="J5" s="955"/>
      <c r="K5" s="2082"/>
      <c r="L5" s="2083"/>
      <c r="M5" s="2083"/>
      <c r="N5" s="2083"/>
      <c r="O5" s="2083"/>
    </row>
    <row r="6" spans="1:39" s="1137" customFormat="1" x14ac:dyDescent="0.25">
      <c r="A6" s="509">
        <v>4</v>
      </c>
      <c r="B6" s="509" t="s">
        <v>6</v>
      </c>
      <c r="C6" s="509"/>
      <c r="D6" s="474" t="s">
        <v>1699</v>
      </c>
      <c r="E6" s="71" t="s">
        <v>1989</v>
      </c>
      <c r="F6" s="71"/>
      <c r="G6" s="71"/>
      <c r="H6" s="71"/>
      <c r="I6" s="71"/>
      <c r="J6" s="71"/>
      <c r="K6" s="510"/>
      <c r="L6" s="3627"/>
      <c r="M6" s="2084"/>
      <c r="N6" s="2085"/>
      <c r="O6" s="2085"/>
      <c r="P6" s="2085"/>
      <c r="Q6" s="2085"/>
      <c r="R6" s="2085"/>
      <c r="S6" s="2085"/>
      <c r="T6" s="2085"/>
      <c r="U6" s="2086"/>
    </row>
    <row r="7" spans="1:39" ht="54.75" customHeight="1" x14ac:dyDescent="0.2">
      <c r="B7" s="509"/>
      <c r="C7" s="3775"/>
      <c r="D7" s="3776" t="s">
        <v>1990</v>
      </c>
      <c r="E7" s="3777" t="s">
        <v>15</v>
      </c>
      <c r="F7" s="3777" t="s">
        <v>16</v>
      </c>
      <c r="G7" s="3777" t="s">
        <v>17</v>
      </c>
      <c r="H7" s="3777" t="s">
        <v>18</v>
      </c>
      <c r="I7" s="3777" t="s">
        <v>19</v>
      </c>
      <c r="J7" s="3777" t="s">
        <v>20</v>
      </c>
      <c r="K7" s="3777" t="s">
        <v>21</v>
      </c>
      <c r="L7" s="3777" t="s">
        <v>22</v>
      </c>
      <c r="M7" s="3628" t="s">
        <v>23</v>
      </c>
      <c r="N7" s="3777" t="s">
        <v>24</v>
      </c>
      <c r="O7" s="3777" t="s">
        <v>25</v>
      </c>
      <c r="P7" s="3777" t="s">
        <v>26</v>
      </c>
      <c r="Q7" s="3777" t="s">
        <v>27</v>
      </c>
      <c r="R7" s="3777" t="s">
        <v>28</v>
      </c>
      <c r="S7" s="3777" t="s">
        <v>29</v>
      </c>
      <c r="T7" s="3777" t="s">
        <v>30</v>
      </c>
      <c r="U7" s="3777" t="s">
        <v>31</v>
      </c>
      <c r="V7" s="3777" t="s">
        <v>32</v>
      </c>
      <c r="W7" s="3751" t="s">
        <v>33</v>
      </c>
      <c r="X7" s="3778" t="s">
        <v>59</v>
      </c>
      <c r="Y7" s="4532" t="s">
        <v>2197</v>
      </c>
    </row>
    <row r="8" spans="1:39" ht="12.75" x14ac:dyDescent="0.2">
      <c r="B8" s="1140"/>
      <c r="C8" s="3629">
        <v>1</v>
      </c>
      <c r="D8" s="3630" t="s">
        <v>1991</v>
      </c>
      <c r="E8" s="3408">
        <f>'[19]NPA PERFORM'!$B$11</f>
        <v>1117879</v>
      </c>
      <c r="F8" s="3408">
        <f>'[19]NPA PERFORM'!$C$11</f>
        <v>1117488</v>
      </c>
      <c r="G8" s="3408">
        <f>'[19]NPA PERFORM'!$D$11</f>
        <v>1084137</v>
      </c>
      <c r="H8" s="3408">
        <f>'[19]NPA PERFORM'!E$11</f>
        <v>1069724</v>
      </c>
      <c r="I8" s="3408">
        <f>'[19]NPA PERFORM'!$I$11</f>
        <v>1062497</v>
      </c>
      <c r="J8" s="3408">
        <f>'[19]NPA PERFORM'!$J$11</f>
        <v>1037309</v>
      </c>
      <c r="K8" s="3408">
        <f>'[19]NPA PERFORM'!$K$11</f>
        <v>1058210</v>
      </c>
      <c r="L8" s="3408">
        <f>'[19]NPA PERFORM'!$L$11</f>
        <v>1044346</v>
      </c>
      <c r="M8" s="3408">
        <f>'[20]Charges referred to Courts'!$K$9</f>
        <v>962317</v>
      </c>
      <c r="N8" s="3408">
        <v>897842</v>
      </c>
      <c r="O8" s="3408">
        <v>916917</v>
      </c>
      <c r="P8" s="3408">
        <f>'[21]13.14 ALL CRTS'!$J$79</f>
        <v>931799</v>
      </c>
      <c r="Q8" s="3408">
        <v>908364</v>
      </c>
      <c r="R8" s="3408">
        <v>864276</v>
      </c>
      <c r="S8" s="3408">
        <f>'[22]NPA PERFORM OVERVIEW'!$P$4</f>
        <v>884088</v>
      </c>
      <c r="T8" s="3408">
        <f>'[22]NPA PERFORM OVERVIEW'!$Q$4</f>
        <v>888053</v>
      </c>
      <c r="U8" s="3408">
        <f>'[23]18.19 ALL CRTS'!$AL$77</f>
        <v>792895</v>
      </c>
      <c r="V8" s="3408">
        <v>714604</v>
      </c>
      <c r="W8" s="3408">
        <v>776232</v>
      </c>
      <c r="X8" s="3631">
        <v>560168</v>
      </c>
      <c r="Y8" s="4533">
        <v>-0.27829999999999999</v>
      </c>
    </row>
    <row r="9" spans="1:39" ht="12.75" hidden="1" x14ac:dyDescent="0.2">
      <c r="B9" s="1140"/>
      <c r="C9" s="2087"/>
      <c r="D9" s="2088" t="s">
        <v>1992</v>
      </c>
      <c r="E9" s="2089">
        <f>[24]PROGRESS!$N$18</f>
        <v>534067</v>
      </c>
      <c r="F9" s="2089">
        <f>[25]PROGRESS!$N$19</f>
        <v>767588.08333333326</v>
      </c>
      <c r="G9" s="2089">
        <f>[26]PROGRESS!$N$19</f>
        <v>729934</v>
      </c>
      <c r="H9" s="2089">
        <f>[27]PROGRESS!$N$19</f>
        <v>757376</v>
      </c>
      <c r="I9" s="2089">
        <f>'[28]0607'!$M$18</f>
        <v>722259</v>
      </c>
      <c r="J9" s="2089">
        <f>'[28]0708'!$P$19</f>
        <v>654902</v>
      </c>
      <c r="K9" s="2089">
        <f>'[29]0809 ALL CRTS'!$P$19</f>
        <v>638699</v>
      </c>
      <c r="L9" s="2089">
        <f>'[29]0910 ALL CRTS'!$Q$19</f>
        <v>595623</v>
      </c>
      <c r="M9" s="2089"/>
      <c r="N9" s="2089"/>
      <c r="O9" s="2089"/>
      <c r="P9" s="2089"/>
      <c r="Q9" s="955"/>
      <c r="R9" s="955"/>
      <c r="S9" s="955"/>
      <c r="T9" s="955"/>
      <c r="U9" s="3408"/>
      <c r="V9" s="3408"/>
      <c r="W9" s="3408"/>
      <c r="X9" s="3631"/>
      <c r="Y9" s="4533"/>
    </row>
    <row r="10" spans="1:39" ht="12.75" hidden="1" x14ac:dyDescent="0.2">
      <c r="B10" s="1140"/>
      <c r="C10" s="2087"/>
      <c r="D10" s="2088" t="s">
        <v>1993</v>
      </c>
      <c r="E10" s="2090">
        <v>104</v>
      </c>
      <c r="F10" s="2090">
        <v>87</v>
      </c>
      <c r="G10" s="2090">
        <v>106</v>
      </c>
      <c r="H10" s="2090">
        <v>143</v>
      </c>
      <c r="I10" s="2090">
        <v>102</v>
      </c>
      <c r="J10" s="2090">
        <v>127</v>
      </c>
      <c r="K10" s="2090">
        <v>96</v>
      </c>
      <c r="L10" s="2090">
        <v>128</v>
      </c>
      <c r="M10" s="2090"/>
      <c r="N10" s="2090"/>
      <c r="O10" s="2090"/>
      <c r="P10" s="2090"/>
      <c r="Q10" s="2091"/>
      <c r="R10" s="2091"/>
      <c r="S10" s="955"/>
      <c r="T10" s="955"/>
      <c r="U10" s="3408"/>
      <c r="V10" s="3408"/>
      <c r="W10" s="3408"/>
      <c r="X10" s="3631"/>
      <c r="Y10" s="4533"/>
    </row>
    <row r="11" spans="1:39" ht="12.75" x14ac:dyDescent="0.2">
      <c r="B11" s="1140"/>
      <c r="C11" s="2087">
        <v>2.2000000000000002</v>
      </c>
      <c r="D11" s="2088" t="s">
        <v>1994</v>
      </c>
      <c r="E11" s="955">
        <f t="shared" ref="E11:O11" si="0">SUM(E12,E16)</f>
        <v>422338</v>
      </c>
      <c r="F11" s="955">
        <f t="shared" si="0"/>
        <v>414488</v>
      </c>
      <c r="G11" s="955">
        <f t="shared" si="0"/>
        <v>399966</v>
      </c>
      <c r="H11" s="955">
        <f t="shared" si="0"/>
        <v>411417</v>
      </c>
      <c r="I11" s="955">
        <f t="shared" si="0"/>
        <v>379034</v>
      </c>
      <c r="J11" s="955">
        <f t="shared" si="0"/>
        <v>388344</v>
      </c>
      <c r="K11" s="955">
        <f t="shared" si="0"/>
        <v>431640</v>
      </c>
      <c r="L11" s="955">
        <f t="shared" si="0"/>
        <v>469541</v>
      </c>
      <c r="M11" s="955">
        <f t="shared" si="0"/>
        <v>460891</v>
      </c>
      <c r="N11" s="955">
        <f t="shared" si="0"/>
        <v>448793</v>
      </c>
      <c r="O11" s="955">
        <f t="shared" si="0"/>
        <v>466800</v>
      </c>
      <c r="P11" s="955">
        <f>'[21]13.14 ALL CRTS'!$BB$79</f>
        <v>505342</v>
      </c>
      <c r="Q11" s="955">
        <v>503463</v>
      </c>
      <c r="R11" s="955">
        <v>477802</v>
      </c>
      <c r="S11" s="955">
        <f>S12+S16</f>
        <v>505376</v>
      </c>
      <c r="T11" s="955">
        <f>T12+T16</f>
        <v>494815</v>
      </c>
      <c r="U11" s="3408">
        <f>'[23]18.19 ALL CRTS'!$AE$77</f>
        <v>425778</v>
      </c>
      <c r="V11" s="3408">
        <v>368319</v>
      </c>
      <c r="W11" s="3408">
        <f>SUM(W16,W12)</f>
        <v>220272</v>
      </c>
      <c r="X11" s="3631">
        <v>263830</v>
      </c>
      <c r="Y11" s="4531">
        <v>0.19769999999999999</v>
      </c>
    </row>
    <row r="12" spans="1:39" ht="12.75" x14ac:dyDescent="0.2">
      <c r="B12" s="1140"/>
      <c r="C12" s="2087" t="s">
        <v>1995</v>
      </c>
      <c r="D12" s="3632" t="s">
        <v>1996</v>
      </c>
      <c r="E12" s="3678">
        <f>'[19]NPA PERFORM'!$B$9</f>
        <v>407530</v>
      </c>
      <c r="F12" s="3678">
        <f>'[19]NPA PERFORM'!$C$9</f>
        <v>396536</v>
      </c>
      <c r="G12" s="3678">
        <f>'[19]NPA PERFORM'!$D$9</f>
        <v>381020</v>
      </c>
      <c r="H12" s="3678">
        <f>'[19]NPA PERFORM'!$E$9</f>
        <v>373995</v>
      </c>
      <c r="I12" s="3678">
        <f>'[19]NPA PERFORM'!$I$9</f>
        <v>334551</v>
      </c>
      <c r="J12" s="3678">
        <f>'[19]NPA PERFORM'!$J$9+30115</f>
        <v>326506</v>
      </c>
      <c r="K12" s="3678">
        <f>'[19]NPA PERFORM'!$K$9+38015</f>
        <v>349883</v>
      </c>
      <c r="L12" s="3678">
        <f>'[19]NPA PERFORM'!$L$9</f>
        <v>350910</v>
      </c>
      <c r="M12" s="3678">
        <f>'[20]Charges referred to Courts'!$K$15</f>
        <v>331045</v>
      </c>
      <c r="N12" s="3678">
        <v>316098</v>
      </c>
      <c r="O12" s="3678">
        <v>323390</v>
      </c>
      <c r="P12" s="3678">
        <f>'[21]13.14 ALL CRTS'!$X$79</f>
        <v>329153</v>
      </c>
      <c r="Q12" s="3735">
        <v>319149</v>
      </c>
      <c r="R12" s="3735">
        <v>310850</v>
      </c>
      <c r="S12" s="3735">
        <f>'[22]NPA PERFORM OVERVIEW'!$P$28</f>
        <v>341360</v>
      </c>
      <c r="T12" s="3408">
        <f>'[22]NPA PERFORM OVERVIEW'!$Q$28</f>
        <v>335161</v>
      </c>
      <c r="U12" s="3408">
        <f>'[23]18.19 ALL CRTS'!$U$77</f>
        <v>276309</v>
      </c>
      <c r="V12" s="3408">
        <v>231725</v>
      </c>
      <c r="W12" s="3408">
        <v>137956</v>
      </c>
      <c r="X12" s="3631">
        <v>153320</v>
      </c>
      <c r="Y12" s="4531">
        <v>0.1134</v>
      </c>
    </row>
    <row r="13" spans="1:39" ht="12.75" x14ac:dyDescent="0.2">
      <c r="B13" s="1140"/>
      <c r="C13" s="2087" t="s">
        <v>1997</v>
      </c>
      <c r="D13" s="3632" t="s">
        <v>1998</v>
      </c>
      <c r="E13" s="3735">
        <f t="shared" ref="E13:L13" si="1">SUM(E14:E15)</f>
        <v>332056</v>
      </c>
      <c r="F13" s="3735">
        <f t="shared" si="1"/>
        <v>330146</v>
      </c>
      <c r="G13" s="3678">
        <f t="shared" si="1"/>
        <v>322147</v>
      </c>
      <c r="H13" s="3678">
        <f t="shared" si="1"/>
        <v>322687</v>
      </c>
      <c r="I13" s="3678">
        <f t="shared" si="1"/>
        <v>286861</v>
      </c>
      <c r="J13" s="3678">
        <f t="shared" si="1"/>
        <v>284620</v>
      </c>
      <c r="K13" s="3678">
        <f t="shared" si="1"/>
        <v>307089</v>
      </c>
      <c r="L13" s="3678">
        <f t="shared" si="1"/>
        <v>310951</v>
      </c>
      <c r="M13" s="3678">
        <f>'[20]Charges referred to Courts'!$K$16</f>
        <v>293673</v>
      </c>
      <c r="N13" s="3678">
        <v>280658</v>
      </c>
      <c r="O13" s="3678">
        <f>SUM(O14:O15)</f>
        <v>289789</v>
      </c>
      <c r="P13" s="3678">
        <f>'[21]13.14 ALL CRTS'!$T$79</f>
        <v>301798</v>
      </c>
      <c r="Q13" s="955">
        <v>294608</v>
      </c>
      <c r="R13" s="955">
        <v>289245</v>
      </c>
      <c r="S13" s="955">
        <f>'[22]NPA PERFORM OVERVIEW'!$P$36</f>
        <v>321190</v>
      </c>
      <c r="T13" s="955">
        <f>'[22]NPA PERFORM OVERVIEW'!$Q$36</f>
        <v>317475</v>
      </c>
      <c r="U13" s="3408">
        <f>'[23]18.19 ALL CRTS'!$R$77</f>
        <v>260456</v>
      </c>
      <c r="V13" s="3408">
        <v>217467</v>
      </c>
      <c r="W13" s="3408">
        <f>542+13292+116230</f>
        <v>130064</v>
      </c>
      <c r="X13" s="3631">
        <v>141233</v>
      </c>
      <c r="Y13" s="4531">
        <v>8.5999999999999993E-2</v>
      </c>
    </row>
    <row r="14" spans="1:39" ht="12.75" hidden="1" x14ac:dyDescent="0.2">
      <c r="B14" s="1140"/>
      <c r="C14" s="2087"/>
      <c r="D14" s="2088" t="s">
        <v>1992</v>
      </c>
      <c r="E14" s="2089">
        <f>[24]PROGRESS!$O$18</f>
        <v>330728</v>
      </c>
      <c r="F14" s="2089">
        <f>[25]PROGRESS!$O$19</f>
        <v>328887</v>
      </c>
      <c r="G14" s="2089">
        <f>[26]PROGRESS!$O$19</f>
        <v>320938</v>
      </c>
      <c r="H14" s="2089">
        <f>[27]PROGRESS!$O$19</f>
        <v>320413</v>
      </c>
      <c r="I14" s="2089">
        <f>'[28]0607'!$N$18</f>
        <v>284865</v>
      </c>
      <c r="J14" s="2089">
        <f>SUM('[28]0708'!$Q$19+'[28]0708'!$Y$19)</f>
        <v>282720</v>
      </c>
      <c r="K14" s="2089">
        <f>SUM('[29]0809 ALL CRTS'!$Q$19+'[29]0809 ALL CRTS'!$Y$19)</f>
        <v>305628</v>
      </c>
      <c r="L14" s="2089">
        <f>SUM('[29]0910 ALL CRTS'!$T$19)</f>
        <v>309868</v>
      </c>
      <c r="M14" s="2089"/>
      <c r="N14" s="2089"/>
      <c r="O14" s="2089">
        <v>261591</v>
      </c>
      <c r="P14" s="2089">
        <v>261591</v>
      </c>
      <c r="Q14" s="955"/>
      <c r="R14" s="955"/>
      <c r="S14" s="955"/>
      <c r="T14" s="955"/>
      <c r="U14" s="3408"/>
      <c r="V14" s="3408"/>
      <c r="W14" s="3408"/>
      <c r="X14" s="3631"/>
      <c r="Y14" s="4531"/>
    </row>
    <row r="15" spans="1:39" ht="12.75" hidden="1" x14ac:dyDescent="0.2">
      <c r="B15" s="1140"/>
      <c r="C15" s="2087"/>
      <c r="D15" s="2088" t="s">
        <v>1993</v>
      </c>
      <c r="E15" s="2090">
        <v>1328</v>
      </c>
      <c r="F15" s="2090">
        <v>1259</v>
      </c>
      <c r="G15" s="2090">
        <v>1209</v>
      </c>
      <c r="H15" s="2090">
        <v>2274</v>
      </c>
      <c r="I15" s="2090">
        <v>1996</v>
      </c>
      <c r="J15" s="2090">
        <v>1900</v>
      </c>
      <c r="K15" s="2090">
        <v>1461</v>
      </c>
      <c r="L15" s="2090">
        <v>1083</v>
      </c>
      <c r="M15" s="2090"/>
      <c r="N15" s="2090"/>
      <c r="O15" s="2090">
        <v>28198</v>
      </c>
      <c r="P15" s="2090">
        <v>28198</v>
      </c>
      <c r="Q15" s="2091"/>
      <c r="R15" s="2091"/>
      <c r="S15" s="955"/>
      <c r="T15" s="955"/>
      <c r="U15" s="3408"/>
      <c r="V15" s="3408"/>
      <c r="W15" s="3408"/>
      <c r="X15" s="3631"/>
      <c r="Y15" s="4531"/>
    </row>
    <row r="16" spans="1:39" ht="12.75" x14ac:dyDescent="0.2">
      <c r="B16" s="1140"/>
      <c r="C16" s="2087" t="s">
        <v>1999</v>
      </c>
      <c r="D16" s="3779" t="s">
        <v>2000</v>
      </c>
      <c r="E16" s="3780">
        <f>SUM('[19]NPA PERFORM'!B$7:B$8)</f>
        <v>14808</v>
      </c>
      <c r="F16" s="3631">
        <f>SUM('[19]NPA PERFORM'!C$7:C$8)</f>
        <v>17952</v>
      </c>
      <c r="G16" s="3780">
        <f>SUM('[19]NPA PERFORM'!D$7:D$8)</f>
        <v>18946</v>
      </c>
      <c r="H16" s="3780">
        <f>SUM('[19]NPA PERFORM'!E$7:E$8)</f>
        <v>37422</v>
      </c>
      <c r="I16" s="3780">
        <f>SUM('[19]NPA PERFORM'!$I$7:$I$8)</f>
        <v>44483</v>
      </c>
      <c r="J16" s="3780">
        <f>SUM('[19]NPA PERFORM'!$J$7:$J$8)</f>
        <v>61838</v>
      </c>
      <c r="K16" s="3780">
        <f>SUM('[19]NPA PERFORM'!$K$7:$K$8)</f>
        <v>81757</v>
      </c>
      <c r="L16" s="3780">
        <f>SUM('[19]NPA PERFORM'!$L$7:$L$8)</f>
        <v>118631</v>
      </c>
      <c r="M16" s="3780">
        <f>'[20]Charges referred to Courts'!$K$19</f>
        <v>129846</v>
      </c>
      <c r="N16" s="3780">
        <v>132695</v>
      </c>
      <c r="O16" s="3780">
        <v>143410</v>
      </c>
      <c r="P16" s="3780">
        <f>'[21]13.14 ALL CRTS'!$BA$79</f>
        <v>176189</v>
      </c>
      <c r="Q16" s="3780">
        <v>184314</v>
      </c>
      <c r="R16" s="3780">
        <v>166952</v>
      </c>
      <c r="S16" s="3735">
        <f>'[22]NPA PERFORM OVERVIEW'!$P$40</f>
        <v>164016</v>
      </c>
      <c r="T16" s="3735">
        <f>'[22]NPA PERFORM OVERVIEW'!$Q$40</f>
        <v>159654</v>
      </c>
      <c r="U16" s="3408">
        <f>'[23]18.19 ALL CRTS'!$AD$77</f>
        <v>149469</v>
      </c>
      <c r="V16" s="3408">
        <v>136594</v>
      </c>
      <c r="W16" s="3408">
        <v>82316</v>
      </c>
      <c r="X16" s="3631">
        <v>110674</v>
      </c>
      <c r="Y16" s="4531">
        <v>0.34499999999999997</v>
      </c>
    </row>
    <row r="17" spans="1:25" ht="12.75" hidden="1" x14ac:dyDescent="0.2">
      <c r="B17" s="1140"/>
      <c r="C17" s="2092"/>
      <c r="D17" s="2093" t="s">
        <v>2001</v>
      </c>
      <c r="E17" s="2089">
        <f>'[19]NPA PERFORM'!$B$8</f>
        <v>14808</v>
      </c>
      <c r="F17" s="2089">
        <f>'[19]NPA PERFORM'!$C$8</f>
        <v>17952</v>
      </c>
      <c r="G17" s="2089">
        <f>'[19]NPA PERFORM'!$D$8</f>
        <v>18946</v>
      </c>
      <c r="H17" s="2089">
        <f>'[19]NPA PERFORM'!$E$8</f>
        <v>37422</v>
      </c>
      <c r="I17" s="2089">
        <f>'[19]NPA PERFORM'!$I$8</f>
        <v>44483</v>
      </c>
      <c r="J17" s="2089">
        <f>'[19]NPA PERFORM'!$J$8</f>
        <v>46445</v>
      </c>
      <c r="K17" s="2089">
        <f>'[19]NPA PERFORM'!$K$8</f>
        <v>43728</v>
      </c>
      <c r="L17" s="2089">
        <f>'[19]NPA PERFORM'!$L$8</f>
        <v>50361</v>
      </c>
      <c r="M17" s="2089"/>
      <c r="N17" s="2089"/>
      <c r="O17" s="2089">
        <v>31016</v>
      </c>
      <c r="P17" s="2089">
        <v>31016</v>
      </c>
      <c r="Q17" s="955"/>
      <c r="R17" s="955"/>
      <c r="S17" s="955"/>
      <c r="T17" s="955"/>
      <c r="U17" s="3408"/>
      <c r="V17" s="3408"/>
      <c r="W17" s="3408"/>
      <c r="X17" s="3631"/>
      <c r="Y17" s="4533"/>
    </row>
    <row r="18" spans="1:25" ht="12.75" hidden="1" x14ac:dyDescent="0.2">
      <c r="B18" s="1140"/>
      <c r="C18" s="2092"/>
      <c r="D18" s="2093" t="s">
        <v>2002</v>
      </c>
      <c r="E18" s="2089">
        <v>0</v>
      </c>
      <c r="F18" s="2089">
        <v>0</v>
      </c>
      <c r="G18" s="2089">
        <v>0</v>
      </c>
      <c r="H18" s="2089">
        <v>0</v>
      </c>
      <c r="I18" s="2089">
        <v>0</v>
      </c>
      <c r="J18" s="2089"/>
      <c r="K18" s="2089"/>
      <c r="L18" s="2089"/>
      <c r="M18" s="2089"/>
      <c r="N18" s="2089"/>
      <c r="O18" s="2089">
        <v>6605</v>
      </c>
      <c r="P18" s="2089">
        <v>6605</v>
      </c>
      <c r="Q18" s="955"/>
      <c r="R18" s="955"/>
      <c r="S18" s="955"/>
      <c r="T18" s="955"/>
      <c r="U18" s="3408"/>
      <c r="V18" s="3408"/>
      <c r="W18" s="3408"/>
      <c r="X18" s="3631"/>
      <c r="Y18" s="4533"/>
    </row>
    <row r="19" spans="1:25" ht="12.75" hidden="1" x14ac:dyDescent="0.2">
      <c r="B19" s="1140"/>
      <c r="C19" s="2092"/>
      <c r="D19" s="2093" t="s">
        <v>2003</v>
      </c>
      <c r="E19" s="2089">
        <v>0</v>
      </c>
      <c r="F19" s="2089">
        <v>0</v>
      </c>
      <c r="G19" s="2089">
        <v>0</v>
      </c>
      <c r="H19" s="2089">
        <v>0</v>
      </c>
      <c r="I19" s="2089">
        <v>0</v>
      </c>
      <c r="J19" s="2089">
        <f>'[19]NPA PERFORM'!$J$7</f>
        <v>15393</v>
      </c>
      <c r="K19" s="2089">
        <f>'[19]NPA PERFORM'!$K$7</f>
        <v>38029</v>
      </c>
      <c r="L19" s="2089">
        <f>'[19]NPA PERFORM'!$L$7</f>
        <v>68270</v>
      </c>
      <c r="M19" s="2089"/>
      <c r="N19" s="2089"/>
      <c r="O19" s="2089" t="s">
        <v>2004</v>
      </c>
      <c r="P19" s="2089" t="s">
        <v>2004</v>
      </c>
      <c r="Q19" s="955"/>
      <c r="R19" s="955"/>
      <c r="S19" s="955"/>
      <c r="T19" s="955"/>
      <c r="U19" s="3408"/>
      <c r="V19" s="3408"/>
      <c r="W19" s="3408"/>
      <c r="X19" s="3631"/>
      <c r="Y19" s="4533"/>
    </row>
    <row r="20" spans="1:25" ht="12.75" x14ac:dyDescent="0.2">
      <c r="B20" s="1140"/>
      <c r="C20" s="2094">
        <v>3</v>
      </c>
      <c r="D20" s="551" t="s">
        <v>2005</v>
      </c>
      <c r="E20" s="1360">
        <f>'[19]NPA PERFORM'!$B$15</f>
        <v>188691</v>
      </c>
      <c r="F20" s="1360">
        <f>'[19]NPA PERFORM'!$C$15</f>
        <v>185423</v>
      </c>
      <c r="G20" s="1360">
        <f>'[19]NPA PERFORM'!$D$15</f>
        <v>206005</v>
      </c>
      <c r="H20" s="1360">
        <f>'[19]NPA PERFORM'!E$15</f>
        <v>198990</v>
      </c>
      <c r="I20" s="1360">
        <f>'[19]NPA PERFORM'!$I$15</f>
        <v>206508</v>
      </c>
      <c r="J20" s="1360">
        <f>'[19]NPA PERFORM'!$J$15</f>
        <v>232518</v>
      </c>
      <c r="K20" s="1360">
        <f>'[19]NPA PERFORM'!$K$15</f>
        <v>234606</v>
      </c>
      <c r="L20" s="1360">
        <f>'[19]NPA PERFORM'!$L$15</f>
        <v>230477</v>
      </c>
      <c r="M20" s="1360">
        <f>'[20]Charges referred to Courts'!$K$23</f>
        <v>218660</v>
      </c>
      <c r="N20" s="1360">
        <v>200532</v>
      </c>
      <c r="O20" s="1360">
        <v>189810</v>
      </c>
      <c r="P20" s="1360">
        <f>'[21]13.14 ALL CRTS'!$AE$77</f>
        <v>182979</v>
      </c>
      <c r="Q20" s="1360">
        <v>171708</v>
      </c>
      <c r="R20" s="1360">
        <v>185202</v>
      </c>
      <c r="S20" s="1360">
        <f>'[22]NPA PERFORM OVERVIEW'!$P$60</f>
        <v>171312</v>
      </c>
      <c r="T20" s="1360">
        <f>'[22]NPA PERFORM OVERVIEW'!$R$60</f>
        <v>167901</v>
      </c>
      <c r="U20" s="3408">
        <f>'[23]18.19 ALL CRTS'!$AF$75</f>
        <v>181912</v>
      </c>
      <c r="V20" s="3408">
        <v>194225</v>
      </c>
      <c r="W20" s="3408">
        <f>143703+51246+1073</f>
        <v>196022</v>
      </c>
      <c r="X20" s="3631">
        <v>193838</v>
      </c>
      <c r="Y20" s="4533">
        <v>-1.11E-2</v>
      </c>
    </row>
    <row r="21" spans="1:25" ht="12.75" x14ac:dyDescent="0.2">
      <c r="B21" s="1140"/>
      <c r="C21" s="2094"/>
      <c r="D21" s="550"/>
      <c r="E21" s="955"/>
      <c r="F21" s="955"/>
      <c r="G21" s="955"/>
      <c r="H21" s="955"/>
      <c r="I21" s="955"/>
      <c r="J21" s="2082"/>
      <c r="K21" s="955"/>
      <c r="L21" s="955"/>
      <c r="M21" s="2091"/>
      <c r="N21" s="955"/>
      <c r="O21" s="2091"/>
      <c r="P21" s="2091"/>
      <c r="Q21" s="2091"/>
      <c r="R21" s="2091"/>
      <c r="S21" s="3238"/>
      <c r="T21" s="3238"/>
      <c r="U21" s="3239"/>
      <c r="V21" s="2095"/>
      <c r="X21" s="3240"/>
      <c r="Y21" s="3240"/>
    </row>
    <row r="22" spans="1:25" ht="12.75" x14ac:dyDescent="0.2">
      <c r="B22" s="1140"/>
      <c r="C22" s="2094"/>
      <c r="D22" s="2096" t="s">
        <v>2006</v>
      </c>
      <c r="E22" s="916" t="s">
        <v>85</v>
      </c>
      <c r="F22" s="555"/>
      <c r="G22" s="555"/>
      <c r="H22" s="555"/>
      <c r="I22" s="555"/>
      <c r="J22" s="555"/>
      <c r="K22" s="555"/>
      <c r="L22" s="555"/>
      <c r="M22" s="2097"/>
      <c r="N22" s="555"/>
      <c r="O22" s="2098"/>
      <c r="P22" s="2098"/>
      <c r="Q22" s="2098"/>
      <c r="R22" s="2098"/>
      <c r="S22" s="2098"/>
      <c r="T22" s="2098"/>
      <c r="U22" s="2099"/>
      <c r="V22" s="2100"/>
      <c r="X22" s="3240"/>
      <c r="Y22" s="3240"/>
    </row>
    <row r="23" spans="1:25" ht="39.950000000000003" customHeight="1" x14ac:dyDescent="0.2">
      <c r="B23" s="1140"/>
      <c r="C23" s="3241"/>
      <c r="D23" s="550"/>
      <c r="E23" s="3242" t="s">
        <v>15</v>
      </c>
      <c r="F23" s="3243" t="s">
        <v>16</v>
      </c>
      <c r="G23" s="3243" t="s">
        <v>17</v>
      </c>
      <c r="H23" s="3242" t="s">
        <v>18</v>
      </c>
      <c r="I23" s="3242" t="s">
        <v>19</v>
      </c>
      <c r="J23" s="3696" t="s">
        <v>20</v>
      </c>
      <c r="K23" s="3696" t="s">
        <v>21</v>
      </c>
      <c r="L23" s="3243" t="s">
        <v>22</v>
      </c>
      <c r="M23" s="3243" t="s">
        <v>23</v>
      </c>
      <c r="N23" s="3696" t="s">
        <v>24</v>
      </c>
      <c r="O23" s="3696" t="s">
        <v>25</v>
      </c>
      <c r="P23" s="3696" t="s">
        <v>26</v>
      </c>
      <c r="Q23" s="3696" t="s">
        <v>27</v>
      </c>
      <c r="R23" s="3696" t="s">
        <v>28</v>
      </c>
      <c r="S23" s="3696" t="s">
        <v>29</v>
      </c>
      <c r="T23" s="3696" t="s">
        <v>30</v>
      </c>
      <c r="U23" s="3697" t="s">
        <v>31</v>
      </c>
      <c r="V23" s="3696" t="s">
        <v>32</v>
      </c>
      <c r="W23" s="3244" t="s">
        <v>33</v>
      </c>
      <c r="X23" s="3245" t="s">
        <v>59</v>
      </c>
      <c r="Y23" s="4391" t="s">
        <v>2197</v>
      </c>
    </row>
    <row r="24" spans="1:25" ht="12.75" x14ac:dyDescent="0.2">
      <c r="B24" s="1140"/>
      <c r="C24" s="3241"/>
      <c r="D24" s="1082" t="s">
        <v>1986</v>
      </c>
      <c r="E24" s="2101">
        <v>0.81573055797893901</v>
      </c>
      <c r="F24" s="2101">
        <v>0.83469687010163296</v>
      </c>
      <c r="G24" s="2101">
        <v>0.85077503964024204</v>
      </c>
      <c r="H24" s="2101">
        <v>0.85676784013009799</v>
      </c>
      <c r="I24" s="2101">
        <v>0.85764253025190096</v>
      </c>
      <c r="J24" s="2101">
        <v>0.83799999999999997</v>
      </c>
      <c r="K24" s="2101">
        <v>0.86277821939586596</v>
      </c>
      <c r="L24" s="2101">
        <v>0.88612749707902305</v>
      </c>
      <c r="M24" s="2101">
        <v>0.88710900330770703</v>
      </c>
      <c r="N24" s="2101">
        <v>0.88788287176761604</v>
      </c>
      <c r="O24" s="2101">
        <v>0.89932898358019697</v>
      </c>
      <c r="P24" s="2101">
        <v>0.91689275200286802</v>
      </c>
      <c r="Q24" s="2101">
        <v>0.92310488204568997</v>
      </c>
      <c r="R24" s="2101">
        <v>0.93049702428824199</v>
      </c>
      <c r="S24" s="2101">
        <v>0.94091281931099102</v>
      </c>
      <c r="T24" s="2101">
        <v>0.94723133061424203</v>
      </c>
      <c r="U24" s="2102">
        <f>'[23]18.19 ALL CRTS'!$S$77</f>
        <v>0.94262582832987707</v>
      </c>
      <c r="V24" s="2101">
        <v>0.93799999999999994</v>
      </c>
      <c r="W24" s="3246">
        <f>W13/W12</f>
        <v>0.94279335440285306</v>
      </c>
      <c r="X24" s="4536">
        <f>X13/X12</f>
        <v>0.92116488390294804</v>
      </c>
      <c r="Y24" s="4534">
        <f>(X24-W24)/W24</f>
        <v>-2.2940838943019563E-2</v>
      </c>
    </row>
    <row r="25" spans="1:25" ht="12.75" x14ac:dyDescent="0.2">
      <c r="B25" s="1140"/>
      <c r="C25" s="3241"/>
      <c r="D25" s="981" t="s">
        <v>2007</v>
      </c>
      <c r="E25" s="2101">
        <v>0.83583060797582498</v>
      </c>
      <c r="F25" s="2101">
        <v>0.85542203245873805</v>
      </c>
      <c r="G25" s="2101">
        <v>0.86691561132549699</v>
      </c>
      <c r="H25" s="2101">
        <v>0.87365172515828005</v>
      </c>
      <c r="I25" s="2101">
        <v>0.87448235696460597</v>
      </c>
      <c r="J25" s="2101">
        <v>0.87637775840924304</v>
      </c>
      <c r="K25" s="2101">
        <v>0.88123280986602803</v>
      </c>
      <c r="L25" s="2101">
        <v>0.90498450886839099</v>
      </c>
      <c r="M25" s="2101">
        <v>0.90671386785489705</v>
      </c>
      <c r="N25" s="2101">
        <v>0.90834418873932599</v>
      </c>
      <c r="O25" s="2101">
        <v>0.91904663197872305</v>
      </c>
      <c r="P25" s="2101">
        <v>0.93623216173587598</v>
      </c>
      <c r="Q25" s="2101">
        <v>0.94165223834993905</v>
      </c>
      <c r="R25" s="2101">
        <v>0.94737883355035502</v>
      </c>
      <c r="S25" s="2101">
        <v>0.95569960607474203</v>
      </c>
      <c r="T25" s="2101">
        <v>0.96128602651036898</v>
      </c>
      <c r="U25" s="2102">
        <f>'[23]18.19 LC'!$S$32</f>
        <v>0.95699476837738839</v>
      </c>
      <c r="V25" s="2101">
        <v>0.95299999999999996</v>
      </c>
      <c r="W25" s="3246">
        <v>0.95899999999999996</v>
      </c>
      <c r="X25" s="4536">
        <v>0.93899999999999995</v>
      </c>
      <c r="Y25" s="4534">
        <f t="shared" ref="Y25:Y27" si="2">(X25-W25)/W25</f>
        <v>-2.0855057351407736E-2</v>
      </c>
    </row>
    <row r="26" spans="1:25" ht="12.75" x14ac:dyDescent="0.2">
      <c r="B26" s="1140"/>
      <c r="C26" s="3241"/>
      <c r="D26" s="981" t="s">
        <v>2008</v>
      </c>
      <c r="E26" s="2101">
        <v>0.66257902192528095</v>
      </c>
      <c r="F26" s="2101">
        <v>0.67520298441957405</v>
      </c>
      <c r="G26" s="2101">
        <v>0.71181585677749404</v>
      </c>
      <c r="H26" s="2101">
        <v>0.71178637200736605</v>
      </c>
      <c r="I26" s="2101">
        <v>0.72267470272031298</v>
      </c>
      <c r="J26" s="2101">
        <v>0.72522947585141995</v>
      </c>
      <c r="K26" s="2101">
        <v>0.73730112850931195</v>
      </c>
      <c r="L26" s="2101">
        <v>0.73556058890147202</v>
      </c>
      <c r="M26" s="2101">
        <v>0.73361029214687801</v>
      </c>
      <c r="N26" s="2101">
        <v>0.74261658031088096</v>
      </c>
      <c r="O26" s="2101">
        <v>0.75068551500146397</v>
      </c>
      <c r="P26" s="2101">
        <v>0.760042401249721</v>
      </c>
      <c r="Q26" s="2101">
        <v>0.765510020939276</v>
      </c>
      <c r="R26" s="2101">
        <v>0.78405378235737599</v>
      </c>
      <c r="S26" s="2101">
        <v>0.79755125284738004</v>
      </c>
      <c r="T26" s="2101">
        <v>0.809936115705159</v>
      </c>
      <c r="U26" s="2102">
        <f>'[23]18.19 LC'!$S$62</f>
        <v>0.8171851005321239</v>
      </c>
      <c r="V26" s="2101">
        <v>0.82499999999999996</v>
      </c>
      <c r="W26" s="3246">
        <v>0.82199999999999995</v>
      </c>
      <c r="X26" s="4536">
        <v>0.80600000000000005</v>
      </c>
      <c r="Y26" s="4534">
        <f t="shared" si="2"/>
        <v>-1.9464720194647085E-2</v>
      </c>
    </row>
    <row r="27" spans="1:25" ht="12.75" x14ac:dyDescent="0.2">
      <c r="B27" s="1140"/>
      <c r="C27" s="3241"/>
      <c r="D27" s="896" t="s">
        <v>2009</v>
      </c>
      <c r="E27" s="3247">
        <v>0.84561178731582298</v>
      </c>
      <c r="F27" s="2103">
        <v>0.86562073669849904</v>
      </c>
      <c r="G27" s="2103">
        <v>0.85080928923293497</v>
      </c>
      <c r="H27" s="2103">
        <v>0.866812227074236</v>
      </c>
      <c r="I27" s="2103">
        <v>0.85463258785942497</v>
      </c>
      <c r="J27" s="2103">
        <v>0.91304347826086996</v>
      </c>
      <c r="K27" s="2103">
        <v>0.86296515062020096</v>
      </c>
      <c r="L27" s="2103">
        <v>0.87692307692307703</v>
      </c>
      <c r="M27" s="2103">
        <v>0.87764489420423197</v>
      </c>
      <c r="N27" s="2103">
        <v>0.84622144112478004</v>
      </c>
      <c r="O27" s="2103">
        <v>0.87520938023450601</v>
      </c>
      <c r="P27" s="2103">
        <v>0.88791423001949299</v>
      </c>
      <c r="Q27" s="2103">
        <v>0.91002044989775099</v>
      </c>
      <c r="R27" s="2103">
        <v>0.89920948616600804</v>
      </c>
      <c r="S27" s="2103">
        <v>0.90977443609022601</v>
      </c>
      <c r="T27" s="2103">
        <v>0.91658084449021604</v>
      </c>
      <c r="U27" s="2104">
        <f>'[23]18.19 ALL CRTS'!$S$32</f>
        <v>0.89958592132505177</v>
      </c>
      <c r="V27" s="2103">
        <v>0.90900000000000003</v>
      </c>
      <c r="W27" s="2103">
        <v>0.93799999999999994</v>
      </c>
      <c r="X27" s="3248">
        <v>0.90900000000000003</v>
      </c>
      <c r="Y27" s="4535">
        <f t="shared" si="2"/>
        <v>-3.0916844349680082E-2</v>
      </c>
    </row>
    <row r="28" spans="1:25" ht="12.75" x14ac:dyDescent="0.2">
      <c r="B28" s="1140"/>
      <c r="C28" s="2094"/>
      <c r="D28" s="550"/>
      <c r="E28" s="1230"/>
      <c r="F28" s="1230"/>
      <c r="G28" s="1230"/>
      <c r="H28" s="1230"/>
      <c r="I28" s="1230"/>
      <c r="J28" s="1230"/>
      <c r="K28" s="1230"/>
      <c r="L28" s="1230"/>
      <c r="M28" s="1230"/>
      <c r="N28" s="1230"/>
      <c r="O28" s="1230"/>
      <c r="P28" s="1230"/>
      <c r="Q28" s="1230"/>
      <c r="R28" s="1230"/>
      <c r="S28" s="1230"/>
      <c r="T28" s="1230"/>
      <c r="U28" s="2105"/>
      <c r="V28" s="2106"/>
    </row>
    <row r="29" spans="1:25" ht="12.75" x14ac:dyDescent="0.2">
      <c r="B29" s="1140"/>
      <c r="C29" s="2094"/>
      <c r="D29" s="2107"/>
      <c r="E29" s="955"/>
      <c r="F29" s="955"/>
      <c r="G29" s="955"/>
      <c r="H29" s="955"/>
      <c r="I29" s="955"/>
      <c r="J29" s="955"/>
      <c r="K29" s="955"/>
      <c r="L29" s="955"/>
      <c r="M29" s="955"/>
      <c r="N29" s="955"/>
      <c r="O29" s="955"/>
      <c r="P29" s="955"/>
      <c r="Q29" s="955"/>
      <c r="R29" s="955"/>
      <c r="S29" s="2108"/>
      <c r="T29" s="2108"/>
    </row>
    <row r="30" spans="1:25" ht="15" customHeight="1" x14ac:dyDescent="0.2">
      <c r="A30" s="509">
        <v>5</v>
      </c>
      <c r="B30" s="509" t="s">
        <v>52</v>
      </c>
      <c r="C30" s="509"/>
      <c r="D30" s="5124" t="s">
        <v>2010</v>
      </c>
      <c r="E30" s="5119"/>
      <c r="F30" s="5119"/>
      <c r="G30" s="5119"/>
      <c r="H30" s="5119"/>
      <c r="I30" s="5119"/>
      <c r="J30" s="5119"/>
      <c r="K30" s="5119"/>
      <c r="L30" s="5119"/>
      <c r="M30" s="5119"/>
      <c r="N30" s="5119"/>
      <c r="O30" s="5119"/>
      <c r="P30" s="5119"/>
      <c r="Q30" s="5119"/>
      <c r="R30" s="5119"/>
      <c r="S30" s="5119"/>
      <c r="T30" s="5119"/>
      <c r="U30" s="5119"/>
      <c r="V30" s="5120"/>
    </row>
    <row r="31" spans="1:25" ht="30.6" customHeight="1" x14ac:dyDescent="0.2">
      <c r="A31" s="509">
        <v>6</v>
      </c>
      <c r="B31" s="546" t="s">
        <v>54</v>
      </c>
      <c r="C31" s="546"/>
      <c r="D31" s="5125" t="s">
        <v>2011</v>
      </c>
      <c r="E31" s="5126"/>
      <c r="F31" s="5126"/>
      <c r="G31" s="5126"/>
      <c r="H31" s="5126"/>
      <c r="I31" s="5126"/>
      <c r="J31" s="5126"/>
      <c r="K31" s="5126"/>
      <c r="L31" s="5126"/>
      <c r="M31" s="5126"/>
      <c r="N31" s="5126"/>
      <c r="O31" s="5126"/>
      <c r="P31" s="5126"/>
      <c r="Q31" s="5126"/>
      <c r="R31" s="5126"/>
      <c r="S31" s="5126"/>
      <c r="T31" s="5126"/>
      <c r="U31" s="5126"/>
      <c r="V31" s="5127"/>
    </row>
    <row r="32" spans="1:25" ht="27.95" customHeight="1" x14ac:dyDescent="0.2">
      <c r="A32" s="509">
        <v>7</v>
      </c>
      <c r="B32" s="509" t="s">
        <v>56</v>
      </c>
      <c r="C32" s="509"/>
      <c r="D32" s="5128" t="s">
        <v>2012</v>
      </c>
      <c r="E32" s="5129"/>
      <c r="F32" s="5129"/>
      <c r="G32" s="5129"/>
      <c r="H32" s="5129"/>
      <c r="I32" s="5129"/>
      <c r="J32" s="5129"/>
      <c r="K32" s="5129"/>
      <c r="L32" s="5129"/>
      <c r="M32" s="5129"/>
      <c r="N32" s="5129"/>
      <c r="O32" s="5129"/>
      <c r="P32" s="5129"/>
      <c r="Q32" s="5129"/>
      <c r="R32" s="5129"/>
      <c r="S32" s="5129"/>
      <c r="T32" s="5129"/>
      <c r="U32" s="5129"/>
      <c r="V32" s="5130"/>
    </row>
    <row r="33" spans="1:22" ht="39" customHeight="1" x14ac:dyDescent="0.2">
      <c r="A33" s="509">
        <v>8</v>
      </c>
      <c r="B33" s="509" t="s">
        <v>58</v>
      </c>
      <c r="C33" s="509"/>
      <c r="D33" s="5112" t="s">
        <v>2013</v>
      </c>
      <c r="E33" s="5113"/>
      <c r="F33" s="5113"/>
      <c r="G33" s="5113"/>
      <c r="H33" s="5113"/>
      <c r="I33" s="5113"/>
      <c r="J33" s="5113"/>
      <c r="K33" s="5113"/>
      <c r="L33" s="5113"/>
      <c r="M33" s="5113"/>
      <c r="N33" s="5113"/>
      <c r="O33" s="5113"/>
      <c r="P33" s="5113"/>
      <c r="Q33" s="5113"/>
      <c r="R33" s="5113"/>
      <c r="S33" s="5113"/>
      <c r="T33" s="5113"/>
      <c r="U33" s="5113"/>
      <c r="V33" s="5114"/>
    </row>
    <row r="36" spans="1:22" x14ac:dyDescent="0.2">
      <c r="E36" s="2109"/>
      <c r="F36" s="2109"/>
      <c r="G36" s="2109"/>
      <c r="H36" s="2109"/>
      <c r="I36" s="2109"/>
      <c r="J36" s="2109"/>
      <c r="K36" s="2109"/>
      <c r="L36" s="2109"/>
      <c r="M36" s="2109"/>
      <c r="N36" s="2109"/>
      <c r="O36" s="2109"/>
    </row>
    <row r="37" spans="1:22" x14ac:dyDescent="0.2">
      <c r="E37" s="2109"/>
      <c r="F37" s="2109"/>
      <c r="G37" s="2109"/>
      <c r="H37" s="2109"/>
      <c r="I37" s="2109"/>
      <c r="J37" s="2109"/>
      <c r="K37" s="2109"/>
      <c r="L37" s="2109"/>
      <c r="M37" s="2109"/>
      <c r="N37" s="2109"/>
      <c r="O37" s="2109"/>
    </row>
    <row r="38" spans="1:22" x14ac:dyDescent="0.2">
      <c r="E38" s="2109"/>
      <c r="F38" s="2109"/>
      <c r="G38" s="2109"/>
      <c r="H38" s="2109"/>
      <c r="I38" s="2109"/>
      <c r="J38" s="2109"/>
      <c r="K38" s="2109"/>
      <c r="L38" s="2109"/>
      <c r="M38" s="2109"/>
      <c r="N38" s="2109"/>
      <c r="O38" s="2109"/>
    </row>
    <row r="39" spans="1:22" x14ac:dyDescent="0.2">
      <c r="E39" s="2109"/>
      <c r="F39" s="2109"/>
      <c r="G39" s="2109"/>
      <c r="H39" s="2109"/>
      <c r="I39" s="2109"/>
      <c r="J39" s="2109"/>
      <c r="K39" s="2109"/>
      <c r="L39" s="2109"/>
      <c r="M39" s="2109"/>
      <c r="N39" s="2109"/>
      <c r="O39" s="2109"/>
    </row>
    <row r="40" spans="1:22" x14ac:dyDescent="0.2">
      <c r="E40" s="2109"/>
      <c r="F40" s="2109"/>
      <c r="G40" s="2109"/>
      <c r="H40" s="2109"/>
      <c r="I40" s="2109"/>
      <c r="J40" s="2109"/>
      <c r="K40" s="2109"/>
      <c r="L40" s="2109"/>
      <c r="M40" s="2109"/>
      <c r="N40" s="2109"/>
      <c r="O40" s="2109"/>
    </row>
    <row r="41" spans="1:22" x14ac:dyDescent="0.2">
      <c r="E41" s="2109"/>
      <c r="F41" s="2109"/>
      <c r="G41" s="2109"/>
      <c r="H41" s="2109"/>
      <c r="I41" s="2109"/>
      <c r="J41" s="2109"/>
      <c r="K41" s="2109"/>
      <c r="L41" s="2109"/>
      <c r="M41" s="2109"/>
      <c r="N41" s="2109"/>
      <c r="O41" s="2109"/>
    </row>
    <row r="42" spans="1:22" x14ac:dyDescent="0.2">
      <c r="E42" s="2109"/>
      <c r="F42" s="2109"/>
      <c r="G42" s="2109"/>
      <c r="H42" s="2109"/>
      <c r="I42" s="2109"/>
      <c r="J42" s="2109"/>
      <c r="K42" s="2109"/>
      <c r="L42" s="2109"/>
      <c r="M42" s="2109"/>
      <c r="N42" s="2109"/>
      <c r="O42" s="2109"/>
    </row>
    <row r="43" spans="1:22" x14ac:dyDescent="0.2">
      <c r="E43" s="2109"/>
      <c r="F43" s="2109"/>
      <c r="G43" s="2109"/>
      <c r="H43" s="2109"/>
      <c r="I43" s="2109"/>
      <c r="J43" s="2109"/>
      <c r="K43" s="2109"/>
      <c r="L43" s="2109"/>
      <c r="M43" s="2109"/>
      <c r="N43" s="2109"/>
      <c r="O43" s="2109"/>
    </row>
    <row r="44" spans="1:22" x14ac:dyDescent="0.2">
      <c r="E44" s="2109"/>
      <c r="F44" s="2109"/>
      <c r="G44" s="2109"/>
      <c r="H44" s="2109"/>
      <c r="I44" s="2109"/>
      <c r="J44" s="2109"/>
      <c r="K44" s="2109"/>
      <c r="L44" s="2109"/>
      <c r="M44" s="2109"/>
      <c r="N44" s="2109"/>
      <c r="O44" s="2109"/>
    </row>
    <row r="45" spans="1:22" x14ac:dyDescent="0.2">
      <c r="E45" s="2109"/>
      <c r="F45" s="2109"/>
      <c r="G45" s="2109"/>
      <c r="H45" s="2109"/>
      <c r="I45" s="2109"/>
      <c r="J45" s="2109"/>
      <c r="K45" s="2109"/>
      <c r="L45" s="2109"/>
      <c r="M45" s="2109"/>
      <c r="N45" s="2109"/>
      <c r="O45" s="2109"/>
    </row>
    <row r="46" spans="1:22" x14ac:dyDescent="0.2">
      <c r="E46" s="2109"/>
      <c r="F46" s="2109"/>
      <c r="G46" s="2109"/>
      <c r="H46" s="2109"/>
      <c r="I46" s="2109"/>
      <c r="J46" s="2109"/>
      <c r="K46" s="2109"/>
      <c r="L46" s="2109"/>
      <c r="M46" s="2109"/>
      <c r="N46" s="2109"/>
      <c r="O46" s="2109"/>
    </row>
    <row r="47" spans="1:22" x14ac:dyDescent="0.2">
      <c r="E47" s="2109"/>
      <c r="F47" s="2109"/>
      <c r="G47" s="2109"/>
      <c r="H47" s="2109"/>
      <c r="I47" s="2109"/>
      <c r="J47" s="2109"/>
      <c r="K47" s="2109"/>
      <c r="L47" s="2109"/>
      <c r="M47" s="2109"/>
      <c r="N47" s="2109"/>
      <c r="O47" s="2109"/>
    </row>
    <row r="48" spans="1:22" x14ac:dyDescent="0.2">
      <c r="E48" s="2109"/>
      <c r="F48" s="2109"/>
      <c r="G48" s="2109"/>
      <c r="H48" s="2109"/>
      <c r="I48" s="2109"/>
      <c r="J48" s="2109"/>
      <c r="K48" s="2109"/>
      <c r="L48" s="2109"/>
      <c r="M48" s="2109"/>
      <c r="N48" s="2109"/>
      <c r="O48" s="2109"/>
    </row>
    <row r="49" spans="5:15" x14ac:dyDescent="0.2">
      <c r="E49" s="2109"/>
      <c r="F49" s="2109"/>
      <c r="G49" s="2109"/>
      <c r="H49" s="2109"/>
      <c r="I49" s="2109"/>
      <c r="J49" s="2109"/>
      <c r="K49" s="2109"/>
      <c r="L49" s="2109"/>
      <c r="M49" s="2109"/>
      <c r="N49" s="2109"/>
      <c r="O49" s="2109"/>
    </row>
    <row r="50" spans="5:15" x14ac:dyDescent="0.2">
      <c r="E50" s="2109"/>
      <c r="F50" s="2109"/>
      <c r="G50" s="2109"/>
      <c r="H50" s="2109"/>
      <c r="I50" s="2109"/>
      <c r="J50" s="2109"/>
      <c r="K50" s="2109"/>
      <c r="L50" s="2109"/>
      <c r="M50" s="2109"/>
      <c r="N50" s="2109"/>
      <c r="O50" s="2109"/>
    </row>
    <row r="51" spans="5:15" x14ac:dyDescent="0.2">
      <c r="E51" s="2109"/>
      <c r="F51" s="2109"/>
      <c r="G51" s="2109"/>
      <c r="H51" s="2109"/>
      <c r="I51" s="2109"/>
      <c r="J51" s="2109"/>
      <c r="K51" s="2109"/>
      <c r="L51" s="2109"/>
      <c r="M51" s="2109"/>
      <c r="N51" s="2109"/>
      <c r="O51" s="2109"/>
    </row>
    <row r="52" spans="5:15" x14ac:dyDescent="0.2">
      <c r="E52" s="2109"/>
      <c r="F52" s="2109"/>
      <c r="G52" s="2109"/>
      <c r="H52" s="2109"/>
      <c r="I52" s="2109"/>
      <c r="J52" s="2109"/>
      <c r="K52" s="2109"/>
      <c r="L52" s="2109"/>
      <c r="M52" s="2109"/>
      <c r="N52" s="2109"/>
      <c r="O52" s="2109"/>
    </row>
    <row r="53" spans="5:15" x14ac:dyDescent="0.2">
      <c r="E53" s="2109"/>
      <c r="F53" s="2109"/>
      <c r="G53" s="2109"/>
      <c r="H53" s="2109"/>
      <c r="I53" s="2109"/>
      <c r="J53" s="2109"/>
      <c r="K53" s="2109"/>
      <c r="L53" s="2109"/>
      <c r="M53" s="2109"/>
      <c r="N53" s="2109"/>
      <c r="O53" s="2109"/>
    </row>
    <row r="54" spans="5:15" x14ac:dyDescent="0.2">
      <c r="E54" s="2109"/>
      <c r="F54" s="2109"/>
      <c r="G54" s="2109"/>
      <c r="H54" s="2109"/>
      <c r="I54" s="2109"/>
      <c r="J54" s="2109"/>
      <c r="K54" s="2109"/>
      <c r="L54" s="2109"/>
      <c r="M54" s="2109"/>
      <c r="N54" s="2109"/>
      <c r="O54" s="2109"/>
    </row>
    <row r="55" spans="5:15" x14ac:dyDescent="0.2">
      <c r="E55" s="2109"/>
      <c r="F55" s="2109"/>
      <c r="G55" s="2109"/>
      <c r="H55" s="2109"/>
      <c r="I55" s="2109"/>
      <c r="J55" s="2109"/>
      <c r="K55" s="2109"/>
      <c r="L55" s="2109"/>
      <c r="M55" s="2109"/>
      <c r="N55" s="2109"/>
      <c r="O55" s="2109"/>
    </row>
    <row r="56" spans="5:15" x14ac:dyDescent="0.2">
      <c r="E56" s="2109"/>
      <c r="F56" s="2109"/>
      <c r="G56" s="2109"/>
      <c r="H56" s="2109"/>
      <c r="I56" s="2109"/>
      <c r="J56" s="2109"/>
      <c r="K56" s="2109"/>
      <c r="L56" s="2109"/>
      <c r="M56" s="2109"/>
      <c r="N56" s="2109"/>
      <c r="O56" s="2109"/>
    </row>
    <row r="57" spans="5:15" x14ac:dyDescent="0.2">
      <c r="E57" s="2109"/>
      <c r="F57" s="2109"/>
      <c r="G57" s="2109"/>
      <c r="H57" s="2109"/>
      <c r="I57" s="2109"/>
      <c r="J57" s="2109"/>
      <c r="K57" s="2109"/>
      <c r="L57" s="2109"/>
      <c r="M57" s="2109"/>
      <c r="N57" s="2109"/>
      <c r="O57" s="2109"/>
    </row>
    <row r="58" spans="5:15" x14ac:dyDescent="0.2">
      <c r="E58" s="2109"/>
      <c r="F58" s="2109"/>
      <c r="G58" s="2109"/>
      <c r="H58" s="2109"/>
      <c r="I58" s="2109"/>
      <c r="J58" s="2109"/>
      <c r="K58" s="2109"/>
      <c r="L58" s="2109"/>
      <c r="M58" s="2109"/>
      <c r="N58" s="2109"/>
      <c r="O58" s="2109"/>
    </row>
    <row r="59" spans="5:15" x14ac:dyDescent="0.2">
      <c r="E59" s="2109"/>
      <c r="F59" s="2109"/>
      <c r="G59" s="2109"/>
      <c r="H59" s="2109"/>
      <c r="I59" s="2109"/>
      <c r="J59" s="2109"/>
      <c r="K59" s="2109"/>
      <c r="L59" s="2109"/>
      <c r="M59" s="2109"/>
      <c r="N59" s="2109"/>
      <c r="O59" s="2109"/>
    </row>
    <row r="60" spans="5:15" x14ac:dyDescent="0.2">
      <c r="E60" s="2109"/>
      <c r="F60" s="2109"/>
      <c r="G60" s="2109"/>
      <c r="H60" s="2109"/>
      <c r="I60" s="2109"/>
      <c r="J60" s="2109"/>
      <c r="K60" s="2109"/>
      <c r="L60" s="2109"/>
      <c r="M60" s="2109"/>
      <c r="N60" s="2109"/>
      <c r="O60" s="2109"/>
    </row>
    <row r="61" spans="5:15" x14ac:dyDescent="0.2">
      <c r="E61" s="2109"/>
      <c r="F61" s="2109"/>
      <c r="G61" s="2109"/>
      <c r="H61" s="2109"/>
      <c r="I61" s="2109"/>
      <c r="J61" s="2109"/>
      <c r="K61" s="2109"/>
      <c r="L61" s="2109"/>
      <c r="M61" s="2109"/>
      <c r="N61" s="2109"/>
      <c r="O61" s="2109"/>
    </row>
    <row r="62" spans="5:15" x14ac:dyDescent="0.2">
      <c r="E62" s="2109"/>
      <c r="F62" s="2109"/>
      <c r="G62" s="2109"/>
      <c r="H62" s="2109"/>
      <c r="I62" s="2109"/>
      <c r="J62" s="2109"/>
      <c r="K62" s="2109"/>
      <c r="L62" s="2109"/>
      <c r="M62" s="2109"/>
      <c r="N62" s="2109"/>
      <c r="O62" s="2109"/>
    </row>
  </sheetData>
  <mergeCells count="7">
    <mergeCell ref="D33:V33"/>
    <mergeCell ref="D2:V2"/>
    <mergeCell ref="D3:V3"/>
    <mergeCell ref="D4:V4"/>
    <mergeCell ref="D30:V30"/>
    <mergeCell ref="D31:V31"/>
    <mergeCell ref="D32:V32"/>
  </mergeCells>
  <pageMargins left="0.74803149606299202" right="0.74803149606299202" top="0.98425196850393704" bottom="0.98425196850393704" header="0.511811023622047" footer="0.511811023622047"/>
  <pageSetup paperSize="9" scale="62" fitToHeight="0" orientation="landscape" r:id="rId1"/>
  <headerFooter alignWithMargins="0">
    <oddHeader>&amp;C&amp;"-,Bold"DEVELOPMENT INDICATORS 2014</oddHeader>
    <oddFooter>&amp;LDepartment of Planning, Monitoring and Evaluation (DPME). &amp;CPage &amp;P of &amp;N&amp;R&amp;D</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6F8E-4964-4F6A-B688-82750E6D7FF2}">
  <sheetPr>
    <tabColor theme="4" tint="-0.249977111117893"/>
    <pageSetUpPr fitToPage="1"/>
  </sheetPr>
  <dimension ref="A1:AF60"/>
  <sheetViews>
    <sheetView showGridLines="0" view="pageBreakPreview" zoomScaleNormal="100" workbookViewId="0">
      <selection activeCell="AB9" sqref="AB9:AB10"/>
    </sheetView>
  </sheetViews>
  <sheetFormatPr defaultColWidth="9.140625" defaultRowHeight="12" x14ac:dyDescent="0.2"/>
  <cols>
    <col min="1" max="1" width="3.85546875" style="203" customWidth="1"/>
    <col min="2" max="2" width="9.5703125" style="225" customWidth="1"/>
    <col min="3" max="3" width="3" style="225" customWidth="1"/>
    <col min="4" max="4" width="18" style="207" customWidth="1"/>
    <col min="5" max="17" width="7.42578125" style="207" customWidth="1"/>
    <col min="18" max="20" width="7.5703125" style="207" customWidth="1"/>
    <col min="21" max="21" width="7.140625" style="207" customWidth="1"/>
    <col min="22" max="22" width="7.85546875" style="207" customWidth="1"/>
    <col min="23" max="23" width="7.140625" style="207" customWidth="1"/>
    <col min="24" max="24" width="8.140625" style="207" customWidth="1"/>
    <col min="25" max="25" width="7.42578125" style="207" customWidth="1"/>
    <col min="26" max="26" width="7.140625" style="207" customWidth="1"/>
    <col min="27" max="27" width="7.85546875" style="207" customWidth="1"/>
    <col min="28" max="28" width="8.140625" style="207" customWidth="1"/>
    <col min="29" max="29" width="7.42578125" style="207" customWidth="1"/>
    <col min="30" max="31" width="7.85546875" style="207" customWidth="1"/>
    <col min="32" max="32" width="7.5703125" style="207" customWidth="1"/>
    <col min="33" max="16384" width="9.140625" style="207"/>
  </cols>
  <sheetData>
    <row r="1" spans="1:32" ht="12.75" x14ac:dyDescent="0.2">
      <c r="A1" s="509"/>
      <c r="B1" s="2110"/>
      <c r="C1" s="2110"/>
      <c r="D1" s="2111"/>
      <c r="E1" s="2111"/>
      <c r="F1" s="2111"/>
      <c r="G1" s="2111"/>
      <c r="H1" s="2111"/>
      <c r="I1" s="2111"/>
      <c r="J1" s="2111"/>
      <c r="K1" s="2111"/>
      <c r="L1" s="2111"/>
      <c r="M1" s="2111"/>
      <c r="N1" s="2111"/>
      <c r="O1" s="2111"/>
      <c r="P1" s="2111"/>
      <c r="Q1" s="2111"/>
      <c r="R1" s="2111"/>
      <c r="S1" s="2111"/>
      <c r="T1" s="2112"/>
      <c r="U1" s="2112"/>
      <c r="V1" s="2112"/>
      <c r="W1" s="2112"/>
      <c r="X1" s="2112"/>
      <c r="Y1" s="2112"/>
      <c r="Z1" s="2112"/>
      <c r="AA1" s="2112"/>
      <c r="AB1" s="2112"/>
      <c r="AC1" s="2112"/>
    </row>
    <row r="2" spans="1:32" ht="14.45" customHeight="1" x14ac:dyDescent="0.2">
      <c r="A2" s="509">
        <v>1</v>
      </c>
      <c r="B2" s="509" t="s">
        <v>1786</v>
      </c>
      <c r="C2" s="509">
        <v>78</v>
      </c>
      <c r="D2" s="4603" t="s">
        <v>2014</v>
      </c>
      <c r="E2" s="4604"/>
      <c r="F2" s="4604"/>
      <c r="G2" s="4604"/>
      <c r="H2" s="4604"/>
      <c r="I2" s="4604"/>
      <c r="J2" s="4604"/>
      <c r="K2" s="4604"/>
      <c r="L2" s="4604"/>
      <c r="M2" s="4604"/>
      <c r="N2" s="4604"/>
      <c r="O2" s="4604"/>
      <c r="P2" s="4604"/>
      <c r="Q2" s="4604"/>
      <c r="R2" s="4604"/>
      <c r="S2" s="4604"/>
      <c r="T2" s="4604"/>
      <c r="U2" s="4604"/>
      <c r="V2" s="4604"/>
      <c r="W2" s="4604"/>
      <c r="X2" s="4604"/>
      <c r="Y2" s="4604"/>
      <c r="Z2" s="4604"/>
      <c r="AA2" s="4604"/>
      <c r="AB2" s="4604"/>
      <c r="AC2" s="4605"/>
    </row>
    <row r="3" spans="1:32" ht="12.75" x14ac:dyDescent="0.2">
      <c r="A3" s="509">
        <v>2</v>
      </c>
      <c r="B3" s="509" t="s">
        <v>1788</v>
      </c>
      <c r="C3" s="509"/>
      <c r="D3" s="4603" t="s">
        <v>2015</v>
      </c>
      <c r="E3" s="4604"/>
      <c r="F3" s="4604"/>
      <c r="G3" s="4604"/>
      <c r="H3" s="4604"/>
      <c r="I3" s="4604"/>
      <c r="J3" s="4604"/>
      <c r="K3" s="4604"/>
      <c r="L3" s="4604"/>
      <c r="M3" s="4604"/>
      <c r="N3" s="4604"/>
      <c r="O3" s="4604"/>
      <c r="P3" s="4604"/>
      <c r="Q3" s="4604"/>
      <c r="R3" s="4604"/>
      <c r="S3" s="4604"/>
      <c r="T3" s="4604"/>
      <c r="U3" s="4604"/>
      <c r="V3" s="4604"/>
      <c r="W3" s="4604"/>
      <c r="X3" s="4604"/>
      <c r="Y3" s="4604"/>
      <c r="Z3" s="4604"/>
      <c r="AA3" s="4604"/>
      <c r="AB3" s="4604"/>
      <c r="AC3" s="4605"/>
    </row>
    <row r="4" spans="1:32" ht="15" customHeight="1" x14ac:dyDescent="0.2">
      <c r="A4" s="509">
        <v>3</v>
      </c>
      <c r="B4" s="509" t="s">
        <v>4</v>
      </c>
      <c r="C4" s="509"/>
      <c r="D4" s="4603" t="s">
        <v>2016</v>
      </c>
      <c r="E4" s="4604"/>
      <c r="F4" s="4604"/>
      <c r="G4" s="4604"/>
      <c r="H4" s="4604"/>
      <c r="I4" s="4604"/>
      <c r="J4" s="4604"/>
      <c r="K4" s="4604"/>
      <c r="L4" s="4604"/>
      <c r="M4" s="4604"/>
      <c r="N4" s="4604"/>
      <c r="O4" s="4604"/>
      <c r="P4" s="4604"/>
      <c r="Q4" s="4604"/>
      <c r="R4" s="4604"/>
      <c r="S4" s="4604"/>
      <c r="T4" s="4604"/>
      <c r="U4" s="4604"/>
      <c r="V4" s="4604"/>
      <c r="W4" s="4604"/>
      <c r="X4" s="4604"/>
      <c r="Y4" s="4604"/>
      <c r="Z4" s="4604"/>
      <c r="AA4" s="4604"/>
      <c r="AB4" s="4604"/>
      <c r="AC4" s="4605"/>
      <c r="AE4" s="2113"/>
    </row>
    <row r="5" spans="1:32" ht="15" customHeight="1" x14ac:dyDescent="0.2">
      <c r="A5" s="509"/>
      <c r="B5" s="509"/>
      <c r="C5" s="509"/>
      <c r="D5" s="880"/>
      <c r="E5" s="880"/>
      <c r="F5" s="880"/>
      <c r="G5" s="880"/>
      <c r="H5" s="880"/>
      <c r="I5" s="880"/>
      <c r="J5" s="880"/>
      <c r="K5" s="880"/>
      <c r="L5" s="880"/>
      <c r="M5" s="880"/>
      <c r="N5" s="880"/>
      <c r="O5" s="880"/>
      <c r="P5" s="880"/>
      <c r="Q5" s="880"/>
      <c r="R5" s="880"/>
      <c r="S5" s="880"/>
      <c r="T5" s="880"/>
      <c r="U5" s="880"/>
      <c r="V5" s="880"/>
      <c r="W5" s="880"/>
      <c r="X5" s="880"/>
      <c r="Y5" s="880"/>
      <c r="Z5" s="880"/>
      <c r="AA5" s="880"/>
      <c r="AB5" s="880"/>
      <c r="AC5" s="880"/>
      <c r="AE5" s="2113"/>
    </row>
    <row r="6" spans="1:32" ht="12.75" x14ac:dyDescent="0.2">
      <c r="A6" s="509">
        <v>4</v>
      </c>
      <c r="B6" s="509" t="s">
        <v>6</v>
      </c>
      <c r="C6" s="509"/>
      <c r="D6" s="2112"/>
      <c r="E6" s="2112"/>
      <c r="F6" s="2114"/>
      <c r="G6" s="2114"/>
      <c r="H6" s="2114"/>
      <c r="I6" s="2114"/>
      <c r="J6" s="2114"/>
      <c r="K6" s="2114"/>
      <c r="L6" s="2114"/>
      <c r="M6" s="2114"/>
      <c r="N6" s="2114"/>
      <c r="O6" s="2114"/>
      <c r="P6" s="2114"/>
      <c r="Q6" s="2114"/>
      <c r="R6" s="2114"/>
      <c r="S6" s="2114"/>
      <c r="T6" s="2114"/>
      <c r="U6" s="2114"/>
      <c r="V6" s="2114"/>
      <c r="W6" s="2112"/>
      <c r="X6" s="2112"/>
      <c r="Y6" s="2112"/>
      <c r="Z6" s="2112"/>
      <c r="AA6" s="2112"/>
      <c r="AB6" s="2112"/>
      <c r="AC6" s="2112"/>
    </row>
    <row r="7" spans="1:32" s="2123" customFormat="1" ht="12.75" x14ac:dyDescent="0.2">
      <c r="A7" s="2115"/>
      <c r="B7" s="2115"/>
      <c r="C7" s="2115"/>
      <c r="D7" s="2116" t="s">
        <v>7</v>
      </c>
      <c r="E7" s="548"/>
      <c r="F7" s="2117" t="s">
        <v>2017</v>
      </c>
      <c r="G7" s="1191"/>
      <c r="H7" s="1191"/>
      <c r="I7" s="2118"/>
      <c r="J7" s="2118"/>
      <c r="K7" s="2118"/>
      <c r="L7" s="2118"/>
      <c r="M7" s="2119"/>
      <c r="N7" s="2120"/>
      <c r="O7" s="2120"/>
      <c r="P7" s="2120"/>
      <c r="Q7" s="2120"/>
      <c r="R7" s="2118"/>
      <c r="S7" s="2121"/>
      <c r="T7" s="2121"/>
      <c r="U7" s="2121"/>
      <c r="V7" s="2121"/>
      <c r="W7" s="2121"/>
      <c r="X7" s="2121"/>
      <c r="Y7" s="2121"/>
      <c r="Z7" s="2121"/>
      <c r="AA7" s="2122"/>
      <c r="AB7" s="2122"/>
      <c r="AC7" s="2122"/>
    </row>
    <row r="8" spans="1:32" ht="12.75" customHeight="1" x14ac:dyDescent="0.2">
      <c r="A8" s="509"/>
      <c r="B8" s="2110"/>
      <c r="C8" s="2110"/>
      <c r="D8" s="510"/>
      <c r="E8" s="3152" t="s">
        <v>395</v>
      </c>
      <c r="F8" s="3152" t="s">
        <v>396</v>
      </c>
      <c r="G8" s="3152" t="s">
        <v>9</v>
      </c>
      <c r="H8" s="3152" t="s">
        <v>10</v>
      </c>
      <c r="I8" s="3152" t="s">
        <v>11</v>
      </c>
      <c r="J8" s="3152" t="s">
        <v>12</v>
      </c>
      <c r="K8" s="3153" t="s">
        <v>13</v>
      </c>
      <c r="L8" s="3152" t="s">
        <v>14</v>
      </c>
      <c r="M8" s="3152" t="s">
        <v>15</v>
      </c>
      <c r="N8" s="3152" t="s">
        <v>16</v>
      </c>
      <c r="O8" s="3152" t="s">
        <v>17</v>
      </c>
      <c r="P8" s="3152" t="s">
        <v>18</v>
      </c>
      <c r="Q8" s="3152" t="s">
        <v>19</v>
      </c>
      <c r="R8" s="3152" t="s">
        <v>20</v>
      </c>
      <c r="S8" s="3152" t="s">
        <v>21</v>
      </c>
      <c r="T8" s="3152" t="s">
        <v>22</v>
      </c>
      <c r="U8" s="3152" t="s">
        <v>23</v>
      </c>
      <c r="V8" s="3152" t="s">
        <v>24</v>
      </c>
      <c r="W8" s="3152" t="s">
        <v>25</v>
      </c>
      <c r="X8" s="3152" t="s">
        <v>26</v>
      </c>
      <c r="Y8" s="3152" t="s">
        <v>27</v>
      </c>
      <c r="Z8" s="3152" t="s">
        <v>28</v>
      </c>
      <c r="AA8" s="3152" t="s">
        <v>29</v>
      </c>
      <c r="AB8" s="3152" t="s">
        <v>30</v>
      </c>
      <c r="AC8" s="3152" t="s">
        <v>31</v>
      </c>
      <c r="AD8" s="3152" t="s">
        <v>32</v>
      </c>
      <c r="AE8" s="3249" t="s">
        <v>33</v>
      </c>
      <c r="AF8" s="3249" t="s">
        <v>59</v>
      </c>
    </row>
    <row r="9" spans="1:32" s="2129" customFormat="1" ht="18.75" customHeight="1" x14ac:dyDescent="0.2">
      <c r="A9" s="2124"/>
      <c r="B9" s="2125"/>
      <c r="C9" s="2125"/>
      <c r="D9" s="2126" t="s">
        <v>2018</v>
      </c>
      <c r="E9" s="2127">
        <v>91853</v>
      </c>
      <c r="F9" s="2127">
        <v>86708</v>
      </c>
      <c r="G9" s="2127">
        <v>88885</v>
      </c>
      <c r="H9" s="2127">
        <v>97504</v>
      </c>
      <c r="I9" s="2127">
        <v>95835</v>
      </c>
      <c r="J9" s="2127">
        <v>99692</v>
      </c>
      <c r="K9" s="2127">
        <v>109072</v>
      </c>
      <c r="L9" s="2127">
        <v>115897</v>
      </c>
      <c r="M9" s="2127">
        <v>125322</v>
      </c>
      <c r="N9" s="2127">
        <v>130940</v>
      </c>
      <c r="O9" s="2127">
        <v>134487</v>
      </c>
      <c r="P9" s="2127">
        <v>122410</v>
      </c>
      <c r="Q9" s="2127">
        <v>113711</v>
      </c>
      <c r="R9" s="2127">
        <v>111230</v>
      </c>
      <c r="S9" s="2127">
        <v>109877</v>
      </c>
      <c r="T9" s="2127">
        <v>114972</v>
      </c>
      <c r="U9" s="2127">
        <f>2625+110714</f>
        <v>113339</v>
      </c>
      <c r="V9" s="2127">
        <f>2735+110309</f>
        <v>113044</v>
      </c>
      <c r="W9" s="2127">
        <f>2392+102486</f>
        <v>104878</v>
      </c>
      <c r="X9" s="2127">
        <f>2490+105206</f>
        <v>107696</v>
      </c>
      <c r="Y9" s="2128">
        <v>115064</v>
      </c>
      <c r="Z9" s="2128">
        <v>116727</v>
      </c>
      <c r="AA9" s="2128">
        <v>117255</v>
      </c>
      <c r="AB9" s="2128">
        <v>117878</v>
      </c>
      <c r="AC9" s="2128">
        <v>115147</v>
      </c>
      <c r="AD9" s="2127">
        <v>102841</v>
      </c>
      <c r="AE9" s="2127">
        <v>93066</v>
      </c>
      <c r="AF9" s="2127">
        <v>96079</v>
      </c>
    </row>
    <row r="10" spans="1:32" s="2129" customFormat="1" ht="12.75" customHeight="1" x14ac:dyDescent="0.2">
      <c r="A10" s="2124"/>
      <c r="B10" s="2125"/>
      <c r="C10" s="2125"/>
      <c r="D10" s="3633" t="s">
        <v>2019</v>
      </c>
      <c r="E10" s="3634">
        <v>22021</v>
      </c>
      <c r="F10" s="3634">
        <v>23412</v>
      </c>
      <c r="G10" s="3635">
        <v>29514</v>
      </c>
      <c r="H10" s="3635">
        <v>36698</v>
      </c>
      <c r="I10" s="3634">
        <v>45607</v>
      </c>
      <c r="J10" s="3635">
        <v>54884</v>
      </c>
      <c r="K10" s="3634">
        <v>57262</v>
      </c>
      <c r="L10" s="3635">
        <v>53662</v>
      </c>
      <c r="M10" s="3634">
        <v>53996</v>
      </c>
      <c r="N10" s="3634">
        <v>53901</v>
      </c>
      <c r="O10" s="3634">
        <v>51020</v>
      </c>
      <c r="P10" s="3634">
        <v>46971</v>
      </c>
      <c r="Q10" s="3634">
        <v>44884</v>
      </c>
      <c r="R10" s="3634">
        <v>47595</v>
      </c>
      <c r="S10" s="3635">
        <v>49150</v>
      </c>
      <c r="T10" s="3635">
        <v>47602</v>
      </c>
      <c r="U10" s="3635">
        <f>963+46794</f>
        <v>47757</v>
      </c>
      <c r="V10" s="3635">
        <f>1030+44868</f>
        <v>45898</v>
      </c>
      <c r="W10" s="3635">
        <f>988+44742</f>
        <v>45730</v>
      </c>
      <c r="X10" s="3635">
        <f>1005+43853</f>
        <v>44858</v>
      </c>
      <c r="Y10" s="3636">
        <v>42077</v>
      </c>
      <c r="Z10" s="3636">
        <v>45257</v>
      </c>
      <c r="AA10" s="3636">
        <v>43799</v>
      </c>
      <c r="AB10" s="3636">
        <v>42705</v>
      </c>
      <c r="AC10" s="3636">
        <v>47728</v>
      </c>
      <c r="AD10" s="3635">
        <v>51608</v>
      </c>
      <c r="AE10" s="3635">
        <v>47882</v>
      </c>
      <c r="AF10" s="3635">
        <v>47144</v>
      </c>
    </row>
    <row r="11" spans="1:32" s="4587" customFormat="1" ht="12.75" x14ac:dyDescent="0.2">
      <c r="A11" s="2124"/>
      <c r="B11" s="4583"/>
      <c r="C11" s="4583"/>
      <c r="D11" s="4584" t="s">
        <v>2020</v>
      </c>
      <c r="E11" s="4585"/>
      <c r="F11" s="4585">
        <f>(F10/F9)*100</f>
        <v>27.000968768741064</v>
      </c>
      <c r="G11" s="4585">
        <f t="shared" ref="G11:AB11" si="0">(G10/G9)*100</f>
        <v>33.204702705743379</v>
      </c>
      <c r="H11" s="4585">
        <f t="shared" si="0"/>
        <v>37.637430259271412</v>
      </c>
      <c r="I11" s="4585">
        <f t="shared" si="0"/>
        <v>47.589085407210305</v>
      </c>
      <c r="J11" s="4585">
        <f t="shared" si="0"/>
        <v>55.053564980138823</v>
      </c>
      <c r="K11" s="4585">
        <f t="shared" si="0"/>
        <v>52.499266539533515</v>
      </c>
      <c r="L11" s="4585">
        <f t="shared" si="0"/>
        <v>46.301457328489953</v>
      </c>
      <c r="M11" s="4585">
        <f t="shared" si="0"/>
        <v>43.08581095099025</v>
      </c>
      <c r="N11" s="4585">
        <f t="shared" si="0"/>
        <v>41.164655567435467</v>
      </c>
      <c r="O11" s="4585">
        <f t="shared" si="0"/>
        <v>37.936752251146949</v>
      </c>
      <c r="P11" s="4585">
        <f t="shared" si="0"/>
        <v>38.371865043705576</v>
      </c>
      <c r="Q11" s="4585">
        <f t="shared" si="0"/>
        <v>39.47199479381942</v>
      </c>
      <c r="R11" s="4585">
        <f t="shared" si="0"/>
        <v>42.789715004944711</v>
      </c>
      <c r="S11" s="4585">
        <f t="shared" si="0"/>
        <v>44.731836508095419</v>
      </c>
      <c r="T11" s="4585">
        <f t="shared" si="0"/>
        <v>41.403124238945132</v>
      </c>
      <c r="U11" s="4585">
        <f t="shared" si="0"/>
        <v>42.136422590635178</v>
      </c>
      <c r="V11" s="4585">
        <f t="shared" si="0"/>
        <v>40.601889529740632</v>
      </c>
      <c r="W11" s="4585">
        <f t="shared" si="0"/>
        <v>43.603043536299317</v>
      </c>
      <c r="X11" s="4585">
        <f t="shared" si="0"/>
        <v>41.652429059575105</v>
      </c>
      <c r="Y11" s="4586">
        <f t="shared" si="0"/>
        <v>36.568344573454773</v>
      </c>
      <c r="Z11" s="4586">
        <f t="shared" si="0"/>
        <v>38.771663796722265</v>
      </c>
      <c r="AA11" s="4586">
        <f t="shared" si="0"/>
        <v>37.353630975224938</v>
      </c>
      <c r="AB11" s="4586">
        <f t="shared" si="0"/>
        <v>36.22813417261915</v>
      </c>
      <c r="AC11" s="4586">
        <f>SUM(AC9:AC10)/118572*100-100</f>
        <v>37.363795837128492</v>
      </c>
      <c r="AD11" s="4585">
        <f>SUM(AD9:AD10)/120567*100-100</f>
        <v>28.102217024558939</v>
      </c>
      <c r="AE11" s="4585">
        <f>SUM(AE9:AE10)/110836*100-100</f>
        <v>27.168068136706495</v>
      </c>
      <c r="AF11" s="4585">
        <f>SUM(AF9:AF10)/110836*100-100</f>
        <v>29.220650330217609</v>
      </c>
    </row>
    <row r="12" spans="1:32" s="2129" customFormat="1" ht="12.75" x14ac:dyDescent="0.2">
      <c r="A12" s="2124"/>
      <c r="B12" s="2125"/>
      <c r="C12" s="2125"/>
      <c r="D12" s="2130" t="s">
        <v>2021</v>
      </c>
      <c r="E12" s="2127"/>
      <c r="F12" s="2127">
        <v>634</v>
      </c>
      <c r="G12" s="2131">
        <v>807</v>
      </c>
      <c r="H12" s="2131">
        <v>1059</v>
      </c>
      <c r="I12" s="2127">
        <v>1174</v>
      </c>
      <c r="J12" s="2131">
        <v>1302</v>
      </c>
      <c r="K12" s="2127">
        <v>1370</v>
      </c>
      <c r="L12" s="2131">
        <v>1236</v>
      </c>
      <c r="M12" s="2127">
        <v>1215</v>
      </c>
      <c r="N12" s="2127">
        <v>1159</v>
      </c>
      <c r="O12" s="2127">
        <v>1052</v>
      </c>
      <c r="P12" s="2127">
        <v>969</v>
      </c>
      <c r="Q12" s="2127">
        <v>920</v>
      </c>
      <c r="R12" s="2127">
        <v>961</v>
      </c>
      <c r="S12" s="2131">
        <v>1016</v>
      </c>
      <c r="T12" s="2131">
        <v>1022</v>
      </c>
      <c r="U12" s="2131">
        <f>963+2625</f>
        <v>3588</v>
      </c>
      <c r="V12" s="2131">
        <f>1030+2735</f>
        <v>3765</v>
      </c>
      <c r="W12" s="2131">
        <v>3380</v>
      </c>
      <c r="X12" s="2131">
        <f>1005+2490</f>
        <v>3495</v>
      </c>
      <c r="Y12" s="2132">
        <v>3915</v>
      </c>
      <c r="Z12" s="2132">
        <v>4105</v>
      </c>
      <c r="AA12" s="2132">
        <v>4080</v>
      </c>
      <c r="AB12" s="2132">
        <v>4150</v>
      </c>
      <c r="AC12" s="2132">
        <v>4316</v>
      </c>
      <c r="AD12" s="2131">
        <v>3982</v>
      </c>
      <c r="AE12" s="2131">
        <v>3453</v>
      </c>
      <c r="AF12" s="2131">
        <v>3724</v>
      </c>
    </row>
    <row r="13" spans="1:32" s="2129" customFormat="1" ht="12.75" x14ac:dyDescent="0.2">
      <c r="A13" s="2124"/>
      <c r="B13" s="2125"/>
      <c r="C13" s="2125"/>
      <c r="D13" s="3637" t="s">
        <v>2022</v>
      </c>
      <c r="E13" s="3634"/>
      <c r="F13" s="3634">
        <v>22976</v>
      </c>
      <c r="G13" s="3635">
        <v>29257</v>
      </c>
      <c r="H13" s="3635">
        <v>36060</v>
      </c>
      <c r="I13" s="3634">
        <v>45264</v>
      </c>
      <c r="J13" s="3635">
        <v>54029</v>
      </c>
      <c r="K13" s="3634">
        <v>56184</v>
      </c>
      <c r="L13" s="3635">
        <v>52368</v>
      </c>
      <c r="M13" s="3634">
        <v>52686</v>
      </c>
      <c r="N13" s="3634">
        <v>52832</v>
      </c>
      <c r="O13" s="3634">
        <v>50096</v>
      </c>
      <c r="P13" s="3634">
        <v>46274</v>
      </c>
      <c r="Q13" s="3634">
        <v>44087</v>
      </c>
      <c r="R13" s="3634">
        <v>47735</v>
      </c>
      <c r="S13" s="3635">
        <v>48756</v>
      </c>
      <c r="T13" s="3635">
        <v>47185</v>
      </c>
      <c r="U13" s="3635">
        <f>46794+110714</f>
        <v>157508</v>
      </c>
      <c r="V13" s="3635">
        <f>44868+110309</f>
        <v>155177</v>
      </c>
      <c r="W13" s="3635">
        <v>150608</v>
      </c>
      <c r="X13" s="3635">
        <v>149058</v>
      </c>
      <c r="Y13" s="3636">
        <v>153226</v>
      </c>
      <c r="Z13" s="3636">
        <v>155226</v>
      </c>
      <c r="AA13" s="3636">
        <v>156200</v>
      </c>
      <c r="AB13" s="3636">
        <v>156433</v>
      </c>
      <c r="AC13" s="3636">
        <v>158559</v>
      </c>
      <c r="AD13" s="3635">
        <v>150467</v>
      </c>
      <c r="AE13" s="3635">
        <v>137495</v>
      </c>
      <c r="AF13" s="3635">
        <v>139499</v>
      </c>
    </row>
    <row r="14" spans="1:32" ht="12.75" x14ac:dyDescent="0.2">
      <c r="A14" s="2110"/>
      <c r="B14" s="2133"/>
      <c r="C14" s="2133"/>
      <c r="D14" s="2134"/>
      <c r="E14" s="2134"/>
      <c r="F14" s="2134"/>
      <c r="G14" s="2134"/>
      <c r="H14" s="2134"/>
      <c r="I14" s="2134"/>
      <c r="J14" s="2134"/>
      <c r="K14" s="2134"/>
      <c r="L14" s="2134"/>
      <c r="M14" s="2134"/>
      <c r="N14" s="2134"/>
      <c r="O14" s="2134"/>
      <c r="P14" s="2134"/>
      <c r="Q14" s="2134"/>
      <c r="R14" s="2134"/>
      <c r="S14" s="2134"/>
      <c r="T14" s="2134"/>
      <c r="U14" s="2135"/>
      <c r="V14" s="2135"/>
      <c r="W14" s="2135"/>
      <c r="X14" s="2135"/>
      <c r="Y14" s="2136"/>
      <c r="Z14" s="2136"/>
      <c r="AA14" s="2136"/>
      <c r="AB14" s="2136"/>
      <c r="AC14" s="2136"/>
      <c r="AD14" s="3250"/>
      <c r="AE14" s="3250"/>
      <c r="AF14" s="3250"/>
    </row>
    <row r="15" spans="1:32" ht="12.75" hidden="1" customHeight="1" x14ac:dyDescent="0.2">
      <c r="A15" s="509"/>
      <c r="B15" s="2110"/>
      <c r="C15" s="2110"/>
      <c r="D15" s="2137"/>
      <c r="E15" s="2137"/>
      <c r="F15" s="1120"/>
      <c r="G15" s="1120"/>
      <c r="H15" s="1120"/>
      <c r="I15" s="1120"/>
      <c r="J15" s="1120"/>
      <c r="K15" s="1120"/>
      <c r="L15" s="1120"/>
      <c r="M15" s="1120"/>
      <c r="N15" s="1120"/>
      <c r="O15" s="1120"/>
      <c r="P15" s="1120"/>
      <c r="Q15" s="1120"/>
      <c r="R15" s="1120"/>
      <c r="S15" s="1120"/>
      <c r="T15" s="2138"/>
      <c r="U15" s="2135"/>
      <c r="V15" s="2135"/>
      <c r="W15" s="2135"/>
      <c r="X15" s="2135"/>
      <c r="Y15" s="2136"/>
      <c r="Z15" s="2136"/>
      <c r="AA15" s="2136"/>
      <c r="AB15" s="2136"/>
      <c r="AC15" s="2136"/>
      <c r="AD15" s="3250"/>
      <c r="AE15" s="3250"/>
      <c r="AF15" s="3250"/>
    </row>
    <row r="16" spans="1:32" ht="12.75" hidden="1" customHeight="1" x14ac:dyDescent="0.2">
      <c r="A16" s="509"/>
      <c r="B16" s="2110"/>
      <c r="C16" s="2110"/>
      <c r="D16" s="2137"/>
      <c r="E16" s="2137"/>
      <c r="F16" s="1120"/>
      <c r="G16" s="1120"/>
      <c r="H16" s="1120"/>
      <c r="I16" s="1120"/>
      <c r="J16" s="1120"/>
      <c r="K16" s="1120"/>
      <c r="L16" s="1120"/>
      <c r="M16" s="1120"/>
      <c r="N16" s="1120"/>
      <c r="O16" s="1120"/>
      <c r="P16" s="1120"/>
      <c r="Q16" s="1120"/>
      <c r="R16" s="1120"/>
      <c r="S16" s="1120"/>
      <c r="T16" s="2138"/>
      <c r="U16" s="2135"/>
      <c r="V16" s="2135"/>
      <c r="W16" s="2135"/>
      <c r="X16" s="2135"/>
      <c r="Y16" s="2136"/>
      <c r="Z16" s="2136"/>
      <c r="AA16" s="2136"/>
      <c r="AB16" s="2136"/>
      <c r="AC16" s="2136"/>
      <c r="AD16" s="3250"/>
      <c r="AE16" s="3250"/>
      <c r="AF16" s="3250"/>
    </row>
    <row r="17" spans="1:32" ht="12.75" hidden="1" customHeight="1" x14ac:dyDescent="0.2">
      <c r="A17" s="509"/>
      <c r="B17" s="2110"/>
      <c r="C17" s="2110"/>
      <c r="D17" s="2137"/>
      <c r="E17" s="2137"/>
      <c r="F17" s="1120"/>
      <c r="G17" s="1120"/>
      <c r="H17" s="1120"/>
      <c r="I17" s="1120"/>
      <c r="J17" s="1120"/>
      <c r="K17" s="1120"/>
      <c r="L17" s="1120"/>
      <c r="M17" s="1120"/>
      <c r="N17" s="1120"/>
      <c r="O17" s="1120"/>
      <c r="P17" s="1120"/>
      <c r="Q17" s="1120"/>
      <c r="R17" s="1120"/>
      <c r="S17" s="1120"/>
      <c r="T17" s="2138"/>
      <c r="U17" s="2135"/>
      <c r="V17" s="2135"/>
      <c r="W17" s="2135"/>
      <c r="X17" s="2135"/>
      <c r="Y17" s="2136"/>
      <c r="Z17" s="2136"/>
      <c r="AA17" s="2136"/>
      <c r="AB17" s="2136"/>
      <c r="AC17" s="2136"/>
      <c r="AD17" s="3250"/>
      <c r="AE17" s="3250"/>
      <c r="AF17" s="3250"/>
    </row>
    <row r="18" spans="1:32" ht="12.75" hidden="1" customHeight="1" x14ac:dyDescent="0.2">
      <c r="A18" s="509"/>
      <c r="B18" s="2110"/>
      <c r="C18" s="2110"/>
      <c r="D18" s="2137"/>
      <c r="E18" s="2137"/>
      <c r="F18" s="1120"/>
      <c r="G18" s="1120"/>
      <c r="H18" s="1120"/>
      <c r="I18" s="1120"/>
      <c r="J18" s="1120"/>
      <c r="K18" s="1120"/>
      <c r="L18" s="1120"/>
      <c r="M18" s="1120"/>
      <c r="N18" s="1120"/>
      <c r="O18" s="1120"/>
      <c r="P18" s="1120"/>
      <c r="Q18" s="1120"/>
      <c r="R18" s="1120"/>
      <c r="S18" s="1120"/>
      <c r="T18" s="2138"/>
      <c r="U18" s="2135"/>
      <c r="V18" s="2135"/>
      <c r="W18" s="2135"/>
      <c r="X18" s="2135"/>
      <c r="Y18" s="2136"/>
      <c r="Z18" s="2136"/>
      <c r="AA18" s="2136"/>
      <c r="AB18" s="2136"/>
      <c r="AC18" s="2136"/>
      <c r="AD18" s="3250"/>
      <c r="AE18" s="3250"/>
      <c r="AF18" s="3250"/>
    </row>
    <row r="19" spans="1:32" ht="12.75" hidden="1" customHeight="1" x14ac:dyDescent="0.2">
      <c r="A19" s="509"/>
      <c r="B19" s="2110"/>
      <c r="C19" s="2110"/>
      <c r="D19" s="2137"/>
      <c r="E19" s="2137"/>
      <c r="F19" s="1120"/>
      <c r="G19" s="1120"/>
      <c r="H19" s="1120"/>
      <c r="I19" s="1120"/>
      <c r="J19" s="1120"/>
      <c r="K19" s="1120"/>
      <c r="L19" s="1120"/>
      <c r="M19" s="1120"/>
      <c r="N19" s="1120"/>
      <c r="O19" s="1120"/>
      <c r="P19" s="1120"/>
      <c r="Q19" s="1120"/>
      <c r="R19" s="1120"/>
      <c r="S19" s="1120"/>
      <c r="T19" s="2138"/>
      <c r="U19" s="2135"/>
      <c r="V19" s="2135"/>
      <c r="W19" s="2135"/>
      <c r="X19" s="2135"/>
      <c r="Y19" s="2136"/>
      <c r="Z19" s="2136"/>
      <c r="AA19" s="2136"/>
      <c r="AB19" s="2136"/>
      <c r="AC19" s="2136"/>
      <c r="AD19" s="3250"/>
      <c r="AE19" s="3250"/>
      <c r="AF19" s="3250"/>
    </row>
    <row r="20" spans="1:32" ht="12.75" hidden="1" customHeight="1" x14ac:dyDescent="0.2">
      <c r="A20" s="509"/>
      <c r="B20" s="2110"/>
      <c r="C20" s="2110"/>
      <c r="D20" s="2137"/>
      <c r="E20" s="2137"/>
      <c r="F20" s="1120"/>
      <c r="G20" s="1120"/>
      <c r="H20" s="1120"/>
      <c r="I20" s="1120"/>
      <c r="J20" s="1120"/>
      <c r="K20" s="1120"/>
      <c r="L20" s="1120"/>
      <c r="M20" s="1120"/>
      <c r="N20" s="1120"/>
      <c r="O20" s="1120"/>
      <c r="P20" s="1120"/>
      <c r="Q20" s="1120"/>
      <c r="R20" s="1120"/>
      <c r="S20" s="1120"/>
      <c r="T20" s="2138"/>
      <c r="U20" s="2135"/>
      <c r="V20" s="2135"/>
      <c r="W20" s="2135"/>
      <c r="X20" s="2135"/>
      <c r="Y20" s="2136"/>
      <c r="Z20" s="2136"/>
      <c r="AA20" s="2136"/>
      <c r="AB20" s="2136"/>
      <c r="AC20" s="2136"/>
      <c r="AD20" s="3250"/>
      <c r="AE20" s="3250"/>
      <c r="AF20" s="3250"/>
    </row>
    <row r="21" spans="1:32" ht="12.75" hidden="1" customHeight="1" x14ac:dyDescent="0.2">
      <c r="A21" s="509"/>
      <c r="B21" s="2110"/>
      <c r="C21" s="2110"/>
      <c r="D21" s="2137"/>
      <c r="E21" s="2137"/>
      <c r="F21" s="1120"/>
      <c r="G21" s="1120"/>
      <c r="H21" s="1120"/>
      <c r="I21" s="1120"/>
      <c r="J21" s="1120"/>
      <c r="K21" s="1120"/>
      <c r="L21" s="1120"/>
      <c r="M21" s="1120"/>
      <c r="N21" s="1120"/>
      <c r="O21" s="1120"/>
      <c r="P21" s="1120"/>
      <c r="Q21" s="1120"/>
      <c r="R21" s="1120"/>
      <c r="S21" s="1120"/>
      <c r="T21" s="2138"/>
      <c r="U21" s="2135"/>
      <c r="V21" s="2135"/>
      <c r="W21" s="2135"/>
      <c r="X21" s="2135"/>
      <c r="Y21" s="2136"/>
      <c r="Z21" s="2136"/>
      <c r="AA21" s="2136"/>
      <c r="AB21" s="2136"/>
      <c r="AC21" s="2136"/>
      <c r="AD21" s="3250"/>
      <c r="AE21" s="3250"/>
      <c r="AF21" s="3250"/>
    </row>
    <row r="22" spans="1:32" ht="12.75" hidden="1" customHeight="1" x14ac:dyDescent="0.2">
      <c r="A22" s="509"/>
      <c r="B22" s="2110"/>
      <c r="C22" s="2110"/>
      <c r="D22" s="2137"/>
      <c r="E22" s="2137"/>
      <c r="F22" s="1120"/>
      <c r="G22" s="1120"/>
      <c r="H22" s="1120"/>
      <c r="I22" s="1120"/>
      <c r="J22" s="1120"/>
      <c r="K22" s="1120"/>
      <c r="L22" s="1120"/>
      <c r="M22" s="1120"/>
      <c r="N22" s="1120"/>
      <c r="O22" s="1120"/>
      <c r="P22" s="1120"/>
      <c r="Q22" s="1120"/>
      <c r="R22" s="1120"/>
      <c r="S22" s="1120"/>
      <c r="T22" s="2138"/>
      <c r="U22" s="2135"/>
      <c r="V22" s="2135"/>
      <c r="W22" s="2135"/>
      <c r="X22" s="2135"/>
      <c r="Y22" s="2136"/>
      <c r="Z22" s="2136"/>
      <c r="AA22" s="2136"/>
      <c r="AB22" s="2136"/>
      <c r="AC22" s="2136"/>
      <c r="AD22" s="3250"/>
      <c r="AE22" s="3250"/>
      <c r="AF22" s="3250"/>
    </row>
    <row r="23" spans="1:32" ht="12.75" hidden="1" customHeight="1" x14ac:dyDescent="0.2">
      <c r="A23" s="509"/>
      <c r="B23" s="2110"/>
      <c r="C23" s="2110"/>
      <c r="D23" s="2137"/>
      <c r="E23" s="2137"/>
      <c r="F23" s="1120"/>
      <c r="G23" s="1120"/>
      <c r="H23" s="1120"/>
      <c r="I23" s="1120"/>
      <c r="J23" s="1120"/>
      <c r="K23" s="1120"/>
      <c r="L23" s="1120"/>
      <c r="M23" s="1120"/>
      <c r="N23" s="1120"/>
      <c r="O23" s="1120"/>
      <c r="P23" s="1120"/>
      <c r="Q23" s="1120"/>
      <c r="R23" s="1120"/>
      <c r="S23" s="1120"/>
      <c r="T23" s="2138"/>
      <c r="U23" s="2135"/>
      <c r="V23" s="2135"/>
      <c r="W23" s="2135"/>
      <c r="X23" s="2135"/>
      <c r="Y23" s="2136"/>
      <c r="Z23" s="2136"/>
      <c r="AA23" s="2136"/>
      <c r="AB23" s="2136"/>
      <c r="AC23" s="2136"/>
      <c r="AD23" s="3250"/>
      <c r="AE23" s="3250"/>
      <c r="AF23" s="3250"/>
    </row>
    <row r="24" spans="1:32" ht="12.75" hidden="1" customHeight="1" x14ac:dyDescent="0.2">
      <c r="A24" s="509"/>
      <c r="B24" s="2110"/>
      <c r="C24" s="2110"/>
      <c r="D24" s="2137"/>
      <c r="E24" s="2137"/>
      <c r="F24" s="1120"/>
      <c r="G24" s="1120"/>
      <c r="H24" s="1120"/>
      <c r="I24" s="1120"/>
      <c r="J24" s="1120"/>
      <c r="K24" s="1120"/>
      <c r="L24" s="1120"/>
      <c r="M24" s="1120"/>
      <c r="N24" s="1120"/>
      <c r="O24" s="1120"/>
      <c r="P24" s="1120"/>
      <c r="Q24" s="1120"/>
      <c r="R24" s="1120"/>
      <c r="S24" s="1120"/>
      <c r="T24" s="2138"/>
      <c r="U24" s="2135"/>
      <c r="V24" s="2135"/>
      <c r="W24" s="2135"/>
      <c r="X24" s="2135"/>
      <c r="Y24" s="2136"/>
      <c r="Z24" s="2136"/>
      <c r="AA24" s="2136"/>
      <c r="AB24" s="2136"/>
      <c r="AC24" s="2136"/>
      <c r="AD24" s="3250"/>
      <c r="AE24" s="3250"/>
      <c r="AF24" s="3250"/>
    </row>
    <row r="25" spans="1:32" ht="12.75" hidden="1" customHeight="1" x14ac:dyDescent="0.2">
      <c r="A25" s="509"/>
      <c r="B25" s="2110"/>
      <c r="C25" s="2110"/>
      <c r="D25" s="2137"/>
      <c r="E25" s="2137"/>
      <c r="F25" s="1120"/>
      <c r="G25" s="1120"/>
      <c r="H25" s="1120"/>
      <c r="I25" s="1120"/>
      <c r="J25" s="1120"/>
      <c r="K25" s="1120"/>
      <c r="L25" s="1120"/>
      <c r="M25" s="1120"/>
      <c r="N25" s="1120"/>
      <c r="O25" s="1120"/>
      <c r="P25" s="1120"/>
      <c r="Q25" s="1120"/>
      <c r="R25" s="1120"/>
      <c r="S25" s="1120"/>
      <c r="T25" s="2138"/>
      <c r="U25" s="2135"/>
      <c r="V25" s="2135"/>
      <c r="W25" s="2135"/>
      <c r="X25" s="2135"/>
      <c r="Y25" s="2136"/>
      <c r="Z25" s="2136"/>
      <c r="AA25" s="2136"/>
      <c r="AB25" s="2136"/>
      <c r="AC25" s="2136"/>
      <c r="AD25" s="3250"/>
      <c r="AE25" s="3250"/>
      <c r="AF25" s="3250"/>
    </row>
    <row r="26" spans="1:32" ht="12.75" hidden="1" customHeight="1" x14ac:dyDescent="0.2">
      <c r="A26" s="509"/>
      <c r="B26" s="2110"/>
      <c r="C26" s="2110"/>
      <c r="D26" s="2137"/>
      <c r="E26" s="2137"/>
      <c r="F26" s="1120"/>
      <c r="G26" s="1120"/>
      <c r="H26" s="1120"/>
      <c r="I26" s="1120"/>
      <c r="J26" s="1120"/>
      <c r="K26" s="1120"/>
      <c r="L26" s="1120"/>
      <c r="M26" s="1120"/>
      <c r="N26" s="1120"/>
      <c r="O26" s="1120"/>
      <c r="P26" s="1120"/>
      <c r="Q26" s="1120"/>
      <c r="R26" s="1120"/>
      <c r="S26" s="1120"/>
      <c r="T26" s="2138"/>
      <c r="U26" s="2135"/>
      <c r="V26" s="2135"/>
      <c r="W26" s="2135"/>
      <c r="X26" s="2135"/>
      <c r="Y26" s="2136"/>
      <c r="Z26" s="2136"/>
      <c r="AA26" s="2136"/>
      <c r="AB26" s="2136"/>
      <c r="AC26" s="2136"/>
      <c r="AD26" s="3250"/>
      <c r="AE26" s="3250"/>
      <c r="AF26" s="3250"/>
    </row>
    <row r="27" spans="1:32" ht="12.75" hidden="1" customHeight="1" x14ac:dyDescent="0.2">
      <c r="A27" s="509"/>
      <c r="B27" s="2110"/>
      <c r="C27" s="2110"/>
      <c r="D27" s="2137"/>
      <c r="E27" s="2137"/>
      <c r="F27" s="1120"/>
      <c r="G27" s="1120"/>
      <c r="H27" s="1120"/>
      <c r="I27" s="1120"/>
      <c r="J27" s="1120"/>
      <c r="K27" s="1120"/>
      <c r="L27" s="1120"/>
      <c r="M27" s="1120"/>
      <c r="N27" s="1120"/>
      <c r="O27" s="1120"/>
      <c r="P27" s="1120"/>
      <c r="Q27" s="1120"/>
      <c r="R27" s="1120"/>
      <c r="S27" s="1120"/>
      <c r="T27" s="2138"/>
      <c r="U27" s="2135"/>
      <c r="V27" s="2135"/>
      <c r="W27" s="2135"/>
      <c r="X27" s="2135"/>
      <c r="Y27" s="2136"/>
      <c r="Z27" s="2136"/>
      <c r="AA27" s="2136"/>
      <c r="AB27" s="2136"/>
      <c r="AC27" s="2136"/>
      <c r="AD27" s="3250"/>
      <c r="AE27" s="3250"/>
      <c r="AF27" s="3250"/>
    </row>
    <row r="28" spans="1:32" ht="12.75" hidden="1" customHeight="1" x14ac:dyDescent="0.2">
      <c r="A28" s="509"/>
      <c r="B28" s="2110"/>
      <c r="C28" s="2110"/>
      <c r="D28" s="2137"/>
      <c r="E28" s="2137"/>
      <c r="F28" s="1120"/>
      <c r="G28" s="1120"/>
      <c r="H28" s="1120"/>
      <c r="I28" s="1120"/>
      <c r="J28" s="1120"/>
      <c r="K28" s="1120"/>
      <c r="L28" s="1120"/>
      <c r="M28" s="1120"/>
      <c r="N28" s="1120"/>
      <c r="O28" s="1120"/>
      <c r="P28" s="1120"/>
      <c r="Q28" s="1120"/>
      <c r="R28" s="1120"/>
      <c r="S28" s="1120"/>
      <c r="T28" s="2138"/>
      <c r="U28" s="2135"/>
      <c r="V28" s="2135"/>
      <c r="W28" s="2135"/>
      <c r="X28" s="2135"/>
      <c r="Y28" s="2136"/>
      <c r="Z28" s="2136"/>
      <c r="AA28" s="2136"/>
      <c r="AB28" s="2136"/>
      <c r="AC28" s="2136"/>
      <c r="AD28" s="3250"/>
      <c r="AE28" s="3250"/>
      <c r="AF28" s="3250"/>
    </row>
    <row r="29" spans="1:32" ht="12.75" hidden="1" customHeight="1" x14ac:dyDescent="0.2">
      <c r="A29" s="509"/>
      <c r="B29" s="2110"/>
      <c r="C29" s="2110"/>
      <c r="D29" s="2137"/>
      <c r="E29" s="2137"/>
      <c r="F29" s="1120"/>
      <c r="G29" s="1120"/>
      <c r="H29" s="1120"/>
      <c r="I29" s="1120"/>
      <c r="J29" s="1120"/>
      <c r="K29" s="1120"/>
      <c r="L29" s="1120"/>
      <c r="M29" s="1120"/>
      <c r="N29" s="1120"/>
      <c r="O29" s="1120"/>
      <c r="P29" s="1120"/>
      <c r="Q29" s="1120"/>
      <c r="R29" s="1120"/>
      <c r="S29" s="1120"/>
      <c r="T29" s="2138"/>
      <c r="U29" s="2135"/>
      <c r="V29" s="2135"/>
      <c r="W29" s="2135"/>
      <c r="X29" s="2135"/>
      <c r="Y29" s="2136"/>
      <c r="Z29" s="2136"/>
      <c r="AA29" s="2136"/>
      <c r="AB29" s="2136"/>
      <c r="AC29" s="2136"/>
      <c r="AD29" s="3250"/>
      <c r="AE29" s="3250"/>
      <c r="AF29" s="3250"/>
    </row>
    <row r="30" spans="1:32" ht="12.75" hidden="1" customHeight="1" x14ac:dyDescent="0.2">
      <c r="A30" s="509"/>
      <c r="B30" s="2110"/>
      <c r="C30" s="2110"/>
      <c r="D30" s="2137"/>
      <c r="E30" s="2137"/>
      <c r="F30" s="1120"/>
      <c r="G30" s="1120"/>
      <c r="H30" s="1120"/>
      <c r="I30" s="1120"/>
      <c r="J30" s="1120"/>
      <c r="K30" s="1120"/>
      <c r="L30" s="1120"/>
      <c r="M30" s="1120"/>
      <c r="N30" s="1120"/>
      <c r="O30" s="1120"/>
      <c r="P30" s="1120"/>
      <c r="Q30" s="1120"/>
      <c r="R30" s="1120"/>
      <c r="S30" s="1120"/>
      <c r="T30" s="2138"/>
      <c r="U30" s="2135"/>
      <c r="V30" s="2135"/>
      <c r="W30" s="2135"/>
      <c r="X30" s="2135"/>
      <c r="Y30" s="2136"/>
      <c r="Z30" s="2136"/>
      <c r="AA30" s="2136"/>
      <c r="AB30" s="2136"/>
      <c r="AC30" s="2136"/>
      <c r="AD30" s="3250"/>
      <c r="AE30" s="3250"/>
      <c r="AF30" s="3250"/>
    </row>
    <row r="31" spans="1:32" ht="12.75" hidden="1" customHeight="1" x14ac:dyDescent="0.2">
      <c r="A31" s="509"/>
      <c r="B31" s="2110"/>
      <c r="C31" s="2110"/>
      <c r="D31" s="2137"/>
      <c r="E31" s="2137"/>
      <c r="F31" s="1120"/>
      <c r="G31" s="1120"/>
      <c r="H31" s="1120"/>
      <c r="I31" s="1120"/>
      <c r="J31" s="1120"/>
      <c r="K31" s="1120"/>
      <c r="L31" s="1120"/>
      <c r="M31" s="1120"/>
      <c r="N31" s="1120"/>
      <c r="O31" s="1120"/>
      <c r="P31" s="1120"/>
      <c r="Q31" s="1120"/>
      <c r="R31" s="1120"/>
      <c r="S31" s="1120"/>
      <c r="T31" s="2138"/>
      <c r="U31" s="2135"/>
      <c r="V31" s="2135"/>
      <c r="W31" s="2135"/>
      <c r="X31" s="2135"/>
      <c r="Y31" s="2136"/>
      <c r="Z31" s="2136"/>
      <c r="AA31" s="2136"/>
      <c r="AB31" s="2136"/>
      <c r="AC31" s="2136"/>
      <c r="AD31" s="3250"/>
      <c r="AE31" s="3250"/>
      <c r="AF31" s="3250"/>
    </row>
    <row r="32" spans="1:32" ht="12.75" hidden="1" customHeight="1" x14ac:dyDescent="0.2">
      <c r="A32" s="509"/>
      <c r="B32" s="2110"/>
      <c r="C32" s="2110"/>
      <c r="D32" s="2137"/>
      <c r="E32" s="2137"/>
      <c r="F32" s="1120"/>
      <c r="G32" s="1120"/>
      <c r="H32" s="1120"/>
      <c r="I32" s="1120"/>
      <c r="J32" s="1120"/>
      <c r="K32" s="1120"/>
      <c r="L32" s="1120"/>
      <c r="M32" s="1120"/>
      <c r="N32" s="1120"/>
      <c r="O32" s="1120"/>
      <c r="P32" s="1120"/>
      <c r="Q32" s="1120"/>
      <c r="R32" s="1120"/>
      <c r="S32" s="1120"/>
      <c r="T32" s="2138"/>
      <c r="U32" s="2135"/>
      <c r="V32" s="2135"/>
      <c r="W32" s="2135"/>
      <c r="X32" s="2135"/>
      <c r="Y32" s="2136"/>
      <c r="Z32" s="2136"/>
      <c r="AA32" s="2136"/>
      <c r="AB32" s="2136"/>
      <c r="AC32" s="2136"/>
      <c r="AD32" s="3250"/>
      <c r="AE32" s="3250"/>
      <c r="AF32" s="3250"/>
    </row>
    <row r="33" spans="1:32" ht="12.75" hidden="1" customHeight="1" x14ac:dyDescent="0.2">
      <c r="A33" s="509"/>
      <c r="B33" s="2110"/>
      <c r="C33" s="2110"/>
      <c r="D33" s="2137"/>
      <c r="E33" s="2137"/>
      <c r="F33" s="1120"/>
      <c r="G33" s="1120"/>
      <c r="H33" s="1120"/>
      <c r="I33" s="1120"/>
      <c r="J33" s="1120"/>
      <c r="K33" s="1120"/>
      <c r="L33" s="1120"/>
      <c r="M33" s="1120"/>
      <c r="N33" s="1120"/>
      <c r="O33" s="1120"/>
      <c r="P33" s="1120"/>
      <c r="Q33" s="1120"/>
      <c r="R33" s="1120"/>
      <c r="S33" s="1120"/>
      <c r="T33" s="2138"/>
      <c r="U33" s="2135"/>
      <c r="V33" s="2135"/>
      <c r="W33" s="2135"/>
      <c r="X33" s="2135"/>
      <c r="Y33" s="2136"/>
      <c r="Z33" s="2136"/>
      <c r="AA33" s="2136"/>
      <c r="AB33" s="2136"/>
      <c r="AC33" s="2136"/>
      <c r="AD33" s="3250"/>
      <c r="AE33" s="3250"/>
      <c r="AF33" s="3250"/>
    </row>
    <row r="34" spans="1:32" ht="12.75" x14ac:dyDescent="0.2">
      <c r="A34" s="509"/>
      <c r="B34" s="2110"/>
      <c r="C34" s="2110"/>
      <c r="D34" s="2137"/>
      <c r="E34" s="2137"/>
      <c r="F34" s="1120"/>
      <c r="G34" s="1120"/>
      <c r="H34" s="1120"/>
      <c r="I34" s="1120"/>
      <c r="J34" s="1120"/>
      <c r="K34" s="1120"/>
      <c r="L34" s="1120"/>
      <c r="M34" s="1120"/>
      <c r="N34" s="1120"/>
      <c r="O34" s="1120"/>
      <c r="P34" s="1120"/>
      <c r="Q34" s="1120"/>
      <c r="R34" s="1120"/>
      <c r="S34" s="1120"/>
      <c r="T34" s="2138"/>
      <c r="U34" s="2139">
        <f t="shared" ref="U34:AF34" si="1">U9+U10</f>
        <v>161096</v>
      </c>
      <c r="V34" s="2139">
        <f t="shared" si="1"/>
        <v>158942</v>
      </c>
      <c r="W34" s="2139">
        <f t="shared" si="1"/>
        <v>150608</v>
      </c>
      <c r="X34" s="2139">
        <f t="shared" si="1"/>
        <v>152554</v>
      </c>
      <c r="Y34" s="2140">
        <f t="shared" si="1"/>
        <v>157141</v>
      </c>
      <c r="Z34" s="2140">
        <f t="shared" si="1"/>
        <v>161984</v>
      </c>
      <c r="AA34" s="2140">
        <f t="shared" si="1"/>
        <v>161054</v>
      </c>
      <c r="AB34" s="2140">
        <f t="shared" si="1"/>
        <v>160583</v>
      </c>
      <c r="AC34" s="2140">
        <f t="shared" si="1"/>
        <v>162875</v>
      </c>
      <c r="AD34" s="2139">
        <f t="shared" si="1"/>
        <v>154449</v>
      </c>
      <c r="AE34" s="2139">
        <f t="shared" si="1"/>
        <v>140948</v>
      </c>
      <c r="AF34" s="2139">
        <f t="shared" si="1"/>
        <v>143223</v>
      </c>
    </row>
    <row r="35" spans="1:32" ht="12.75" x14ac:dyDescent="0.2">
      <c r="A35" s="509"/>
      <c r="B35" s="509"/>
      <c r="C35" s="2110"/>
      <c r="D35" s="2111"/>
      <c r="E35" s="2111"/>
      <c r="F35" s="510"/>
      <c r="G35" s="510"/>
      <c r="H35" s="510"/>
      <c r="I35" s="510"/>
      <c r="J35" s="510"/>
      <c r="K35" s="510"/>
      <c r="L35" s="510"/>
      <c r="M35" s="510"/>
      <c r="N35" s="2137"/>
      <c r="O35" s="510"/>
      <c r="P35" s="510"/>
      <c r="Q35" s="510"/>
      <c r="R35" s="510"/>
      <c r="S35" s="510"/>
      <c r="T35" s="510"/>
      <c r="U35" s="2139">
        <f t="shared" ref="U35:AF35" si="2">U12+U13</f>
        <v>161096</v>
      </c>
      <c r="V35" s="2139">
        <f t="shared" si="2"/>
        <v>158942</v>
      </c>
      <c r="W35" s="2139">
        <f t="shared" si="2"/>
        <v>153988</v>
      </c>
      <c r="X35" s="2139">
        <f t="shared" si="2"/>
        <v>152553</v>
      </c>
      <c r="Y35" s="2140">
        <f t="shared" si="2"/>
        <v>157141</v>
      </c>
      <c r="Z35" s="2140">
        <f t="shared" si="2"/>
        <v>159331</v>
      </c>
      <c r="AA35" s="2140">
        <f t="shared" si="2"/>
        <v>160280</v>
      </c>
      <c r="AB35" s="2140">
        <f t="shared" si="2"/>
        <v>160583</v>
      </c>
      <c r="AC35" s="2140">
        <f t="shared" si="2"/>
        <v>162875</v>
      </c>
      <c r="AD35" s="2139">
        <f t="shared" si="2"/>
        <v>154449</v>
      </c>
      <c r="AE35" s="2139">
        <f t="shared" si="2"/>
        <v>140948</v>
      </c>
      <c r="AF35" s="2139">
        <f t="shared" si="2"/>
        <v>143223</v>
      </c>
    </row>
    <row r="36" spans="1:32" ht="12.75" x14ac:dyDescent="0.2">
      <c r="A36" s="509"/>
      <c r="B36" s="2110"/>
      <c r="C36" s="2110"/>
      <c r="D36" s="2111"/>
      <c r="E36" s="2111"/>
      <c r="F36" s="510"/>
      <c r="G36" s="510"/>
      <c r="H36" s="510"/>
      <c r="I36" s="510"/>
      <c r="J36" s="510"/>
      <c r="K36" s="510"/>
      <c r="L36" s="510"/>
      <c r="M36" s="510"/>
      <c r="N36" s="2137"/>
      <c r="O36" s="510"/>
      <c r="P36" s="510"/>
      <c r="Q36" s="510"/>
      <c r="R36" s="510"/>
      <c r="S36" s="510"/>
      <c r="T36" s="2112"/>
      <c r="U36" s="2014"/>
      <c r="V36" s="2014"/>
      <c r="W36" s="2014"/>
      <c r="X36" s="2014"/>
      <c r="Y36" s="2014"/>
      <c r="Z36" s="2014"/>
      <c r="AA36" s="2014"/>
      <c r="AB36" s="2014"/>
      <c r="AC36" s="2014"/>
      <c r="AD36" s="2141"/>
    </row>
    <row r="37" spans="1:32" ht="12.75" x14ac:dyDescent="0.2">
      <c r="A37" s="509"/>
      <c r="B37" s="2110"/>
      <c r="C37" s="2110"/>
      <c r="D37" s="2111"/>
      <c r="E37" s="2111"/>
      <c r="F37" s="510"/>
      <c r="G37" s="510"/>
      <c r="H37" s="510"/>
      <c r="I37" s="510"/>
      <c r="J37" s="510"/>
      <c r="K37" s="510"/>
      <c r="L37" s="510"/>
      <c r="M37" s="510"/>
      <c r="N37" s="2137"/>
      <c r="O37" s="510"/>
      <c r="P37" s="510"/>
      <c r="Q37" s="510"/>
      <c r="R37" s="510"/>
      <c r="S37" s="510"/>
      <c r="T37" s="2112"/>
      <c r="U37" s="2112"/>
      <c r="V37" s="2112"/>
      <c r="W37" s="2112"/>
      <c r="X37" s="2112"/>
      <c r="Y37" s="2112"/>
      <c r="Z37" s="2112"/>
      <c r="AA37" s="2112"/>
      <c r="AB37" s="2112"/>
      <c r="AC37" s="2112"/>
    </row>
    <row r="38" spans="1:32" ht="12.75" x14ac:dyDescent="0.2">
      <c r="A38" s="509"/>
      <c r="B38" s="2110"/>
      <c r="C38" s="2110"/>
      <c r="D38" s="2111"/>
      <c r="E38" s="2111"/>
      <c r="F38" s="510"/>
      <c r="G38" s="510"/>
      <c r="H38" s="510"/>
      <c r="I38" s="510"/>
      <c r="J38" s="510"/>
      <c r="K38" s="510"/>
      <c r="L38" s="510"/>
      <c r="M38" s="510"/>
      <c r="N38" s="2137"/>
      <c r="O38" s="510"/>
      <c r="P38" s="510"/>
      <c r="Q38" s="510"/>
      <c r="R38" s="510"/>
      <c r="S38" s="510"/>
      <c r="T38" s="2112"/>
      <c r="U38" s="2112"/>
      <c r="V38" s="2112"/>
      <c r="W38" s="2112"/>
      <c r="X38" s="2112"/>
      <c r="Y38" s="2112"/>
      <c r="Z38" s="2112"/>
      <c r="AA38" s="2112"/>
      <c r="AB38" s="2112"/>
      <c r="AC38" s="2112"/>
    </row>
    <row r="39" spans="1:32" ht="12.75" x14ac:dyDescent="0.2">
      <c r="A39" s="509"/>
      <c r="B39" s="2110"/>
      <c r="C39" s="2110"/>
      <c r="D39" s="2111"/>
      <c r="E39" s="2111"/>
      <c r="F39" s="510"/>
      <c r="G39" s="510"/>
      <c r="H39" s="510"/>
      <c r="I39" s="510"/>
      <c r="J39" s="510"/>
      <c r="K39" s="510"/>
      <c r="L39" s="510"/>
      <c r="M39" s="510"/>
      <c r="N39" s="2137"/>
      <c r="O39" s="510"/>
      <c r="P39" s="510"/>
      <c r="Q39" s="510"/>
      <c r="R39" s="510"/>
      <c r="S39" s="510"/>
      <c r="T39" s="2112"/>
      <c r="U39" s="2112"/>
      <c r="V39" s="2112"/>
      <c r="W39" s="2112"/>
      <c r="X39" s="2112"/>
      <c r="Y39" s="2112"/>
      <c r="Z39" s="2112"/>
      <c r="AA39" s="2112"/>
      <c r="AB39" s="2112"/>
      <c r="AC39" s="2112"/>
    </row>
    <row r="40" spans="1:32" ht="12.75" x14ac:dyDescent="0.2">
      <c r="A40" s="509"/>
      <c r="B40" s="2110"/>
      <c r="C40" s="2110"/>
      <c r="D40" s="2111"/>
      <c r="E40" s="2111"/>
      <c r="F40" s="510"/>
      <c r="G40" s="510"/>
      <c r="H40" s="510"/>
      <c r="I40" s="510"/>
      <c r="J40" s="510"/>
      <c r="K40" s="510"/>
      <c r="L40" s="510"/>
      <c r="M40" s="510"/>
      <c r="N40" s="2137"/>
      <c r="O40" s="510"/>
      <c r="P40" s="510"/>
      <c r="Q40" s="510"/>
      <c r="R40" s="510"/>
      <c r="S40" s="510"/>
      <c r="T40" s="2112"/>
      <c r="U40" s="2112"/>
      <c r="V40" s="2112"/>
      <c r="W40" s="2112"/>
      <c r="X40" s="2112"/>
      <c r="Y40" s="2112"/>
      <c r="Z40" s="2112"/>
      <c r="AA40" s="2112"/>
      <c r="AB40" s="2112"/>
      <c r="AC40" s="2112"/>
    </row>
    <row r="41" spans="1:32" ht="12.75" x14ac:dyDescent="0.2">
      <c r="A41" s="509"/>
      <c r="B41" s="2110"/>
      <c r="C41" s="2110"/>
      <c r="D41" s="2111"/>
      <c r="E41" s="2111"/>
      <c r="F41" s="510"/>
      <c r="G41" s="510"/>
      <c r="H41" s="510"/>
      <c r="I41" s="510"/>
      <c r="J41" s="510"/>
      <c r="K41" s="510"/>
      <c r="L41" s="510"/>
      <c r="M41" s="510"/>
      <c r="N41" s="2137"/>
      <c r="O41" s="510"/>
      <c r="P41" s="510"/>
      <c r="Q41" s="510"/>
      <c r="R41" s="510"/>
      <c r="S41" s="510"/>
      <c r="T41" s="2112"/>
      <c r="U41" s="2112"/>
      <c r="V41" s="2112"/>
      <c r="W41" s="2112"/>
      <c r="X41" s="2112"/>
      <c r="Y41" s="2112"/>
      <c r="Z41" s="2112"/>
      <c r="AA41" s="2112"/>
      <c r="AB41" s="2112"/>
      <c r="AC41" s="2112"/>
    </row>
    <row r="42" spans="1:32" ht="12.75" x14ac:dyDescent="0.2">
      <c r="A42" s="509"/>
      <c r="B42" s="2110"/>
      <c r="C42" s="2110"/>
      <c r="D42" s="2111"/>
      <c r="E42" s="2111"/>
      <c r="F42" s="510"/>
      <c r="G42" s="510"/>
      <c r="H42" s="510"/>
      <c r="I42" s="510"/>
      <c r="J42" s="510"/>
      <c r="K42" s="510"/>
      <c r="L42" s="510"/>
      <c r="M42" s="510"/>
      <c r="N42" s="2137"/>
      <c r="O42" s="510"/>
      <c r="P42" s="510"/>
      <c r="Q42" s="510"/>
      <c r="R42" s="510"/>
      <c r="S42" s="510"/>
      <c r="T42" s="2112"/>
      <c r="U42" s="2112"/>
      <c r="V42" s="2112"/>
      <c r="W42" s="2112"/>
      <c r="X42" s="2112"/>
      <c r="Y42" s="2112"/>
      <c r="Z42" s="2112"/>
      <c r="AA42" s="2112"/>
      <c r="AB42" s="2112"/>
      <c r="AC42" s="2112"/>
    </row>
    <row r="43" spans="1:32" ht="12.75" x14ac:dyDescent="0.2">
      <c r="A43" s="509"/>
      <c r="B43" s="2110"/>
      <c r="C43" s="2110"/>
      <c r="D43" s="2111"/>
      <c r="E43" s="2111"/>
      <c r="F43" s="510"/>
      <c r="G43" s="510"/>
      <c r="H43" s="510"/>
      <c r="I43" s="510"/>
      <c r="J43" s="510"/>
      <c r="K43" s="510"/>
      <c r="L43" s="510"/>
      <c r="M43" s="510"/>
      <c r="N43" s="2137"/>
      <c r="O43" s="510"/>
      <c r="P43" s="510"/>
      <c r="Q43" s="510"/>
      <c r="R43" s="510"/>
      <c r="S43" s="510"/>
      <c r="T43" s="2112"/>
      <c r="U43" s="2112"/>
      <c r="V43" s="2112"/>
      <c r="W43" s="2112"/>
      <c r="X43" s="2112"/>
      <c r="Y43" s="2112"/>
      <c r="Z43" s="2112"/>
      <c r="AA43" s="2112"/>
      <c r="AB43" s="2112"/>
      <c r="AC43" s="2112"/>
    </row>
    <row r="44" spans="1:32" ht="12.75" x14ac:dyDescent="0.2">
      <c r="A44" s="509"/>
      <c r="B44" s="2110"/>
      <c r="C44" s="2110"/>
      <c r="D44" s="2111"/>
      <c r="E44" s="2111"/>
      <c r="F44" s="510"/>
      <c r="G44" s="510"/>
      <c r="H44" s="510"/>
      <c r="I44" s="510"/>
      <c r="J44" s="510"/>
      <c r="K44" s="510"/>
      <c r="L44" s="510"/>
      <c r="M44" s="510"/>
      <c r="N44" s="2137"/>
      <c r="O44" s="510"/>
      <c r="P44" s="510"/>
      <c r="Q44" s="510"/>
      <c r="R44" s="510"/>
      <c r="S44" s="510"/>
      <c r="T44" s="2112"/>
      <c r="U44" s="2112"/>
      <c r="V44" s="2112"/>
      <c r="W44" s="2112"/>
      <c r="X44" s="2112"/>
      <c r="Y44" s="2112"/>
      <c r="Z44" s="2112"/>
      <c r="AA44" s="2112"/>
      <c r="AB44" s="2112"/>
      <c r="AC44" s="2112"/>
    </row>
    <row r="45" spans="1:32" ht="12.75" x14ac:dyDescent="0.2">
      <c r="A45" s="509"/>
      <c r="B45" s="2110"/>
      <c r="C45" s="2110"/>
      <c r="D45" s="2111"/>
      <c r="E45" s="2111"/>
      <c r="F45" s="510"/>
      <c r="G45" s="510"/>
      <c r="H45" s="510"/>
      <c r="I45" s="510"/>
      <c r="J45" s="510"/>
      <c r="K45" s="510"/>
      <c r="L45" s="510"/>
      <c r="M45" s="510"/>
      <c r="N45" s="2137"/>
      <c r="O45" s="510"/>
      <c r="P45" s="510"/>
      <c r="Q45" s="510"/>
      <c r="R45" s="510"/>
      <c r="S45" s="510"/>
      <c r="T45" s="2112"/>
      <c r="U45" s="2112"/>
      <c r="V45" s="2112"/>
      <c r="W45" s="2112"/>
      <c r="X45" s="2112"/>
      <c r="Y45" s="2112"/>
      <c r="Z45" s="2112"/>
      <c r="AA45" s="2112"/>
      <c r="AB45" s="2112"/>
      <c r="AC45" s="2112"/>
    </row>
    <row r="46" spans="1:32" ht="12.75" x14ac:dyDescent="0.2">
      <c r="A46" s="509"/>
      <c r="B46" s="2110"/>
      <c r="C46" s="2110"/>
      <c r="D46" s="2111"/>
      <c r="E46" s="2111"/>
      <c r="F46" s="510"/>
      <c r="G46" s="510"/>
      <c r="H46" s="510"/>
      <c r="I46" s="510"/>
      <c r="J46" s="510"/>
      <c r="K46" s="510"/>
      <c r="L46" s="510"/>
      <c r="M46" s="510"/>
      <c r="N46" s="2137"/>
      <c r="O46" s="510"/>
      <c r="P46" s="510"/>
      <c r="Q46" s="510"/>
      <c r="R46" s="510"/>
      <c r="S46" s="510"/>
      <c r="T46" s="2112"/>
      <c r="U46" s="2112"/>
      <c r="V46" s="2112"/>
      <c r="W46" s="2112"/>
      <c r="X46" s="2112"/>
      <c r="Y46" s="2112"/>
      <c r="Z46" s="2112"/>
      <c r="AA46" s="2112"/>
      <c r="AB46" s="2112"/>
      <c r="AC46" s="2112"/>
    </row>
    <row r="47" spans="1:32" ht="12.75" x14ac:dyDescent="0.2">
      <c r="A47" s="509"/>
      <c r="B47" s="2110"/>
      <c r="C47" s="2110"/>
      <c r="D47" s="2134"/>
      <c r="E47" s="2134"/>
      <c r="F47" s="2111"/>
      <c r="G47" s="2111"/>
      <c r="H47" s="2111"/>
      <c r="I47" s="2111"/>
      <c r="J47" s="2111"/>
      <c r="K47" s="2111"/>
      <c r="L47" s="2134"/>
      <c r="M47" s="2111"/>
      <c r="N47" s="2137"/>
      <c r="O47" s="2111"/>
      <c r="P47" s="2111"/>
      <c r="Q47" s="2111"/>
      <c r="R47" s="2111"/>
      <c r="S47" s="2111"/>
      <c r="T47" s="2112"/>
      <c r="U47" s="2112"/>
      <c r="V47" s="2112"/>
      <c r="W47" s="2112"/>
      <c r="X47" s="2112"/>
      <c r="Y47" s="2112"/>
      <c r="Z47" s="2112"/>
      <c r="AA47" s="2112"/>
      <c r="AB47" s="2112"/>
      <c r="AC47" s="2112"/>
    </row>
    <row r="48" spans="1:32" ht="12.75" x14ac:dyDescent="0.2">
      <c r="A48" s="509"/>
      <c r="B48" s="2110"/>
      <c r="C48" s="2110"/>
      <c r="D48" s="2111"/>
      <c r="E48" s="2111"/>
      <c r="F48" s="2111"/>
      <c r="G48" s="2111"/>
      <c r="H48" s="2111"/>
      <c r="I48" s="2111"/>
      <c r="J48" s="2111"/>
      <c r="K48" s="2111"/>
      <c r="L48" s="2111"/>
      <c r="M48" s="2111"/>
      <c r="N48" s="2111"/>
      <c r="O48" s="2111"/>
      <c r="P48" s="2111"/>
      <c r="Q48" s="2111"/>
      <c r="R48" s="2111"/>
      <c r="S48" s="2111"/>
      <c r="T48" s="2112"/>
      <c r="U48" s="2112"/>
      <c r="V48" s="2112"/>
      <c r="W48" s="2112"/>
      <c r="X48" s="2112"/>
      <c r="Y48" s="2112"/>
      <c r="Z48" s="2112"/>
      <c r="AA48" s="2112"/>
      <c r="AB48" s="2112"/>
      <c r="AC48" s="2112"/>
    </row>
    <row r="49" spans="1:31" ht="12.75" x14ac:dyDescent="0.2">
      <c r="A49" s="509"/>
      <c r="B49" s="2110"/>
      <c r="C49" s="2110"/>
      <c r="D49" s="2111"/>
      <c r="E49" s="2111"/>
      <c r="F49" s="2111"/>
      <c r="G49" s="2111"/>
      <c r="H49" s="2111"/>
      <c r="I49" s="2111"/>
      <c r="J49" s="2111"/>
      <c r="K49" s="2111"/>
      <c r="L49" s="2111"/>
      <c r="M49" s="2111"/>
      <c r="N49" s="2111"/>
      <c r="O49" s="2111"/>
      <c r="P49" s="2111"/>
      <c r="Q49" s="2111"/>
      <c r="R49" s="2111"/>
      <c r="S49" s="2111"/>
      <c r="T49" s="2112"/>
      <c r="U49" s="2112"/>
      <c r="V49" s="2112"/>
      <c r="W49" s="2112"/>
      <c r="X49" s="2112"/>
      <c r="Y49" s="2112"/>
      <c r="Z49" s="2112"/>
      <c r="AA49" s="2112"/>
      <c r="AB49" s="2112"/>
      <c r="AC49" s="2112"/>
    </row>
    <row r="50" spans="1:31" ht="12.75" x14ac:dyDescent="0.2">
      <c r="A50" s="509"/>
      <c r="B50" s="2110"/>
      <c r="C50" s="2110"/>
      <c r="D50" s="2111"/>
      <c r="E50" s="2111"/>
      <c r="F50" s="2111"/>
      <c r="G50" s="2111"/>
      <c r="H50" s="2111"/>
      <c r="I50" s="2111"/>
      <c r="J50" s="2111"/>
      <c r="K50" s="2111"/>
      <c r="L50" s="2111"/>
      <c r="M50" s="2111"/>
      <c r="N50" s="2111"/>
      <c r="O50" s="2111"/>
      <c r="P50" s="2111"/>
      <c r="Q50" s="2111"/>
      <c r="R50" s="2111"/>
      <c r="S50" s="2111"/>
      <c r="T50" s="2112"/>
      <c r="U50" s="2112"/>
      <c r="V50" s="2112"/>
      <c r="W50" s="2112"/>
      <c r="X50" s="2112"/>
      <c r="Y50" s="2112"/>
      <c r="Z50" s="2112"/>
      <c r="AA50" s="2112"/>
      <c r="AB50" s="2112"/>
      <c r="AC50" s="2112"/>
    </row>
    <row r="51" spans="1:31" ht="12.75" x14ac:dyDescent="0.2">
      <c r="A51" s="509"/>
      <c r="B51" s="2110"/>
      <c r="C51" s="2110"/>
      <c r="D51" s="2111"/>
      <c r="E51" s="2111"/>
      <c r="F51" s="2111"/>
      <c r="G51" s="2111"/>
      <c r="H51" s="2111"/>
      <c r="I51" s="2111"/>
      <c r="J51" s="2111"/>
      <c r="K51" s="2111"/>
      <c r="L51" s="2111"/>
      <c r="M51" s="2111"/>
      <c r="N51" s="2111"/>
      <c r="O51" s="2111"/>
      <c r="P51" s="2111"/>
      <c r="Q51" s="2111"/>
      <c r="R51" s="2111"/>
      <c r="S51" s="2111"/>
      <c r="T51" s="2112"/>
      <c r="U51" s="2112"/>
      <c r="V51" s="2112"/>
      <c r="W51" s="2112"/>
      <c r="X51" s="2112"/>
      <c r="Y51" s="2112"/>
      <c r="Z51" s="2112"/>
      <c r="AA51" s="2112"/>
      <c r="AB51" s="2112"/>
      <c r="AC51" s="2112"/>
    </row>
    <row r="52" spans="1:31" ht="12.75" x14ac:dyDescent="0.2">
      <c r="A52" s="509"/>
      <c r="B52" s="2110"/>
      <c r="C52" s="2110"/>
      <c r="D52" s="2111"/>
      <c r="E52" s="2111"/>
      <c r="F52" s="2111"/>
      <c r="G52" s="2111"/>
      <c r="H52" s="2111"/>
      <c r="I52" s="2111"/>
      <c r="J52" s="2111"/>
      <c r="K52" s="2111"/>
      <c r="L52" s="2111"/>
      <c r="M52" s="2111"/>
      <c r="N52" s="2111"/>
      <c r="O52" s="2111"/>
      <c r="P52" s="2111"/>
      <c r="Q52" s="2111"/>
      <c r="R52" s="2111"/>
      <c r="S52" s="2111"/>
      <c r="T52" s="2112"/>
      <c r="U52" s="2112"/>
      <c r="V52" s="2112"/>
      <c r="W52" s="2112"/>
      <c r="X52" s="2112"/>
      <c r="Y52" s="2112"/>
      <c r="Z52" s="2112"/>
      <c r="AA52" s="2112"/>
      <c r="AB52" s="2112"/>
      <c r="AC52" s="2112"/>
    </row>
    <row r="53" spans="1:31" ht="12.75" x14ac:dyDescent="0.2">
      <c r="A53" s="509"/>
      <c r="B53" s="2110"/>
      <c r="C53" s="2110"/>
      <c r="D53" s="2111"/>
      <c r="E53" s="2111"/>
      <c r="F53" s="2111"/>
      <c r="G53" s="2111"/>
      <c r="H53" s="2111"/>
      <c r="I53" s="2111"/>
      <c r="J53" s="2111"/>
      <c r="K53" s="2111"/>
      <c r="L53" s="2111"/>
      <c r="M53" s="2111"/>
      <c r="N53" s="2111"/>
      <c r="O53" s="2111"/>
      <c r="P53" s="2111"/>
      <c r="Q53" s="2111"/>
      <c r="R53" s="2111"/>
      <c r="S53" s="2111"/>
      <c r="T53" s="2112"/>
      <c r="U53" s="2112"/>
      <c r="V53" s="2112"/>
      <c r="W53" s="2112"/>
      <c r="X53" s="2112"/>
      <c r="Y53" s="2112"/>
      <c r="Z53" s="2112"/>
      <c r="AA53" s="2112"/>
      <c r="AB53" s="2112"/>
      <c r="AC53" s="2112"/>
    </row>
    <row r="54" spans="1:31" ht="12.75" x14ac:dyDescent="0.2">
      <c r="A54" s="509"/>
      <c r="B54" s="2110"/>
      <c r="C54" s="2110"/>
      <c r="D54" s="2111"/>
      <c r="E54" s="2111"/>
      <c r="F54" s="2111"/>
      <c r="G54" s="2111"/>
      <c r="H54" s="2111"/>
      <c r="I54" s="2111"/>
      <c r="J54" s="2111"/>
      <c r="K54" s="2111"/>
      <c r="L54" s="2111"/>
      <c r="M54" s="2111"/>
      <c r="N54" s="2111"/>
      <c r="O54" s="2111"/>
      <c r="P54" s="2111"/>
      <c r="Q54" s="2111"/>
      <c r="R54" s="2111"/>
      <c r="S54" s="2111"/>
      <c r="T54" s="2112"/>
      <c r="U54" s="2112"/>
      <c r="V54" s="2112"/>
      <c r="W54" s="2112"/>
      <c r="X54" s="2112"/>
      <c r="Y54" s="2112"/>
      <c r="Z54" s="2112"/>
      <c r="AA54" s="2112"/>
      <c r="AB54" s="2112"/>
      <c r="AC54" s="2112"/>
    </row>
    <row r="55" spans="1:31" ht="12.75" x14ac:dyDescent="0.2">
      <c r="A55" s="2068"/>
      <c r="B55" s="2068"/>
      <c r="C55" s="2068"/>
      <c r="D55" s="4610"/>
      <c r="E55" s="4610"/>
      <c r="F55" s="4610"/>
      <c r="G55" s="4610"/>
      <c r="H55" s="4610"/>
      <c r="I55" s="4610"/>
      <c r="J55" s="4610"/>
      <c r="K55" s="4610"/>
      <c r="L55" s="4610"/>
      <c r="M55" s="4610"/>
      <c r="N55" s="4610"/>
      <c r="O55" s="4610"/>
      <c r="P55" s="4610"/>
      <c r="Q55" s="4610"/>
      <c r="R55" s="4610"/>
      <c r="S55" s="4610"/>
      <c r="T55" s="4610"/>
      <c r="U55" s="4610"/>
      <c r="V55" s="4610"/>
      <c r="W55" s="4610"/>
      <c r="X55" s="4610"/>
      <c r="Y55" s="4610"/>
      <c r="Z55" s="4610"/>
      <c r="AA55" s="4610"/>
      <c r="AB55" s="4610"/>
      <c r="AC55" s="4610"/>
    </row>
    <row r="56" spans="1:31" ht="15.75" customHeight="1" x14ac:dyDescent="0.2">
      <c r="A56" s="509">
        <v>5</v>
      </c>
      <c r="B56" s="509" t="s">
        <v>52</v>
      </c>
      <c r="C56" s="509"/>
      <c r="D56" s="4603" t="s">
        <v>2023</v>
      </c>
      <c r="E56" s="4604"/>
      <c r="F56" s="4604"/>
      <c r="G56" s="4604"/>
      <c r="H56" s="4604"/>
      <c r="I56" s="4604"/>
      <c r="J56" s="4604"/>
      <c r="K56" s="4604"/>
      <c r="L56" s="4604"/>
      <c r="M56" s="4604"/>
      <c r="N56" s="4604"/>
      <c r="O56" s="4604"/>
      <c r="P56" s="4604"/>
      <c r="Q56" s="4604"/>
      <c r="R56" s="4604"/>
      <c r="S56" s="4604"/>
      <c r="T56" s="4604"/>
      <c r="U56" s="4604"/>
      <c r="V56" s="4604"/>
      <c r="W56" s="4604"/>
      <c r="X56" s="4604"/>
      <c r="Y56" s="4604"/>
      <c r="Z56" s="4604"/>
      <c r="AA56" s="4604"/>
      <c r="AB56" s="4604"/>
      <c r="AC56" s="4605"/>
    </row>
    <row r="57" spans="1:31" ht="51" customHeight="1" x14ac:dyDescent="0.2">
      <c r="A57" s="546">
        <v>6</v>
      </c>
      <c r="B57" s="546" t="s">
        <v>54</v>
      </c>
      <c r="C57" s="546"/>
      <c r="D57" s="4603" t="s">
        <v>2024</v>
      </c>
      <c r="E57" s="4604"/>
      <c r="F57" s="4604"/>
      <c r="G57" s="4604"/>
      <c r="H57" s="4604"/>
      <c r="I57" s="4604"/>
      <c r="J57" s="4604"/>
      <c r="K57" s="4604"/>
      <c r="L57" s="4604"/>
      <c r="M57" s="4604"/>
      <c r="N57" s="4604"/>
      <c r="O57" s="4604"/>
      <c r="P57" s="4604"/>
      <c r="Q57" s="4604"/>
      <c r="R57" s="4604"/>
      <c r="S57" s="4604"/>
      <c r="T57" s="4604"/>
      <c r="U57" s="4604"/>
      <c r="V57" s="4604"/>
      <c r="W57" s="4604"/>
      <c r="X57" s="4604"/>
      <c r="Y57" s="4604"/>
      <c r="Z57" s="4604"/>
      <c r="AA57" s="4604"/>
      <c r="AB57" s="4604"/>
      <c r="AC57" s="4605"/>
    </row>
    <row r="58" spans="1:31" ht="12.75" x14ac:dyDescent="0.2">
      <c r="A58" s="509">
        <v>7</v>
      </c>
      <c r="B58" s="509" t="s">
        <v>56</v>
      </c>
      <c r="C58" s="509"/>
      <c r="D58" s="2112" t="s">
        <v>2257</v>
      </c>
      <c r="E58" s="2112"/>
      <c r="F58" s="3781"/>
      <c r="G58" s="3753"/>
      <c r="H58" s="3753"/>
      <c r="I58" s="3753"/>
      <c r="J58" s="3753"/>
      <c r="K58" s="3753"/>
      <c r="L58" s="3753"/>
      <c r="M58" s="3753"/>
      <c r="N58" s="3753"/>
      <c r="O58" s="3753"/>
      <c r="P58" s="3753"/>
      <c r="Q58" s="3753"/>
      <c r="R58" s="3753"/>
      <c r="S58" s="3753"/>
      <c r="T58" s="3753"/>
      <c r="U58" s="3753"/>
      <c r="V58" s="3753"/>
      <c r="W58" s="3753"/>
      <c r="X58" s="3753"/>
      <c r="Y58" s="3753"/>
      <c r="Z58" s="3753"/>
      <c r="AA58" s="3753"/>
      <c r="AB58" s="3753"/>
      <c r="AC58" s="3753"/>
      <c r="AD58" s="3753"/>
      <c r="AE58" s="3782"/>
    </row>
    <row r="59" spans="1:31" ht="12.75" x14ac:dyDescent="0.2">
      <c r="A59" s="509"/>
      <c r="B59" s="2142"/>
      <c r="C59" s="2142"/>
      <c r="D59" s="2143"/>
      <c r="E59" s="2143"/>
      <c r="F59" s="2112"/>
      <c r="G59" s="2112"/>
      <c r="H59" s="2112"/>
      <c r="I59" s="2112"/>
      <c r="J59" s="2112"/>
      <c r="K59" s="2112"/>
      <c r="L59" s="2112"/>
      <c r="M59" s="2112"/>
      <c r="N59" s="2112"/>
      <c r="O59" s="2112"/>
      <c r="P59" s="2112"/>
      <c r="Q59" s="2112"/>
      <c r="R59" s="2112"/>
      <c r="S59" s="2112"/>
      <c r="T59" s="2112"/>
      <c r="U59" s="2112"/>
      <c r="V59" s="2112"/>
      <c r="W59" s="2112"/>
      <c r="X59" s="2112"/>
      <c r="Y59" s="2112"/>
      <c r="Z59" s="2112"/>
      <c r="AA59" s="2112"/>
      <c r="AB59" s="2112"/>
      <c r="AC59" s="2112"/>
    </row>
    <row r="60" spans="1:31" ht="12.75" x14ac:dyDescent="0.2">
      <c r="A60" s="509"/>
      <c r="B60" s="2110"/>
      <c r="C60" s="2110"/>
      <c r="D60" s="2112"/>
      <c r="E60" s="2112"/>
      <c r="F60" s="2112"/>
      <c r="G60" s="2112"/>
      <c r="H60" s="2112"/>
      <c r="I60" s="2112"/>
      <c r="J60" s="2112"/>
      <c r="K60" s="2112"/>
      <c r="L60" s="2112"/>
      <c r="M60" s="2112"/>
      <c r="N60" s="2112"/>
      <c r="O60" s="2112"/>
      <c r="P60" s="2112"/>
      <c r="Q60" s="2112"/>
      <c r="R60" s="2112"/>
      <c r="S60" s="2112"/>
      <c r="T60" s="2112"/>
      <c r="U60" s="2112"/>
      <c r="V60" s="2112"/>
      <c r="W60" s="2112"/>
      <c r="X60" s="2112"/>
      <c r="Y60" s="2112"/>
      <c r="Z60" s="2112"/>
      <c r="AA60" s="2112"/>
      <c r="AB60" s="2112"/>
      <c r="AC60" s="2112"/>
    </row>
  </sheetData>
  <mergeCells count="6">
    <mergeCell ref="D57:AC57"/>
    <mergeCell ref="D2:AC2"/>
    <mergeCell ref="D3:AC3"/>
    <mergeCell ref="D4:AC4"/>
    <mergeCell ref="D55:AC55"/>
    <mergeCell ref="D56:AC56"/>
  </mergeCells>
  <pageMargins left="0.74803149606299202" right="0.74803149606299202" top="0.98425196850393704" bottom="0.98425196850393704" header="0.511811023622047" footer="0.511811023622047"/>
  <pageSetup paperSize="8" scale="75"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B985F-A171-43BF-9025-740FF9690DE3}">
  <sheetPr>
    <tabColor rgb="FF0070C0"/>
    <pageSetUpPr fitToPage="1"/>
  </sheetPr>
  <dimension ref="A1:AE50"/>
  <sheetViews>
    <sheetView showGridLines="0" view="pageBreakPreview" topLeftCell="B3" zoomScale="110" zoomScaleNormal="100" zoomScaleSheetLayoutView="110" workbookViewId="0">
      <selection activeCell="Z22" sqref="Z22:AB22"/>
    </sheetView>
  </sheetViews>
  <sheetFormatPr defaultColWidth="9.140625" defaultRowHeight="15" x14ac:dyDescent="0.25"/>
  <cols>
    <col min="1" max="1" width="3.85546875" style="3899" customWidth="1"/>
    <col min="2" max="2" width="14.140625" style="3820" customWidth="1"/>
    <col min="3" max="3" width="6.140625" style="3820" customWidth="1"/>
    <col min="4" max="4" width="13.42578125" style="113" customWidth="1"/>
    <col min="5" max="11" width="7.42578125" style="113" customWidth="1"/>
    <col min="12" max="12" width="7.140625" style="113" customWidth="1"/>
    <col min="13" max="13" width="6.140625" style="113" customWidth="1"/>
    <col min="14" max="14" width="6.85546875" style="113" customWidth="1"/>
    <col min="15" max="15" width="6" style="113" customWidth="1"/>
    <col min="16" max="19" width="7.42578125" style="113" customWidth="1"/>
    <col min="20" max="20" width="6.85546875" style="113" customWidth="1"/>
    <col min="21" max="21" width="7.140625" style="113" customWidth="1"/>
    <col min="22" max="23" width="6.85546875" style="113" customWidth="1"/>
    <col min="24" max="24" width="8" style="113" customWidth="1"/>
    <col min="25" max="25" width="7.140625" style="113" customWidth="1"/>
    <col min="26" max="27" width="6.5703125" style="113" customWidth="1"/>
    <col min="28" max="28" width="7.85546875" style="113" customWidth="1"/>
    <col min="29" max="30" width="6.85546875" style="113" customWidth="1"/>
    <col min="31" max="31" width="7.140625" style="113" customWidth="1"/>
    <col min="32" max="16384" width="9.140625" style="113"/>
  </cols>
  <sheetData>
    <row r="1" spans="1:31" x14ac:dyDescent="0.25">
      <c r="D1" s="3837"/>
      <c r="E1" s="3837"/>
      <c r="F1" s="3837"/>
      <c r="G1" s="3837"/>
      <c r="H1" s="3837"/>
      <c r="I1" s="3837"/>
      <c r="J1" s="3837"/>
      <c r="K1" s="3837"/>
      <c r="L1" s="3837"/>
      <c r="M1" s="3837"/>
      <c r="N1" s="3837"/>
      <c r="O1" s="3837"/>
      <c r="P1" s="3837"/>
      <c r="Q1" s="3837"/>
      <c r="R1" s="3837"/>
    </row>
    <row r="2" spans="1:31" ht="14.45" customHeight="1" x14ac:dyDescent="0.25">
      <c r="A2" s="3899">
        <v>1</v>
      </c>
      <c r="B2" s="3899" t="s">
        <v>1786</v>
      </c>
      <c r="C2" s="3899">
        <v>70</v>
      </c>
      <c r="D2" s="5131" t="s">
        <v>2026</v>
      </c>
      <c r="E2" s="5132"/>
      <c r="F2" s="5132"/>
      <c r="G2" s="5132"/>
      <c r="H2" s="5132"/>
      <c r="I2" s="5132"/>
      <c r="J2" s="5132"/>
      <c r="K2" s="5132"/>
      <c r="L2" s="5132"/>
      <c r="M2" s="5132"/>
      <c r="N2" s="5132"/>
      <c r="O2" s="5132"/>
      <c r="P2" s="5132"/>
      <c r="Q2" s="5132"/>
      <c r="R2" s="5132"/>
      <c r="S2" s="5132"/>
      <c r="T2" s="5132"/>
      <c r="U2" s="5132"/>
      <c r="V2" s="5132"/>
      <c r="W2" s="5132"/>
      <c r="X2" s="5132"/>
      <c r="Y2" s="5132"/>
      <c r="Z2" s="5132"/>
      <c r="AA2" s="5132"/>
      <c r="AB2" s="5133"/>
    </row>
    <row r="3" spans="1:31" ht="14.45" customHeight="1" x14ac:dyDescent="0.25">
      <c r="A3" s="3899">
        <v>2</v>
      </c>
      <c r="B3" s="3899" t="s">
        <v>1788</v>
      </c>
      <c r="C3" s="3899"/>
      <c r="D3" s="5131" t="s">
        <v>2027</v>
      </c>
      <c r="E3" s="5132"/>
      <c r="F3" s="5132"/>
      <c r="G3" s="5132"/>
      <c r="H3" s="5132"/>
      <c r="I3" s="5132"/>
      <c r="J3" s="5132"/>
      <c r="K3" s="5132"/>
      <c r="L3" s="5132"/>
      <c r="M3" s="5132"/>
      <c r="N3" s="5132"/>
      <c r="O3" s="5132"/>
      <c r="P3" s="5132"/>
      <c r="Q3" s="5132"/>
      <c r="R3" s="5132"/>
      <c r="S3" s="5132"/>
      <c r="T3" s="5132"/>
      <c r="U3" s="5132"/>
      <c r="V3" s="5132"/>
      <c r="W3" s="5132"/>
      <c r="X3" s="5132"/>
      <c r="Y3" s="5132"/>
      <c r="Z3" s="5132"/>
      <c r="AA3" s="5132"/>
      <c r="AB3" s="5133"/>
    </row>
    <row r="4" spans="1:31" ht="14.45" customHeight="1" x14ac:dyDescent="0.25">
      <c r="A4" s="3899">
        <v>3</v>
      </c>
      <c r="B4" s="3899" t="s">
        <v>4</v>
      </c>
      <c r="C4" s="3899"/>
      <c r="D4" s="5131" t="s">
        <v>2028</v>
      </c>
      <c r="E4" s="5132"/>
      <c r="F4" s="5132"/>
      <c r="G4" s="5132"/>
      <c r="H4" s="5132"/>
      <c r="I4" s="5132"/>
      <c r="J4" s="5132"/>
      <c r="K4" s="5132"/>
      <c r="L4" s="5132"/>
      <c r="M4" s="5132"/>
      <c r="N4" s="5132"/>
      <c r="O4" s="5132"/>
      <c r="P4" s="5132"/>
      <c r="Q4" s="5132"/>
      <c r="R4" s="5132"/>
      <c r="S4" s="5132"/>
      <c r="T4" s="5132"/>
      <c r="U4" s="5132"/>
      <c r="V4" s="5132"/>
      <c r="W4" s="5132"/>
      <c r="X4" s="5132"/>
      <c r="Y4" s="5132"/>
      <c r="Z4" s="5132"/>
      <c r="AA4" s="5132"/>
      <c r="AB4" s="5133"/>
    </row>
    <row r="5" spans="1:31" ht="15" customHeight="1" x14ac:dyDescent="0.25">
      <c r="A5" s="4460"/>
      <c r="B5" s="4460"/>
      <c r="C5" s="4460"/>
      <c r="D5" s="3896"/>
      <c r="E5" s="3895"/>
      <c r="F5" s="3895"/>
      <c r="G5" s="3895"/>
      <c r="H5" s="3895"/>
      <c r="I5" s="3895"/>
      <c r="J5" s="3895"/>
      <c r="K5" s="3895"/>
      <c r="L5" s="3895"/>
      <c r="M5" s="3895"/>
      <c r="N5" s="3895"/>
      <c r="O5" s="3895"/>
      <c r="P5" s="3895"/>
      <c r="Q5" s="10"/>
      <c r="R5" s="10"/>
    </row>
    <row r="6" spans="1:31" x14ac:dyDescent="0.25">
      <c r="A6" s="3899">
        <v>4</v>
      </c>
      <c r="B6" s="4461" t="s">
        <v>6</v>
      </c>
      <c r="C6" s="4461"/>
      <c r="Q6" s="10"/>
      <c r="R6" s="10"/>
    </row>
    <row r="7" spans="1:31" s="4177" customFormat="1" ht="16.5" x14ac:dyDescent="0.3">
      <c r="A7" s="4462"/>
      <c r="B7" s="4462"/>
      <c r="C7" s="4462"/>
      <c r="D7" s="4463" t="s">
        <v>7</v>
      </c>
      <c r="E7" s="4464" t="s">
        <v>2029</v>
      </c>
      <c r="F7" s="4465"/>
      <c r="G7" s="4465"/>
      <c r="H7" s="4466"/>
      <c r="I7" s="4466"/>
      <c r="J7" s="4466"/>
      <c r="K7" s="4466"/>
      <c r="L7" s="4467"/>
      <c r="M7" s="4468"/>
      <c r="N7" s="4468"/>
      <c r="O7" s="4468"/>
      <c r="P7" s="4468"/>
      <c r="Q7" s="4469"/>
      <c r="R7" s="4469"/>
      <c r="S7" s="4469"/>
      <c r="T7" s="4469"/>
      <c r="U7" s="4469"/>
      <c r="V7" s="4469"/>
      <c r="W7" s="2144"/>
    </row>
    <row r="8" spans="1:31" x14ac:dyDescent="0.25">
      <c r="D8" s="4470"/>
      <c r="E8" s="3251" t="s">
        <v>396</v>
      </c>
      <c r="F8" s="3251" t="s">
        <v>9</v>
      </c>
      <c r="G8" s="3251" t="s">
        <v>10</v>
      </c>
      <c r="H8" s="3251" t="s">
        <v>11</v>
      </c>
      <c r="I8" s="3251" t="s">
        <v>12</v>
      </c>
      <c r="J8" s="3252" t="s">
        <v>13</v>
      </c>
      <c r="K8" s="3251" t="s">
        <v>14</v>
      </c>
      <c r="L8" s="3251" t="s">
        <v>15</v>
      </c>
      <c r="M8" s="3251" t="s">
        <v>16</v>
      </c>
      <c r="N8" s="3251" t="s">
        <v>17</v>
      </c>
      <c r="O8" s="3251" t="s">
        <v>18</v>
      </c>
      <c r="P8" s="3251" t="s">
        <v>19</v>
      </c>
      <c r="Q8" s="3251" t="s">
        <v>20</v>
      </c>
      <c r="R8" s="3251" t="s">
        <v>21</v>
      </c>
      <c r="S8" s="3251" t="s">
        <v>22</v>
      </c>
      <c r="T8" s="3251" t="s">
        <v>23</v>
      </c>
      <c r="U8" s="3251" t="s">
        <v>24</v>
      </c>
      <c r="V8" s="3251" t="s">
        <v>25</v>
      </c>
      <c r="W8" s="3251" t="s">
        <v>26</v>
      </c>
      <c r="X8" s="3251" t="s">
        <v>27</v>
      </c>
      <c r="Y8" s="3251" t="s">
        <v>28</v>
      </c>
      <c r="Z8" s="4471" t="s">
        <v>29</v>
      </c>
      <c r="AA8" s="4471" t="s">
        <v>30</v>
      </c>
      <c r="AB8" s="4471" t="s">
        <v>31</v>
      </c>
      <c r="AC8" s="4472" t="s">
        <v>32</v>
      </c>
      <c r="AD8" s="4472" t="s">
        <v>33</v>
      </c>
      <c r="AE8" s="4473" t="s">
        <v>59</v>
      </c>
    </row>
    <row r="9" spans="1:31" ht="18.75" customHeight="1" x14ac:dyDescent="0.25">
      <c r="D9" s="4474" t="s">
        <v>2030</v>
      </c>
      <c r="E9" s="4475"/>
      <c r="F9" s="4476"/>
      <c r="G9" s="4476"/>
      <c r="H9" s="4475"/>
      <c r="I9" s="4476"/>
      <c r="J9" s="4475"/>
      <c r="K9" s="4476"/>
      <c r="L9" s="4475"/>
      <c r="M9" s="4475"/>
      <c r="N9" s="4475"/>
      <c r="O9" s="4475"/>
      <c r="P9" s="4475"/>
      <c r="Q9" s="4475">
        <v>24657</v>
      </c>
      <c r="R9" s="4475">
        <v>60543</v>
      </c>
      <c r="S9" s="4475">
        <v>44481</v>
      </c>
      <c r="T9" s="4475">
        <v>116097</v>
      </c>
      <c r="U9" s="4475">
        <v>116716</v>
      </c>
      <c r="V9" s="4475">
        <v>77087</v>
      </c>
      <c r="W9" s="4475">
        <v>61049</v>
      </c>
      <c r="X9" s="4477">
        <v>68624</v>
      </c>
      <c r="Y9" s="4475">
        <v>75595</v>
      </c>
      <c r="Z9" s="4478">
        <v>80960</v>
      </c>
      <c r="AA9" s="4478">
        <v>86518</v>
      </c>
      <c r="AB9" s="4479">
        <v>93419</v>
      </c>
      <c r="AC9" s="4479">
        <v>94694</v>
      </c>
      <c r="AD9" s="4478">
        <v>64399</v>
      </c>
      <c r="AE9" s="4480">
        <v>78148</v>
      </c>
    </row>
    <row r="10" spans="1:31" x14ac:dyDescent="0.25">
      <c r="D10" s="4481" t="s">
        <v>2031</v>
      </c>
      <c r="E10" s="4482"/>
      <c r="F10" s="4482"/>
      <c r="G10" s="4482">
        <f t="shared" ref="G10:W10" si="0">SUM(G11:G14)</f>
        <v>13013</v>
      </c>
      <c r="H10" s="4482">
        <f t="shared" si="0"/>
        <v>9076</v>
      </c>
      <c r="I10" s="4482">
        <f t="shared" si="0"/>
        <v>19603</v>
      </c>
      <c r="J10" s="4482">
        <f t="shared" si="0"/>
        <v>22998</v>
      </c>
      <c r="K10" s="4482">
        <f t="shared" si="0"/>
        <v>29114</v>
      </c>
      <c r="L10" s="4482">
        <f t="shared" si="0"/>
        <v>41392</v>
      </c>
      <c r="M10" s="4482">
        <f t="shared" si="0"/>
        <v>40938</v>
      </c>
      <c r="N10" s="4482">
        <f t="shared" si="0"/>
        <v>41546</v>
      </c>
      <c r="O10" s="4482">
        <f t="shared" si="0"/>
        <v>35162</v>
      </c>
      <c r="P10" s="4482">
        <f t="shared" si="0"/>
        <v>44663</v>
      </c>
      <c r="Q10" s="4482">
        <f t="shared" si="0"/>
        <v>43593</v>
      </c>
      <c r="R10" s="4482">
        <f t="shared" si="0"/>
        <v>25238</v>
      </c>
      <c r="S10" s="4482">
        <f t="shared" si="0"/>
        <v>101620</v>
      </c>
      <c r="T10" s="4482">
        <f t="shared" si="0"/>
        <v>34875</v>
      </c>
      <c r="U10" s="4482">
        <f t="shared" si="0"/>
        <v>33807</v>
      </c>
      <c r="V10" s="4482">
        <f t="shared" si="0"/>
        <v>30657</v>
      </c>
      <c r="W10" s="4482">
        <f t="shared" si="0"/>
        <v>29965</v>
      </c>
      <c r="X10" s="4483">
        <v>28033</v>
      </c>
      <c r="Y10" s="4482">
        <v>26499</v>
      </c>
      <c r="Z10" s="4482">
        <v>24171</v>
      </c>
      <c r="AA10" s="4484">
        <v>25573</v>
      </c>
      <c r="AB10" s="4483">
        <v>104227</v>
      </c>
      <c r="AC10" s="4483">
        <f>SUM(AC11:AC14)</f>
        <v>42367</v>
      </c>
      <c r="AD10" s="4485">
        <f>SUM(AD11:AD14)</f>
        <v>26335</v>
      </c>
      <c r="AE10" s="4486">
        <f>SUM(AE11:AE14)</f>
        <v>70642</v>
      </c>
    </row>
    <row r="11" spans="1:31" x14ac:dyDescent="0.25">
      <c r="D11" s="4487" t="s">
        <v>2032</v>
      </c>
      <c r="E11" s="4488"/>
      <c r="F11" s="4488"/>
      <c r="G11" s="4488"/>
      <c r="H11" s="4488">
        <v>2273</v>
      </c>
      <c r="I11" s="4489">
        <v>9451</v>
      </c>
      <c r="J11" s="4488">
        <v>10334</v>
      </c>
      <c r="K11" s="4489">
        <v>10220</v>
      </c>
      <c r="L11" s="4488">
        <v>16081</v>
      </c>
      <c r="M11" s="4488">
        <v>19851</v>
      </c>
      <c r="N11" s="4488">
        <v>15004</v>
      </c>
      <c r="O11" s="4488">
        <v>8502</v>
      </c>
      <c r="P11" s="4488">
        <v>16202</v>
      </c>
      <c r="Q11" s="4488">
        <v>17475</v>
      </c>
      <c r="R11" s="4488">
        <v>5930</v>
      </c>
      <c r="S11" s="4488">
        <v>78282</v>
      </c>
      <c r="T11" s="4488">
        <v>8302</v>
      </c>
      <c r="U11" s="4488">
        <v>7579</v>
      </c>
      <c r="V11" s="4488">
        <v>7713</v>
      </c>
      <c r="W11" s="4488">
        <v>6875</v>
      </c>
      <c r="X11" s="4488">
        <v>7825</v>
      </c>
      <c r="Y11" s="4488">
        <v>7407</v>
      </c>
      <c r="Z11" s="4488">
        <v>13430</v>
      </c>
      <c r="AA11" s="4488">
        <v>14577</v>
      </c>
      <c r="AB11" s="4488">
        <v>17345</v>
      </c>
      <c r="AC11" s="4488">
        <v>24105</v>
      </c>
      <c r="AD11" s="4488">
        <f>7161+4546+5560</f>
        <v>17267</v>
      </c>
      <c r="AE11" s="4490">
        <v>57816</v>
      </c>
    </row>
    <row r="12" spans="1:31" s="3835" customFormat="1" ht="14.25" customHeight="1" x14ac:dyDescent="0.25">
      <c r="A12" s="4491"/>
      <c r="B12" s="4492"/>
      <c r="C12" s="4492"/>
      <c r="D12" s="4493" t="s">
        <v>2033</v>
      </c>
      <c r="E12" s="4494"/>
      <c r="F12" s="4494"/>
      <c r="G12" s="4495"/>
      <c r="H12" s="4495"/>
      <c r="I12" s="4495"/>
      <c r="J12" s="4495"/>
      <c r="K12" s="4495">
        <v>2347</v>
      </c>
      <c r="L12" s="4495">
        <v>2312</v>
      </c>
      <c r="M12" s="4495">
        <v>2786</v>
      </c>
      <c r="N12" s="4495">
        <v>2600</v>
      </c>
      <c r="O12" s="4495">
        <v>1509</v>
      </c>
      <c r="P12" s="4495">
        <v>1789</v>
      </c>
      <c r="Q12" s="4495">
        <v>1757</v>
      </c>
      <c r="R12" s="4488">
        <v>1668</v>
      </c>
      <c r="S12" s="4488">
        <v>1789</v>
      </c>
      <c r="T12" s="4488">
        <v>1745</v>
      </c>
      <c r="U12" s="4488">
        <v>1693</v>
      </c>
      <c r="V12" s="4488">
        <v>1515</v>
      </c>
      <c r="W12" s="4488">
        <v>1690</v>
      </c>
      <c r="X12" s="4488">
        <v>1690</v>
      </c>
      <c r="Y12" s="4488">
        <v>1871</v>
      </c>
      <c r="Z12" s="4488">
        <v>1765</v>
      </c>
      <c r="AA12" s="4488">
        <v>1547</v>
      </c>
      <c r="AB12" s="4488">
        <v>1509</v>
      </c>
      <c r="AC12" s="4488">
        <v>1304</v>
      </c>
      <c r="AD12" s="4488">
        <v>1106</v>
      </c>
      <c r="AE12" s="4496">
        <v>1205</v>
      </c>
    </row>
    <row r="13" spans="1:31" ht="15" customHeight="1" x14ac:dyDescent="0.25">
      <c r="D13" s="4493" t="s">
        <v>2034</v>
      </c>
      <c r="E13" s="4495"/>
      <c r="F13" s="4495"/>
      <c r="G13" s="4494"/>
      <c r="H13" s="4494"/>
      <c r="I13" s="4494"/>
      <c r="J13" s="4494"/>
      <c r="K13" s="4495">
        <v>2635</v>
      </c>
      <c r="L13" s="4495">
        <v>2895</v>
      </c>
      <c r="M13" s="4495">
        <v>3175</v>
      </c>
      <c r="N13" s="4495">
        <v>3342</v>
      </c>
      <c r="O13" s="4495">
        <v>2759</v>
      </c>
      <c r="P13" s="4495">
        <v>2203</v>
      </c>
      <c r="Q13" s="4495">
        <v>2265</v>
      </c>
      <c r="R13" s="4488">
        <v>2510</v>
      </c>
      <c r="S13" s="4488">
        <v>2960</v>
      </c>
      <c r="T13" s="4488">
        <v>2905</v>
      </c>
      <c r="U13" s="4488">
        <v>2906</v>
      </c>
      <c r="V13" s="4488">
        <v>3110</v>
      </c>
      <c r="W13" s="4488">
        <v>3281</v>
      </c>
      <c r="X13" s="4488">
        <v>3276</v>
      </c>
      <c r="Y13" s="4488">
        <v>3108</v>
      </c>
      <c r="Z13" s="4488">
        <v>3268</v>
      </c>
      <c r="AA13" s="4488">
        <v>3308</v>
      </c>
      <c r="AB13" s="4488">
        <v>3249</v>
      </c>
      <c r="AC13" s="4488">
        <v>3315</v>
      </c>
      <c r="AD13" s="4488">
        <v>1991</v>
      </c>
      <c r="AE13" s="4497">
        <v>2996</v>
      </c>
    </row>
    <row r="14" spans="1:31" x14ac:dyDescent="0.25">
      <c r="D14" s="4498" t="s">
        <v>1231</v>
      </c>
      <c r="E14" s="4499"/>
      <c r="F14" s="4499"/>
      <c r="G14" s="4499">
        <v>13013</v>
      </c>
      <c r="H14" s="4499">
        <v>6803</v>
      </c>
      <c r="I14" s="4499">
        <v>10152</v>
      </c>
      <c r="J14" s="4499">
        <v>12664</v>
      </c>
      <c r="K14" s="4499">
        <v>13912</v>
      </c>
      <c r="L14" s="4499">
        <v>20104</v>
      </c>
      <c r="M14" s="4499">
        <v>15126</v>
      </c>
      <c r="N14" s="4499">
        <v>20600</v>
      </c>
      <c r="O14" s="4499">
        <v>22392</v>
      </c>
      <c r="P14" s="4499">
        <v>24469</v>
      </c>
      <c r="Q14" s="4499">
        <v>22096</v>
      </c>
      <c r="R14" s="4499">
        <v>15130</v>
      </c>
      <c r="S14" s="4499">
        <v>18589</v>
      </c>
      <c r="T14" s="4499">
        <v>21923</v>
      </c>
      <c r="U14" s="4499">
        <v>21629</v>
      </c>
      <c r="V14" s="4499">
        <v>18319</v>
      </c>
      <c r="W14" s="4499">
        <v>18119</v>
      </c>
      <c r="X14" s="4499">
        <v>15242</v>
      </c>
      <c r="Y14" s="4499">
        <v>14113</v>
      </c>
      <c r="Z14" s="4499">
        <v>12841</v>
      </c>
      <c r="AA14" s="4495">
        <v>16819</v>
      </c>
      <c r="AB14" s="4499">
        <v>13442</v>
      </c>
      <c r="AC14" s="4499">
        <v>13643</v>
      </c>
      <c r="AD14" s="4499">
        <v>5971</v>
      </c>
      <c r="AE14" s="4500">
        <v>8625</v>
      </c>
    </row>
    <row r="15" spans="1:31" x14ac:dyDescent="0.25">
      <c r="D15" s="4501" t="s">
        <v>2035</v>
      </c>
      <c r="E15" s="4502"/>
      <c r="F15" s="4502"/>
      <c r="G15" s="4502"/>
      <c r="H15" s="4502"/>
      <c r="I15" s="4502"/>
      <c r="J15" s="4502"/>
      <c r="K15" s="4502"/>
      <c r="L15" s="4502"/>
      <c r="M15" s="4502"/>
      <c r="N15" s="4502"/>
      <c r="O15" s="4502"/>
      <c r="P15" s="4502"/>
      <c r="Q15" s="4502">
        <v>157444</v>
      </c>
      <c r="R15" s="4502">
        <v>9073</v>
      </c>
      <c r="S15" s="4503"/>
      <c r="T15" s="4503"/>
      <c r="U15" s="4503"/>
      <c r="V15" s="4503">
        <v>20865</v>
      </c>
      <c r="W15" s="4503">
        <v>21120</v>
      </c>
      <c r="X15" s="4502">
        <v>23565</v>
      </c>
      <c r="Y15" s="4502">
        <v>32523</v>
      </c>
      <c r="Z15" s="4502">
        <v>36014</v>
      </c>
      <c r="AA15" s="3253">
        <v>39407</v>
      </c>
      <c r="AB15" s="4503">
        <v>45331</v>
      </c>
      <c r="AC15" s="4504">
        <v>50354</v>
      </c>
      <c r="AD15" s="4505">
        <v>34851</v>
      </c>
      <c r="AE15" s="4506">
        <v>44327</v>
      </c>
    </row>
    <row r="16" spans="1:31" ht="14.45" customHeight="1" x14ac:dyDescent="0.25">
      <c r="D16" s="4501" t="s">
        <v>2036</v>
      </c>
      <c r="E16" s="4502">
        <v>10010</v>
      </c>
      <c r="F16" s="4502">
        <v>153672</v>
      </c>
      <c r="G16" s="4502">
        <v>106324</v>
      </c>
      <c r="H16" s="4502">
        <v>125164</v>
      </c>
      <c r="I16" s="4502">
        <v>48680</v>
      </c>
      <c r="J16" s="4502">
        <v>23783</v>
      </c>
      <c r="K16" s="4502">
        <v>31122</v>
      </c>
      <c r="L16" s="4502">
        <v>8851</v>
      </c>
      <c r="M16" s="4502">
        <v>103380</v>
      </c>
      <c r="N16" s="4502">
        <v>77858</v>
      </c>
      <c r="O16" s="4502">
        <v>118057</v>
      </c>
      <c r="P16" s="4502">
        <v>86571</v>
      </c>
      <c r="Q16" s="4502">
        <v>13034</v>
      </c>
      <c r="R16" s="4502">
        <v>116115</v>
      </c>
      <c r="S16" s="4503">
        <v>28187</v>
      </c>
      <c r="T16" s="4503">
        <v>134358</v>
      </c>
      <c r="U16" s="4503">
        <v>40469</v>
      </c>
      <c r="V16" s="4503">
        <v>104073</v>
      </c>
      <c r="W16" s="4503">
        <v>152406</v>
      </c>
      <c r="X16" s="4503">
        <v>152707</v>
      </c>
      <c r="Y16" s="4507">
        <v>91013</v>
      </c>
      <c r="Z16" s="4507">
        <v>109690</v>
      </c>
      <c r="AA16" s="4507">
        <v>108960</v>
      </c>
      <c r="AB16" s="4508">
        <v>112611</v>
      </c>
      <c r="AC16" s="4509">
        <v>112267</v>
      </c>
      <c r="AD16" s="4485">
        <v>96760</v>
      </c>
      <c r="AE16" s="4510">
        <v>113833</v>
      </c>
    </row>
    <row r="17" spans="1:31" x14ac:dyDescent="0.25">
      <c r="D17" s="2146" t="s">
        <v>2037</v>
      </c>
      <c r="E17" s="1547">
        <v>64059</v>
      </c>
      <c r="F17" s="1547">
        <v>76275</v>
      </c>
      <c r="G17" s="1547">
        <v>113033</v>
      </c>
      <c r="H17" s="1547">
        <v>121738</v>
      </c>
      <c r="I17" s="1547" t="s">
        <v>484</v>
      </c>
      <c r="J17" s="1547">
        <v>152786</v>
      </c>
      <c r="K17" s="1547">
        <v>124374</v>
      </c>
      <c r="L17" s="1547">
        <v>168009</v>
      </c>
      <c r="M17" s="1547">
        <v>156457</v>
      </c>
      <c r="N17" s="1547">
        <v>161618</v>
      </c>
      <c r="O17" s="1547">
        <v>165615</v>
      </c>
      <c r="P17" s="1547">
        <v>164582</v>
      </c>
      <c r="Q17" s="1547">
        <v>165965</v>
      </c>
      <c r="R17" s="1547">
        <v>168784</v>
      </c>
      <c r="S17" s="2147">
        <v>178776</v>
      </c>
      <c r="T17" s="2147">
        <v>198859</v>
      </c>
      <c r="U17" s="2147">
        <v>83198</v>
      </c>
      <c r="V17" s="2147">
        <v>106478</v>
      </c>
      <c r="W17" s="2147">
        <v>120668</v>
      </c>
      <c r="X17" s="2147">
        <v>133826</v>
      </c>
      <c r="Y17" s="1547">
        <v>134760</v>
      </c>
      <c r="Z17" s="1547">
        <v>132364</v>
      </c>
      <c r="AA17" s="1547">
        <v>143480</v>
      </c>
      <c r="AB17" s="2147">
        <v>159259</v>
      </c>
      <c r="AC17" s="3254">
        <v>167680</v>
      </c>
      <c r="AD17" s="4505">
        <v>126361</v>
      </c>
      <c r="AE17" s="4496">
        <v>217177</v>
      </c>
    </row>
    <row r="18" spans="1:31" s="1661" customFormat="1" x14ac:dyDescent="0.25">
      <c r="A18" s="3899"/>
      <c r="B18" s="4511"/>
      <c r="C18" s="4511"/>
      <c r="D18" s="2148" t="s">
        <v>50</v>
      </c>
      <c r="E18" s="2149">
        <f t="shared" ref="E18:U18" si="1">SUM(E9,E11:E17)</f>
        <v>74069</v>
      </c>
      <c r="F18" s="2149">
        <f t="shared" si="1"/>
        <v>229947</v>
      </c>
      <c r="G18" s="2149">
        <f t="shared" si="1"/>
        <v>232370</v>
      </c>
      <c r="H18" s="2149">
        <f t="shared" si="1"/>
        <v>255978</v>
      </c>
      <c r="I18" s="2149">
        <f t="shared" si="1"/>
        <v>68283</v>
      </c>
      <c r="J18" s="2149">
        <f t="shared" si="1"/>
        <v>199567</v>
      </c>
      <c r="K18" s="2149">
        <f t="shared" si="1"/>
        <v>184610</v>
      </c>
      <c r="L18" s="2149">
        <f t="shared" si="1"/>
        <v>218252</v>
      </c>
      <c r="M18" s="2149">
        <f t="shared" si="1"/>
        <v>300775</v>
      </c>
      <c r="N18" s="2149">
        <f t="shared" si="1"/>
        <v>281022</v>
      </c>
      <c r="O18" s="2149">
        <f t="shared" si="1"/>
        <v>318834</v>
      </c>
      <c r="P18" s="2149">
        <f t="shared" si="1"/>
        <v>295816</v>
      </c>
      <c r="Q18" s="2149">
        <f t="shared" si="1"/>
        <v>404693</v>
      </c>
      <c r="R18" s="2149">
        <f t="shared" si="1"/>
        <v>379753</v>
      </c>
      <c r="S18" s="2149">
        <f t="shared" si="1"/>
        <v>353064</v>
      </c>
      <c r="T18" s="2149">
        <f t="shared" si="1"/>
        <v>484189</v>
      </c>
      <c r="U18" s="2149">
        <f t="shared" si="1"/>
        <v>274190</v>
      </c>
      <c r="V18" s="2149">
        <f t="shared" ref="V18:AA18" si="2">SUM(V15:V17)</f>
        <v>231416</v>
      </c>
      <c r="W18" s="2149">
        <f t="shared" si="2"/>
        <v>294194</v>
      </c>
      <c r="X18" s="2150">
        <f t="shared" si="2"/>
        <v>310098</v>
      </c>
      <c r="Y18" s="2150">
        <f t="shared" si="2"/>
        <v>258296</v>
      </c>
      <c r="Z18" s="4512">
        <f t="shared" si="2"/>
        <v>278068</v>
      </c>
      <c r="AA18" s="4512">
        <f t="shared" si="2"/>
        <v>291847</v>
      </c>
      <c r="AB18" s="2150">
        <v>317201</v>
      </c>
      <c r="AC18" s="2150">
        <f>SUM(AC15:AC17)</f>
        <v>330301</v>
      </c>
      <c r="AD18" s="4513">
        <f>SUM(AD15:AD17)</f>
        <v>257972</v>
      </c>
      <c r="AE18" s="4514">
        <f>SUM(AE15:AE17)</f>
        <v>375337</v>
      </c>
    </row>
    <row r="19" spans="1:31" x14ac:dyDescent="0.25">
      <c r="D19" s="4501"/>
      <c r="E19" s="4502"/>
      <c r="F19" s="4502"/>
      <c r="G19" s="4502"/>
      <c r="H19" s="4502"/>
      <c r="I19" s="4502"/>
      <c r="J19" s="4502"/>
      <c r="K19" s="4502"/>
      <c r="L19" s="4502"/>
      <c r="M19" s="4502"/>
      <c r="N19" s="4502"/>
      <c r="O19" s="4502"/>
      <c r="P19" s="4502"/>
      <c r="Q19" s="4502"/>
      <c r="R19" s="4502"/>
      <c r="S19" s="4503"/>
      <c r="T19" s="4503"/>
      <c r="U19" s="4503"/>
      <c r="V19" s="4503"/>
      <c r="W19" s="4503"/>
      <c r="X19" s="4503"/>
      <c r="Y19" s="459"/>
      <c r="Z19" s="4495"/>
      <c r="AA19" s="4495"/>
      <c r="AB19" s="4503"/>
      <c r="AC19" s="4503"/>
      <c r="AD19" s="4515"/>
      <c r="AE19" s="4515"/>
    </row>
    <row r="20" spans="1:31" s="4177" customFormat="1" ht="16.5" x14ac:dyDescent="0.3">
      <c r="A20" s="4462"/>
      <c r="B20" s="4462"/>
      <c r="C20" s="4462"/>
      <c r="D20" s="4463" t="s">
        <v>7</v>
      </c>
      <c r="E20" s="4464" t="s">
        <v>2038</v>
      </c>
      <c r="F20" s="4465"/>
      <c r="G20" s="4465"/>
      <c r="H20" s="4466"/>
      <c r="I20" s="4466"/>
      <c r="J20" s="4466"/>
      <c r="K20" s="4466"/>
      <c r="L20" s="4467"/>
      <c r="M20" s="4468"/>
      <c r="N20" s="4468"/>
      <c r="O20" s="4468"/>
      <c r="P20" s="4468"/>
      <c r="Q20" s="4469"/>
      <c r="R20" s="4469"/>
      <c r="S20" s="4469"/>
      <c r="T20" s="4469"/>
      <c r="U20" s="4469"/>
      <c r="V20" s="4469"/>
      <c r="W20" s="4469"/>
      <c r="X20" s="4516"/>
      <c r="Y20" s="2151"/>
      <c r="Z20" s="4517"/>
      <c r="AA20" s="4517"/>
      <c r="AB20" s="2151"/>
      <c r="AC20" s="2152"/>
      <c r="AD20" s="4518"/>
      <c r="AE20" s="4518"/>
    </row>
    <row r="21" spans="1:31" x14ac:dyDescent="0.25">
      <c r="D21" s="4470"/>
      <c r="E21" s="3251" t="s">
        <v>396</v>
      </c>
      <c r="F21" s="3251" t="s">
        <v>9</v>
      </c>
      <c r="G21" s="3251" t="s">
        <v>10</v>
      </c>
      <c r="H21" s="3251" t="s">
        <v>11</v>
      </c>
      <c r="I21" s="3251" t="s">
        <v>12</v>
      </c>
      <c r="J21" s="3252" t="s">
        <v>13</v>
      </c>
      <c r="K21" s="3251" t="s">
        <v>14</v>
      </c>
      <c r="L21" s="3251" t="s">
        <v>15</v>
      </c>
      <c r="M21" s="3251" t="s">
        <v>16</v>
      </c>
      <c r="N21" s="3251" t="s">
        <v>17</v>
      </c>
      <c r="O21" s="3251" t="s">
        <v>18</v>
      </c>
      <c r="P21" s="3251" t="s">
        <v>19</v>
      </c>
      <c r="Q21" s="3251" t="s">
        <v>20</v>
      </c>
      <c r="R21" s="3251" t="s">
        <v>21</v>
      </c>
      <c r="S21" s="3251" t="s">
        <v>22</v>
      </c>
      <c r="T21" s="3251" t="s">
        <v>23</v>
      </c>
      <c r="U21" s="3251" t="s">
        <v>24</v>
      </c>
      <c r="V21" s="3251" t="s">
        <v>25</v>
      </c>
      <c r="W21" s="3251" t="s">
        <v>26</v>
      </c>
      <c r="X21" s="3255" t="s">
        <v>27</v>
      </c>
      <c r="Y21" s="2153" t="s">
        <v>28</v>
      </c>
      <c r="Z21" s="4519" t="s">
        <v>29</v>
      </c>
      <c r="AA21" s="4519" t="s">
        <v>30</v>
      </c>
      <c r="AB21" s="2153" t="s">
        <v>31</v>
      </c>
      <c r="AC21" s="3256" t="s">
        <v>32</v>
      </c>
      <c r="AD21" s="4520" t="s">
        <v>33</v>
      </c>
      <c r="AE21" s="4515"/>
    </row>
    <row r="22" spans="1:31" x14ac:dyDescent="0.25">
      <c r="D22" s="4501" t="s">
        <v>2039</v>
      </c>
      <c r="E22" s="4502">
        <v>17433</v>
      </c>
      <c r="F22" s="4502">
        <v>21159</v>
      </c>
      <c r="G22" s="4502">
        <v>22724</v>
      </c>
      <c r="H22" s="4502">
        <v>22280</v>
      </c>
      <c r="I22" s="4502">
        <v>21659</v>
      </c>
      <c r="J22" s="4502">
        <v>24954</v>
      </c>
      <c r="K22" s="4502">
        <v>28030</v>
      </c>
      <c r="L22" s="4502">
        <v>28941</v>
      </c>
      <c r="M22" s="4502">
        <v>31491</v>
      </c>
      <c r="N22" s="4502">
        <v>31562</v>
      </c>
      <c r="O22" s="4502">
        <v>24387</v>
      </c>
      <c r="P22" s="4502">
        <v>25899</v>
      </c>
      <c r="Q22" s="4502">
        <v>30914</v>
      </c>
      <c r="R22" s="4502">
        <v>34299</v>
      </c>
      <c r="S22" s="4503">
        <v>36862</v>
      </c>
      <c r="T22" s="4503">
        <v>42059</v>
      </c>
      <c r="U22" s="4503">
        <v>44218</v>
      </c>
      <c r="V22" s="4521">
        <v>46259</v>
      </c>
      <c r="W22" s="4503">
        <v>49282</v>
      </c>
      <c r="X22" s="4503">
        <v>50855</v>
      </c>
      <c r="Y22" s="4503">
        <v>51937</v>
      </c>
      <c r="Z22" s="4503">
        <v>51785</v>
      </c>
      <c r="AA22" s="4503">
        <v>54225</v>
      </c>
      <c r="AB22" s="4503">
        <v>55030</v>
      </c>
      <c r="AC22" s="4503">
        <f>'[30]Parolees  '!AD10</f>
        <v>53256</v>
      </c>
      <c r="AD22" s="4490">
        <f>'[30]Parolees  '!AE9</f>
        <v>52275</v>
      </c>
      <c r="AE22" s="4515"/>
    </row>
    <row r="23" spans="1:31" x14ac:dyDescent="0.25">
      <c r="D23" s="2146" t="s">
        <v>2040</v>
      </c>
      <c r="E23" s="1547">
        <v>8487</v>
      </c>
      <c r="F23" s="1547">
        <v>10715</v>
      </c>
      <c r="G23" s="1547">
        <v>12054</v>
      </c>
      <c r="H23" s="1547">
        <v>11751</v>
      </c>
      <c r="I23" s="1547">
        <v>12648</v>
      </c>
      <c r="J23" s="1547">
        <v>16509</v>
      </c>
      <c r="K23" s="1547">
        <v>17935</v>
      </c>
      <c r="L23" s="1547">
        <v>19248</v>
      </c>
      <c r="M23" s="1547">
        <v>20656</v>
      </c>
      <c r="N23" s="1547">
        <v>20680</v>
      </c>
      <c r="O23" s="1547">
        <v>15470</v>
      </c>
      <c r="P23" s="1547">
        <v>16044</v>
      </c>
      <c r="Q23" s="1547">
        <v>17708</v>
      </c>
      <c r="R23" s="1547">
        <v>18886</v>
      </c>
      <c r="S23" s="2147">
        <v>18370</v>
      </c>
      <c r="T23" s="2147">
        <v>19627</v>
      </c>
      <c r="U23" s="2147">
        <v>19437</v>
      </c>
      <c r="V23" s="2147">
        <v>15943</v>
      </c>
      <c r="W23" s="2147">
        <v>16744</v>
      </c>
      <c r="X23" s="2147">
        <v>17033</v>
      </c>
      <c r="Y23" s="2147">
        <v>17061</v>
      </c>
      <c r="Z23" s="4503">
        <v>16178</v>
      </c>
      <c r="AA23" s="4503">
        <v>16131</v>
      </c>
      <c r="AB23" s="4503">
        <v>15202</v>
      </c>
      <c r="AC23" s="4503">
        <f>'[30]Parolees  '!AD16</f>
        <v>12605</v>
      </c>
      <c r="AD23" s="4490">
        <f>'[30]Parolees  '!AE15</f>
        <v>7597</v>
      </c>
      <c r="AE23" s="4515"/>
    </row>
    <row r="24" spans="1:31" s="1661" customFormat="1" x14ac:dyDescent="0.25">
      <c r="A24" s="3899"/>
      <c r="B24" s="4511"/>
      <c r="C24" s="4511"/>
      <c r="D24" s="2148" t="s">
        <v>50</v>
      </c>
      <c r="E24" s="2149">
        <f t="shared" ref="E24:U24" si="3">SUM(E22:E23)</f>
        <v>25920</v>
      </c>
      <c r="F24" s="2149">
        <f t="shared" si="3"/>
        <v>31874</v>
      </c>
      <c r="G24" s="2149">
        <f t="shared" si="3"/>
        <v>34778</v>
      </c>
      <c r="H24" s="2149">
        <f t="shared" si="3"/>
        <v>34031</v>
      </c>
      <c r="I24" s="2149">
        <f t="shared" si="3"/>
        <v>34307</v>
      </c>
      <c r="J24" s="2149">
        <f t="shared" si="3"/>
        <v>41463</v>
      </c>
      <c r="K24" s="2149">
        <f t="shared" si="3"/>
        <v>45965</v>
      </c>
      <c r="L24" s="2149">
        <f t="shared" si="3"/>
        <v>48189</v>
      </c>
      <c r="M24" s="2149">
        <f t="shared" si="3"/>
        <v>52147</v>
      </c>
      <c r="N24" s="2149">
        <f t="shared" si="3"/>
        <v>52242</v>
      </c>
      <c r="O24" s="2149">
        <f t="shared" si="3"/>
        <v>39857</v>
      </c>
      <c r="P24" s="2149">
        <f t="shared" si="3"/>
        <v>41943</v>
      </c>
      <c r="Q24" s="2149">
        <f t="shared" si="3"/>
        <v>48622</v>
      </c>
      <c r="R24" s="2149">
        <f t="shared" si="3"/>
        <v>53185</v>
      </c>
      <c r="S24" s="2149">
        <f t="shared" si="3"/>
        <v>55232</v>
      </c>
      <c r="T24" s="2149">
        <f t="shared" si="3"/>
        <v>61686</v>
      </c>
      <c r="U24" s="2149">
        <f t="shared" si="3"/>
        <v>63655</v>
      </c>
      <c r="V24" s="2149">
        <v>62202</v>
      </c>
      <c r="W24" s="2149">
        <v>66025</v>
      </c>
      <c r="X24" s="2150">
        <f>SUM(X22:X23)</f>
        <v>67888</v>
      </c>
      <c r="Y24" s="2150">
        <f>SUM(Y22:Y23)</f>
        <v>68998</v>
      </c>
      <c r="Z24" s="4522">
        <v>69746</v>
      </c>
      <c r="AA24" s="4522">
        <f>SUM(AA22:AA23)</f>
        <v>70356</v>
      </c>
      <c r="AB24" s="4523">
        <f>SUM(AB22:AB23)</f>
        <v>70232</v>
      </c>
      <c r="AC24" s="4524">
        <f>SUM(AC22:AC23)</f>
        <v>65861</v>
      </c>
      <c r="AD24" s="4514">
        <f>SUM(AD22:AD23)</f>
        <v>59872</v>
      </c>
      <c r="AE24" s="4525"/>
    </row>
    <row r="25" spans="1:31" s="1661" customFormat="1" x14ac:dyDescent="0.25">
      <c r="A25" s="3899"/>
      <c r="B25" s="4511"/>
      <c r="C25" s="4511"/>
      <c r="D25" s="4526"/>
      <c r="E25" s="4527"/>
      <c r="F25" s="4527"/>
      <c r="G25" s="4527"/>
      <c r="H25" s="4527"/>
      <c r="I25" s="4527"/>
      <c r="J25" s="4527"/>
      <c r="K25" s="4527"/>
      <c r="L25" s="4527"/>
      <c r="M25" s="4527"/>
      <c r="N25" s="4527"/>
      <c r="O25" s="4527"/>
      <c r="P25" s="4527"/>
      <c r="Q25" s="4527"/>
      <c r="R25" s="4527"/>
      <c r="S25" s="4527"/>
      <c r="T25" s="4527"/>
      <c r="U25" s="4527"/>
      <c r="V25" s="3257"/>
      <c r="W25" s="2154"/>
      <c r="AA25" s="2155"/>
    </row>
    <row r="26" spans="1:31" x14ac:dyDescent="0.25">
      <c r="D26" s="3837"/>
      <c r="E26" s="3860"/>
      <c r="F26" s="3860"/>
      <c r="G26" s="3860"/>
      <c r="H26" s="3860"/>
      <c r="I26" s="3860"/>
      <c r="J26" s="3860"/>
      <c r="K26" s="3860"/>
      <c r="L26" s="3860"/>
      <c r="M26" s="4528"/>
      <c r="N26" s="3860"/>
      <c r="O26" s="3860"/>
      <c r="P26" s="3860"/>
      <c r="Q26" s="3860"/>
      <c r="R26" s="3860"/>
      <c r="V26" s="4475"/>
    </row>
    <row r="27" spans="1:31" x14ac:dyDescent="0.25">
      <c r="D27" s="3837"/>
      <c r="E27" s="3860"/>
      <c r="F27" s="3860"/>
      <c r="G27" s="3860"/>
      <c r="H27" s="3860"/>
      <c r="I27" s="3860"/>
      <c r="J27" s="3860"/>
      <c r="K27" s="3860"/>
      <c r="L27" s="3860"/>
      <c r="M27" s="4528"/>
      <c r="N27" s="3860"/>
      <c r="O27" s="3860"/>
      <c r="P27" s="3860"/>
      <c r="Q27" s="3860"/>
      <c r="R27" s="3860"/>
    </row>
    <row r="28" spans="1:31" x14ac:dyDescent="0.25">
      <c r="D28" s="3837"/>
      <c r="E28" s="3860"/>
      <c r="F28" s="3860"/>
      <c r="G28" s="3860"/>
      <c r="H28" s="3860"/>
      <c r="I28" s="3860"/>
      <c r="J28" s="3860"/>
      <c r="K28" s="3860"/>
      <c r="L28" s="3860"/>
      <c r="M28" s="4528"/>
      <c r="N28" s="3860"/>
      <c r="O28" s="3860"/>
      <c r="P28" s="3860"/>
      <c r="Q28" s="3860"/>
      <c r="R28" s="3860"/>
    </row>
    <row r="29" spans="1:31" x14ac:dyDescent="0.25">
      <c r="D29" s="3837"/>
      <c r="E29" s="3860"/>
      <c r="F29" s="3860"/>
      <c r="G29" s="3860"/>
      <c r="H29" s="3860"/>
      <c r="I29" s="3860"/>
      <c r="J29" s="3860"/>
      <c r="K29" s="3860"/>
      <c r="L29" s="3860"/>
      <c r="M29" s="4528"/>
      <c r="N29" s="3860"/>
      <c r="O29" s="3860"/>
      <c r="P29" s="3860"/>
      <c r="Q29" s="3860"/>
      <c r="R29" s="3860"/>
    </row>
    <row r="30" spans="1:31" x14ac:dyDescent="0.25">
      <c r="D30" s="3837"/>
      <c r="E30" s="3860"/>
      <c r="F30" s="3860"/>
      <c r="G30" s="3860"/>
      <c r="H30" s="3860"/>
      <c r="I30" s="3860"/>
      <c r="J30" s="3860"/>
      <c r="K30" s="3860"/>
      <c r="L30" s="3860"/>
      <c r="M30" s="4528"/>
      <c r="N30" s="3860"/>
      <c r="O30" s="3860"/>
      <c r="P30" s="3860"/>
      <c r="Q30" s="3860"/>
      <c r="R30" s="3860"/>
    </row>
    <row r="31" spans="1:31" x14ac:dyDescent="0.25">
      <c r="D31" s="3837"/>
      <c r="E31" s="3860"/>
      <c r="F31" s="3860"/>
      <c r="G31" s="3860"/>
      <c r="H31" s="3860"/>
      <c r="I31" s="3860"/>
      <c r="J31" s="3860"/>
      <c r="K31" s="3860"/>
      <c r="L31" s="3860"/>
      <c r="M31" s="4528"/>
      <c r="N31" s="3860"/>
      <c r="O31" s="3860"/>
      <c r="P31" s="3860"/>
      <c r="Q31" s="3860"/>
      <c r="R31" s="3860"/>
    </row>
    <row r="32" spans="1:31" x14ac:dyDescent="0.25">
      <c r="A32" s="113"/>
      <c r="B32" s="113"/>
      <c r="C32" s="113"/>
      <c r="D32" s="3837"/>
      <c r="E32" s="3860"/>
      <c r="F32" s="3860"/>
      <c r="G32" s="3860"/>
      <c r="H32" s="3860"/>
      <c r="I32" s="3860"/>
      <c r="J32" s="3860"/>
      <c r="K32" s="3860"/>
      <c r="L32" s="3860"/>
      <c r="M32" s="4528"/>
      <c r="N32" s="3860"/>
      <c r="O32" s="3860"/>
      <c r="P32" s="3860"/>
      <c r="Q32" s="3860"/>
      <c r="R32" s="3860"/>
    </row>
    <row r="33" spans="1:28" x14ac:dyDescent="0.25">
      <c r="A33" s="113"/>
      <c r="B33" s="113"/>
      <c r="C33" s="113"/>
      <c r="D33" s="3837"/>
      <c r="E33" s="3860"/>
      <c r="F33" s="3860"/>
      <c r="G33" s="3860"/>
      <c r="H33" s="3860"/>
      <c r="I33" s="3860"/>
      <c r="J33" s="3860"/>
      <c r="K33" s="3860"/>
      <c r="L33" s="3860"/>
      <c r="M33" s="4528"/>
      <c r="N33" s="3860"/>
      <c r="O33" s="3860"/>
      <c r="P33" s="3860"/>
      <c r="Q33" s="3860"/>
      <c r="R33" s="3860"/>
    </row>
    <row r="34" spans="1:28" x14ac:dyDescent="0.25">
      <c r="A34" s="113"/>
      <c r="B34" s="113"/>
      <c r="C34" s="113"/>
      <c r="D34" s="3837"/>
      <c r="E34" s="3860"/>
      <c r="F34" s="3860"/>
      <c r="G34" s="3860"/>
      <c r="H34" s="3860"/>
      <c r="I34" s="3860"/>
      <c r="J34" s="3860"/>
      <c r="K34" s="3860"/>
      <c r="L34" s="3860"/>
      <c r="M34" s="4528"/>
      <c r="N34" s="3860"/>
      <c r="O34" s="3860"/>
      <c r="P34" s="3860"/>
      <c r="Q34" s="3860"/>
      <c r="R34" s="3860"/>
    </row>
    <row r="35" spans="1:28" x14ac:dyDescent="0.25">
      <c r="A35" s="113"/>
      <c r="B35" s="113"/>
      <c r="C35" s="113"/>
      <c r="D35" s="3837"/>
      <c r="E35" s="3860"/>
      <c r="F35" s="3860"/>
      <c r="G35" s="3860"/>
      <c r="H35" s="3860"/>
      <c r="I35" s="3860"/>
      <c r="J35" s="3860"/>
      <c r="K35" s="3860"/>
      <c r="L35" s="3860"/>
      <c r="M35" s="4528"/>
      <c r="N35" s="3860"/>
      <c r="O35" s="3860"/>
      <c r="P35" s="3860"/>
      <c r="Q35" s="3860"/>
      <c r="R35" s="3860"/>
    </row>
    <row r="36" spans="1:28" x14ac:dyDescent="0.25">
      <c r="A36" s="113"/>
      <c r="B36" s="113"/>
      <c r="C36" s="113"/>
      <c r="D36" s="3837"/>
      <c r="E36" s="3860"/>
      <c r="F36" s="3860"/>
      <c r="G36" s="3860"/>
      <c r="H36" s="3860"/>
      <c r="I36" s="3860"/>
      <c r="J36" s="3860"/>
      <c r="K36" s="3860"/>
      <c r="L36" s="3860"/>
      <c r="M36" s="4528"/>
      <c r="N36" s="3860"/>
      <c r="O36" s="3860"/>
      <c r="P36" s="3860"/>
      <c r="Q36" s="3860"/>
      <c r="R36" s="3860"/>
    </row>
    <row r="37" spans="1:28" x14ac:dyDescent="0.25">
      <c r="A37" s="113"/>
      <c r="B37" s="113"/>
      <c r="C37" s="113"/>
      <c r="D37" s="4529"/>
      <c r="E37" s="3837"/>
      <c r="F37" s="3837"/>
      <c r="G37" s="3837"/>
      <c r="H37" s="3837"/>
      <c r="I37" s="3837"/>
      <c r="J37" s="3837"/>
      <c r="K37" s="4529"/>
      <c r="L37" s="3837"/>
      <c r="M37" s="4528"/>
      <c r="N37" s="3837"/>
      <c r="O37" s="3837"/>
      <c r="P37" s="3837"/>
      <c r="Q37" s="3837"/>
      <c r="R37" s="3837"/>
    </row>
    <row r="38" spans="1:28" x14ac:dyDescent="0.25">
      <c r="A38" s="113"/>
      <c r="B38" s="113"/>
      <c r="C38" s="113"/>
      <c r="D38" s="3837"/>
      <c r="E38" s="3837"/>
      <c r="F38" s="3837"/>
      <c r="G38" s="3837"/>
      <c r="H38" s="3837"/>
      <c r="I38" s="3837"/>
      <c r="J38" s="3837"/>
      <c r="K38" s="3837"/>
      <c r="L38" s="3837"/>
      <c r="M38" s="3837"/>
      <c r="N38" s="3837"/>
      <c r="O38" s="3837"/>
      <c r="P38" s="3837"/>
      <c r="Q38" s="3837"/>
      <c r="R38" s="3837"/>
    </row>
    <row r="39" spans="1:28" x14ac:dyDescent="0.25">
      <c r="A39" s="113"/>
      <c r="B39" s="113"/>
      <c r="C39" s="113"/>
      <c r="D39" s="3837"/>
      <c r="E39" s="3837"/>
      <c r="F39" s="3837"/>
      <c r="G39" s="3837"/>
      <c r="H39" s="3837"/>
      <c r="I39" s="3837"/>
      <c r="J39" s="3837"/>
      <c r="K39" s="3837"/>
      <c r="L39" s="3837"/>
      <c r="M39" s="3837"/>
      <c r="N39" s="3837"/>
      <c r="O39" s="3837"/>
      <c r="P39" s="3837"/>
      <c r="Q39" s="3837"/>
      <c r="R39" s="3837"/>
    </row>
    <row r="40" spans="1:28" x14ac:dyDescent="0.25">
      <c r="A40" s="113"/>
      <c r="B40" s="113"/>
      <c r="C40" s="113"/>
      <c r="D40" s="3837"/>
      <c r="E40" s="3837"/>
      <c r="F40" s="3837"/>
      <c r="G40" s="3837"/>
      <c r="H40" s="3837"/>
      <c r="I40" s="3837"/>
      <c r="J40" s="3837"/>
      <c r="K40" s="3837"/>
      <c r="L40" s="3837"/>
      <c r="M40" s="3837"/>
      <c r="N40" s="3837"/>
      <c r="O40" s="3837"/>
      <c r="P40" s="3837"/>
      <c r="Q40" s="3837"/>
      <c r="R40" s="3837"/>
    </row>
    <row r="41" spans="1:28" x14ac:dyDescent="0.25">
      <c r="A41" s="113"/>
      <c r="B41" s="113"/>
      <c r="C41" s="113"/>
      <c r="D41" s="3837"/>
      <c r="E41" s="3837"/>
      <c r="F41" s="3837"/>
      <c r="G41" s="3837"/>
      <c r="H41" s="3837"/>
      <c r="I41" s="3837"/>
      <c r="J41" s="3837"/>
      <c r="K41" s="3837"/>
      <c r="L41" s="3837"/>
      <c r="M41" s="3837"/>
      <c r="N41" s="3837"/>
      <c r="O41" s="3837"/>
      <c r="P41" s="3837"/>
      <c r="Q41" s="3837"/>
      <c r="R41" s="3837"/>
    </row>
    <row r="42" spans="1:28" x14ac:dyDescent="0.25">
      <c r="A42" s="113"/>
      <c r="B42" s="113"/>
      <c r="C42" s="113"/>
      <c r="D42" s="3837"/>
      <c r="E42" s="3837"/>
      <c r="F42" s="3837"/>
      <c r="G42" s="3837"/>
      <c r="H42" s="3837"/>
      <c r="I42" s="3837"/>
      <c r="J42" s="3837"/>
      <c r="K42" s="3837"/>
      <c r="L42" s="3837"/>
      <c r="M42" s="3837"/>
      <c r="N42" s="3837"/>
      <c r="O42" s="3837"/>
      <c r="P42" s="3837"/>
      <c r="Q42" s="3837"/>
      <c r="R42" s="3837"/>
    </row>
    <row r="43" spans="1:28" x14ac:dyDescent="0.25">
      <c r="A43" s="113"/>
      <c r="B43" s="113"/>
      <c r="C43" s="113"/>
      <c r="D43" s="3837"/>
      <c r="E43" s="3837"/>
      <c r="F43" s="3837"/>
      <c r="G43" s="3837"/>
      <c r="H43" s="3837"/>
      <c r="I43" s="3837"/>
      <c r="J43" s="3837"/>
      <c r="K43" s="3837"/>
      <c r="L43" s="3837"/>
      <c r="M43" s="3837"/>
      <c r="N43" s="3837"/>
      <c r="O43" s="3837"/>
      <c r="P43" s="3837"/>
      <c r="Q43" s="3837"/>
      <c r="R43" s="3837"/>
    </row>
    <row r="44" spans="1:28" x14ac:dyDescent="0.25">
      <c r="A44" s="113"/>
      <c r="B44" s="113"/>
      <c r="C44" s="113"/>
      <c r="D44" s="3837"/>
      <c r="E44" s="3837"/>
      <c r="F44" s="3837"/>
      <c r="G44" s="3837"/>
      <c r="H44" s="3837"/>
      <c r="I44" s="3837"/>
      <c r="J44" s="3837"/>
      <c r="K44" s="3837"/>
      <c r="L44" s="3837"/>
      <c r="M44" s="3837"/>
      <c r="N44" s="3837"/>
      <c r="O44" s="3837"/>
      <c r="P44" s="3837"/>
      <c r="Q44" s="3837"/>
      <c r="R44" s="3837"/>
    </row>
    <row r="45" spans="1:28" x14ac:dyDescent="0.25">
      <c r="A45" s="113"/>
      <c r="B45" s="113"/>
      <c r="C45" s="113"/>
      <c r="D45" s="3837"/>
      <c r="E45" s="3837"/>
      <c r="F45" s="3837"/>
      <c r="G45" s="3837"/>
      <c r="H45" s="3837"/>
      <c r="I45" s="3837"/>
      <c r="J45" s="3837"/>
      <c r="K45" s="3837"/>
      <c r="L45" s="3837"/>
      <c r="M45" s="3837"/>
      <c r="N45" s="3837"/>
      <c r="O45" s="3837"/>
      <c r="P45" s="3837"/>
      <c r="Q45" s="3837"/>
      <c r="R45" s="3837"/>
      <c r="S45" s="10"/>
      <c r="T45" s="10"/>
      <c r="U45" s="10"/>
    </row>
    <row r="46" spans="1:28" x14ac:dyDescent="0.25">
      <c r="A46" s="3899">
        <v>7</v>
      </c>
      <c r="B46" s="3899" t="s">
        <v>52</v>
      </c>
      <c r="C46" s="3899"/>
      <c r="D46" s="5131" t="s">
        <v>2023</v>
      </c>
      <c r="E46" s="5132"/>
      <c r="F46" s="5132"/>
      <c r="G46" s="5132"/>
      <c r="H46" s="5132"/>
      <c r="I46" s="5132"/>
      <c r="J46" s="5132"/>
      <c r="K46" s="5132"/>
      <c r="L46" s="5132"/>
      <c r="M46" s="5132"/>
      <c r="N46" s="5132"/>
      <c r="O46" s="5132"/>
      <c r="P46" s="5132"/>
      <c r="Q46" s="5132"/>
      <c r="R46" s="5132"/>
      <c r="S46" s="5132"/>
      <c r="T46" s="5132"/>
      <c r="U46" s="5132"/>
      <c r="V46" s="5132"/>
      <c r="W46" s="5132"/>
      <c r="X46" s="5132"/>
      <c r="Y46" s="5132"/>
      <c r="Z46" s="5132"/>
      <c r="AA46" s="5132"/>
      <c r="AB46" s="5133"/>
    </row>
    <row r="47" spans="1:28" ht="90.6" customHeight="1" x14ac:dyDescent="0.25">
      <c r="A47" s="3898">
        <v>8</v>
      </c>
      <c r="B47" s="3898" t="s">
        <v>54</v>
      </c>
      <c r="C47" s="3898"/>
      <c r="D47" s="5134" t="s">
        <v>2041</v>
      </c>
      <c r="E47" s="5132"/>
      <c r="F47" s="5132"/>
      <c r="G47" s="5132"/>
      <c r="H47" s="5132"/>
      <c r="I47" s="5132"/>
      <c r="J47" s="5132"/>
      <c r="K47" s="5132"/>
      <c r="L47" s="5132"/>
      <c r="M47" s="5132"/>
      <c r="N47" s="5132"/>
      <c r="O47" s="5132"/>
      <c r="P47" s="5132"/>
      <c r="Q47" s="5132"/>
      <c r="R47" s="5132"/>
      <c r="S47" s="5132"/>
      <c r="T47" s="5132"/>
      <c r="U47" s="5132"/>
      <c r="V47" s="5132"/>
      <c r="W47" s="5132"/>
      <c r="X47" s="5132"/>
      <c r="Y47" s="5132"/>
      <c r="Z47" s="5132"/>
      <c r="AA47" s="5132"/>
      <c r="AB47" s="5133"/>
    </row>
    <row r="48" spans="1:28" ht="15" customHeight="1" x14ac:dyDescent="0.25">
      <c r="A48" s="3899">
        <v>9</v>
      </c>
      <c r="B48" s="3899" t="s">
        <v>56</v>
      </c>
      <c r="C48" s="3899"/>
      <c r="D48" s="5131" t="s">
        <v>2025</v>
      </c>
      <c r="E48" s="5132"/>
      <c r="F48" s="5132"/>
      <c r="G48" s="5132"/>
      <c r="H48" s="5132"/>
      <c r="I48" s="5132"/>
      <c r="J48" s="5132"/>
      <c r="K48" s="5132"/>
      <c r="L48" s="5132"/>
      <c r="M48" s="5132"/>
      <c r="N48" s="5132"/>
      <c r="O48" s="5132"/>
      <c r="P48" s="5132"/>
      <c r="Q48" s="5132"/>
      <c r="R48" s="5132"/>
      <c r="S48" s="5132"/>
      <c r="T48" s="5132"/>
      <c r="U48" s="5132"/>
      <c r="V48" s="5132"/>
      <c r="W48" s="5132"/>
      <c r="X48" s="5132"/>
      <c r="Y48" s="5132"/>
      <c r="Z48" s="5132"/>
      <c r="AA48" s="5132"/>
      <c r="AB48" s="5133"/>
    </row>
    <row r="50" spans="1:4" x14ac:dyDescent="0.25">
      <c r="A50" s="113"/>
      <c r="B50" s="113"/>
      <c r="C50" s="113"/>
      <c r="D50" s="4530"/>
    </row>
  </sheetData>
  <mergeCells count="6">
    <mergeCell ref="D48:AB48"/>
    <mergeCell ref="D2:AB2"/>
    <mergeCell ref="D3:AB3"/>
    <mergeCell ref="D4:AB4"/>
    <mergeCell ref="D46:AB46"/>
    <mergeCell ref="D47:AB47"/>
  </mergeCells>
  <pageMargins left="0.74803149606299202" right="0.74803149606299202" top="0.98425196850393704" bottom="0.98425196850393704" header="0.511811023622047" footer="0.511811023622047"/>
  <pageSetup paperSize="9" scale="52"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5700F-061B-4BE1-B654-BDA89086438B}">
  <sheetPr>
    <tabColor theme="4" tint="-0.249977111117893"/>
    <pageSetUpPr fitToPage="1"/>
  </sheetPr>
  <dimension ref="A1:AH40"/>
  <sheetViews>
    <sheetView showGridLines="0" view="pageBreakPreview" zoomScaleNormal="100" workbookViewId="0">
      <selection activeCell="AD12" sqref="AD12"/>
    </sheetView>
  </sheetViews>
  <sheetFormatPr defaultColWidth="9.140625" defaultRowHeight="14.25" x14ac:dyDescent="0.2"/>
  <cols>
    <col min="1" max="1" width="3.85546875" style="509" customWidth="1"/>
    <col min="2" max="2" width="10" style="1497" customWidth="1"/>
    <col min="3" max="3" width="6.5703125" style="1497" customWidth="1"/>
    <col min="4" max="4" width="17.85546875" style="1545" customWidth="1"/>
    <col min="5" max="5" width="9.140625" style="1545" customWidth="1"/>
    <col min="6" max="11" width="7.42578125" style="1545" customWidth="1"/>
    <col min="12" max="14" width="7.42578125" style="1545" hidden="1" customWidth="1"/>
    <col min="15" max="19" width="7.42578125" style="1545" customWidth="1"/>
    <col min="20" max="23" width="6.85546875" style="1545" customWidth="1"/>
    <col min="24" max="24" width="9.140625" style="1545"/>
    <col min="25" max="25" width="8.140625" style="1545" customWidth="1"/>
    <col min="26" max="26" width="8" style="1545" customWidth="1"/>
    <col min="27" max="27" width="7.42578125" style="1545" customWidth="1"/>
    <col min="28" max="28" width="8.140625" style="1545" customWidth="1"/>
    <col min="29" max="29" width="6.140625" style="1545" customWidth="1"/>
    <col min="30" max="30" width="6.85546875" style="1545" customWidth="1"/>
    <col min="31" max="31" width="8.42578125" style="1545" customWidth="1"/>
    <col min="32" max="32" width="6.5703125" style="1545" customWidth="1"/>
    <col min="33" max="33" width="8.140625" style="1545" customWidth="1"/>
    <col min="34" max="16384" width="9.140625" style="1545"/>
  </cols>
  <sheetData>
    <row r="1" spans="1:34" x14ac:dyDescent="0.2">
      <c r="D1" s="1616"/>
      <c r="E1" s="1616"/>
      <c r="F1" s="1616"/>
      <c r="G1" s="1616"/>
      <c r="H1" s="1616"/>
      <c r="I1" s="1616"/>
      <c r="J1" s="1616"/>
      <c r="K1" s="1616"/>
      <c r="L1" s="1616"/>
      <c r="M1" s="1616"/>
      <c r="N1" s="1616"/>
      <c r="O1" s="1616"/>
      <c r="P1" s="1616"/>
      <c r="Q1" s="1616"/>
      <c r="R1" s="1616"/>
    </row>
    <row r="2" spans="1:34" ht="14.1" customHeight="1" x14ac:dyDescent="0.2">
      <c r="A2" s="509">
        <v>1</v>
      </c>
      <c r="B2" s="509" t="s">
        <v>1786</v>
      </c>
      <c r="C2" s="509">
        <v>80</v>
      </c>
      <c r="D2" s="4603" t="s">
        <v>2042</v>
      </c>
      <c r="E2" s="4604"/>
      <c r="F2" s="4604"/>
      <c r="G2" s="4604"/>
      <c r="H2" s="4604"/>
      <c r="I2" s="4604"/>
      <c r="J2" s="4604"/>
      <c r="K2" s="4604"/>
      <c r="L2" s="4604"/>
      <c r="M2" s="4604"/>
      <c r="N2" s="4604"/>
      <c r="O2" s="4604"/>
      <c r="P2" s="4604"/>
      <c r="Q2" s="4604"/>
      <c r="R2" s="4604"/>
      <c r="S2" s="4604"/>
      <c r="T2" s="4604"/>
      <c r="U2" s="4604"/>
      <c r="V2" s="4604"/>
      <c r="W2" s="4604"/>
      <c r="X2" s="4604"/>
      <c r="Y2" s="4604"/>
      <c r="Z2" s="4604"/>
      <c r="AA2" s="4604"/>
      <c r="AB2" s="4604"/>
      <c r="AC2" s="4605"/>
    </row>
    <row r="3" spans="1:34" ht="14.25" customHeight="1" x14ac:dyDescent="0.2">
      <c r="A3" s="509">
        <v>2</v>
      </c>
      <c r="B3" s="509" t="s">
        <v>1788</v>
      </c>
      <c r="C3" s="509"/>
      <c r="D3" s="4603" t="s">
        <v>2043</v>
      </c>
      <c r="E3" s="4604"/>
      <c r="F3" s="4604"/>
      <c r="G3" s="4604"/>
      <c r="H3" s="4604"/>
      <c r="I3" s="4604"/>
      <c r="J3" s="4604"/>
      <c r="K3" s="4604"/>
      <c r="L3" s="4604"/>
      <c r="M3" s="4604"/>
      <c r="N3" s="4604"/>
      <c r="O3" s="4604"/>
      <c r="P3" s="4604"/>
      <c r="Q3" s="4604"/>
      <c r="R3" s="4604"/>
      <c r="S3" s="4604"/>
      <c r="T3" s="4604"/>
      <c r="U3" s="4604"/>
      <c r="V3" s="4604"/>
      <c r="W3" s="4604"/>
      <c r="X3" s="4604"/>
      <c r="Y3" s="4604"/>
      <c r="Z3" s="4604"/>
      <c r="AA3" s="4604"/>
      <c r="AB3" s="4604"/>
      <c r="AC3" s="4605"/>
    </row>
    <row r="4" spans="1:34" ht="14.1" customHeight="1" x14ac:dyDescent="0.2">
      <c r="A4" s="509">
        <v>3</v>
      </c>
      <c r="B4" s="509" t="s">
        <v>4</v>
      </c>
      <c r="C4" s="509"/>
      <c r="D4" s="4603" t="s">
        <v>2044</v>
      </c>
      <c r="E4" s="4604"/>
      <c r="F4" s="4604"/>
      <c r="G4" s="4604"/>
      <c r="H4" s="4604"/>
      <c r="I4" s="4604"/>
      <c r="J4" s="4604"/>
      <c r="K4" s="4604"/>
      <c r="L4" s="4604"/>
      <c r="M4" s="4604"/>
      <c r="N4" s="4604"/>
      <c r="O4" s="4604"/>
      <c r="P4" s="4604"/>
      <c r="Q4" s="4604"/>
      <c r="R4" s="4604"/>
      <c r="S4" s="4604"/>
      <c r="T4" s="4604"/>
      <c r="U4" s="4604"/>
      <c r="V4" s="4604"/>
      <c r="W4" s="4604"/>
      <c r="X4" s="4604"/>
      <c r="Y4" s="4604"/>
      <c r="Z4" s="4604"/>
      <c r="AA4" s="4604"/>
      <c r="AB4" s="4604"/>
      <c r="AC4" s="4605"/>
    </row>
    <row r="5" spans="1:34" ht="14.1" customHeight="1" x14ac:dyDescent="0.2">
      <c r="B5" s="509"/>
      <c r="C5" s="509"/>
      <c r="D5" s="880"/>
      <c r="E5" s="880"/>
      <c r="F5" s="880"/>
      <c r="G5" s="880"/>
      <c r="H5" s="880"/>
      <c r="I5" s="880"/>
      <c r="J5" s="880"/>
      <c r="K5" s="880"/>
      <c r="L5" s="880"/>
      <c r="M5" s="880"/>
      <c r="N5" s="880"/>
      <c r="O5" s="880"/>
      <c r="P5" s="880"/>
      <c r="Q5" s="880"/>
      <c r="R5" s="880"/>
      <c r="S5" s="880"/>
      <c r="T5" s="880"/>
      <c r="U5" s="880"/>
      <c r="V5" s="880"/>
      <c r="W5" s="880"/>
      <c r="X5" s="880"/>
      <c r="Y5" s="880"/>
      <c r="Z5" s="880"/>
      <c r="AA5" s="880"/>
      <c r="AB5" s="880"/>
      <c r="AC5" s="880"/>
    </row>
    <row r="6" spans="1:34" ht="15" x14ac:dyDescent="0.2">
      <c r="A6" s="509">
        <v>4</v>
      </c>
      <c r="B6" s="506" t="s">
        <v>6</v>
      </c>
      <c r="C6" s="506"/>
      <c r="Q6" s="10"/>
      <c r="R6" s="10"/>
    </row>
    <row r="7" spans="1:34" s="2158" customFormat="1" x14ac:dyDescent="0.2">
      <c r="A7" s="2156"/>
      <c r="B7" s="2156"/>
      <c r="C7" s="2156"/>
      <c r="D7" s="1916" t="s">
        <v>80</v>
      </c>
      <c r="E7" s="2157" t="s">
        <v>2039</v>
      </c>
      <c r="G7" s="2159"/>
      <c r="H7" s="2159"/>
      <c r="I7" s="2160"/>
      <c r="J7" s="2160"/>
      <c r="K7" s="2160"/>
      <c r="L7" s="2160"/>
      <c r="M7" s="2159"/>
      <c r="N7" s="2160"/>
      <c r="O7" s="2160"/>
      <c r="P7" s="2160"/>
      <c r="Q7" s="2160"/>
      <c r="R7" s="2160"/>
      <c r="S7" s="2160"/>
      <c r="T7" s="2160"/>
      <c r="U7" s="2160"/>
      <c r="V7" s="2160"/>
      <c r="W7" s="2160"/>
      <c r="X7" s="2161"/>
    </row>
    <row r="8" spans="1:34" s="2080" customFormat="1" ht="22.5" x14ac:dyDescent="0.25">
      <c r="A8" s="2074"/>
      <c r="B8" s="1498"/>
      <c r="C8" s="1498"/>
      <c r="D8" s="3258"/>
      <c r="E8" s="3259" t="s">
        <v>395</v>
      </c>
      <c r="F8" s="3259" t="s">
        <v>396</v>
      </c>
      <c r="G8" s="3259" t="s">
        <v>9</v>
      </c>
      <c r="H8" s="3259" t="s">
        <v>10</v>
      </c>
      <c r="I8" s="3259" t="s">
        <v>11</v>
      </c>
      <c r="J8" s="3259" t="s">
        <v>12</v>
      </c>
      <c r="K8" s="3260" t="s">
        <v>13</v>
      </c>
      <c r="L8" s="3259" t="s">
        <v>14</v>
      </c>
      <c r="M8" s="3259" t="s">
        <v>15</v>
      </c>
      <c r="N8" s="3259" t="s">
        <v>16</v>
      </c>
      <c r="O8" s="3259" t="s">
        <v>17</v>
      </c>
      <c r="P8" s="3259" t="s">
        <v>18</v>
      </c>
      <c r="Q8" s="3259" t="s">
        <v>19</v>
      </c>
      <c r="R8" s="3259" t="s">
        <v>20</v>
      </c>
      <c r="S8" s="3259" t="s">
        <v>21</v>
      </c>
      <c r="T8" s="3259" t="s">
        <v>22</v>
      </c>
      <c r="U8" s="3259" t="s">
        <v>23</v>
      </c>
      <c r="V8" s="3260" t="s">
        <v>24</v>
      </c>
      <c r="W8" s="3260" t="s">
        <v>25</v>
      </c>
      <c r="X8" s="3261" t="s">
        <v>26</v>
      </c>
      <c r="Y8" s="3261" t="s">
        <v>27</v>
      </c>
      <c r="Z8" s="3261" t="s">
        <v>28</v>
      </c>
      <c r="AA8" s="3261" t="s">
        <v>29</v>
      </c>
      <c r="AB8" s="3261" t="s">
        <v>30</v>
      </c>
      <c r="AC8" s="3261" t="s">
        <v>31</v>
      </c>
      <c r="AD8" s="3262" t="s">
        <v>32</v>
      </c>
      <c r="AE8" s="3262" t="s">
        <v>33</v>
      </c>
      <c r="AF8" s="3262" t="s">
        <v>59</v>
      </c>
      <c r="AG8" s="4592" t="s">
        <v>35</v>
      </c>
    </row>
    <row r="9" spans="1:34" s="2080" customFormat="1" ht="15" x14ac:dyDescent="0.25">
      <c r="A9" s="2074"/>
      <c r="B9" s="1498"/>
      <c r="C9" s="1498"/>
      <c r="D9" s="2075" t="s">
        <v>2045</v>
      </c>
      <c r="E9" s="2162"/>
      <c r="F9" s="2163">
        <v>17433</v>
      </c>
      <c r="G9" s="2163">
        <v>21159</v>
      </c>
      <c r="H9" s="2163">
        <v>22724</v>
      </c>
      <c r="I9" s="2163">
        <v>22280</v>
      </c>
      <c r="J9" s="2163">
        <v>21659</v>
      </c>
      <c r="K9" s="2163">
        <v>24954</v>
      </c>
      <c r="L9" s="2163">
        <v>28030</v>
      </c>
      <c r="M9" s="2163">
        <v>28941</v>
      </c>
      <c r="N9" s="2163">
        <v>31491</v>
      </c>
      <c r="O9" s="2163">
        <v>31562</v>
      </c>
      <c r="P9" s="2163">
        <v>24387</v>
      </c>
      <c r="Q9" s="2163">
        <v>25899</v>
      </c>
      <c r="R9" s="2163">
        <v>30914</v>
      </c>
      <c r="S9" s="2163">
        <v>34299</v>
      </c>
      <c r="T9" s="2163">
        <v>36862</v>
      </c>
      <c r="U9" s="2163">
        <v>42059</v>
      </c>
      <c r="V9" s="2163">
        <v>47095</v>
      </c>
      <c r="W9" s="2163">
        <v>46259</v>
      </c>
      <c r="X9" s="2164">
        <v>48703</v>
      </c>
      <c r="Y9" s="2164">
        <v>50855</v>
      </c>
      <c r="Z9" s="2164">
        <v>51937</v>
      </c>
      <c r="AA9" s="2164">
        <v>51785</v>
      </c>
      <c r="AB9" s="2164">
        <v>54225</v>
      </c>
      <c r="AC9" s="2164">
        <v>55030</v>
      </c>
      <c r="AD9" s="3263">
        <v>52745</v>
      </c>
      <c r="AE9" s="3263">
        <v>52275</v>
      </c>
      <c r="AF9" s="4590">
        <v>52054</v>
      </c>
      <c r="AG9" s="4589">
        <v>50695</v>
      </c>
    </row>
    <row r="10" spans="1:34" ht="24" customHeight="1" x14ac:dyDescent="0.2">
      <c r="A10" s="2074"/>
      <c r="B10" s="2074"/>
      <c r="D10" s="2075" t="s">
        <v>2046</v>
      </c>
      <c r="E10" s="2162"/>
      <c r="F10" s="2163">
        <v>5563.49444444444</v>
      </c>
      <c r="G10" s="2163">
        <v>8364.9544770032007</v>
      </c>
      <c r="H10" s="2163">
        <v>10483.174880671701</v>
      </c>
      <c r="I10" s="2163">
        <v>10822.7992124827</v>
      </c>
      <c r="J10" s="2163">
        <v>10149.2431282246</v>
      </c>
      <c r="K10" s="2163">
        <v>11879.0741625063</v>
      </c>
      <c r="L10" s="2163">
        <v>15092.2325682585</v>
      </c>
      <c r="M10" s="2163">
        <v>15724.796177550899</v>
      </c>
      <c r="N10" s="2163">
        <v>19354.038755824899</v>
      </c>
      <c r="O10" s="2163">
        <v>21471.488074729099</v>
      </c>
      <c r="P10" s="2163">
        <v>17046.486689916499</v>
      </c>
      <c r="Q10" s="2163">
        <v>17411.108003719299</v>
      </c>
      <c r="R10" s="2163">
        <v>21238.989963391101</v>
      </c>
      <c r="S10" s="2163">
        <v>23309.261182664301</v>
      </c>
      <c r="T10" s="2163">
        <v>25721.7098783314</v>
      </c>
      <c r="U10" s="2163">
        <v>28106.833916934102</v>
      </c>
      <c r="V10" s="2163">
        <v>35819</v>
      </c>
      <c r="W10" s="2163">
        <v>39269</v>
      </c>
      <c r="X10" s="2164">
        <v>38768</v>
      </c>
      <c r="Y10" s="2164">
        <v>49928</v>
      </c>
      <c r="Z10" s="2164">
        <v>51307</v>
      </c>
      <c r="AA10" s="2164">
        <v>51161</v>
      </c>
      <c r="AB10" s="2164">
        <v>53615</v>
      </c>
      <c r="AC10" s="2165">
        <v>54487</v>
      </c>
      <c r="AD10" s="3263">
        <v>53256</v>
      </c>
      <c r="AE10" s="3263">
        <v>51901</v>
      </c>
      <c r="AF10" s="4590">
        <v>51586</v>
      </c>
      <c r="AG10" s="4589"/>
    </row>
    <row r="11" spans="1:34" ht="24.6" customHeight="1" x14ac:dyDescent="0.2">
      <c r="A11" s="2074"/>
      <c r="D11" s="3638" t="s">
        <v>2047</v>
      </c>
      <c r="E11" s="3639"/>
      <c r="F11" s="3640">
        <f t="shared" ref="F11:X11" si="0">F10/F9</f>
        <v>0.31913580246913553</v>
      </c>
      <c r="G11" s="3640">
        <f t="shared" si="0"/>
        <v>0.39533789295350447</v>
      </c>
      <c r="H11" s="3640">
        <f t="shared" si="0"/>
        <v>0.46132612571165732</v>
      </c>
      <c r="I11" s="3640">
        <f t="shared" si="0"/>
        <v>0.48576298081161129</v>
      </c>
      <c r="J11" s="3640">
        <f t="shared" si="0"/>
        <v>0.46859241554201947</v>
      </c>
      <c r="K11" s="3640">
        <f t="shared" si="0"/>
        <v>0.47603887803583794</v>
      </c>
      <c r="L11" s="3640">
        <f t="shared" si="0"/>
        <v>0.53843141520722437</v>
      </c>
      <c r="M11" s="3640">
        <f t="shared" si="0"/>
        <v>0.5433397663367161</v>
      </c>
      <c r="N11" s="3640">
        <f t="shared" si="0"/>
        <v>0.61458952576370707</v>
      </c>
      <c r="O11" s="3640">
        <f t="shared" si="0"/>
        <v>0.68029554764365685</v>
      </c>
      <c r="P11" s="3640">
        <f t="shared" si="0"/>
        <v>0.69899892114308848</v>
      </c>
      <c r="Q11" s="3640">
        <f t="shared" si="0"/>
        <v>0.6722695086188385</v>
      </c>
      <c r="R11" s="3640">
        <f t="shared" si="0"/>
        <v>0.68703467566122467</v>
      </c>
      <c r="S11" s="3640">
        <f t="shared" si="0"/>
        <v>0.67959010999341962</v>
      </c>
      <c r="T11" s="3640">
        <f t="shared" si="0"/>
        <v>0.69778389339513314</v>
      </c>
      <c r="U11" s="3640">
        <f t="shared" si="0"/>
        <v>0.66827156891352868</v>
      </c>
      <c r="V11" s="3640">
        <f t="shared" si="0"/>
        <v>0.76056906253317758</v>
      </c>
      <c r="W11" s="3640">
        <f t="shared" si="0"/>
        <v>0.84889426922328626</v>
      </c>
      <c r="X11" s="3641">
        <f t="shared" si="0"/>
        <v>0.79600845943781695</v>
      </c>
      <c r="Y11" s="3641">
        <v>0.98177716999999998</v>
      </c>
      <c r="Z11" s="3641">
        <v>0.98780000000000001</v>
      </c>
      <c r="AA11" s="3641">
        <v>0.99</v>
      </c>
      <c r="AB11" s="3641">
        <v>0.99</v>
      </c>
      <c r="AC11" s="3642">
        <v>0.99</v>
      </c>
      <c r="AD11" s="3642">
        <f>AD9/AD10</f>
        <v>0.99040483701366977</v>
      </c>
      <c r="AE11" s="3642">
        <v>0.99</v>
      </c>
      <c r="AF11" s="4591">
        <v>0.97</v>
      </c>
      <c r="AG11" s="4593"/>
    </row>
    <row r="12" spans="1:34" x14ac:dyDescent="0.2">
      <c r="A12" s="2074"/>
      <c r="D12" s="2075"/>
      <c r="E12" s="2162"/>
      <c r="F12" s="2076"/>
      <c r="G12" s="2076"/>
      <c r="H12" s="2076"/>
      <c r="I12" s="2076"/>
      <c r="J12" s="2076"/>
      <c r="K12" s="2076"/>
      <c r="L12" s="2076"/>
      <c r="M12" s="2076"/>
      <c r="N12" s="2076"/>
      <c r="O12" s="2076"/>
      <c r="P12" s="2076"/>
      <c r="Q12" s="2076"/>
      <c r="R12" s="2076"/>
      <c r="S12" s="2076"/>
      <c r="T12" s="2076"/>
      <c r="U12" s="2076"/>
      <c r="V12" s="2076"/>
      <c r="W12" s="2076"/>
      <c r="X12" s="2166"/>
      <c r="Y12" s="2166"/>
      <c r="Z12" s="1081"/>
      <c r="AA12" s="1081"/>
      <c r="AB12" s="1081"/>
      <c r="AC12" s="2078"/>
      <c r="AD12" s="2078"/>
      <c r="AE12" s="2078"/>
      <c r="AF12" s="1081"/>
      <c r="AG12" s="2066"/>
      <c r="AH12" s="3055"/>
    </row>
    <row r="13" spans="1:34" x14ac:dyDescent="0.2">
      <c r="A13" s="2074"/>
      <c r="D13" s="2167" t="s">
        <v>267</v>
      </c>
      <c r="E13" s="2168" t="s">
        <v>2048</v>
      </c>
      <c r="F13" s="2076"/>
      <c r="G13" s="2076"/>
      <c r="H13" s="2076"/>
      <c r="I13" s="2076"/>
      <c r="J13" s="2076"/>
      <c r="K13" s="2076"/>
      <c r="L13" s="2076"/>
      <c r="M13" s="2076"/>
      <c r="N13" s="2076"/>
      <c r="O13" s="2076"/>
      <c r="P13" s="2076"/>
      <c r="Q13" s="2076"/>
      <c r="R13" s="2076"/>
      <c r="S13" s="2076"/>
      <c r="T13" s="2076"/>
      <c r="U13" s="2076"/>
      <c r="V13" s="2076"/>
      <c r="W13" s="2076"/>
      <c r="X13" s="2166"/>
      <c r="Y13" s="2166"/>
      <c r="Z13" s="1081"/>
      <c r="AA13" s="1081"/>
      <c r="AB13" s="1081"/>
      <c r="AC13" s="2078"/>
      <c r="AD13" s="2078"/>
      <c r="AE13" s="2078"/>
      <c r="AF13" s="1081"/>
      <c r="AG13" s="2066"/>
    </row>
    <row r="14" spans="1:34" ht="22.5" x14ac:dyDescent="0.2">
      <c r="A14" s="2074"/>
      <c r="D14" s="3264"/>
      <c r="E14" s="3259" t="s">
        <v>395</v>
      </c>
      <c r="F14" s="3259" t="s">
        <v>396</v>
      </c>
      <c r="G14" s="3259" t="s">
        <v>9</v>
      </c>
      <c r="H14" s="3259" t="s">
        <v>10</v>
      </c>
      <c r="I14" s="3259" t="s">
        <v>11</v>
      </c>
      <c r="J14" s="3259" t="s">
        <v>12</v>
      </c>
      <c r="K14" s="3260" t="s">
        <v>13</v>
      </c>
      <c r="L14" s="3259" t="s">
        <v>14</v>
      </c>
      <c r="M14" s="3259" t="s">
        <v>15</v>
      </c>
      <c r="N14" s="3259" t="s">
        <v>16</v>
      </c>
      <c r="O14" s="3259" t="s">
        <v>17</v>
      </c>
      <c r="P14" s="3259" t="s">
        <v>18</v>
      </c>
      <c r="Q14" s="3259" t="s">
        <v>19</v>
      </c>
      <c r="R14" s="3259" t="s">
        <v>20</v>
      </c>
      <c r="S14" s="3259" t="s">
        <v>21</v>
      </c>
      <c r="T14" s="3259" t="s">
        <v>22</v>
      </c>
      <c r="U14" s="3259" t="s">
        <v>23</v>
      </c>
      <c r="V14" s="3260" t="s">
        <v>24</v>
      </c>
      <c r="W14" s="3260" t="s">
        <v>25</v>
      </c>
      <c r="X14" s="3262" t="s">
        <v>26</v>
      </c>
      <c r="Y14" s="3262" t="s">
        <v>27</v>
      </c>
      <c r="Z14" s="3262" t="s">
        <v>28</v>
      </c>
      <c r="AA14" s="3262" t="s">
        <v>29</v>
      </c>
      <c r="AB14" s="3262" t="s">
        <v>30</v>
      </c>
      <c r="AC14" s="3265" t="s">
        <v>31</v>
      </c>
      <c r="AD14" s="3265" t="s">
        <v>32</v>
      </c>
      <c r="AE14" s="3262" t="s">
        <v>33</v>
      </c>
      <c r="AF14" s="3262" t="s">
        <v>59</v>
      </c>
      <c r="AG14" s="4588" t="s">
        <v>35</v>
      </c>
    </row>
    <row r="15" spans="1:34" x14ac:dyDescent="0.2">
      <c r="A15" s="2074"/>
      <c r="D15" s="2075" t="s">
        <v>2049</v>
      </c>
      <c r="E15" s="2162"/>
      <c r="F15" s="2163">
        <v>8487</v>
      </c>
      <c r="G15" s="2163">
        <v>10715</v>
      </c>
      <c r="H15" s="2163">
        <v>12054</v>
      </c>
      <c r="I15" s="2163">
        <v>11751</v>
      </c>
      <c r="J15" s="2163">
        <v>12648</v>
      </c>
      <c r="K15" s="2163">
        <v>16509</v>
      </c>
      <c r="L15" s="2163">
        <v>17935</v>
      </c>
      <c r="M15" s="2163">
        <v>19248</v>
      </c>
      <c r="N15" s="2163">
        <v>20656</v>
      </c>
      <c r="O15" s="2163">
        <v>20680</v>
      </c>
      <c r="P15" s="2163">
        <v>15470</v>
      </c>
      <c r="Q15" s="2163">
        <v>16044</v>
      </c>
      <c r="R15" s="2163">
        <v>17708</v>
      </c>
      <c r="S15" s="2163">
        <v>18886</v>
      </c>
      <c r="T15" s="2163">
        <v>18370</v>
      </c>
      <c r="U15" s="2163">
        <v>19627</v>
      </c>
      <c r="V15" s="2163">
        <v>19437</v>
      </c>
      <c r="W15" s="2169">
        <v>15943</v>
      </c>
      <c r="X15" s="2170">
        <v>16950</v>
      </c>
      <c r="Y15" s="2170">
        <v>17033</v>
      </c>
      <c r="Z15" s="2170">
        <v>17061</v>
      </c>
      <c r="AA15" s="2170" t="e">
        <f>#REF!</f>
        <v>#REF!</v>
      </c>
      <c r="AB15" s="2170">
        <v>16311</v>
      </c>
      <c r="AC15" s="2171">
        <v>15251</v>
      </c>
      <c r="AD15" s="3266">
        <v>12471</v>
      </c>
      <c r="AE15" s="3263">
        <v>7597</v>
      </c>
      <c r="AF15" s="4590">
        <v>7803</v>
      </c>
      <c r="AG15" s="4589">
        <v>8101</v>
      </c>
    </row>
    <row r="16" spans="1:34" ht="22.5" x14ac:dyDescent="0.2">
      <c r="A16" s="2074"/>
      <c r="D16" s="2075" t="s">
        <v>2050</v>
      </c>
      <c r="E16" s="2162"/>
      <c r="F16" s="2163">
        <v>5123.3059027777799</v>
      </c>
      <c r="G16" s="2163">
        <v>7094.8131706092699</v>
      </c>
      <c r="H16" s="2163">
        <v>8346.4366553568398</v>
      </c>
      <c r="I16" s="2163">
        <v>8012.7517557521096</v>
      </c>
      <c r="J16" s="2163">
        <v>8721.2839362229297</v>
      </c>
      <c r="K16" s="2163">
        <v>11412.523623471499</v>
      </c>
      <c r="L16" s="2163">
        <v>12981.1707821168</v>
      </c>
      <c r="M16" s="2163">
        <v>13955.588868829</v>
      </c>
      <c r="N16" s="2163">
        <v>15757.6914491725</v>
      </c>
      <c r="O16" s="2163">
        <v>16584.535048428501</v>
      </c>
      <c r="P16" s="2163">
        <v>12652.897358054999</v>
      </c>
      <c r="Q16" s="2163">
        <v>13188.112152206601</v>
      </c>
      <c r="R16" s="2163">
        <v>14673.508288429101</v>
      </c>
      <c r="S16" s="2163">
        <v>15548.4139513021</v>
      </c>
      <c r="T16" s="2163">
        <v>15304.1204374276</v>
      </c>
      <c r="U16" s="2163">
        <v>16443.013536296701</v>
      </c>
      <c r="V16" s="2163">
        <v>16636.337616840799</v>
      </c>
      <c r="W16" s="2163">
        <v>14029</v>
      </c>
      <c r="X16" s="2164">
        <v>13560</v>
      </c>
      <c r="Y16" s="2164">
        <v>16913</v>
      </c>
      <c r="Z16" s="2164">
        <v>16416</v>
      </c>
      <c r="AA16" s="2164">
        <v>16016</v>
      </c>
      <c r="AB16" s="2164">
        <v>15914</v>
      </c>
      <c r="AC16" s="2164">
        <v>15334</v>
      </c>
      <c r="AD16" s="3263">
        <v>12605</v>
      </c>
      <c r="AE16" s="3263">
        <v>7530</v>
      </c>
      <c r="AF16" s="4590">
        <v>7714</v>
      </c>
      <c r="AG16" s="4595"/>
    </row>
    <row r="17" spans="1:33" ht="33.6" customHeight="1" x14ac:dyDescent="0.2">
      <c r="A17" s="2074"/>
      <c r="D17" s="3638" t="s">
        <v>2051</v>
      </c>
      <c r="E17" s="3643"/>
      <c r="F17" s="3640">
        <f t="shared" ref="F17:Z17" si="1">F16/F15</f>
        <v>0.60366512345679035</v>
      </c>
      <c r="G17" s="3640">
        <f t="shared" si="1"/>
        <v>0.66213842002886325</v>
      </c>
      <c r="H17" s="3640">
        <f t="shared" si="1"/>
        <v>0.69242049571568276</v>
      </c>
      <c r="I17" s="3640">
        <f t="shared" si="1"/>
        <v>0.6818782874438013</v>
      </c>
      <c r="J17" s="3640">
        <f t="shared" si="1"/>
        <v>0.68953857813274266</v>
      </c>
      <c r="K17" s="3640">
        <f t="shared" si="1"/>
        <v>0.69129103055736263</v>
      </c>
      <c r="L17" s="3640">
        <f t="shared" si="1"/>
        <v>0.72378984009572345</v>
      </c>
      <c r="M17" s="3640">
        <f t="shared" si="1"/>
        <v>0.72504098445703447</v>
      </c>
      <c r="N17" s="3640">
        <f t="shared" si="1"/>
        <v>0.76286267666404439</v>
      </c>
      <c r="O17" s="3640">
        <f t="shared" si="1"/>
        <v>0.80196010872478241</v>
      </c>
      <c r="P17" s="3640">
        <f t="shared" si="1"/>
        <v>0.81789898888526169</v>
      </c>
      <c r="Q17" s="3640">
        <f t="shared" si="1"/>
        <v>0.82199651908542759</v>
      </c>
      <c r="R17" s="3640">
        <f t="shared" si="1"/>
        <v>0.82863724240055914</v>
      </c>
      <c r="S17" s="3640">
        <f t="shared" si="1"/>
        <v>0.82327723982326062</v>
      </c>
      <c r="T17" s="3640">
        <f t="shared" si="1"/>
        <v>0.83310399768250409</v>
      </c>
      <c r="U17" s="3640">
        <f t="shared" si="1"/>
        <v>0.8377751839963673</v>
      </c>
      <c r="V17" s="3640">
        <f t="shared" si="1"/>
        <v>0.85591076898908269</v>
      </c>
      <c r="W17" s="3640">
        <f t="shared" si="1"/>
        <v>0.87994731230006895</v>
      </c>
      <c r="X17" s="3644">
        <f t="shared" si="1"/>
        <v>0.8</v>
      </c>
      <c r="Y17" s="3644">
        <f t="shared" si="1"/>
        <v>0.99295485234544711</v>
      </c>
      <c r="Z17" s="3641">
        <f t="shared" si="1"/>
        <v>0.96219447863548446</v>
      </c>
      <c r="AA17" s="3641">
        <v>0.99</v>
      </c>
      <c r="AB17" s="3641">
        <v>0.99</v>
      </c>
      <c r="AC17" s="3645">
        <v>0.99</v>
      </c>
      <c r="AD17" s="3642">
        <f>AD15/AD16</f>
        <v>0.98936929789765971</v>
      </c>
      <c r="AE17" s="3642">
        <v>0.99</v>
      </c>
      <c r="AF17" s="4591">
        <v>0.97</v>
      </c>
      <c r="AG17" s="4594"/>
    </row>
    <row r="18" spans="1:33" ht="37.5" customHeight="1" x14ac:dyDescent="0.2">
      <c r="A18" s="509">
        <v>5</v>
      </c>
      <c r="B18" s="509" t="s">
        <v>51</v>
      </c>
    </row>
    <row r="19" spans="1:33" x14ac:dyDescent="0.2">
      <c r="D19" s="1616"/>
      <c r="E19" s="1616"/>
      <c r="F19" s="88"/>
      <c r="G19" s="88"/>
      <c r="H19" s="88"/>
      <c r="I19" s="88"/>
      <c r="J19" s="88"/>
      <c r="K19" s="88"/>
      <c r="L19" s="88"/>
      <c r="M19" s="88"/>
      <c r="N19" s="550"/>
      <c r="O19" s="88"/>
      <c r="P19" s="88"/>
      <c r="Q19" s="88"/>
      <c r="R19" s="88"/>
      <c r="S19" s="88"/>
    </row>
    <row r="20" spans="1:33" x14ac:dyDescent="0.2">
      <c r="D20" s="1616"/>
      <c r="E20" s="88"/>
      <c r="F20" s="88"/>
      <c r="G20" s="88"/>
      <c r="H20" s="88"/>
      <c r="I20" s="88"/>
      <c r="J20" s="88"/>
      <c r="K20" s="88"/>
      <c r="L20" s="88"/>
      <c r="M20" s="550"/>
      <c r="N20" s="88"/>
      <c r="O20" s="88"/>
      <c r="P20" s="88"/>
      <c r="Q20" s="88"/>
      <c r="R20" s="88"/>
    </row>
    <row r="21" spans="1:33" x14ac:dyDescent="0.2">
      <c r="D21" s="1616"/>
      <c r="E21" s="88"/>
      <c r="F21" s="88"/>
      <c r="G21" s="88"/>
      <c r="H21" s="88"/>
      <c r="I21" s="88"/>
      <c r="J21" s="88"/>
      <c r="K21" s="88"/>
      <c r="L21" s="88"/>
      <c r="M21" s="550"/>
      <c r="N21" s="88"/>
      <c r="O21" s="88"/>
      <c r="P21" s="88"/>
      <c r="Q21" s="88"/>
      <c r="R21" s="88"/>
    </row>
    <row r="22" spans="1:33" x14ac:dyDescent="0.2">
      <c r="A22" s="1545"/>
      <c r="B22" s="1545"/>
      <c r="C22" s="1545"/>
      <c r="D22" s="1616"/>
      <c r="E22" s="88"/>
      <c r="F22" s="88"/>
      <c r="G22" s="88"/>
      <c r="H22" s="88"/>
      <c r="I22" s="88"/>
      <c r="J22" s="88"/>
      <c r="K22" s="88"/>
      <c r="L22" s="88"/>
      <c r="M22" s="550"/>
      <c r="N22" s="88"/>
      <c r="O22" s="88"/>
      <c r="P22" s="88"/>
      <c r="Q22" s="88"/>
      <c r="R22" s="88"/>
    </row>
    <row r="23" spans="1:33" x14ac:dyDescent="0.2">
      <c r="A23" s="1545"/>
      <c r="B23" s="1545"/>
      <c r="C23" s="1545"/>
      <c r="D23" s="1616"/>
      <c r="E23" s="88"/>
      <c r="F23" s="88"/>
      <c r="G23" s="88"/>
      <c r="H23" s="88"/>
      <c r="I23" s="88"/>
      <c r="J23" s="88"/>
      <c r="K23" s="88"/>
      <c r="L23" s="88"/>
      <c r="M23" s="550"/>
      <c r="N23" s="88"/>
      <c r="O23" s="88"/>
      <c r="P23" s="88"/>
      <c r="Q23" s="88"/>
      <c r="R23" s="88"/>
    </row>
    <row r="24" spans="1:33" x14ac:dyDescent="0.2">
      <c r="A24" s="1545"/>
      <c r="B24" s="1545"/>
      <c r="C24" s="1545"/>
      <c r="D24" s="1616"/>
      <c r="E24" s="88"/>
      <c r="F24" s="88"/>
      <c r="G24" s="88"/>
      <c r="H24" s="88"/>
      <c r="I24" s="88"/>
      <c r="J24" s="88"/>
      <c r="K24" s="88"/>
      <c r="L24" s="88"/>
      <c r="M24" s="550"/>
      <c r="N24" s="88"/>
      <c r="O24" s="88"/>
      <c r="P24" s="88"/>
      <c r="Q24" s="88"/>
      <c r="R24" s="88"/>
    </row>
    <row r="25" spans="1:33" x14ac:dyDescent="0.2">
      <c r="A25" s="1545"/>
      <c r="B25" s="1545"/>
      <c r="C25" s="1545"/>
      <c r="D25" s="1616"/>
      <c r="E25" s="88"/>
      <c r="F25" s="88"/>
      <c r="G25" s="88"/>
      <c r="H25" s="88"/>
      <c r="I25" s="88"/>
      <c r="J25" s="88"/>
      <c r="K25" s="88"/>
      <c r="L25" s="88"/>
      <c r="M25" s="550"/>
      <c r="N25" s="88"/>
      <c r="O25" s="88"/>
      <c r="P25" s="88"/>
      <c r="Q25" s="88"/>
      <c r="R25" s="88"/>
    </row>
    <row r="26" spans="1:33" x14ac:dyDescent="0.2">
      <c r="A26" s="1545"/>
      <c r="B26" s="1545"/>
      <c r="C26" s="1545"/>
      <c r="D26" s="1616"/>
      <c r="E26" s="88"/>
      <c r="F26" s="88"/>
      <c r="G26" s="88"/>
      <c r="H26" s="88"/>
      <c r="I26" s="88"/>
      <c r="J26" s="88"/>
      <c r="K26" s="88"/>
      <c r="L26" s="88"/>
      <c r="M26" s="550"/>
      <c r="N26" s="88"/>
      <c r="O26" s="88"/>
      <c r="P26" s="88"/>
      <c r="Q26" s="88"/>
      <c r="R26" s="88"/>
    </row>
    <row r="27" spans="1:33" x14ac:dyDescent="0.2">
      <c r="A27" s="1545"/>
      <c r="B27" s="1545"/>
      <c r="C27" s="1545"/>
      <c r="D27" s="2172"/>
      <c r="E27" s="1616"/>
      <c r="F27" s="1616"/>
      <c r="G27" s="1616"/>
      <c r="H27" s="1616"/>
      <c r="I27" s="1616"/>
      <c r="J27" s="1616"/>
      <c r="K27" s="2172"/>
      <c r="L27" s="1616"/>
      <c r="M27" s="550"/>
      <c r="N27" s="1616"/>
      <c r="O27" s="1616"/>
      <c r="P27" s="1616"/>
      <c r="Q27" s="1616"/>
      <c r="R27" s="1616"/>
      <c r="V27" s="1545" t="s">
        <v>85</v>
      </c>
    </row>
    <row r="28" spans="1:33" x14ac:dyDescent="0.2">
      <c r="A28" s="1545"/>
      <c r="B28" s="1545"/>
      <c r="C28" s="1545"/>
      <c r="D28" s="1616"/>
      <c r="E28" s="1616"/>
      <c r="F28" s="1616"/>
      <c r="G28" s="1616"/>
      <c r="H28" s="1616"/>
      <c r="I28" s="1616"/>
      <c r="J28" s="1616"/>
      <c r="K28" s="1616"/>
      <c r="L28" s="1616"/>
      <c r="M28" s="1616"/>
      <c r="N28" s="1616"/>
      <c r="O28" s="1616"/>
      <c r="P28" s="1616"/>
      <c r="Q28" s="1616"/>
      <c r="R28" s="1616"/>
    </row>
    <row r="29" spans="1:33" x14ac:dyDescent="0.2">
      <c r="A29" s="1545"/>
      <c r="B29" s="1545"/>
      <c r="C29" s="1545"/>
      <c r="D29" s="1616"/>
      <c r="E29" s="1616"/>
      <c r="F29" s="1616"/>
      <c r="G29" s="1616"/>
      <c r="H29" s="1616"/>
      <c r="I29" s="1616"/>
      <c r="J29" s="1616"/>
      <c r="K29" s="1616"/>
      <c r="L29" s="1616"/>
      <c r="M29" s="1616"/>
      <c r="N29" s="1616"/>
      <c r="O29" s="1616"/>
      <c r="P29" s="1616"/>
      <c r="Q29" s="1616"/>
      <c r="R29" s="1616"/>
    </row>
    <row r="30" spans="1:33" x14ac:dyDescent="0.2">
      <c r="A30" s="1545"/>
      <c r="B30" s="1545"/>
      <c r="C30" s="1545"/>
      <c r="D30" s="1616"/>
      <c r="E30" s="1616"/>
      <c r="F30" s="1616"/>
      <c r="G30" s="1616"/>
      <c r="H30" s="1616"/>
      <c r="I30" s="1616"/>
      <c r="J30" s="1616"/>
      <c r="K30" s="1616"/>
      <c r="L30" s="1616"/>
      <c r="M30" s="1616"/>
      <c r="N30" s="1616"/>
      <c r="O30" s="1616"/>
      <c r="P30" s="1616"/>
      <c r="Q30" s="1616"/>
      <c r="R30" s="1616"/>
    </row>
    <row r="31" spans="1:33" x14ac:dyDescent="0.2">
      <c r="A31" s="1545"/>
      <c r="B31" s="1545"/>
      <c r="C31" s="1545"/>
      <c r="D31" s="1616"/>
      <c r="E31" s="1616"/>
      <c r="F31" s="1616"/>
      <c r="G31" s="1616"/>
      <c r="H31" s="1616"/>
      <c r="I31" s="1616"/>
      <c r="J31" s="1616"/>
      <c r="K31" s="1616"/>
      <c r="L31" s="1616"/>
      <c r="M31" s="1616"/>
      <c r="N31" s="1616"/>
      <c r="O31" s="1616"/>
      <c r="P31" s="1616"/>
      <c r="Q31" s="1616"/>
      <c r="R31" s="1616"/>
    </row>
    <row r="32" spans="1:33" x14ac:dyDescent="0.2">
      <c r="A32" s="1545"/>
      <c r="B32" s="1545"/>
      <c r="C32" s="1545"/>
      <c r="D32" s="1616"/>
      <c r="E32" s="1616"/>
      <c r="F32" s="1616"/>
      <c r="G32" s="1616"/>
      <c r="H32" s="1616"/>
      <c r="I32" s="1616"/>
      <c r="J32" s="1616"/>
      <c r="K32" s="1616"/>
      <c r="L32" s="1616"/>
      <c r="M32" s="1616"/>
      <c r="N32" s="1616"/>
      <c r="O32" s="1616"/>
      <c r="P32" s="1616"/>
      <c r="Q32" s="1616"/>
      <c r="R32" s="1616"/>
    </row>
    <row r="33" spans="1:29" x14ac:dyDescent="0.2">
      <c r="A33" s="1545"/>
      <c r="B33" s="1545"/>
      <c r="C33" s="1545"/>
      <c r="D33" s="1616"/>
      <c r="E33" s="1616"/>
      <c r="F33" s="1616"/>
      <c r="G33" s="1616"/>
      <c r="H33" s="1616"/>
      <c r="I33" s="1616"/>
      <c r="J33" s="1616"/>
      <c r="K33" s="1616"/>
      <c r="L33" s="1616"/>
      <c r="M33" s="1616"/>
      <c r="N33" s="1616"/>
      <c r="O33" s="1616"/>
      <c r="P33" s="1616"/>
      <c r="Q33" s="1616"/>
      <c r="R33" s="1616"/>
    </row>
    <row r="34" spans="1:29" x14ac:dyDescent="0.2">
      <c r="A34" s="1545"/>
      <c r="B34" s="1545"/>
      <c r="C34" s="1545"/>
      <c r="D34" s="1616"/>
      <c r="E34" s="1616"/>
      <c r="F34" s="1616"/>
      <c r="G34" s="1616"/>
      <c r="H34" s="1616"/>
      <c r="I34" s="1616"/>
      <c r="J34" s="1616"/>
      <c r="K34" s="1616"/>
      <c r="L34" s="1616"/>
      <c r="M34" s="1616"/>
      <c r="N34" s="1616"/>
      <c r="O34" s="1616"/>
      <c r="P34" s="1616"/>
      <c r="Q34" s="1616"/>
      <c r="R34" s="1616"/>
    </row>
    <row r="35" spans="1:29" ht="14.25" customHeight="1" x14ac:dyDescent="0.2">
      <c r="A35" s="509">
        <v>6</v>
      </c>
      <c r="B35" s="509" t="s">
        <v>52</v>
      </c>
      <c r="C35" s="531"/>
      <c r="D35" s="4603" t="s">
        <v>2052</v>
      </c>
      <c r="E35" s="4604"/>
      <c r="F35" s="4604"/>
      <c r="G35" s="4604"/>
      <c r="H35" s="4604"/>
      <c r="I35" s="4604"/>
      <c r="J35" s="4604"/>
      <c r="K35" s="4604"/>
      <c r="L35" s="4604"/>
      <c r="M35" s="4604"/>
      <c r="N35" s="4604"/>
      <c r="O35" s="4604"/>
      <c r="P35" s="4604"/>
      <c r="Q35" s="4604"/>
      <c r="R35" s="4604"/>
      <c r="S35" s="4604"/>
      <c r="T35" s="4604"/>
      <c r="U35" s="4604"/>
      <c r="V35" s="4604"/>
      <c r="W35" s="4604"/>
      <c r="X35" s="4604"/>
      <c r="Y35" s="4604"/>
      <c r="Z35" s="4604"/>
      <c r="AA35" s="4604"/>
      <c r="AB35" s="4604"/>
      <c r="AC35" s="4605"/>
    </row>
    <row r="36" spans="1:29" ht="82.5" customHeight="1" x14ac:dyDescent="0.2">
      <c r="A36" s="509">
        <v>7</v>
      </c>
      <c r="B36" s="509" t="s">
        <v>2053</v>
      </c>
      <c r="C36" s="531"/>
      <c r="D36" s="5135" t="s">
        <v>2054</v>
      </c>
      <c r="E36" s="5136"/>
      <c r="F36" s="5136"/>
      <c r="G36" s="5136"/>
      <c r="H36" s="5136"/>
      <c r="I36" s="5136"/>
      <c r="J36" s="5136"/>
      <c r="K36" s="5136"/>
      <c r="L36" s="5136"/>
      <c r="M36" s="5136"/>
      <c r="N36" s="5136"/>
      <c r="O36" s="5136"/>
      <c r="P36" s="5136"/>
      <c r="Q36" s="5136"/>
      <c r="R36" s="5136"/>
      <c r="S36" s="5136"/>
      <c r="T36" s="5136"/>
      <c r="U36" s="5136"/>
      <c r="V36" s="5136"/>
      <c r="W36" s="5136"/>
      <c r="X36" s="5136"/>
      <c r="Y36" s="5136"/>
      <c r="Z36" s="5136"/>
      <c r="AA36" s="5136"/>
      <c r="AB36" s="5136"/>
      <c r="AC36" s="5137"/>
    </row>
    <row r="37" spans="1:29" ht="14.25" customHeight="1" x14ac:dyDescent="0.2">
      <c r="A37" s="509">
        <v>8</v>
      </c>
      <c r="B37" s="509" t="s">
        <v>56</v>
      </c>
      <c r="C37" s="531"/>
      <c r="D37" s="4603" t="s">
        <v>2025</v>
      </c>
      <c r="E37" s="4604"/>
      <c r="F37" s="4604"/>
      <c r="G37" s="4604"/>
      <c r="H37" s="4604"/>
      <c r="I37" s="4604"/>
      <c r="J37" s="4604"/>
      <c r="K37" s="4604"/>
      <c r="L37" s="4604"/>
      <c r="M37" s="4604"/>
      <c r="N37" s="4604"/>
      <c r="O37" s="4604"/>
      <c r="P37" s="4604"/>
      <c r="Q37" s="4604"/>
      <c r="R37" s="4604"/>
      <c r="S37" s="4604"/>
      <c r="T37" s="4604"/>
      <c r="U37" s="4604"/>
      <c r="V37" s="4604"/>
      <c r="W37" s="4604"/>
      <c r="X37" s="4604"/>
      <c r="Y37" s="4604"/>
      <c r="Z37" s="4604"/>
      <c r="AA37" s="4604"/>
      <c r="AB37" s="4604"/>
      <c r="AC37" s="4605"/>
    </row>
    <row r="38" spans="1:29" ht="14.1" customHeight="1" x14ac:dyDescent="0.2">
      <c r="B38" s="509"/>
      <c r="C38" s="509"/>
      <c r="D38" s="4610"/>
      <c r="E38" s="4610"/>
      <c r="F38" s="4610"/>
      <c r="G38" s="4610"/>
      <c r="H38" s="4610"/>
      <c r="I38" s="4610"/>
      <c r="J38" s="4610"/>
      <c r="K38" s="4610"/>
      <c r="L38" s="4610"/>
      <c r="M38" s="4610"/>
      <c r="N38" s="4610"/>
      <c r="O38" s="4610"/>
      <c r="P38" s="4610"/>
      <c r="Q38" s="4610"/>
      <c r="R38" s="4610"/>
      <c r="S38" s="4610"/>
      <c r="T38" s="4610"/>
      <c r="U38" s="4610"/>
      <c r="V38" s="4610"/>
      <c r="W38" s="4610"/>
      <c r="X38" s="4610"/>
      <c r="Y38" s="4610"/>
      <c r="Z38" s="4610"/>
      <c r="AA38" s="4610"/>
      <c r="AB38" s="4610"/>
      <c r="AC38" s="4610"/>
    </row>
    <row r="40" spans="1:29" x14ac:dyDescent="0.2">
      <c r="A40" s="1545"/>
      <c r="B40" s="1545"/>
      <c r="C40" s="1545"/>
      <c r="D40" s="2081"/>
    </row>
  </sheetData>
  <mergeCells count="7">
    <mergeCell ref="D38:AC38"/>
    <mergeCell ref="D2:AC2"/>
    <mergeCell ref="D3:AC3"/>
    <mergeCell ref="D4:AC4"/>
    <mergeCell ref="D35:AC35"/>
    <mergeCell ref="D36:AC36"/>
    <mergeCell ref="D37:AC37"/>
  </mergeCells>
  <pageMargins left="0.74803149606299202" right="0.74803149606299202" top="0.98425196850393704" bottom="0.98425196850393704" header="0.511811023622047" footer="0.511811023622047"/>
  <pageSetup paperSize="8" scale="78"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4F11F-9A88-4914-8659-AD5D196BC01D}">
  <sheetPr>
    <tabColor rgb="FF0070C0"/>
    <pageSetUpPr fitToPage="1"/>
  </sheetPr>
  <dimension ref="A1:AH37"/>
  <sheetViews>
    <sheetView showGridLines="0" view="pageBreakPreview" topLeftCell="E1" zoomScaleNormal="100" workbookViewId="0">
      <selection activeCell="Y36" sqref="Y36"/>
    </sheetView>
  </sheetViews>
  <sheetFormatPr defaultColWidth="9.140625" defaultRowHeight="11.25" x14ac:dyDescent="0.2"/>
  <cols>
    <col min="1" max="1" width="3.5703125" style="860" customWidth="1"/>
    <col min="2" max="2" width="14.42578125" style="836" customWidth="1"/>
    <col min="3" max="3" width="6.42578125" style="836" customWidth="1"/>
    <col min="4" max="4" width="36.5703125" style="10" customWidth="1"/>
    <col min="5" max="6" width="9.42578125" style="10" customWidth="1"/>
    <col min="7" max="7" width="9.42578125" style="10" hidden="1" customWidth="1"/>
    <col min="8" max="8" width="9.42578125" style="10" customWidth="1"/>
    <col min="9" max="11" width="9.42578125" style="10" hidden="1" customWidth="1"/>
    <col min="12" max="22" width="9.42578125" style="10" customWidth="1"/>
    <col min="23" max="23" width="8.5703125" style="10" customWidth="1"/>
    <col min="24" max="24" width="8.42578125" style="10" customWidth="1"/>
    <col min="25" max="26" width="9.85546875" style="10" customWidth="1"/>
    <col min="27" max="27" width="9.42578125" style="10" customWidth="1"/>
    <col min="28" max="28" width="9.140625" style="10" customWidth="1"/>
    <col min="29" max="29" width="9.42578125" style="10" customWidth="1"/>
    <col min="30" max="256" width="9.140625" style="10"/>
    <col min="257" max="257" width="3.5703125" style="10" customWidth="1"/>
    <col min="258" max="258" width="14.42578125" style="10" customWidth="1"/>
    <col min="259" max="259" width="3.5703125" style="10" customWidth="1"/>
    <col min="260" max="260" width="39.42578125" style="10" customWidth="1"/>
    <col min="261" max="277" width="9.42578125" style="10" customWidth="1"/>
    <col min="278" max="512" width="9.140625" style="10"/>
    <col min="513" max="513" width="3.5703125" style="10" customWidth="1"/>
    <col min="514" max="514" width="14.42578125" style="10" customWidth="1"/>
    <col min="515" max="515" width="3.5703125" style="10" customWidth="1"/>
    <col min="516" max="516" width="39.42578125" style="10" customWidth="1"/>
    <col min="517" max="533" width="9.42578125" style="10" customWidth="1"/>
    <col min="534" max="768" width="9.140625" style="10"/>
    <col min="769" max="769" width="3.5703125" style="10" customWidth="1"/>
    <col min="770" max="770" width="14.42578125" style="10" customWidth="1"/>
    <col min="771" max="771" width="3.5703125" style="10" customWidth="1"/>
    <col min="772" max="772" width="39.42578125" style="10" customWidth="1"/>
    <col min="773" max="789" width="9.42578125" style="10" customWidth="1"/>
    <col min="790" max="1024" width="9.140625" style="10"/>
    <col min="1025" max="1025" width="3.5703125" style="10" customWidth="1"/>
    <col min="1026" max="1026" width="14.42578125" style="10" customWidth="1"/>
    <col min="1027" max="1027" width="3.5703125" style="10" customWidth="1"/>
    <col min="1028" max="1028" width="39.42578125" style="10" customWidth="1"/>
    <col min="1029" max="1045" width="9.42578125" style="10" customWidth="1"/>
    <col min="1046" max="1280" width="9.140625" style="10"/>
    <col min="1281" max="1281" width="3.5703125" style="10" customWidth="1"/>
    <col min="1282" max="1282" width="14.42578125" style="10" customWidth="1"/>
    <col min="1283" max="1283" width="3.5703125" style="10" customWidth="1"/>
    <col min="1284" max="1284" width="39.42578125" style="10" customWidth="1"/>
    <col min="1285" max="1301" width="9.42578125" style="10" customWidth="1"/>
    <col min="1302" max="1536" width="9.140625" style="10"/>
    <col min="1537" max="1537" width="3.5703125" style="10" customWidth="1"/>
    <col min="1538" max="1538" width="14.42578125" style="10" customWidth="1"/>
    <col min="1539" max="1539" width="3.5703125" style="10" customWidth="1"/>
    <col min="1540" max="1540" width="39.42578125" style="10" customWidth="1"/>
    <col min="1541" max="1557" width="9.42578125" style="10" customWidth="1"/>
    <col min="1558" max="1792" width="9.140625" style="10"/>
    <col min="1793" max="1793" width="3.5703125" style="10" customWidth="1"/>
    <col min="1794" max="1794" width="14.42578125" style="10" customWidth="1"/>
    <col min="1795" max="1795" width="3.5703125" style="10" customWidth="1"/>
    <col min="1796" max="1796" width="39.42578125" style="10" customWidth="1"/>
    <col min="1797" max="1813" width="9.42578125" style="10" customWidth="1"/>
    <col min="1814" max="2048" width="9.140625" style="10"/>
    <col min="2049" max="2049" width="3.5703125" style="10" customWidth="1"/>
    <col min="2050" max="2050" width="14.42578125" style="10" customWidth="1"/>
    <col min="2051" max="2051" width="3.5703125" style="10" customWidth="1"/>
    <col min="2052" max="2052" width="39.42578125" style="10" customWidth="1"/>
    <col min="2053" max="2069" width="9.42578125" style="10" customWidth="1"/>
    <col min="2070" max="2304" width="9.140625" style="10"/>
    <col min="2305" max="2305" width="3.5703125" style="10" customWidth="1"/>
    <col min="2306" max="2306" width="14.42578125" style="10" customWidth="1"/>
    <col min="2307" max="2307" width="3.5703125" style="10" customWidth="1"/>
    <col min="2308" max="2308" width="39.42578125" style="10" customWidth="1"/>
    <col min="2309" max="2325" width="9.42578125" style="10" customWidth="1"/>
    <col min="2326" max="2560" width="9.140625" style="10"/>
    <col min="2561" max="2561" width="3.5703125" style="10" customWidth="1"/>
    <col min="2562" max="2562" width="14.42578125" style="10" customWidth="1"/>
    <col min="2563" max="2563" width="3.5703125" style="10" customWidth="1"/>
    <col min="2564" max="2564" width="39.42578125" style="10" customWidth="1"/>
    <col min="2565" max="2581" width="9.42578125" style="10" customWidth="1"/>
    <col min="2582" max="2816" width="9.140625" style="10"/>
    <col min="2817" max="2817" width="3.5703125" style="10" customWidth="1"/>
    <col min="2818" max="2818" width="14.42578125" style="10" customWidth="1"/>
    <col min="2819" max="2819" width="3.5703125" style="10" customWidth="1"/>
    <col min="2820" max="2820" width="39.42578125" style="10" customWidth="1"/>
    <col min="2821" max="2837" width="9.42578125" style="10" customWidth="1"/>
    <col min="2838" max="3072" width="9.140625" style="10"/>
    <col min="3073" max="3073" width="3.5703125" style="10" customWidth="1"/>
    <col min="3074" max="3074" width="14.42578125" style="10" customWidth="1"/>
    <col min="3075" max="3075" width="3.5703125" style="10" customWidth="1"/>
    <col min="3076" max="3076" width="39.42578125" style="10" customWidth="1"/>
    <col min="3077" max="3093" width="9.42578125" style="10" customWidth="1"/>
    <col min="3094" max="3328" width="9.140625" style="10"/>
    <col min="3329" max="3329" width="3.5703125" style="10" customWidth="1"/>
    <col min="3330" max="3330" width="14.42578125" style="10" customWidth="1"/>
    <col min="3331" max="3331" width="3.5703125" style="10" customWidth="1"/>
    <col min="3332" max="3332" width="39.42578125" style="10" customWidth="1"/>
    <col min="3333" max="3349" width="9.42578125" style="10" customWidth="1"/>
    <col min="3350" max="3584" width="9.140625" style="10"/>
    <col min="3585" max="3585" width="3.5703125" style="10" customWidth="1"/>
    <col min="3586" max="3586" width="14.42578125" style="10" customWidth="1"/>
    <col min="3587" max="3587" width="3.5703125" style="10" customWidth="1"/>
    <col min="3588" max="3588" width="39.42578125" style="10" customWidth="1"/>
    <col min="3589" max="3605" width="9.42578125" style="10" customWidth="1"/>
    <col min="3606" max="3840" width="9.140625" style="10"/>
    <col min="3841" max="3841" width="3.5703125" style="10" customWidth="1"/>
    <col min="3842" max="3842" width="14.42578125" style="10" customWidth="1"/>
    <col min="3843" max="3843" width="3.5703125" style="10" customWidth="1"/>
    <col min="3844" max="3844" width="39.42578125" style="10" customWidth="1"/>
    <col min="3845" max="3861" width="9.42578125" style="10" customWidth="1"/>
    <col min="3862" max="4096" width="9.140625" style="10"/>
    <col min="4097" max="4097" width="3.5703125" style="10" customWidth="1"/>
    <col min="4098" max="4098" width="14.42578125" style="10" customWidth="1"/>
    <col min="4099" max="4099" width="3.5703125" style="10" customWidth="1"/>
    <col min="4100" max="4100" width="39.42578125" style="10" customWidth="1"/>
    <col min="4101" max="4117" width="9.42578125" style="10" customWidth="1"/>
    <col min="4118" max="4352" width="9.140625" style="10"/>
    <col min="4353" max="4353" width="3.5703125" style="10" customWidth="1"/>
    <col min="4354" max="4354" width="14.42578125" style="10" customWidth="1"/>
    <col min="4355" max="4355" width="3.5703125" style="10" customWidth="1"/>
    <col min="4356" max="4356" width="39.42578125" style="10" customWidth="1"/>
    <col min="4357" max="4373" width="9.42578125" style="10" customWidth="1"/>
    <col min="4374" max="4608" width="9.140625" style="10"/>
    <col min="4609" max="4609" width="3.5703125" style="10" customWidth="1"/>
    <col min="4610" max="4610" width="14.42578125" style="10" customWidth="1"/>
    <col min="4611" max="4611" width="3.5703125" style="10" customWidth="1"/>
    <col min="4612" max="4612" width="39.42578125" style="10" customWidth="1"/>
    <col min="4613" max="4629" width="9.42578125" style="10" customWidth="1"/>
    <col min="4630" max="4864" width="9.140625" style="10"/>
    <col min="4865" max="4865" width="3.5703125" style="10" customWidth="1"/>
    <col min="4866" max="4866" width="14.42578125" style="10" customWidth="1"/>
    <col min="4867" max="4867" width="3.5703125" style="10" customWidth="1"/>
    <col min="4868" max="4868" width="39.42578125" style="10" customWidth="1"/>
    <col min="4869" max="4885" width="9.42578125" style="10" customWidth="1"/>
    <col min="4886" max="5120" width="9.140625" style="10"/>
    <col min="5121" max="5121" width="3.5703125" style="10" customWidth="1"/>
    <col min="5122" max="5122" width="14.42578125" style="10" customWidth="1"/>
    <col min="5123" max="5123" width="3.5703125" style="10" customWidth="1"/>
    <col min="5124" max="5124" width="39.42578125" style="10" customWidth="1"/>
    <col min="5125" max="5141" width="9.42578125" style="10" customWidth="1"/>
    <col min="5142" max="5376" width="9.140625" style="10"/>
    <col min="5377" max="5377" width="3.5703125" style="10" customWidth="1"/>
    <col min="5378" max="5378" width="14.42578125" style="10" customWidth="1"/>
    <col min="5379" max="5379" width="3.5703125" style="10" customWidth="1"/>
    <col min="5380" max="5380" width="39.42578125" style="10" customWidth="1"/>
    <col min="5381" max="5397" width="9.42578125" style="10" customWidth="1"/>
    <col min="5398" max="5632" width="9.140625" style="10"/>
    <col min="5633" max="5633" width="3.5703125" style="10" customWidth="1"/>
    <col min="5634" max="5634" width="14.42578125" style="10" customWidth="1"/>
    <col min="5635" max="5635" width="3.5703125" style="10" customWidth="1"/>
    <col min="5636" max="5636" width="39.42578125" style="10" customWidth="1"/>
    <col min="5637" max="5653" width="9.42578125" style="10" customWidth="1"/>
    <col min="5654" max="5888" width="9.140625" style="10"/>
    <col min="5889" max="5889" width="3.5703125" style="10" customWidth="1"/>
    <col min="5890" max="5890" width="14.42578125" style="10" customWidth="1"/>
    <col min="5891" max="5891" width="3.5703125" style="10" customWidth="1"/>
    <col min="5892" max="5892" width="39.42578125" style="10" customWidth="1"/>
    <col min="5893" max="5909" width="9.42578125" style="10" customWidth="1"/>
    <col min="5910" max="6144" width="9.140625" style="10"/>
    <col min="6145" max="6145" width="3.5703125" style="10" customWidth="1"/>
    <col min="6146" max="6146" width="14.42578125" style="10" customWidth="1"/>
    <col min="6147" max="6147" width="3.5703125" style="10" customWidth="1"/>
    <col min="6148" max="6148" width="39.42578125" style="10" customWidth="1"/>
    <col min="6149" max="6165" width="9.42578125" style="10" customWidth="1"/>
    <col min="6166" max="6400" width="9.140625" style="10"/>
    <col min="6401" max="6401" width="3.5703125" style="10" customWidth="1"/>
    <col min="6402" max="6402" width="14.42578125" style="10" customWidth="1"/>
    <col min="6403" max="6403" width="3.5703125" style="10" customWidth="1"/>
    <col min="6404" max="6404" width="39.42578125" style="10" customWidth="1"/>
    <col min="6405" max="6421" width="9.42578125" style="10" customWidth="1"/>
    <col min="6422" max="6656" width="9.140625" style="10"/>
    <col min="6657" max="6657" width="3.5703125" style="10" customWidth="1"/>
    <col min="6658" max="6658" width="14.42578125" style="10" customWidth="1"/>
    <col min="6659" max="6659" width="3.5703125" style="10" customWidth="1"/>
    <col min="6660" max="6660" width="39.42578125" style="10" customWidth="1"/>
    <col min="6661" max="6677" width="9.42578125" style="10" customWidth="1"/>
    <col min="6678" max="6912" width="9.140625" style="10"/>
    <col min="6913" max="6913" width="3.5703125" style="10" customWidth="1"/>
    <col min="6914" max="6914" width="14.42578125" style="10" customWidth="1"/>
    <col min="6915" max="6915" width="3.5703125" style="10" customWidth="1"/>
    <col min="6916" max="6916" width="39.42578125" style="10" customWidth="1"/>
    <col min="6917" max="6933" width="9.42578125" style="10" customWidth="1"/>
    <col min="6934" max="7168" width="9.140625" style="10"/>
    <col min="7169" max="7169" width="3.5703125" style="10" customWidth="1"/>
    <col min="7170" max="7170" width="14.42578125" style="10" customWidth="1"/>
    <col min="7171" max="7171" width="3.5703125" style="10" customWidth="1"/>
    <col min="7172" max="7172" width="39.42578125" style="10" customWidth="1"/>
    <col min="7173" max="7189" width="9.42578125" style="10" customWidth="1"/>
    <col min="7190" max="7424" width="9.140625" style="10"/>
    <col min="7425" max="7425" width="3.5703125" style="10" customWidth="1"/>
    <col min="7426" max="7426" width="14.42578125" style="10" customWidth="1"/>
    <col min="7427" max="7427" width="3.5703125" style="10" customWidth="1"/>
    <col min="7428" max="7428" width="39.42578125" style="10" customWidth="1"/>
    <col min="7429" max="7445" width="9.42578125" style="10" customWidth="1"/>
    <col min="7446" max="7680" width="9.140625" style="10"/>
    <col min="7681" max="7681" width="3.5703125" style="10" customWidth="1"/>
    <col min="7682" max="7682" width="14.42578125" style="10" customWidth="1"/>
    <col min="7683" max="7683" width="3.5703125" style="10" customWidth="1"/>
    <col min="7684" max="7684" width="39.42578125" style="10" customWidth="1"/>
    <col min="7685" max="7701" width="9.42578125" style="10" customWidth="1"/>
    <col min="7702" max="7936" width="9.140625" style="10"/>
    <col min="7937" max="7937" width="3.5703125" style="10" customWidth="1"/>
    <col min="7938" max="7938" width="14.42578125" style="10" customWidth="1"/>
    <col min="7939" max="7939" width="3.5703125" style="10" customWidth="1"/>
    <col min="7940" max="7940" width="39.42578125" style="10" customWidth="1"/>
    <col min="7941" max="7957" width="9.42578125" style="10" customWidth="1"/>
    <col min="7958" max="8192" width="9.140625" style="10"/>
    <col min="8193" max="8193" width="3.5703125" style="10" customWidth="1"/>
    <col min="8194" max="8194" width="14.42578125" style="10" customWidth="1"/>
    <col min="8195" max="8195" width="3.5703125" style="10" customWidth="1"/>
    <col min="8196" max="8196" width="39.42578125" style="10" customWidth="1"/>
    <col min="8197" max="8213" width="9.42578125" style="10" customWidth="1"/>
    <col min="8214" max="8448" width="9.140625" style="10"/>
    <col min="8449" max="8449" width="3.5703125" style="10" customWidth="1"/>
    <col min="8450" max="8450" width="14.42578125" style="10" customWidth="1"/>
    <col min="8451" max="8451" width="3.5703125" style="10" customWidth="1"/>
    <col min="8452" max="8452" width="39.42578125" style="10" customWidth="1"/>
    <col min="8453" max="8469" width="9.42578125" style="10" customWidth="1"/>
    <col min="8470" max="8704" width="9.140625" style="10"/>
    <col min="8705" max="8705" width="3.5703125" style="10" customWidth="1"/>
    <col min="8706" max="8706" width="14.42578125" style="10" customWidth="1"/>
    <col min="8707" max="8707" width="3.5703125" style="10" customWidth="1"/>
    <col min="8708" max="8708" width="39.42578125" style="10" customWidth="1"/>
    <col min="8709" max="8725" width="9.42578125" style="10" customWidth="1"/>
    <col min="8726" max="8960" width="9.140625" style="10"/>
    <col min="8961" max="8961" width="3.5703125" style="10" customWidth="1"/>
    <col min="8962" max="8962" width="14.42578125" style="10" customWidth="1"/>
    <col min="8963" max="8963" width="3.5703125" style="10" customWidth="1"/>
    <col min="8964" max="8964" width="39.42578125" style="10" customWidth="1"/>
    <col min="8965" max="8981" width="9.42578125" style="10" customWidth="1"/>
    <col min="8982" max="9216" width="9.140625" style="10"/>
    <col min="9217" max="9217" width="3.5703125" style="10" customWidth="1"/>
    <col min="9218" max="9218" width="14.42578125" style="10" customWidth="1"/>
    <col min="9219" max="9219" width="3.5703125" style="10" customWidth="1"/>
    <col min="9220" max="9220" width="39.42578125" style="10" customWidth="1"/>
    <col min="9221" max="9237" width="9.42578125" style="10" customWidth="1"/>
    <col min="9238" max="9472" width="9.140625" style="10"/>
    <col min="9473" max="9473" width="3.5703125" style="10" customWidth="1"/>
    <col min="9474" max="9474" width="14.42578125" style="10" customWidth="1"/>
    <col min="9475" max="9475" width="3.5703125" style="10" customWidth="1"/>
    <col min="9476" max="9476" width="39.42578125" style="10" customWidth="1"/>
    <col min="9477" max="9493" width="9.42578125" style="10" customWidth="1"/>
    <col min="9494" max="9728" width="9.140625" style="10"/>
    <col min="9729" max="9729" width="3.5703125" style="10" customWidth="1"/>
    <col min="9730" max="9730" width="14.42578125" style="10" customWidth="1"/>
    <col min="9731" max="9731" width="3.5703125" style="10" customWidth="1"/>
    <col min="9732" max="9732" width="39.42578125" style="10" customWidth="1"/>
    <col min="9733" max="9749" width="9.42578125" style="10" customWidth="1"/>
    <col min="9750" max="9984" width="9.140625" style="10"/>
    <col min="9985" max="9985" width="3.5703125" style="10" customWidth="1"/>
    <col min="9986" max="9986" width="14.42578125" style="10" customWidth="1"/>
    <col min="9987" max="9987" width="3.5703125" style="10" customWidth="1"/>
    <col min="9988" max="9988" width="39.42578125" style="10" customWidth="1"/>
    <col min="9989" max="10005" width="9.42578125" style="10" customWidth="1"/>
    <col min="10006" max="10240" width="9.140625" style="10"/>
    <col min="10241" max="10241" width="3.5703125" style="10" customWidth="1"/>
    <col min="10242" max="10242" width="14.42578125" style="10" customWidth="1"/>
    <col min="10243" max="10243" width="3.5703125" style="10" customWidth="1"/>
    <col min="10244" max="10244" width="39.42578125" style="10" customWidth="1"/>
    <col min="10245" max="10261" width="9.42578125" style="10" customWidth="1"/>
    <col min="10262" max="10496" width="9.140625" style="10"/>
    <col min="10497" max="10497" width="3.5703125" style="10" customWidth="1"/>
    <col min="10498" max="10498" width="14.42578125" style="10" customWidth="1"/>
    <col min="10499" max="10499" width="3.5703125" style="10" customWidth="1"/>
    <col min="10500" max="10500" width="39.42578125" style="10" customWidth="1"/>
    <col min="10501" max="10517" width="9.42578125" style="10" customWidth="1"/>
    <col min="10518" max="10752" width="9.140625" style="10"/>
    <col min="10753" max="10753" width="3.5703125" style="10" customWidth="1"/>
    <col min="10754" max="10754" width="14.42578125" style="10" customWidth="1"/>
    <col min="10755" max="10755" width="3.5703125" style="10" customWidth="1"/>
    <col min="10756" max="10756" width="39.42578125" style="10" customWidth="1"/>
    <col min="10757" max="10773" width="9.42578125" style="10" customWidth="1"/>
    <col min="10774" max="11008" width="9.140625" style="10"/>
    <col min="11009" max="11009" width="3.5703125" style="10" customWidth="1"/>
    <col min="11010" max="11010" width="14.42578125" style="10" customWidth="1"/>
    <col min="11011" max="11011" width="3.5703125" style="10" customWidth="1"/>
    <col min="11012" max="11012" width="39.42578125" style="10" customWidth="1"/>
    <col min="11013" max="11029" width="9.42578125" style="10" customWidth="1"/>
    <col min="11030" max="11264" width="9.140625" style="10"/>
    <col min="11265" max="11265" width="3.5703125" style="10" customWidth="1"/>
    <col min="11266" max="11266" width="14.42578125" style="10" customWidth="1"/>
    <col min="11267" max="11267" width="3.5703125" style="10" customWidth="1"/>
    <col min="11268" max="11268" width="39.42578125" style="10" customWidth="1"/>
    <col min="11269" max="11285" width="9.42578125" style="10" customWidth="1"/>
    <col min="11286" max="11520" width="9.140625" style="10"/>
    <col min="11521" max="11521" width="3.5703125" style="10" customWidth="1"/>
    <col min="11522" max="11522" width="14.42578125" style="10" customWidth="1"/>
    <col min="11523" max="11523" width="3.5703125" style="10" customWidth="1"/>
    <col min="11524" max="11524" width="39.42578125" style="10" customWidth="1"/>
    <col min="11525" max="11541" width="9.42578125" style="10" customWidth="1"/>
    <col min="11542" max="11776" width="9.140625" style="10"/>
    <col min="11777" max="11777" width="3.5703125" style="10" customWidth="1"/>
    <col min="11778" max="11778" width="14.42578125" style="10" customWidth="1"/>
    <col min="11779" max="11779" width="3.5703125" style="10" customWidth="1"/>
    <col min="11780" max="11780" width="39.42578125" style="10" customWidth="1"/>
    <col min="11781" max="11797" width="9.42578125" style="10" customWidth="1"/>
    <col min="11798" max="12032" width="9.140625" style="10"/>
    <col min="12033" max="12033" width="3.5703125" style="10" customWidth="1"/>
    <col min="12034" max="12034" width="14.42578125" style="10" customWidth="1"/>
    <col min="12035" max="12035" width="3.5703125" style="10" customWidth="1"/>
    <col min="12036" max="12036" width="39.42578125" style="10" customWidth="1"/>
    <col min="12037" max="12053" width="9.42578125" style="10" customWidth="1"/>
    <col min="12054" max="12288" width="9.140625" style="10"/>
    <col min="12289" max="12289" width="3.5703125" style="10" customWidth="1"/>
    <col min="12290" max="12290" width="14.42578125" style="10" customWidth="1"/>
    <col min="12291" max="12291" width="3.5703125" style="10" customWidth="1"/>
    <col min="12292" max="12292" width="39.42578125" style="10" customWidth="1"/>
    <col min="12293" max="12309" width="9.42578125" style="10" customWidth="1"/>
    <col min="12310" max="12544" width="9.140625" style="10"/>
    <col min="12545" max="12545" width="3.5703125" style="10" customWidth="1"/>
    <col min="12546" max="12546" width="14.42578125" style="10" customWidth="1"/>
    <col min="12547" max="12547" width="3.5703125" style="10" customWidth="1"/>
    <col min="12548" max="12548" width="39.42578125" style="10" customWidth="1"/>
    <col min="12549" max="12565" width="9.42578125" style="10" customWidth="1"/>
    <col min="12566" max="12800" width="9.140625" style="10"/>
    <col min="12801" max="12801" width="3.5703125" style="10" customWidth="1"/>
    <col min="12802" max="12802" width="14.42578125" style="10" customWidth="1"/>
    <col min="12803" max="12803" width="3.5703125" style="10" customWidth="1"/>
    <col min="12804" max="12804" width="39.42578125" style="10" customWidth="1"/>
    <col min="12805" max="12821" width="9.42578125" style="10" customWidth="1"/>
    <col min="12822" max="13056" width="9.140625" style="10"/>
    <col min="13057" max="13057" width="3.5703125" style="10" customWidth="1"/>
    <col min="13058" max="13058" width="14.42578125" style="10" customWidth="1"/>
    <col min="13059" max="13059" width="3.5703125" style="10" customWidth="1"/>
    <col min="13060" max="13060" width="39.42578125" style="10" customWidth="1"/>
    <col min="13061" max="13077" width="9.42578125" style="10" customWidth="1"/>
    <col min="13078" max="13312" width="9.140625" style="10"/>
    <col min="13313" max="13313" width="3.5703125" style="10" customWidth="1"/>
    <col min="13314" max="13314" width="14.42578125" style="10" customWidth="1"/>
    <col min="13315" max="13315" width="3.5703125" style="10" customWidth="1"/>
    <col min="13316" max="13316" width="39.42578125" style="10" customWidth="1"/>
    <col min="13317" max="13333" width="9.42578125" style="10" customWidth="1"/>
    <col min="13334" max="13568" width="9.140625" style="10"/>
    <col min="13569" max="13569" width="3.5703125" style="10" customWidth="1"/>
    <col min="13570" max="13570" width="14.42578125" style="10" customWidth="1"/>
    <col min="13571" max="13571" width="3.5703125" style="10" customWidth="1"/>
    <col min="13572" max="13572" width="39.42578125" style="10" customWidth="1"/>
    <col min="13573" max="13589" width="9.42578125" style="10" customWidth="1"/>
    <col min="13590" max="13824" width="9.140625" style="10"/>
    <col min="13825" max="13825" width="3.5703125" style="10" customWidth="1"/>
    <col min="13826" max="13826" width="14.42578125" style="10" customWidth="1"/>
    <col min="13827" max="13827" width="3.5703125" style="10" customWidth="1"/>
    <col min="13828" max="13828" width="39.42578125" style="10" customWidth="1"/>
    <col min="13829" max="13845" width="9.42578125" style="10" customWidth="1"/>
    <col min="13846" max="14080" width="9.140625" style="10"/>
    <col min="14081" max="14081" width="3.5703125" style="10" customWidth="1"/>
    <col min="14082" max="14082" width="14.42578125" style="10" customWidth="1"/>
    <col min="14083" max="14083" width="3.5703125" style="10" customWidth="1"/>
    <col min="14084" max="14084" width="39.42578125" style="10" customWidth="1"/>
    <col min="14085" max="14101" width="9.42578125" style="10" customWidth="1"/>
    <col min="14102" max="14336" width="9.140625" style="10"/>
    <col min="14337" max="14337" width="3.5703125" style="10" customWidth="1"/>
    <col min="14338" max="14338" width="14.42578125" style="10" customWidth="1"/>
    <col min="14339" max="14339" width="3.5703125" style="10" customWidth="1"/>
    <col min="14340" max="14340" width="39.42578125" style="10" customWidth="1"/>
    <col min="14341" max="14357" width="9.42578125" style="10" customWidth="1"/>
    <col min="14358" max="14592" width="9.140625" style="10"/>
    <col min="14593" max="14593" width="3.5703125" style="10" customWidth="1"/>
    <col min="14594" max="14594" width="14.42578125" style="10" customWidth="1"/>
    <col min="14595" max="14595" width="3.5703125" style="10" customWidth="1"/>
    <col min="14596" max="14596" width="39.42578125" style="10" customWidth="1"/>
    <col min="14597" max="14613" width="9.42578125" style="10" customWidth="1"/>
    <col min="14614" max="14848" width="9.140625" style="10"/>
    <col min="14849" max="14849" width="3.5703125" style="10" customWidth="1"/>
    <col min="14850" max="14850" width="14.42578125" style="10" customWidth="1"/>
    <col min="14851" max="14851" width="3.5703125" style="10" customWidth="1"/>
    <col min="14852" max="14852" width="39.42578125" style="10" customWidth="1"/>
    <col min="14853" max="14869" width="9.42578125" style="10" customWidth="1"/>
    <col min="14870" max="15104" width="9.140625" style="10"/>
    <col min="15105" max="15105" width="3.5703125" style="10" customWidth="1"/>
    <col min="15106" max="15106" width="14.42578125" style="10" customWidth="1"/>
    <col min="15107" max="15107" width="3.5703125" style="10" customWidth="1"/>
    <col min="15108" max="15108" width="39.42578125" style="10" customWidth="1"/>
    <col min="15109" max="15125" width="9.42578125" style="10" customWidth="1"/>
    <col min="15126" max="15360" width="9.140625" style="10"/>
    <col min="15361" max="15361" width="3.5703125" style="10" customWidth="1"/>
    <col min="15362" max="15362" width="14.42578125" style="10" customWidth="1"/>
    <col min="15363" max="15363" width="3.5703125" style="10" customWidth="1"/>
    <col min="15364" max="15364" width="39.42578125" style="10" customWidth="1"/>
    <col min="15365" max="15381" width="9.42578125" style="10" customWidth="1"/>
    <col min="15382" max="15616" width="9.140625" style="10"/>
    <col min="15617" max="15617" width="3.5703125" style="10" customWidth="1"/>
    <col min="15618" max="15618" width="14.42578125" style="10" customWidth="1"/>
    <col min="15619" max="15619" width="3.5703125" style="10" customWidth="1"/>
    <col min="15620" max="15620" width="39.42578125" style="10" customWidth="1"/>
    <col min="15621" max="15637" width="9.42578125" style="10" customWidth="1"/>
    <col min="15638" max="15872" width="9.140625" style="10"/>
    <col min="15873" max="15873" width="3.5703125" style="10" customWidth="1"/>
    <col min="15874" max="15874" width="14.42578125" style="10" customWidth="1"/>
    <col min="15875" max="15875" width="3.5703125" style="10" customWidth="1"/>
    <col min="15876" max="15876" width="39.42578125" style="10" customWidth="1"/>
    <col min="15877" max="15893" width="9.42578125" style="10" customWidth="1"/>
    <col min="15894" max="16128" width="9.140625" style="10"/>
    <col min="16129" max="16129" width="3.5703125" style="10" customWidth="1"/>
    <col min="16130" max="16130" width="14.42578125" style="10" customWidth="1"/>
    <col min="16131" max="16131" width="3.5703125" style="10" customWidth="1"/>
    <col min="16132" max="16132" width="39.42578125" style="10" customWidth="1"/>
    <col min="16133" max="16149" width="9.42578125" style="10" customWidth="1"/>
    <col min="16150" max="16384" width="9.140625" style="10"/>
  </cols>
  <sheetData>
    <row r="1" spans="1:34" x14ac:dyDescent="0.2">
      <c r="D1" s="88"/>
      <c r="E1" s="88"/>
      <c r="F1" s="88"/>
      <c r="G1" s="88"/>
      <c r="H1" s="88"/>
      <c r="I1" s="88"/>
      <c r="J1" s="88"/>
      <c r="K1" s="88"/>
      <c r="L1" s="88"/>
      <c r="M1" s="88"/>
      <c r="N1" s="88"/>
      <c r="O1" s="88"/>
      <c r="P1" s="88"/>
      <c r="Q1" s="88"/>
      <c r="R1" s="88"/>
      <c r="S1" s="88"/>
    </row>
    <row r="2" spans="1:34" ht="12.75" x14ac:dyDescent="0.2">
      <c r="A2" s="509">
        <v>1</v>
      </c>
      <c r="B2" s="509" t="s">
        <v>1786</v>
      </c>
      <c r="C2" s="509">
        <v>73</v>
      </c>
      <c r="D2" s="4170" t="s">
        <v>2055</v>
      </c>
      <c r="E2" s="4171"/>
      <c r="F2" s="4171"/>
      <c r="G2" s="4171"/>
      <c r="H2" s="4171"/>
      <c r="I2" s="4171"/>
      <c r="J2" s="4171"/>
      <c r="K2" s="4171"/>
      <c r="L2" s="4171"/>
      <c r="M2" s="4171"/>
      <c r="N2" s="4171"/>
      <c r="O2" s="4171"/>
      <c r="P2" s="4171"/>
      <c r="Q2" s="4171"/>
      <c r="R2" s="4171"/>
      <c r="S2" s="4171"/>
      <c r="T2" s="4171"/>
      <c r="U2" s="4171"/>
      <c r="V2" s="4172"/>
    </row>
    <row r="3" spans="1:34" ht="12.75" x14ac:dyDescent="0.2">
      <c r="A3" s="509">
        <v>2</v>
      </c>
      <c r="B3" s="509" t="s">
        <v>1788</v>
      </c>
      <c r="C3" s="509"/>
      <c r="D3" s="4603" t="s">
        <v>1789</v>
      </c>
      <c r="E3" s="4604"/>
      <c r="F3" s="4604"/>
      <c r="G3" s="4604"/>
      <c r="H3" s="4604"/>
      <c r="I3" s="4604"/>
      <c r="J3" s="4604"/>
      <c r="K3" s="4604"/>
      <c r="L3" s="4604"/>
      <c r="M3" s="4604"/>
      <c r="N3" s="4604"/>
      <c r="O3" s="4604"/>
      <c r="P3" s="4604"/>
      <c r="Q3" s="4604"/>
      <c r="R3" s="4604"/>
      <c r="S3" s="4604"/>
      <c r="T3" s="4604"/>
      <c r="U3" s="4604"/>
      <c r="V3" s="4605"/>
    </row>
    <row r="4" spans="1:34" ht="12.75" customHeight="1" x14ac:dyDescent="0.2">
      <c r="A4" s="509">
        <v>3</v>
      </c>
      <c r="B4" s="509" t="s">
        <v>4</v>
      </c>
      <c r="C4" s="509"/>
      <c r="D4" s="4603" t="s">
        <v>2056</v>
      </c>
      <c r="E4" s="4604"/>
      <c r="F4" s="4604"/>
      <c r="G4" s="4604"/>
      <c r="H4" s="4604"/>
      <c r="I4" s="4604"/>
      <c r="J4" s="4604"/>
      <c r="K4" s="4604"/>
      <c r="L4" s="4604"/>
      <c r="M4" s="4604"/>
      <c r="N4" s="4604"/>
      <c r="O4" s="4604"/>
      <c r="P4" s="4604"/>
      <c r="Q4" s="4604"/>
      <c r="R4" s="4604"/>
      <c r="S4" s="4604"/>
      <c r="T4" s="4604"/>
      <c r="U4" s="4604"/>
      <c r="V4" s="4605"/>
    </row>
    <row r="5" spans="1:34" ht="11.45" customHeight="1" x14ac:dyDescent="0.2">
      <c r="A5" s="509">
        <v>4</v>
      </c>
      <c r="B5" s="509" t="s">
        <v>2057</v>
      </c>
      <c r="C5" s="509"/>
      <c r="D5" s="4615"/>
      <c r="E5" s="4616"/>
      <c r="F5" s="4616"/>
      <c r="G5" s="4616"/>
      <c r="H5" s="4616"/>
      <c r="I5" s="4616"/>
      <c r="J5" s="4616"/>
      <c r="K5" s="4616"/>
      <c r="L5" s="4616"/>
      <c r="M5" s="4616"/>
      <c r="N5" s="4616"/>
      <c r="O5" s="4616"/>
      <c r="P5" s="4616"/>
      <c r="Q5" s="4616"/>
      <c r="R5" s="4616"/>
      <c r="S5" s="4616"/>
      <c r="T5" s="4616"/>
      <c r="U5" s="4616"/>
      <c r="V5" s="4617"/>
    </row>
    <row r="6" spans="1:34" ht="14.25" customHeight="1" x14ac:dyDescent="0.2">
      <c r="A6" s="509"/>
      <c r="B6" s="506"/>
      <c r="C6" s="506"/>
      <c r="D6" s="4173"/>
      <c r="E6" s="3267"/>
      <c r="F6" s="3267"/>
      <c r="G6" s="3267"/>
      <c r="H6" s="3267"/>
      <c r="I6" s="3267"/>
      <c r="J6" s="3267"/>
      <c r="K6" s="3267"/>
      <c r="L6" s="3267"/>
      <c r="M6" s="3267"/>
      <c r="N6" s="3267"/>
      <c r="O6" s="3267"/>
      <c r="P6" s="3267"/>
    </row>
    <row r="7" spans="1:34" ht="15" x14ac:dyDescent="0.2">
      <c r="C7" s="506"/>
      <c r="D7" s="1081"/>
      <c r="E7" s="1081"/>
      <c r="F7" s="1081"/>
      <c r="G7" s="1081"/>
      <c r="H7" s="1081"/>
      <c r="I7" s="1081"/>
      <c r="J7" s="1081"/>
      <c r="K7" s="1081"/>
      <c r="L7" s="1081"/>
      <c r="M7" s="1081"/>
      <c r="N7" s="1081"/>
      <c r="O7" s="1081"/>
      <c r="P7" s="1081"/>
    </row>
    <row r="8" spans="1:34" ht="12.75" x14ac:dyDescent="0.2">
      <c r="A8" s="509">
        <v>5</v>
      </c>
      <c r="B8" s="509" t="s">
        <v>6</v>
      </c>
      <c r="D8" s="72" t="s">
        <v>7</v>
      </c>
      <c r="E8" s="72" t="s">
        <v>2058</v>
      </c>
      <c r="F8" s="72"/>
      <c r="G8" s="72"/>
      <c r="H8" s="72"/>
      <c r="I8" s="72"/>
      <c r="J8" s="72"/>
      <c r="K8" s="72"/>
      <c r="L8" s="72"/>
      <c r="M8" s="95"/>
      <c r="N8" s="95"/>
      <c r="O8" s="95"/>
      <c r="P8" s="95"/>
      <c r="Q8" s="88"/>
      <c r="R8" s="88"/>
      <c r="S8" s="88"/>
    </row>
    <row r="9" spans="1:34" ht="12.75" x14ac:dyDescent="0.2">
      <c r="A9" s="509"/>
      <c r="D9" s="2186"/>
      <c r="E9" s="2424">
        <v>1994</v>
      </c>
      <c r="F9" s="2424">
        <v>1995</v>
      </c>
      <c r="G9" s="2424">
        <v>1996</v>
      </c>
      <c r="H9" s="2424">
        <v>1997</v>
      </c>
      <c r="I9" s="2424">
        <v>1998</v>
      </c>
      <c r="J9" s="2424">
        <v>1999</v>
      </c>
      <c r="K9" s="2424">
        <v>2000</v>
      </c>
      <c r="L9" s="2424">
        <v>2001</v>
      </c>
      <c r="M9" s="2424">
        <v>2002</v>
      </c>
      <c r="N9" s="2424">
        <v>2003</v>
      </c>
      <c r="O9" s="2424">
        <v>2004</v>
      </c>
      <c r="P9" s="2424">
        <v>2005</v>
      </c>
      <c r="Q9" s="2424">
        <v>2006</v>
      </c>
      <c r="R9" s="2424">
        <v>2007</v>
      </c>
      <c r="S9" s="2424">
        <v>2008</v>
      </c>
      <c r="T9" s="2424">
        <v>2009</v>
      </c>
      <c r="U9" s="2424">
        <v>2010</v>
      </c>
      <c r="V9" s="2424">
        <v>2011</v>
      </c>
      <c r="W9" s="2424">
        <v>2012</v>
      </c>
      <c r="X9" s="2424">
        <v>2013</v>
      </c>
      <c r="Y9" s="2424">
        <v>2014</v>
      </c>
      <c r="Z9" s="2424">
        <v>2015</v>
      </c>
      <c r="AA9" s="2424">
        <v>2016</v>
      </c>
      <c r="AB9" s="2424">
        <v>2017</v>
      </c>
      <c r="AC9" s="2424">
        <v>2018</v>
      </c>
      <c r="AD9" s="2424">
        <v>2019</v>
      </c>
      <c r="AE9" s="2424">
        <v>2020</v>
      </c>
      <c r="AF9" s="2424">
        <v>2021</v>
      </c>
      <c r="AG9" s="1226">
        <v>2022</v>
      </c>
    </row>
    <row r="10" spans="1:34" ht="16.5" customHeight="1" x14ac:dyDescent="0.2">
      <c r="A10" s="509"/>
      <c r="D10" s="87" t="s">
        <v>2059</v>
      </c>
      <c r="E10" s="3268">
        <v>4904223.2199425697</v>
      </c>
      <c r="F10" s="2173">
        <v>5733497.3496370101</v>
      </c>
      <c r="G10" s="2173">
        <v>5776424.1447586901</v>
      </c>
      <c r="H10" s="2173">
        <v>5819350.9398803599</v>
      </c>
      <c r="I10" s="2173">
        <v>5850566</v>
      </c>
      <c r="J10" s="2173">
        <v>5992057</v>
      </c>
      <c r="K10" s="2173">
        <v>6074201</v>
      </c>
      <c r="L10" s="2174">
        <v>6159679</v>
      </c>
      <c r="M10" s="2173">
        <v>6245392</v>
      </c>
      <c r="N10" s="2173">
        <v>6417484</v>
      </c>
      <c r="O10" s="2173">
        <v>6677239</v>
      </c>
      <c r="P10" s="2173">
        <v>7128791</v>
      </c>
      <c r="Q10" s="2173">
        <v>7653044</v>
      </c>
      <c r="R10" s="2173">
        <v>8133723</v>
      </c>
      <c r="S10" s="2173">
        <v>8357564</v>
      </c>
      <c r="T10" s="898">
        <v>8600031</v>
      </c>
      <c r="U10" s="898">
        <v>8816366</v>
      </c>
      <c r="V10" s="898">
        <v>9150805</v>
      </c>
      <c r="W10" s="2174">
        <v>9541627</v>
      </c>
      <c r="X10" s="2174">
        <v>9909923</v>
      </c>
      <c r="Y10" s="2174">
        <v>10249504</v>
      </c>
      <c r="Z10" s="2174">
        <v>10565967</v>
      </c>
      <c r="AA10" s="2174">
        <v>10801558</v>
      </c>
      <c r="AB10" s="2174">
        <v>11028193</v>
      </c>
      <c r="AC10" s="2174">
        <v>11267812</v>
      </c>
      <c r="AD10" s="2174">
        <v>11490827</v>
      </c>
      <c r="AE10" s="2174">
        <v>11487211</v>
      </c>
      <c r="AF10" s="2174">
        <v>11726476</v>
      </c>
      <c r="AG10" s="3282">
        <v>11740130</v>
      </c>
    </row>
    <row r="11" spans="1:34" ht="14.25" customHeight="1" x14ac:dyDescent="0.2">
      <c r="A11" s="509"/>
      <c r="D11" s="87" t="s">
        <v>2060</v>
      </c>
      <c r="E11" s="3269">
        <f>E14/(((C10+E10)/2)/10000)</f>
        <v>33.195878878022697</v>
      </c>
      <c r="F11" s="1201">
        <f t="shared" ref="F11:AG11" si="0">F14/(((E10+F10)/2)/10000)</f>
        <v>15.670650390715075</v>
      </c>
      <c r="G11" s="1201">
        <f t="shared" si="0"/>
        <v>13.640405807845427</v>
      </c>
      <c r="H11" s="1201">
        <f t="shared" si="0"/>
        <v>13.435928074043851</v>
      </c>
      <c r="I11" s="1201">
        <f t="shared" si="0"/>
        <v>12.442247939554623</v>
      </c>
      <c r="J11" s="1201">
        <f t="shared" si="0"/>
        <v>12.399280125695126</v>
      </c>
      <c r="K11" s="1201">
        <f t="shared" si="0"/>
        <v>11.070540676322352</v>
      </c>
      <c r="L11" s="493">
        <f t="shared" si="0"/>
        <v>14.389547715033988</v>
      </c>
      <c r="M11" s="1201">
        <f t="shared" si="0"/>
        <v>16.078908375453878</v>
      </c>
      <c r="N11" s="1201">
        <f t="shared" si="0"/>
        <v>16.105346052508132</v>
      </c>
      <c r="O11" s="1201">
        <f t="shared" si="0"/>
        <v>16.200419054301495</v>
      </c>
      <c r="P11" s="1201">
        <f t="shared" si="0"/>
        <v>17.001266837751331</v>
      </c>
      <c r="Q11" s="1201">
        <f t="shared" si="0"/>
        <v>16.853117356539293</v>
      </c>
      <c r="R11" s="1201">
        <f t="shared" si="0"/>
        <v>15.216541803651122</v>
      </c>
      <c r="S11" s="1201">
        <f t="shared" si="0"/>
        <v>13.103889344718821</v>
      </c>
      <c r="T11" s="1201">
        <f t="shared" si="0"/>
        <v>12.804881824338889</v>
      </c>
      <c r="U11" s="1201">
        <f t="shared" si="0"/>
        <v>12.444594596689546</v>
      </c>
      <c r="V11" s="1201">
        <f t="shared" si="0"/>
        <v>12.498350463743012</v>
      </c>
      <c r="W11" s="493">
        <f t="shared" si="0"/>
        <v>11.744860165868198</v>
      </c>
      <c r="X11" s="493">
        <f t="shared" si="0"/>
        <v>10.456750233271899</v>
      </c>
      <c r="Y11" s="493">
        <f t="shared" si="0"/>
        <v>10.285014549272654</v>
      </c>
      <c r="Z11" s="493">
        <f t="shared" si="0"/>
        <v>10.197223017437368</v>
      </c>
      <c r="AA11" s="493">
        <f t="shared" si="0"/>
        <v>10.928734142115196</v>
      </c>
      <c r="AB11" s="493">
        <f t="shared" si="0"/>
        <v>10.478360472366358</v>
      </c>
      <c r="AC11" s="493">
        <f t="shared" si="0"/>
        <v>9.47613709272132</v>
      </c>
      <c r="AD11" s="493">
        <f t="shared" si="0"/>
        <v>9.1226896300784954</v>
      </c>
      <c r="AE11" s="493">
        <f t="shared" si="0"/>
        <v>7.3156811734752978</v>
      </c>
      <c r="AF11" s="493">
        <f t="shared" si="0"/>
        <v>9.138574152395524</v>
      </c>
      <c r="AG11" s="3283">
        <f t="shared" si="0"/>
        <v>8.9028639250175328</v>
      </c>
      <c r="AH11" s="10" t="s">
        <v>85</v>
      </c>
    </row>
    <row r="12" spans="1:34" ht="14.1" customHeight="1" x14ac:dyDescent="0.2">
      <c r="A12" s="509"/>
      <c r="D12" s="87" t="s">
        <v>2061</v>
      </c>
      <c r="E12" s="3269">
        <f>E15/(((C10+E10)/2)/10000)</f>
        <v>40.703693744661493</v>
      </c>
      <c r="F12" s="1201">
        <f t="shared" ref="F12:AG12" si="1">F15/(((F10+E10)/2)/10000)</f>
        <v>19.282326383584138</v>
      </c>
      <c r="G12" s="1201">
        <f t="shared" si="1"/>
        <v>17.112193171421879</v>
      </c>
      <c r="H12" s="1201">
        <f t="shared" si="1"/>
        <v>16.714708467979325</v>
      </c>
      <c r="I12" s="1201">
        <f t="shared" si="1"/>
        <v>15.540813266650318</v>
      </c>
      <c r="J12" s="1201">
        <f t="shared" si="1"/>
        <v>17.771400812134271</v>
      </c>
      <c r="K12" s="1201">
        <f t="shared" si="1"/>
        <v>14.07892985546969</v>
      </c>
      <c r="L12" s="493">
        <f t="shared" si="1"/>
        <v>18.311820447907124</v>
      </c>
      <c r="M12" s="1201">
        <f t="shared" si="1"/>
        <v>19.666189665470352</v>
      </c>
      <c r="N12" s="1201">
        <f t="shared" si="1"/>
        <v>19.509829668850266</v>
      </c>
      <c r="O12" s="1201">
        <f t="shared" si="1"/>
        <v>19.507857967925403</v>
      </c>
      <c r="P12" s="1201">
        <f t="shared" si="1"/>
        <v>20.475962882567689</v>
      </c>
      <c r="Q12" s="1201">
        <f t="shared" si="1"/>
        <v>20.862387140232453</v>
      </c>
      <c r="R12" s="1201">
        <f t="shared" si="1"/>
        <v>18.902132835348745</v>
      </c>
      <c r="S12" s="1201">
        <f t="shared" si="1"/>
        <v>16.697302035917513</v>
      </c>
      <c r="T12" s="1201">
        <f t="shared" si="1"/>
        <v>16.238151695449741</v>
      </c>
      <c r="U12" s="1201">
        <f t="shared" si="1"/>
        <v>16.038908621570812</v>
      </c>
      <c r="V12" s="1201">
        <f t="shared" si="1"/>
        <v>15.532773634758637</v>
      </c>
      <c r="W12" s="493">
        <f t="shared" si="1"/>
        <v>14.474307035061035</v>
      </c>
      <c r="X12" s="493">
        <f t="shared" si="1"/>
        <v>12.17794982919099</v>
      </c>
      <c r="Y12" s="493">
        <f t="shared" si="1"/>
        <v>12.601548645207028</v>
      </c>
      <c r="Z12" s="493">
        <f t="shared" si="1"/>
        <v>12.436903301395391</v>
      </c>
      <c r="AA12" s="493">
        <f t="shared" si="1"/>
        <v>13.170453761022861</v>
      </c>
      <c r="AB12" s="493">
        <f t="shared" si="1"/>
        <v>12.872341054187929</v>
      </c>
      <c r="AC12" s="493">
        <f t="shared" si="1"/>
        <v>11.590417207028793</v>
      </c>
      <c r="AD12" s="493">
        <f t="shared" si="1"/>
        <v>10.98747600856097</v>
      </c>
      <c r="AE12" s="493">
        <f t="shared" si="1"/>
        <v>8.6769810372843832</v>
      </c>
      <c r="AF12" s="493">
        <f t="shared" si="1"/>
        <v>10.804832511095716</v>
      </c>
      <c r="AG12" s="3283">
        <f t="shared" si="1"/>
        <v>10.598891036905805</v>
      </c>
    </row>
    <row r="13" spans="1:34" ht="18.600000000000001" customHeight="1" x14ac:dyDescent="0.2">
      <c r="A13" s="509"/>
      <c r="D13" s="3270" t="s">
        <v>2062</v>
      </c>
      <c r="E13" s="3271">
        <f t="shared" ref="E13:AG13" si="2">E14/E10*100</f>
        <v>0.16597939439011347</v>
      </c>
      <c r="F13" s="2175">
        <f t="shared" si="2"/>
        <v>0.14537374819799459</v>
      </c>
      <c r="G13" s="2175">
        <f t="shared" si="2"/>
        <v>0.13589722297526913</v>
      </c>
      <c r="H13" s="2175">
        <f t="shared" si="2"/>
        <v>0.13386372604914862</v>
      </c>
      <c r="I13" s="2175">
        <f t="shared" si="2"/>
        <v>0.1240905580759195</v>
      </c>
      <c r="J13" s="2175">
        <f t="shared" si="2"/>
        <v>0.12252887447499249</v>
      </c>
      <c r="K13" s="2175">
        <f t="shared" si="2"/>
        <v>0.10995684864560787</v>
      </c>
      <c r="L13" s="2176">
        <f t="shared" si="2"/>
        <v>0.142897056810915</v>
      </c>
      <c r="M13" s="2175">
        <f t="shared" si="2"/>
        <v>0.15968573309729797</v>
      </c>
      <c r="N13" s="2175">
        <f t="shared" si="2"/>
        <v>0.1588940463271899</v>
      </c>
      <c r="O13" s="2175">
        <f t="shared" si="2"/>
        <v>0.15885308283858043</v>
      </c>
      <c r="P13" s="2175">
        <f t="shared" si="2"/>
        <v>0.16462819572070497</v>
      </c>
      <c r="Q13" s="2175">
        <f t="shared" si="2"/>
        <v>0.16275876631573005</v>
      </c>
      <c r="R13" s="2175">
        <f t="shared" si="2"/>
        <v>0.14766915470320296</v>
      </c>
      <c r="S13" s="2175">
        <f t="shared" si="2"/>
        <v>0.12928408325679588</v>
      </c>
      <c r="T13" s="2175">
        <f t="shared" si="2"/>
        <v>0.12624373098189995</v>
      </c>
      <c r="U13" s="2175">
        <f t="shared" si="2"/>
        <v>0.12291912563521069</v>
      </c>
      <c r="V13" s="2175">
        <f t="shared" si="2"/>
        <v>0.12269958763190779</v>
      </c>
      <c r="W13" s="2176">
        <f t="shared" si="2"/>
        <v>0.11504327301832278</v>
      </c>
      <c r="X13" s="2176">
        <f t="shared" si="2"/>
        <v>0.10262440989702948</v>
      </c>
      <c r="Y13" s="2176">
        <f t="shared" si="2"/>
        <v>0.10114635791156333</v>
      </c>
      <c r="Z13" s="2176">
        <f t="shared" si="2"/>
        <v>0.10044513673003143</v>
      </c>
      <c r="AA13" s="2176">
        <f t="shared" si="2"/>
        <v>0.10809551733185158</v>
      </c>
      <c r="AB13" s="2176">
        <f t="shared" si="2"/>
        <v>0.10370692642031201</v>
      </c>
      <c r="AC13" s="2176">
        <f t="shared" si="2"/>
        <v>9.3753782899466204E-2</v>
      </c>
      <c r="AD13" s="2176">
        <f t="shared" si="2"/>
        <v>9.0341626412093756E-2</v>
      </c>
      <c r="AE13" s="2176">
        <f t="shared" si="2"/>
        <v>7.3168326062784089E-2</v>
      </c>
      <c r="AF13" s="2176">
        <f t="shared" si="2"/>
        <v>9.0453432045569354E-2</v>
      </c>
      <c r="AG13" s="3284">
        <f t="shared" si="2"/>
        <v>8.897686822888673E-2</v>
      </c>
    </row>
    <row r="14" spans="1:34" ht="15" x14ac:dyDescent="0.2">
      <c r="A14" s="509"/>
      <c r="C14" s="506"/>
      <c r="D14" s="88" t="s">
        <v>2063</v>
      </c>
      <c r="E14" s="3272">
        <v>8140</v>
      </c>
      <c r="F14" s="1670">
        <v>8335</v>
      </c>
      <c r="G14" s="1670">
        <v>7850</v>
      </c>
      <c r="H14" s="1670">
        <v>7790</v>
      </c>
      <c r="I14" s="1670">
        <v>7260</v>
      </c>
      <c r="J14" s="1670">
        <v>7342</v>
      </c>
      <c r="K14" s="1670">
        <v>6679</v>
      </c>
      <c r="L14" s="3273">
        <v>8802</v>
      </c>
      <c r="M14" s="1670">
        <v>9973</v>
      </c>
      <c r="N14" s="1670">
        <v>10197</v>
      </c>
      <c r="O14" s="1670">
        <v>10607</v>
      </c>
      <c r="P14" s="1670">
        <v>11736</v>
      </c>
      <c r="Q14" s="1670">
        <v>12456</v>
      </c>
      <c r="R14" s="1670">
        <v>12011</v>
      </c>
      <c r="S14" s="1670">
        <v>10805</v>
      </c>
      <c r="T14" s="1670">
        <v>10857</v>
      </c>
      <c r="U14" s="1670">
        <v>10837</v>
      </c>
      <c r="V14" s="1670">
        <v>11228</v>
      </c>
      <c r="W14" s="3273">
        <v>10977</v>
      </c>
      <c r="X14" s="3273">
        <v>10170</v>
      </c>
      <c r="Y14" s="3273">
        <v>10367</v>
      </c>
      <c r="Z14" s="3273">
        <v>10613</v>
      </c>
      <c r="AA14" s="3273">
        <v>11676</v>
      </c>
      <c r="AB14" s="3273">
        <v>11437</v>
      </c>
      <c r="AC14" s="3273">
        <v>10564</v>
      </c>
      <c r="AD14" s="3273">
        <v>10381</v>
      </c>
      <c r="AE14" s="3273">
        <v>8405</v>
      </c>
      <c r="AF14" s="3273">
        <v>10607</v>
      </c>
      <c r="AG14" s="3282">
        <v>10446</v>
      </c>
    </row>
    <row r="15" spans="1:34" ht="14.25" x14ac:dyDescent="0.2">
      <c r="A15" s="509"/>
      <c r="B15" s="507"/>
      <c r="C15" s="507"/>
      <c r="D15" s="95" t="s">
        <v>2064</v>
      </c>
      <c r="E15" s="3274">
        <v>9981</v>
      </c>
      <c r="F15" s="3275">
        <v>10256</v>
      </c>
      <c r="G15" s="3275">
        <v>9848</v>
      </c>
      <c r="H15" s="3275">
        <v>9691</v>
      </c>
      <c r="I15" s="3275">
        <v>9068</v>
      </c>
      <c r="J15" s="3275">
        <v>10523</v>
      </c>
      <c r="K15" s="3275">
        <v>8494</v>
      </c>
      <c r="L15" s="3275">
        <v>11201.230697062099</v>
      </c>
      <c r="M15" s="3275">
        <v>12198.0239549813</v>
      </c>
      <c r="N15" s="3275">
        <v>12352.5276938886</v>
      </c>
      <c r="O15" s="3275">
        <v>12772.4998206663</v>
      </c>
      <c r="P15" s="3275">
        <v>14134.5878917808</v>
      </c>
      <c r="Q15" s="3275">
        <v>15419.218220651899</v>
      </c>
      <c r="R15" s="3275">
        <v>14920.178343735</v>
      </c>
      <c r="S15" s="3275">
        <v>13768</v>
      </c>
      <c r="T15" s="3275">
        <v>13768</v>
      </c>
      <c r="U15" s="3275">
        <v>13967</v>
      </c>
      <c r="V15" s="3275">
        <v>13954</v>
      </c>
      <c r="W15" s="3276">
        <v>13528</v>
      </c>
      <c r="X15" s="3276">
        <v>11844</v>
      </c>
      <c r="Y15" s="3276">
        <v>12702</v>
      </c>
      <c r="Z15" s="3276">
        <v>12944</v>
      </c>
      <c r="AA15" s="3276">
        <v>14071</v>
      </c>
      <c r="AB15" s="3276">
        <v>14050</v>
      </c>
      <c r="AC15" s="3276">
        <v>12921</v>
      </c>
      <c r="AD15" s="3276">
        <v>12503</v>
      </c>
      <c r="AE15" s="3276">
        <v>9969</v>
      </c>
      <c r="AF15" s="3276">
        <v>12541</v>
      </c>
      <c r="AG15" s="3285">
        <v>12436</v>
      </c>
    </row>
    <row r="16" spans="1:34" ht="14.25" x14ac:dyDescent="0.2">
      <c r="A16" s="509"/>
      <c r="C16" s="507"/>
      <c r="D16" s="508"/>
      <c r="E16" s="3277"/>
      <c r="F16" s="3277"/>
      <c r="G16" s="3277"/>
      <c r="H16" s="3277"/>
      <c r="I16" s="3277"/>
      <c r="J16" s="3277"/>
      <c r="K16" s="3277"/>
      <c r="L16" s="3277"/>
      <c r="M16" s="3277"/>
      <c r="N16" s="3277"/>
      <c r="O16" s="3277"/>
      <c r="P16" s="3277"/>
      <c r="Q16" s="3278"/>
      <c r="R16" s="3278"/>
      <c r="S16" s="3278"/>
    </row>
    <row r="17" spans="1:19" ht="14.25" x14ac:dyDescent="0.2">
      <c r="A17" s="509">
        <v>6</v>
      </c>
      <c r="B17" s="509" t="s">
        <v>51</v>
      </c>
      <c r="C17" s="507"/>
      <c r="D17" s="508"/>
      <c r="E17" s="508"/>
      <c r="F17" s="508"/>
      <c r="G17" s="508"/>
      <c r="H17" s="508"/>
      <c r="I17" s="3279"/>
      <c r="J17" s="508"/>
      <c r="K17" s="508"/>
      <c r="L17" s="508"/>
      <c r="M17" s="508"/>
      <c r="N17" s="508"/>
      <c r="O17" s="508"/>
      <c r="P17" s="508"/>
      <c r="Q17" s="88"/>
      <c r="R17" s="462"/>
      <c r="S17" s="88"/>
    </row>
    <row r="18" spans="1:19" ht="14.25" x14ac:dyDescent="0.2">
      <c r="A18" s="509"/>
      <c r="B18" s="507"/>
      <c r="C18" s="507"/>
      <c r="D18" s="508"/>
      <c r="E18" s="508"/>
      <c r="F18" s="508"/>
      <c r="G18" s="508"/>
      <c r="H18" s="508"/>
      <c r="I18" s="3279"/>
      <c r="J18" s="508"/>
      <c r="K18" s="508"/>
      <c r="L18" s="508"/>
      <c r="M18" s="3280"/>
      <c r="N18" s="508"/>
      <c r="O18" s="508"/>
      <c r="P18" s="508"/>
      <c r="Q18" s="88"/>
      <c r="R18" s="462"/>
      <c r="S18" s="88"/>
    </row>
    <row r="19" spans="1:19" ht="14.25" x14ac:dyDescent="0.2">
      <c r="A19" s="509"/>
      <c r="B19" s="507"/>
      <c r="C19" s="507"/>
      <c r="D19" s="508"/>
      <c r="E19" s="508"/>
      <c r="F19" s="508"/>
      <c r="G19" s="508"/>
      <c r="H19" s="508"/>
      <c r="I19" s="3279"/>
      <c r="J19" s="508"/>
      <c r="K19" s="508"/>
      <c r="L19" s="508"/>
      <c r="M19" s="3280"/>
      <c r="N19" s="508"/>
      <c r="O19" s="508"/>
      <c r="P19" s="508"/>
      <c r="Q19" s="88"/>
      <c r="R19" s="462"/>
      <c r="S19" s="88"/>
    </row>
    <row r="20" spans="1:19" ht="14.25" x14ac:dyDescent="0.2">
      <c r="A20" s="509"/>
      <c r="B20" s="507"/>
      <c r="C20" s="507"/>
      <c r="D20" s="508"/>
      <c r="E20" s="508"/>
      <c r="F20" s="508"/>
      <c r="G20" s="508"/>
      <c r="H20" s="508"/>
      <c r="I20" s="3279"/>
      <c r="J20" s="508"/>
      <c r="K20" s="508"/>
      <c r="L20" s="508"/>
      <c r="M20" s="3280"/>
      <c r="N20" s="508"/>
      <c r="O20" s="508"/>
      <c r="P20" s="508"/>
      <c r="Q20" s="88"/>
      <c r="R20" s="462"/>
      <c r="S20" s="88"/>
    </row>
    <row r="21" spans="1:19" ht="14.25" x14ac:dyDescent="0.2">
      <c r="A21" s="509"/>
      <c r="B21" s="507"/>
      <c r="C21" s="507"/>
      <c r="D21" s="3279"/>
      <c r="E21" s="508"/>
      <c r="F21" s="508"/>
      <c r="G21" s="508"/>
      <c r="H21" s="508"/>
      <c r="I21" s="3279"/>
      <c r="J21" s="508"/>
      <c r="K21" s="508"/>
      <c r="L21" s="508"/>
      <c r="M21" s="3280"/>
      <c r="N21" s="508"/>
      <c r="O21" s="508"/>
      <c r="P21" s="508"/>
      <c r="Q21" s="88"/>
      <c r="R21" s="462"/>
      <c r="S21" s="88"/>
    </row>
    <row r="22" spans="1:19" ht="14.25" x14ac:dyDescent="0.2">
      <c r="A22" s="509"/>
      <c r="B22" s="507"/>
      <c r="C22" s="507"/>
      <c r="D22" s="508"/>
      <c r="E22" s="508"/>
      <c r="F22" s="508"/>
      <c r="G22" s="508"/>
      <c r="H22" s="508"/>
      <c r="I22" s="3279"/>
      <c r="J22" s="508"/>
      <c r="K22" s="508"/>
      <c r="L22" s="508"/>
      <c r="M22" s="3280"/>
      <c r="N22" s="508"/>
      <c r="O22" s="508"/>
      <c r="P22" s="508"/>
      <c r="Q22" s="88"/>
      <c r="R22" s="548"/>
      <c r="S22" s="548"/>
    </row>
    <row r="23" spans="1:19" ht="14.25" x14ac:dyDescent="0.2">
      <c r="A23" s="509"/>
      <c r="B23" s="507"/>
      <c r="C23" s="507"/>
      <c r="D23" s="508"/>
      <c r="E23" s="508"/>
      <c r="F23" s="508"/>
      <c r="G23" s="508"/>
      <c r="H23" s="508"/>
      <c r="I23" s="3279"/>
      <c r="J23" s="508"/>
      <c r="K23" s="508"/>
      <c r="L23" s="508"/>
      <c r="M23" s="3280"/>
      <c r="N23" s="508"/>
      <c r="O23" s="508"/>
      <c r="P23" s="508"/>
      <c r="Q23" s="88"/>
      <c r="R23" s="88"/>
      <c r="S23" s="88"/>
    </row>
    <row r="24" spans="1:19" ht="14.25" x14ac:dyDescent="0.2">
      <c r="A24" s="509"/>
      <c r="B24" s="4175"/>
      <c r="C24" s="4175"/>
      <c r="D24" s="508"/>
      <c r="E24" s="508"/>
      <c r="F24" s="508"/>
      <c r="G24" s="508"/>
      <c r="H24" s="508"/>
      <c r="I24" s="508"/>
      <c r="J24" s="1268"/>
      <c r="K24" s="508"/>
      <c r="L24" s="508"/>
      <c r="M24" s="3280"/>
      <c r="N24" s="508"/>
      <c r="O24" s="508"/>
      <c r="P24" s="508"/>
      <c r="Q24" s="88"/>
      <c r="R24" s="88"/>
      <c r="S24" s="88"/>
    </row>
    <row r="25" spans="1:19" ht="14.25" x14ac:dyDescent="0.2">
      <c r="A25" s="509"/>
      <c r="B25" s="507"/>
      <c r="C25" s="507"/>
      <c r="D25" s="508"/>
      <c r="E25" s="508"/>
      <c r="F25" s="508"/>
      <c r="G25" s="508"/>
      <c r="H25" s="508"/>
      <c r="I25" s="508"/>
      <c r="J25" s="508"/>
      <c r="K25" s="508"/>
      <c r="L25" s="508"/>
      <c r="M25" s="508"/>
      <c r="N25" s="508"/>
      <c r="O25" s="508"/>
      <c r="P25" s="508"/>
      <c r="Q25" s="88"/>
      <c r="R25" s="88"/>
      <c r="S25" s="88"/>
    </row>
    <row r="26" spans="1:19" ht="14.25" x14ac:dyDescent="0.2">
      <c r="A26" s="509"/>
      <c r="B26" s="507"/>
      <c r="C26" s="507"/>
      <c r="D26" s="508"/>
      <c r="E26" s="508"/>
      <c r="F26" s="508"/>
      <c r="G26" s="508"/>
      <c r="H26" s="508"/>
      <c r="I26" s="508"/>
      <c r="J26" s="508"/>
      <c r="K26" s="508"/>
      <c r="L26" s="508"/>
      <c r="M26" s="508"/>
      <c r="N26" s="508"/>
      <c r="O26" s="508"/>
      <c r="P26" s="508"/>
      <c r="Q26" s="88"/>
      <c r="R26" s="88"/>
      <c r="S26" s="88"/>
    </row>
    <row r="27" spans="1:19" ht="14.25" x14ac:dyDescent="0.2">
      <c r="A27" s="509"/>
      <c r="B27" s="507"/>
      <c r="C27" s="507"/>
      <c r="D27" s="508"/>
      <c r="E27" s="508"/>
      <c r="F27" s="508"/>
      <c r="G27" s="508"/>
      <c r="H27" s="508"/>
      <c r="I27" s="508"/>
      <c r="J27" s="508"/>
      <c r="K27" s="508"/>
      <c r="L27" s="508"/>
      <c r="M27" s="508"/>
      <c r="N27" s="508"/>
      <c r="O27" s="508"/>
      <c r="P27" s="508"/>
      <c r="Q27" s="88"/>
      <c r="R27" s="88"/>
      <c r="S27" s="88"/>
    </row>
    <row r="28" spans="1:19" ht="14.25" x14ac:dyDescent="0.2">
      <c r="A28" s="509"/>
      <c r="B28" s="507"/>
      <c r="C28" s="507"/>
      <c r="D28" s="508"/>
      <c r="E28" s="508"/>
      <c r="F28" s="508"/>
      <c r="G28" s="508"/>
      <c r="H28" s="508"/>
      <c r="I28" s="508"/>
      <c r="J28" s="508"/>
      <c r="K28" s="508"/>
      <c r="L28" s="508"/>
      <c r="M28" s="508"/>
      <c r="N28" s="508"/>
      <c r="O28" s="508"/>
      <c r="P28" s="508"/>
      <c r="Q28" s="88"/>
      <c r="R28" s="88"/>
      <c r="S28" s="88"/>
    </row>
    <row r="29" spans="1:19" ht="14.25" x14ac:dyDescent="0.2">
      <c r="A29" s="509"/>
      <c r="B29" s="507"/>
      <c r="C29" s="507"/>
      <c r="D29" s="508"/>
      <c r="E29" s="508"/>
      <c r="F29" s="508"/>
      <c r="G29" s="508"/>
      <c r="H29" s="508"/>
      <c r="I29" s="508"/>
      <c r="J29" s="508"/>
      <c r="K29" s="508"/>
      <c r="L29" s="508"/>
      <c r="M29" s="508"/>
      <c r="N29" s="508"/>
      <c r="O29" s="508"/>
      <c r="P29" s="508"/>
      <c r="Q29" s="88"/>
      <c r="R29" s="88"/>
      <c r="S29" s="88"/>
    </row>
    <row r="30" spans="1:19" ht="14.25" x14ac:dyDescent="0.2">
      <c r="A30" s="509"/>
      <c r="B30" s="507"/>
      <c r="C30" s="507"/>
      <c r="D30" s="508"/>
      <c r="E30" s="508"/>
      <c r="F30" s="508"/>
      <c r="G30" s="508"/>
      <c r="H30" s="508"/>
      <c r="I30" s="508"/>
      <c r="J30" s="508"/>
      <c r="K30" s="508"/>
      <c r="L30" s="508"/>
      <c r="M30" s="508"/>
      <c r="N30" s="508"/>
      <c r="O30" s="508"/>
      <c r="P30" s="508"/>
      <c r="Q30" s="88"/>
      <c r="R30" s="88"/>
      <c r="S30" s="88"/>
    </row>
    <row r="31" spans="1:19" ht="14.25" x14ac:dyDescent="0.2">
      <c r="A31" s="509"/>
      <c r="B31" s="507"/>
      <c r="C31" s="507"/>
      <c r="D31" s="508"/>
      <c r="E31" s="508"/>
      <c r="F31" s="508"/>
      <c r="G31" s="508"/>
      <c r="H31" s="508"/>
      <c r="I31" s="508"/>
      <c r="J31" s="508"/>
      <c r="K31" s="508"/>
      <c r="L31" s="508"/>
      <c r="M31" s="508"/>
      <c r="N31" s="508"/>
      <c r="O31" s="508"/>
      <c r="P31" s="508"/>
      <c r="Q31" s="88"/>
      <c r="R31" s="88"/>
      <c r="S31" s="88"/>
    </row>
    <row r="32" spans="1:19" ht="14.25" x14ac:dyDescent="0.2">
      <c r="A32" s="509"/>
      <c r="B32" s="507"/>
      <c r="C32" s="507"/>
      <c r="D32" s="508"/>
      <c r="E32" s="508"/>
      <c r="F32" s="508"/>
      <c r="G32" s="508"/>
      <c r="H32" s="508"/>
      <c r="I32" s="508"/>
      <c r="J32" s="508"/>
      <c r="K32" s="508"/>
      <c r="L32" s="508"/>
      <c r="M32" s="508"/>
      <c r="N32" s="508"/>
      <c r="O32" s="508"/>
      <c r="P32" s="508"/>
      <c r="Q32" s="88"/>
      <c r="R32" s="88"/>
      <c r="S32" s="88"/>
    </row>
    <row r="33" spans="1:22" ht="14.25" x14ac:dyDescent="0.2">
      <c r="A33" s="509"/>
      <c r="B33" s="507"/>
      <c r="C33" s="507"/>
      <c r="D33" s="508"/>
      <c r="E33" s="508"/>
      <c r="F33" s="508"/>
      <c r="G33" s="508"/>
      <c r="H33" s="508"/>
      <c r="I33" s="508"/>
      <c r="J33" s="508"/>
      <c r="K33" s="508"/>
      <c r="L33" s="508"/>
      <c r="M33" s="508"/>
      <c r="N33" s="508"/>
      <c r="O33" s="508"/>
      <c r="P33" s="508"/>
      <c r="Q33" s="88"/>
      <c r="R33" s="88"/>
      <c r="S33" s="88"/>
    </row>
    <row r="34" spans="1:22" ht="12.75" x14ac:dyDescent="0.2">
      <c r="A34" s="509">
        <v>7</v>
      </c>
      <c r="B34" s="509" t="s">
        <v>52</v>
      </c>
      <c r="C34" s="531"/>
      <c r="D34" s="4603" t="s">
        <v>2052</v>
      </c>
      <c r="E34" s="4604"/>
      <c r="F34" s="4604"/>
      <c r="G34" s="4604"/>
      <c r="H34" s="4604"/>
      <c r="I34" s="4604"/>
      <c r="J34" s="4604"/>
      <c r="K34" s="4604"/>
      <c r="L34" s="4604"/>
      <c r="M34" s="4604"/>
      <c r="N34" s="4604"/>
      <c r="O34" s="4604"/>
      <c r="P34" s="4604"/>
      <c r="Q34" s="4604"/>
      <c r="R34" s="4604"/>
      <c r="S34" s="4604"/>
      <c r="T34" s="4604"/>
      <c r="U34" s="4604"/>
      <c r="V34" s="4605"/>
    </row>
    <row r="35" spans="1:22" ht="12.75" customHeight="1" x14ac:dyDescent="0.2">
      <c r="A35" s="509">
        <v>8</v>
      </c>
      <c r="B35" s="509" t="s">
        <v>2053</v>
      </c>
      <c r="C35" s="531"/>
      <c r="D35" s="4603" t="s">
        <v>2065</v>
      </c>
      <c r="E35" s="4604"/>
      <c r="F35" s="4604"/>
      <c r="G35" s="4604"/>
      <c r="H35" s="4604"/>
      <c r="I35" s="4604"/>
      <c r="J35" s="4604"/>
      <c r="K35" s="4604"/>
      <c r="L35" s="4604"/>
      <c r="M35" s="4604"/>
      <c r="N35" s="4604"/>
      <c r="O35" s="4604"/>
      <c r="P35" s="4604"/>
      <c r="Q35" s="4604"/>
      <c r="R35" s="4604"/>
      <c r="S35" s="4604"/>
      <c r="T35" s="4604"/>
      <c r="U35" s="4604"/>
      <c r="V35" s="4605"/>
    </row>
    <row r="36" spans="1:22" ht="31.35" customHeight="1" x14ac:dyDescent="0.2">
      <c r="A36" s="509"/>
      <c r="B36" s="509"/>
      <c r="C36" s="531"/>
      <c r="D36" s="4603" t="s">
        <v>2066</v>
      </c>
      <c r="E36" s="4604"/>
      <c r="F36" s="4604"/>
      <c r="G36" s="4604"/>
      <c r="H36" s="4604"/>
      <c r="I36" s="4604"/>
      <c r="J36" s="4604"/>
      <c r="K36" s="4604"/>
      <c r="L36" s="4604"/>
      <c r="M36" s="4604"/>
      <c r="N36" s="4604"/>
      <c r="O36" s="4604"/>
      <c r="P36" s="4604"/>
      <c r="Q36" s="4604"/>
      <c r="R36" s="4604"/>
      <c r="S36" s="4604"/>
      <c r="T36" s="4604"/>
      <c r="U36" s="4604"/>
      <c r="V36" s="4605"/>
    </row>
    <row r="37" spans="1:22" ht="12.75" customHeight="1" x14ac:dyDescent="0.2">
      <c r="A37" s="509">
        <v>9</v>
      </c>
      <c r="B37" s="509" t="s">
        <v>56</v>
      </c>
      <c r="C37" s="531"/>
      <c r="D37" s="4603" t="s">
        <v>2067</v>
      </c>
      <c r="E37" s="4604"/>
      <c r="F37" s="4604"/>
      <c r="G37" s="4604"/>
      <c r="H37" s="4604"/>
      <c r="I37" s="4604"/>
      <c r="J37" s="4604"/>
      <c r="K37" s="4604"/>
      <c r="L37" s="4604"/>
      <c r="M37" s="4604"/>
      <c r="N37" s="4604"/>
      <c r="O37" s="4604"/>
      <c r="P37" s="4604"/>
      <c r="Q37" s="4604"/>
      <c r="R37" s="4604"/>
      <c r="S37" s="4604"/>
      <c r="T37" s="4604"/>
      <c r="U37" s="4604"/>
      <c r="V37" s="4605"/>
    </row>
  </sheetData>
  <mergeCells count="7">
    <mergeCell ref="D37:V37"/>
    <mergeCell ref="D3:V3"/>
    <mergeCell ref="D4:V4"/>
    <mergeCell ref="D5:V5"/>
    <mergeCell ref="D34:V34"/>
    <mergeCell ref="D35:V35"/>
    <mergeCell ref="D36:V36"/>
  </mergeCells>
  <pageMargins left="0.74803149606299202" right="0.74803149606299202" top="0.98425196850393704" bottom="0.98425196850393704" header="0.511811023622047" footer="0.511811023622047"/>
  <pageSetup paperSize="9" scale="41"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6E93C-BB13-48D1-BF9F-FE83DECC4430}">
  <sheetPr>
    <tabColor rgb="FFFFC000"/>
    <pageSetUpPr fitToPage="1"/>
  </sheetPr>
  <dimension ref="A1:W35"/>
  <sheetViews>
    <sheetView showGridLines="0" view="pageBreakPreview" zoomScaleNormal="100" zoomScaleSheetLayoutView="100" workbookViewId="0">
      <selection activeCell="C2" sqref="C2"/>
    </sheetView>
  </sheetViews>
  <sheetFormatPr defaultColWidth="9.140625" defaultRowHeight="11.25" x14ac:dyDescent="0.2"/>
  <cols>
    <col min="1" max="1" width="3.85546875" style="860" customWidth="1"/>
    <col min="2" max="2" width="14.42578125" style="836" customWidth="1"/>
    <col min="3" max="3" width="6.85546875" style="836" customWidth="1"/>
    <col min="4" max="4" width="18.140625" style="88" customWidth="1"/>
    <col min="5" max="5" width="7.140625" style="88" customWidth="1"/>
    <col min="6" max="6" width="8.85546875" style="88" customWidth="1"/>
    <col min="7" max="8" width="8" style="88" customWidth="1"/>
    <col min="9" max="9" width="9.5703125" style="88" customWidth="1"/>
    <col min="10" max="10" width="7.85546875" style="88" customWidth="1"/>
    <col min="11" max="11" width="8" style="88" customWidth="1"/>
    <col min="12" max="18" width="7.140625" style="88" customWidth="1"/>
    <col min="19" max="19" width="6.85546875" style="88" customWidth="1"/>
    <col min="20" max="20" width="8.140625" style="88" customWidth="1"/>
    <col min="21" max="22" width="7.140625" style="88" customWidth="1"/>
    <col min="23" max="23" width="7.42578125" style="88" customWidth="1"/>
    <col min="24" max="257" width="9.140625" style="88"/>
    <col min="258" max="258" width="3.85546875" style="88" customWidth="1"/>
    <col min="259" max="259" width="14.42578125" style="88" customWidth="1"/>
    <col min="260" max="260" width="5.42578125" style="88" customWidth="1"/>
    <col min="261" max="261" width="14.140625" style="88" customWidth="1"/>
    <col min="262" max="275" width="6" style="88" customWidth="1"/>
    <col min="276" max="513" width="9.140625" style="88"/>
    <col min="514" max="514" width="3.85546875" style="88" customWidth="1"/>
    <col min="515" max="515" width="14.42578125" style="88" customWidth="1"/>
    <col min="516" max="516" width="5.42578125" style="88" customWidth="1"/>
    <col min="517" max="517" width="14.140625" style="88" customWidth="1"/>
    <col min="518" max="531" width="6" style="88" customWidth="1"/>
    <col min="532" max="769" width="9.140625" style="88"/>
    <col min="770" max="770" width="3.85546875" style="88" customWidth="1"/>
    <col min="771" max="771" width="14.42578125" style="88" customWidth="1"/>
    <col min="772" max="772" width="5.42578125" style="88" customWidth="1"/>
    <col min="773" max="773" width="14.140625" style="88" customWidth="1"/>
    <col min="774" max="787" width="6" style="88" customWidth="1"/>
    <col min="788" max="1025" width="9.140625" style="88"/>
    <col min="1026" max="1026" width="3.85546875" style="88" customWidth="1"/>
    <col min="1027" max="1027" width="14.42578125" style="88" customWidth="1"/>
    <col min="1028" max="1028" width="5.42578125" style="88" customWidth="1"/>
    <col min="1029" max="1029" width="14.140625" style="88" customWidth="1"/>
    <col min="1030" max="1043" width="6" style="88" customWidth="1"/>
    <col min="1044" max="1281" width="9.140625" style="88"/>
    <col min="1282" max="1282" width="3.85546875" style="88" customWidth="1"/>
    <col min="1283" max="1283" width="14.42578125" style="88" customWidth="1"/>
    <col min="1284" max="1284" width="5.42578125" style="88" customWidth="1"/>
    <col min="1285" max="1285" width="14.140625" style="88" customWidth="1"/>
    <col min="1286" max="1299" width="6" style="88" customWidth="1"/>
    <col min="1300" max="1537" width="9.140625" style="88"/>
    <col min="1538" max="1538" width="3.85546875" style="88" customWidth="1"/>
    <col min="1539" max="1539" width="14.42578125" style="88" customWidth="1"/>
    <col min="1540" max="1540" width="5.42578125" style="88" customWidth="1"/>
    <col min="1541" max="1541" width="14.140625" style="88" customWidth="1"/>
    <col min="1542" max="1555" width="6" style="88" customWidth="1"/>
    <col min="1556" max="1793" width="9.140625" style="88"/>
    <col min="1794" max="1794" width="3.85546875" style="88" customWidth="1"/>
    <col min="1795" max="1795" width="14.42578125" style="88" customWidth="1"/>
    <col min="1796" max="1796" width="5.42578125" style="88" customWidth="1"/>
    <col min="1797" max="1797" width="14.140625" style="88" customWidth="1"/>
    <col min="1798" max="1811" width="6" style="88" customWidth="1"/>
    <col min="1812" max="2049" width="9.140625" style="88"/>
    <col min="2050" max="2050" width="3.85546875" style="88" customWidth="1"/>
    <col min="2051" max="2051" width="14.42578125" style="88" customWidth="1"/>
    <col min="2052" max="2052" width="5.42578125" style="88" customWidth="1"/>
    <col min="2053" max="2053" width="14.140625" style="88" customWidth="1"/>
    <col min="2054" max="2067" width="6" style="88" customWidth="1"/>
    <col min="2068" max="2305" width="9.140625" style="88"/>
    <col min="2306" max="2306" width="3.85546875" style="88" customWidth="1"/>
    <col min="2307" max="2307" width="14.42578125" style="88" customWidth="1"/>
    <col min="2308" max="2308" width="5.42578125" style="88" customWidth="1"/>
    <col min="2309" max="2309" width="14.140625" style="88" customWidth="1"/>
    <col min="2310" max="2323" width="6" style="88" customWidth="1"/>
    <col min="2324" max="2561" width="9.140625" style="88"/>
    <col min="2562" max="2562" width="3.85546875" style="88" customWidth="1"/>
    <col min="2563" max="2563" width="14.42578125" style="88" customWidth="1"/>
    <col min="2564" max="2564" width="5.42578125" style="88" customWidth="1"/>
    <col min="2565" max="2565" width="14.140625" style="88" customWidth="1"/>
    <col min="2566" max="2579" width="6" style="88" customWidth="1"/>
    <col min="2580" max="2817" width="9.140625" style="88"/>
    <col min="2818" max="2818" width="3.85546875" style="88" customWidth="1"/>
    <col min="2819" max="2819" width="14.42578125" style="88" customWidth="1"/>
    <col min="2820" max="2820" width="5.42578125" style="88" customWidth="1"/>
    <col min="2821" max="2821" width="14.140625" style="88" customWidth="1"/>
    <col min="2822" max="2835" width="6" style="88" customWidth="1"/>
    <col min="2836" max="3073" width="9.140625" style="88"/>
    <col min="3074" max="3074" width="3.85546875" style="88" customWidth="1"/>
    <col min="3075" max="3075" width="14.42578125" style="88" customWidth="1"/>
    <col min="3076" max="3076" width="5.42578125" style="88" customWidth="1"/>
    <col min="3077" max="3077" width="14.140625" style="88" customWidth="1"/>
    <col min="3078" max="3091" width="6" style="88" customWidth="1"/>
    <col min="3092" max="3329" width="9.140625" style="88"/>
    <col min="3330" max="3330" width="3.85546875" style="88" customWidth="1"/>
    <col min="3331" max="3331" width="14.42578125" style="88" customWidth="1"/>
    <col min="3332" max="3332" width="5.42578125" style="88" customWidth="1"/>
    <col min="3333" max="3333" width="14.140625" style="88" customWidth="1"/>
    <col min="3334" max="3347" width="6" style="88" customWidth="1"/>
    <col min="3348" max="3585" width="9.140625" style="88"/>
    <col min="3586" max="3586" width="3.85546875" style="88" customWidth="1"/>
    <col min="3587" max="3587" width="14.42578125" style="88" customWidth="1"/>
    <col min="3588" max="3588" width="5.42578125" style="88" customWidth="1"/>
    <col min="3589" max="3589" width="14.140625" style="88" customWidth="1"/>
    <col min="3590" max="3603" width="6" style="88" customWidth="1"/>
    <col min="3604" max="3841" width="9.140625" style="88"/>
    <col min="3842" max="3842" width="3.85546875" style="88" customWidth="1"/>
    <col min="3843" max="3843" width="14.42578125" style="88" customWidth="1"/>
    <col min="3844" max="3844" width="5.42578125" style="88" customWidth="1"/>
    <col min="3845" max="3845" width="14.140625" style="88" customWidth="1"/>
    <col min="3846" max="3859" width="6" style="88" customWidth="1"/>
    <col min="3860" max="4097" width="9.140625" style="88"/>
    <col min="4098" max="4098" width="3.85546875" style="88" customWidth="1"/>
    <col min="4099" max="4099" width="14.42578125" style="88" customWidth="1"/>
    <col min="4100" max="4100" width="5.42578125" style="88" customWidth="1"/>
    <col min="4101" max="4101" width="14.140625" style="88" customWidth="1"/>
    <col min="4102" max="4115" width="6" style="88" customWidth="1"/>
    <col min="4116" max="4353" width="9.140625" style="88"/>
    <col min="4354" max="4354" width="3.85546875" style="88" customWidth="1"/>
    <col min="4355" max="4355" width="14.42578125" style="88" customWidth="1"/>
    <col min="4356" max="4356" width="5.42578125" style="88" customWidth="1"/>
    <col min="4357" max="4357" width="14.140625" style="88" customWidth="1"/>
    <col min="4358" max="4371" width="6" style="88" customWidth="1"/>
    <col min="4372" max="4609" width="9.140625" style="88"/>
    <col min="4610" max="4610" width="3.85546875" style="88" customWidth="1"/>
    <col min="4611" max="4611" width="14.42578125" style="88" customWidth="1"/>
    <col min="4612" max="4612" width="5.42578125" style="88" customWidth="1"/>
    <col min="4613" max="4613" width="14.140625" style="88" customWidth="1"/>
    <col min="4614" max="4627" width="6" style="88" customWidth="1"/>
    <col min="4628" max="4865" width="9.140625" style="88"/>
    <col min="4866" max="4866" width="3.85546875" style="88" customWidth="1"/>
    <col min="4867" max="4867" width="14.42578125" style="88" customWidth="1"/>
    <col min="4868" max="4868" width="5.42578125" style="88" customWidth="1"/>
    <col min="4869" max="4869" width="14.140625" style="88" customWidth="1"/>
    <col min="4870" max="4883" width="6" style="88" customWidth="1"/>
    <col min="4884" max="5121" width="9.140625" style="88"/>
    <col min="5122" max="5122" width="3.85546875" style="88" customWidth="1"/>
    <col min="5123" max="5123" width="14.42578125" style="88" customWidth="1"/>
    <col min="5124" max="5124" width="5.42578125" style="88" customWidth="1"/>
    <col min="5125" max="5125" width="14.140625" style="88" customWidth="1"/>
    <col min="5126" max="5139" width="6" style="88" customWidth="1"/>
    <col min="5140" max="5377" width="9.140625" style="88"/>
    <col min="5378" max="5378" width="3.85546875" style="88" customWidth="1"/>
    <col min="5379" max="5379" width="14.42578125" style="88" customWidth="1"/>
    <col min="5380" max="5380" width="5.42578125" style="88" customWidth="1"/>
    <col min="5381" max="5381" width="14.140625" style="88" customWidth="1"/>
    <col min="5382" max="5395" width="6" style="88" customWidth="1"/>
    <col min="5396" max="5633" width="9.140625" style="88"/>
    <col min="5634" max="5634" width="3.85546875" style="88" customWidth="1"/>
    <col min="5635" max="5635" width="14.42578125" style="88" customWidth="1"/>
    <col min="5636" max="5636" width="5.42578125" style="88" customWidth="1"/>
    <col min="5637" max="5637" width="14.140625" style="88" customWidth="1"/>
    <col min="5638" max="5651" width="6" style="88" customWidth="1"/>
    <col min="5652" max="5889" width="9.140625" style="88"/>
    <col min="5890" max="5890" width="3.85546875" style="88" customWidth="1"/>
    <col min="5891" max="5891" width="14.42578125" style="88" customWidth="1"/>
    <col min="5892" max="5892" width="5.42578125" style="88" customWidth="1"/>
    <col min="5893" max="5893" width="14.140625" style="88" customWidth="1"/>
    <col min="5894" max="5907" width="6" style="88" customWidth="1"/>
    <col min="5908" max="6145" width="9.140625" style="88"/>
    <col min="6146" max="6146" width="3.85546875" style="88" customWidth="1"/>
    <col min="6147" max="6147" width="14.42578125" style="88" customWidth="1"/>
    <col min="6148" max="6148" width="5.42578125" style="88" customWidth="1"/>
    <col min="6149" max="6149" width="14.140625" style="88" customWidth="1"/>
    <col min="6150" max="6163" width="6" style="88" customWidth="1"/>
    <col min="6164" max="6401" width="9.140625" style="88"/>
    <col min="6402" max="6402" width="3.85546875" style="88" customWidth="1"/>
    <col min="6403" max="6403" width="14.42578125" style="88" customWidth="1"/>
    <col min="6404" max="6404" width="5.42578125" style="88" customWidth="1"/>
    <col min="6405" max="6405" width="14.140625" style="88" customWidth="1"/>
    <col min="6406" max="6419" width="6" style="88" customWidth="1"/>
    <col min="6420" max="6657" width="9.140625" style="88"/>
    <col min="6658" max="6658" width="3.85546875" style="88" customWidth="1"/>
    <col min="6659" max="6659" width="14.42578125" style="88" customWidth="1"/>
    <col min="6660" max="6660" width="5.42578125" style="88" customWidth="1"/>
    <col min="6661" max="6661" width="14.140625" style="88" customWidth="1"/>
    <col min="6662" max="6675" width="6" style="88" customWidth="1"/>
    <col min="6676" max="6913" width="9.140625" style="88"/>
    <col min="6914" max="6914" width="3.85546875" style="88" customWidth="1"/>
    <col min="6915" max="6915" width="14.42578125" style="88" customWidth="1"/>
    <col min="6916" max="6916" width="5.42578125" style="88" customWidth="1"/>
    <col min="6917" max="6917" width="14.140625" style="88" customWidth="1"/>
    <col min="6918" max="6931" width="6" style="88" customWidth="1"/>
    <col min="6932" max="7169" width="9.140625" style="88"/>
    <col min="7170" max="7170" width="3.85546875" style="88" customWidth="1"/>
    <col min="7171" max="7171" width="14.42578125" style="88" customWidth="1"/>
    <col min="7172" max="7172" width="5.42578125" style="88" customWidth="1"/>
    <col min="7173" max="7173" width="14.140625" style="88" customWidth="1"/>
    <col min="7174" max="7187" width="6" style="88" customWidth="1"/>
    <col min="7188" max="7425" width="9.140625" style="88"/>
    <col min="7426" max="7426" width="3.85546875" style="88" customWidth="1"/>
    <col min="7427" max="7427" width="14.42578125" style="88" customWidth="1"/>
    <col min="7428" max="7428" width="5.42578125" style="88" customWidth="1"/>
    <col min="7429" max="7429" width="14.140625" style="88" customWidth="1"/>
    <col min="7430" max="7443" width="6" style="88" customWidth="1"/>
    <col min="7444" max="7681" width="9.140625" style="88"/>
    <col min="7682" max="7682" width="3.85546875" style="88" customWidth="1"/>
    <col min="7683" max="7683" width="14.42578125" style="88" customWidth="1"/>
    <col min="7684" max="7684" width="5.42578125" style="88" customWidth="1"/>
    <col min="7685" max="7685" width="14.140625" style="88" customWidth="1"/>
    <col min="7686" max="7699" width="6" style="88" customWidth="1"/>
    <col min="7700" max="7937" width="9.140625" style="88"/>
    <col min="7938" max="7938" width="3.85546875" style="88" customWidth="1"/>
    <col min="7939" max="7939" width="14.42578125" style="88" customWidth="1"/>
    <col min="7940" max="7940" width="5.42578125" style="88" customWidth="1"/>
    <col min="7941" max="7941" width="14.140625" style="88" customWidth="1"/>
    <col min="7942" max="7955" width="6" style="88" customWidth="1"/>
    <col min="7956" max="8193" width="9.140625" style="88"/>
    <col min="8194" max="8194" width="3.85546875" style="88" customWidth="1"/>
    <col min="8195" max="8195" width="14.42578125" style="88" customWidth="1"/>
    <col min="8196" max="8196" width="5.42578125" style="88" customWidth="1"/>
    <col min="8197" max="8197" width="14.140625" style="88" customWidth="1"/>
    <col min="8198" max="8211" width="6" style="88" customWidth="1"/>
    <col min="8212" max="8449" width="9.140625" style="88"/>
    <col min="8450" max="8450" width="3.85546875" style="88" customWidth="1"/>
    <col min="8451" max="8451" width="14.42578125" style="88" customWidth="1"/>
    <col min="8452" max="8452" width="5.42578125" style="88" customWidth="1"/>
    <col min="8453" max="8453" width="14.140625" style="88" customWidth="1"/>
    <col min="8454" max="8467" width="6" style="88" customWidth="1"/>
    <col min="8468" max="8705" width="9.140625" style="88"/>
    <col min="8706" max="8706" width="3.85546875" style="88" customWidth="1"/>
    <col min="8707" max="8707" width="14.42578125" style="88" customWidth="1"/>
    <col min="8708" max="8708" width="5.42578125" style="88" customWidth="1"/>
    <col min="8709" max="8709" width="14.140625" style="88" customWidth="1"/>
    <col min="8710" max="8723" width="6" style="88" customWidth="1"/>
    <col min="8724" max="8961" width="9.140625" style="88"/>
    <col min="8962" max="8962" width="3.85546875" style="88" customWidth="1"/>
    <col min="8963" max="8963" width="14.42578125" style="88" customWidth="1"/>
    <col min="8964" max="8964" width="5.42578125" style="88" customWidth="1"/>
    <col min="8965" max="8965" width="14.140625" style="88" customWidth="1"/>
    <col min="8966" max="8979" width="6" style="88" customWidth="1"/>
    <col min="8980" max="9217" width="9.140625" style="88"/>
    <col min="9218" max="9218" width="3.85546875" style="88" customWidth="1"/>
    <col min="9219" max="9219" width="14.42578125" style="88" customWidth="1"/>
    <col min="9220" max="9220" width="5.42578125" style="88" customWidth="1"/>
    <col min="9221" max="9221" width="14.140625" style="88" customWidth="1"/>
    <col min="9222" max="9235" width="6" style="88" customWidth="1"/>
    <col min="9236" max="9473" width="9.140625" style="88"/>
    <col min="9474" max="9474" width="3.85546875" style="88" customWidth="1"/>
    <col min="9475" max="9475" width="14.42578125" style="88" customWidth="1"/>
    <col min="9476" max="9476" width="5.42578125" style="88" customWidth="1"/>
    <col min="9477" max="9477" width="14.140625" style="88" customWidth="1"/>
    <col min="9478" max="9491" width="6" style="88" customWidth="1"/>
    <col min="9492" max="9729" width="9.140625" style="88"/>
    <col min="9730" max="9730" width="3.85546875" style="88" customWidth="1"/>
    <col min="9731" max="9731" width="14.42578125" style="88" customWidth="1"/>
    <col min="9732" max="9732" width="5.42578125" style="88" customWidth="1"/>
    <col min="9733" max="9733" width="14.140625" style="88" customWidth="1"/>
    <col min="9734" max="9747" width="6" style="88" customWidth="1"/>
    <col min="9748" max="9985" width="9.140625" style="88"/>
    <col min="9986" max="9986" width="3.85546875" style="88" customWidth="1"/>
    <col min="9987" max="9987" width="14.42578125" style="88" customWidth="1"/>
    <col min="9988" max="9988" width="5.42578125" style="88" customWidth="1"/>
    <col min="9989" max="9989" width="14.140625" style="88" customWidth="1"/>
    <col min="9990" max="10003" width="6" style="88" customWidth="1"/>
    <col min="10004" max="10241" width="9.140625" style="88"/>
    <col min="10242" max="10242" width="3.85546875" style="88" customWidth="1"/>
    <col min="10243" max="10243" width="14.42578125" style="88" customWidth="1"/>
    <col min="10244" max="10244" width="5.42578125" style="88" customWidth="1"/>
    <col min="10245" max="10245" width="14.140625" style="88" customWidth="1"/>
    <col min="10246" max="10259" width="6" style="88" customWidth="1"/>
    <col min="10260" max="10497" width="9.140625" style="88"/>
    <col min="10498" max="10498" width="3.85546875" style="88" customWidth="1"/>
    <col min="10499" max="10499" width="14.42578125" style="88" customWidth="1"/>
    <col min="10500" max="10500" width="5.42578125" style="88" customWidth="1"/>
    <col min="10501" max="10501" width="14.140625" style="88" customWidth="1"/>
    <col min="10502" max="10515" width="6" style="88" customWidth="1"/>
    <col min="10516" max="10753" width="9.140625" style="88"/>
    <col min="10754" max="10754" width="3.85546875" style="88" customWidth="1"/>
    <col min="10755" max="10755" width="14.42578125" style="88" customWidth="1"/>
    <col min="10756" max="10756" width="5.42578125" style="88" customWidth="1"/>
    <col min="10757" max="10757" width="14.140625" style="88" customWidth="1"/>
    <col min="10758" max="10771" width="6" style="88" customWidth="1"/>
    <col min="10772" max="11009" width="9.140625" style="88"/>
    <col min="11010" max="11010" width="3.85546875" style="88" customWidth="1"/>
    <col min="11011" max="11011" width="14.42578125" style="88" customWidth="1"/>
    <col min="11012" max="11012" width="5.42578125" style="88" customWidth="1"/>
    <col min="11013" max="11013" width="14.140625" style="88" customWidth="1"/>
    <col min="11014" max="11027" width="6" style="88" customWidth="1"/>
    <col min="11028" max="11265" width="9.140625" style="88"/>
    <col min="11266" max="11266" width="3.85546875" style="88" customWidth="1"/>
    <col min="11267" max="11267" width="14.42578125" style="88" customWidth="1"/>
    <col min="11268" max="11268" width="5.42578125" style="88" customWidth="1"/>
    <col min="11269" max="11269" width="14.140625" style="88" customWidth="1"/>
    <col min="11270" max="11283" width="6" style="88" customWidth="1"/>
    <col min="11284" max="11521" width="9.140625" style="88"/>
    <col min="11522" max="11522" width="3.85546875" style="88" customWidth="1"/>
    <col min="11523" max="11523" width="14.42578125" style="88" customWidth="1"/>
    <col min="11524" max="11524" width="5.42578125" style="88" customWidth="1"/>
    <col min="11525" max="11525" width="14.140625" style="88" customWidth="1"/>
    <col min="11526" max="11539" width="6" style="88" customWidth="1"/>
    <col min="11540" max="11777" width="9.140625" style="88"/>
    <col min="11778" max="11778" width="3.85546875" style="88" customWidth="1"/>
    <col min="11779" max="11779" width="14.42578125" style="88" customWidth="1"/>
    <col min="11780" max="11780" width="5.42578125" style="88" customWidth="1"/>
    <col min="11781" max="11781" width="14.140625" style="88" customWidth="1"/>
    <col min="11782" max="11795" width="6" style="88" customWidth="1"/>
    <col min="11796" max="12033" width="9.140625" style="88"/>
    <col min="12034" max="12034" width="3.85546875" style="88" customWidth="1"/>
    <col min="12035" max="12035" width="14.42578125" style="88" customWidth="1"/>
    <col min="12036" max="12036" width="5.42578125" style="88" customWidth="1"/>
    <col min="12037" max="12037" width="14.140625" style="88" customWidth="1"/>
    <col min="12038" max="12051" width="6" style="88" customWidth="1"/>
    <col min="12052" max="12289" width="9.140625" style="88"/>
    <col min="12290" max="12290" width="3.85546875" style="88" customWidth="1"/>
    <col min="12291" max="12291" width="14.42578125" style="88" customWidth="1"/>
    <col min="12292" max="12292" width="5.42578125" style="88" customWidth="1"/>
    <col min="12293" max="12293" width="14.140625" style="88" customWidth="1"/>
    <col min="12294" max="12307" width="6" style="88" customWidth="1"/>
    <col min="12308" max="12545" width="9.140625" style="88"/>
    <col min="12546" max="12546" width="3.85546875" style="88" customWidth="1"/>
    <col min="12547" max="12547" width="14.42578125" style="88" customWidth="1"/>
    <col min="12548" max="12548" width="5.42578125" style="88" customWidth="1"/>
    <col min="12549" max="12549" width="14.140625" style="88" customWidth="1"/>
    <col min="12550" max="12563" width="6" style="88" customWidth="1"/>
    <col min="12564" max="12801" width="9.140625" style="88"/>
    <col min="12802" max="12802" width="3.85546875" style="88" customWidth="1"/>
    <col min="12803" max="12803" width="14.42578125" style="88" customWidth="1"/>
    <col min="12804" max="12804" width="5.42578125" style="88" customWidth="1"/>
    <col min="12805" max="12805" width="14.140625" style="88" customWidth="1"/>
    <col min="12806" max="12819" width="6" style="88" customWidth="1"/>
    <col min="12820" max="13057" width="9.140625" style="88"/>
    <col min="13058" max="13058" width="3.85546875" style="88" customWidth="1"/>
    <col min="13059" max="13059" width="14.42578125" style="88" customWidth="1"/>
    <col min="13060" max="13060" width="5.42578125" style="88" customWidth="1"/>
    <col min="13061" max="13061" width="14.140625" style="88" customWidth="1"/>
    <col min="13062" max="13075" width="6" style="88" customWidth="1"/>
    <col min="13076" max="13313" width="9.140625" style="88"/>
    <col min="13314" max="13314" width="3.85546875" style="88" customWidth="1"/>
    <col min="13315" max="13315" width="14.42578125" style="88" customWidth="1"/>
    <col min="13316" max="13316" width="5.42578125" style="88" customWidth="1"/>
    <col min="13317" max="13317" width="14.140625" style="88" customWidth="1"/>
    <col min="13318" max="13331" width="6" style="88" customWidth="1"/>
    <col min="13332" max="13569" width="9.140625" style="88"/>
    <col min="13570" max="13570" width="3.85546875" style="88" customWidth="1"/>
    <col min="13571" max="13571" width="14.42578125" style="88" customWidth="1"/>
    <col min="13572" max="13572" width="5.42578125" style="88" customWidth="1"/>
    <col min="13573" max="13573" width="14.140625" style="88" customWidth="1"/>
    <col min="13574" max="13587" width="6" style="88" customWidth="1"/>
    <col min="13588" max="13825" width="9.140625" style="88"/>
    <col min="13826" max="13826" width="3.85546875" style="88" customWidth="1"/>
    <col min="13827" max="13827" width="14.42578125" style="88" customWidth="1"/>
    <col min="13828" max="13828" width="5.42578125" style="88" customWidth="1"/>
    <col min="13829" max="13829" width="14.140625" style="88" customWidth="1"/>
    <col min="13830" max="13843" width="6" style="88" customWidth="1"/>
    <col min="13844" max="14081" width="9.140625" style="88"/>
    <col min="14082" max="14082" width="3.85546875" style="88" customWidth="1"/>
    <col min="14083" max="14083" width="14.42578125" style="88" customWidth="1"/>
    <col min="14084" max="14084" width="5.42578125" style="88" customWidth="1"/>
    <col min="14085" max="14085" width="14.140625" style="88" customWidth="1"/>
    <col min="14086" max="14099" width="6" style="88" customWidth="1"/>
    <col min="14100" max="14337" width="9.140625" style="88"/>
    <col min="14338" max="14338" width="3.85546875" style="88" customWidth="1"/>
    <col min="14339" max="14339" width="14.42578125" style="88" customWidth="1"/>
    <col min="14340" max="14340" width="5.42578125" style="88" customWidth="1"/>
    <col min="14341" max="14341" width="14.140625" style="88" customWidth="1"/>
    <col min="14342" max="14355" width="6" style="88" customWidth="1"/>
    <col min="14356" max="14593" width="9.140625" style="88"/>
    <col min="14594" max="14594" width="3.85546875" style="88" customWidth="1"/>
    <col min="14595" max="14595" width="14.42578125" style="88" customWidth="1"/>
    <col min="14596" max="14596" width="5.42578125" style="88" customWidth="1"/>
    <col min="14597" max="14597" width="14.140625" style="88" customWidth="1"/>
    <col min="14598" max="14611" width="6" style="88" customWidth="1"/>
    <col min="14612" max="14849" width="9.140625" style="88"/>
    <col min="14850" max="14850" width="3.85546875" style="88" customWidth="1"/>
    <col min="14851" max="14851" width="14.42578125" style="88" customWidth="1"/>
    <col min="14852" max="14852" width="5.42578125" style="88" customWidth="1"/>
    <col min="14853" max="14853" width="14.140625" style="88" customWidth="1"/>
    <col min="14854" max="14867" width="6" style="88" customWidth="1"/>
    <col min="14868" max="15105" width="9.140625" style="88"/>
    <col min="15106" max="15106" width="3.85546875" style="88" customWidth="1"/>
    <col min="15107" max="15107" width="14.42578125" style="88" customWidth="1"/>
    <col min="15108" max="15108" width="5.42578125" style="88" customWidth="1"/>
    <col min="15109" max="15109" width="14.140625" style="88" customWidth="1"/>
    <col min="15110" max="15123" width="6" style="88" customWidth="1"/>
    <col min="15124" max="15361" width="9.140625" style="88"/>
    <col min="15362" max="15362" width="3.85546875" style="88" customWidth="1"/>
    <col min="15363" max="15363" width="14.42578125" style="88" customWidth="1"/>
    <col min="15364" max="15364" width="5.42578125" style="88" customWidth="1"/>
    <col min="15365" max="15365" width="14.140625" style="88" customWidth="1"/>
    <col min="15366" max="15379" width="6" style="88" customWidth="1"/>
    <col min="15380" max="15617" width="9.140625" style="88"/>
    <col min="15618" max="15618" width="3.85546875" style="88" customWidth="1"/>
    <col min="15619" max="15619" width="14.42578125" style="88" customWidth="1"/>
    <col min="15620" max="15620" width="5.42578125" style="88" customWidth="1"/>
    <col min="15621" max="15621" width="14.140625" style="88" customWidth="1"/>
    <col min="15622" max="15635" width="6" style="88" customWidth="1"/>
    <col min="15636" max="15873" width="9.140625" style="88"/>
    <col min="15874" max="15874" width="3.85546875" style="88" customWidth="1"/>
    <col min="15875" max="15875" width="14.42578125" style="88" customWidth="1"/>
    <col min="15876" max="15876" width="5.42578125" style="88" customWidth="1"/>
    <col min="15877" max="15877" width="14.140625" style="88" customWidth="1"/>
    <col min="15878" max="15891" width="6" style="88" customWidth="1"/>
    <col min="15892" max="16129" width="9.140625" style="88"/>
    <col min="16130" max="16130" width="3.85546875" style="88" customWidth="1"/>
    <col min="16131" max="16131" width="14.42578125" style="88" customWidth="1"/>
    <col min="16132" max="16132" width="5.42578125" style="88" customWidth="1"/>
    <col min="16133" max="16133" width="14.140625" style="88" customWidth="1"/>
    <col min="16134" max="16147" width="6" style="88" customWidth="1"/>
    <col min="16148" max="16384" width="9.140625" style="88"/>
  </cols>
  <sheetData>
    <row r="1" spans="1:23" ht="12.75" customHeight="1" x14ac:dyDescent="0.2">
      <c r="A1" s="509"/>
      <c r="B1" s="309"/>
      <c r="C1" s="309"/>
      <c r="D1" s="510"/>
      <c r="E1" s="510"/>
      <c r="F1" s="510"/>
      <c r="G1" s="510"/>
      <c r="H1" s="510"/>
      <c r="I1" s="510"/>
      <c r="J1" s="510"/>
      <c r="K1" s="510"/>
      <c r="L1" s="510"/>
      <c r="M1" s="510"/>
      <c r="N1" s="510"/>
      <c r="O1" s="510"/>
      <c r="P1" s="510"/>
      <c r="Q1" s="510"/>
      <c r="R1" s="510"/>
      <c r="S1" s="510"/>
      <c r="T1" s="510"/>
    </row>
    <row r="2" spans="1:23" ht="18" customHeight="1" x14ac:dyDescent="0.2">
      <c r="A2" s="509">
        <v>1</v>
      </c>
      <c r="B2" s="509" t="s">
        <v>361</v>
      </c>
      <c r="C2" s="509">
        <v>82</v>
      </c>
      <c r="D2" s="4603" t="s">
        <v>2068</v>
      </c>
      <c r="E2" s="4604"/>
      <c r="F2" s="4604"/>
      <c r="G2" s="4604"/>
      <c r="H2" s="4604"/>
      <c r="I2" s="4604"/>
      <c r="J2" s="4604"/>
      <c r="K2" s="4604"/>
      <c r="L2" s="4604"/>
      <c r="M2" s="4604"/>
      <c r="N2" s="4604"/>
      <c r="O2" s="4604"/>
      <c r="P2" s="4604"/>
      <c r="Q2" s="4604"/>
      <c r="R2" s="4604"/>
      <c r="S2" s="4604"/>
      <c r="T2" s="4604"/>
      <c r="U2" s="4605"/>
    </row>
    <row r="3" spans="1:23" ht="18.75" customHeight="1" x14ac:dyDescent="0.2">
      <c r="A3" s="509">
        <v>2</v>
      </c>
      <c r="B3" s="509" t="s">
        <v>363</v>
      </c>
      <c r="C3" s="509"/>
      <c r="D3" s="4603" t="s">
        <v>2069</v>
      </c>
      <c r="E3" s="4604"/>
      <c r="F3" s="4604"/>
      <c r="G3" s="4604"/>
      <c r="H3" s="4604"/>
      <c r="I3" s="4604"/>
      <c r="J3" s="4604"/>
      <c r="K3" s="4604"/>
      <c r="L3" s="4604"/>
      <c r="M3" s="4604"/>
      <c r="N3" s="4604"/>
      <c r="O3" s="4604"/>
      <c r="P3" s="4604"/>
      <c r="Q3" s="4604"/>
      <c r="R3" s="4604"/>
      <c r="S3" s="4604"/>
      <c r="T3" s="4604"/>
      <c r="U3" s="4605"/>
    </row>
    <row r="4" spans="1:23" ht="29.25" customHeight="1" x14ac:dyDescent="0.2">
      <c r="A4" s="509">
        <v>3</v>
      </c>
      <c r="B4" s="509" t="s">
        <v>4</v>
      </c>
      <c r="C4" s="509"/>
      <c r="D4" s="4603" t="s">
        <v>2070</v>
      </c>
      <c r="E4" s="4604"/>
      <c r="F4" s="4604"/>
      <c r="G4" s="4604"/>
      <c r="H4" s="4604"/>
      <c r="I4" s="4604"/>
      <c r="J4" s="4604"/>
      <c r="K4" s="4604"/>
      <c r="L4" s="4604"/>
      <c r="M4" s="4604"/>
      <c r="N4" s="4604"/>
      <c r="O4" s="4604"/>
      <c r="P4" s="4604"/>
      <c r="Q4" s="4604"/>
      <c r="R4" s="4604"/>
      <c r="S4" s="4604"/>
      <c r="T4" s="4604"/>
      <c r="U4" s="4605"/>
    </row>
    <row r="5" spans="1:23" ht="12.75" customHeight="1" x14ac:dyDescent="0.2">
      <c r="C5" s="509"/>
      <c r="D5" s="510"/>
      <c r="E5" s="510"/>
      <c r="F5" s="510"/>
      <c r="G5" s="510"/>
      <c r="H5" s="510"/>
      <c r="I5" s="510"/>
      <c r="J5" s="510"/>
      <c r="K5" s="510"/>
      <c r="L5" s="510"/>
      <c r="M5" s="510"/>
      <c r="N5" s="510"/>
      <c r="O5" s="510"/>
      <c r="P5" s="510"/>
      <c r="Q5" s="510"/>
      <c r="R5" s="510"/>
      <c r="S5" s="510"/>
      <c r="T5" s="510"/>
    </row>
    <row r="6" spans="1:23" ht="12.75" customHeight="1" x14ac:dyDescent="0.2">
      <c r="A6" s="509">
        <v>4</v>
      </c>
      <c r="B6" s="509" t="s">
        <v>6</v>
      </c>
      <c r="D6" s="72" t="s">
        <v>7</v>
      </c>
      <c r="E6" s="72" t="s">
        <v>2071</v>
      </c>
      <c r="F6" s="72"/>
      <c r="G6" s="72"/>
      <c r="H6" s="72"/>
      <c r="I6" s="72"/>
      <c r="J6" s="72"/>
      <c r="K6" s="72"/>
      <c r="L6" s="95"/>
    </row>
    <row r="7" spans="1:23" ht="11.25" customHeight="1" x14ac:dyDescent="0.2">
      <c r="E7" s="2178" t="s">
        <v>16</v>
      </c>
      <c r="F7" s="2178" t="s">
        <v>17</v>
      </c>
      <c r="G7" s="2178" t="s">
        <v>18</v>
      </c>
      <c r="H7" s="2178" t="s">
        <v>19</v>
      </c>
      <c r="I7" s="2178" t="s">
        <v>20</v>
      </c>
      <c r="J7" s="2178" t="s">
        <v>21</v>
      </c>
      <c r="K7" s="2177" t="s">
        <v>22</v>
      </c>
      <c r="L7" s="3288" t="s">
        <v>23</v>
      </c>
      <c r="M7" s="3288" t="s">
        <v>24</v>
      </c>
      <c r="N7" s="3288" t="s">
        <v>25</v>
      </c>
      <c r="O7" s="3288" t="s">
        <v>26</v>
      </c>
      <c r="P7" s="3288" t="s">
        <v>27</v>
      </c>
      <c r="Q7" s="2424" t="s">
        <v>28</v>
      </c>
      <c r="R7" s="2424" t="s">
        <v>29</v>
      </c>
      <c r="S7" s="2424" t="s">
        <v>30</v>
      </c>
      <c r="T7" s="2424" t="s">
        <v>31</v>
      </c>
      <c r="U7" s="2424" t="s">
        <v>32</v>
      </c>
      <c r="V7" s="3289" t="s">
        <v>33</v>
      </c>
      <c r="W7" s="1226" t="s">
        <v>59</v>
      </c>
    </row>
    <row r="8" spans="1:23" ht="13.35" customHeight="1" x14ac:dyDescent="0.2">
      <c r="D8" s="2179" t="s">
        <v>2072</v>
      </c>
      <c r="E8" s="2180">
        <v>6</v>
      </c>
      <c r="F8" s="2180">
        <v>6</v>
      </c>
      <c r="G8" s="2180">
        <v>4</v>
      </c>
      <c r="H8" s="2180">
        <v>10</v>
      </c>
      <c r="I8" s="2180">
        <v>12</v>
      </c>
      <c r="J8" s="2180">
        <v>9</v>
      </c>
      <c r="K8" s="2180">
        <v>4</v>
      </c>
      <c r="L8" s="2180">
        <v>1</v>
      </c>
      <c r="M8" s="2180">
        <v>7</v>
      </c>
      <c r="N8" s="2180">
        <v>15</v>
      </c>
      <c r="O8" s="2180">
        <v>3</v>
      </c>
      <c r="P8" s="2180">
        <v>7</v>
      </c>
      <c r="Q8" s="413">
        <v>6</v>
      </c>
      <c r="R8" s="413">
        <v>6</v>
      </c>
      <c r="S8" s="413">
        <v>11</v>
      </c>
      <c r="T8" s="413">
        <v>8</v>
      </c>
      <c r="U8" s="413">
        <v>5</v>
      </c>
      <c r="V8" s="2180">
        <v>6</v>
      </c>
      <c r="W8" s="416">
        <v>6</v>
      </c>
    </row>
    <row r="9" spans="1:23" ht="13.35" customHeight="1" x14ac:dyDescent="0.2">
      <c r="D9" s="1567" t="s">
        <v>2073</v>
      </c>
      <c r="E9" s="2181">
        <f>30+18+0.08+2+7+5</f>
        <v>62.08</v>
      </c>
      <c r="F9" s="2181">
        <f>7.1+3.5+3.5+5</f>
        <v>19.100000000000001</v>
      </c>
      <c r="G9" s="2181">
        <f>10+25+25.8+10+22.4+1.7</f>
        <v>94.899999999999991</v>
      </c>
      <c r="H9" s="2181">
        <f>278+10+10+10+7.5+27+5+7.1+26.3+6.5</f>
        <v>387.40000000000003</v>
      </c>
      <c r="I9" s="2181">
        <f>13+22+31.67+10+81.256+2.1+172.327+11.756+10+1+14+805</f>
        <v>1174.1089999999999</v>
      </c>
      <c r="J9" s="2181">
        <f>40+60+20+14+10+20+300+8+305</f>
        <v>777</v>
      </c>
      <c r="K9" s="2181">
        <f>4+24+3+300</f>
        <v>331</v>
      </c>
      <c r="L9" s="2181" t="s">
        <v>2074</v>
      </c>
      <c r="M9" s="2181">
        <f>1.2+15+13.6+100+5+10.636+125.2</f>
        <v>270.63600000000002</v>
      </c>
      <c r="N9" s="2181">
        <f>10+0.646+21.2+3.9+10.7+120+96+250+22+13+5+17.9+180+12+4.02+12</f>
        <v>778.36599999999999</v>
      </c>
      <c r="O9" s="2181">
        <f>16.585+17+8.4+9.02</f>
        <v>51.004999999999995</v>
      </c>
      <c r="P9" s="2181">
        <v>189</v>
      </c>
      <c r="Q9" s="555">
        <v>199</v>
      </c>
      <c r="R9" s="555">
        <v>91</v>
      </c>
      <c r="S9" s="555">
        <v>153</v>
      </c>
      <c r="T9" s="555" t="s">
        <v>2075</v>
      </c>
      <c r="U9" s="555">
        <v>45</v>
      </c>
      <c r="V9" s="2195">
        <v>228</v>
      </c>
      <c r="W9" s="3348">
        <v>296</v>
      </c>
    </row>
    <row r="10" spans="1:23" ht="11.25" customHeight="1" x14ac:dyDescent="0.2">
      <c r="A10" s="836"/>
      <c r="D10" s="1534"/>
      <c r="F10" s="2182"/>
      <c r="G10" s="2182"/>
      <c r="H10" s="2182"/>
      <c r="I10" s="2182"/>
      <c r="J10" s="2182"/>
      <c r="K10" s="2182"/>
      <c r="L10" s="2182"/>
      <c r="M10" s="2182"/>
      <c r="N10" s="2182"/>
      <c r="O10" s="2182"/>
      <c r="P10" s="2182"/>
      <c r="Q10" s="2182"/>
      <c r="V10" s="2183"/>
    </row>
    <row r="11" spans="1:23" ht="12.75" x14ac:dyDescent="0.2">
      <c r="A11" s="509">
        <v>5</v>
      </c>
      <c r="B11" s="509" t="s">
        <v>51</v>
      </c>
    </row>
    <row r="12" spans="1:23" ht="12.75" x14ac:dyDescent="0.2">
      <c r="A12" s="836"/>
      <c r="C12" s="509"/>
    </row>
    <row r="15" spans="1:23" x14ac:dyDescent="0.2">
      <c r="A15" s="88"/>
      <c r="B15" s="88"/>
      <c r="C15" s="88"/>
      <c r="M15" s="550"/>
      <c r="N15" s="550"/>
    </row>
    <row r="16" spans="1:23" x14ac:dyDescent="0.2">
      <c r="A16" s="88"/>
      <c r="B16" s="88"/>
      <c r="C16" s="88"/>
      <c r="M16" s="550"/>
      <c r="N16" s="550"/>
    </row>
    <row r="17" spans="1:21" x14ac:dyDescent="0.2">
      <c r="A17" s="88"/>
      <c r="B17" s="88"/>
      <c r="C17" s="88"/>
      <c r="M17" s="550"/>
      <c r="N17" s="550"/>
    </row>
    <row r="18" spans="1:21" x14ac:dyDescent="0.2">
      <c r="A18" s="88"/>
      <c r="B18" s="88"/>
      <c r="C18" s="88"/>
      <c r="M18" s="550"/>
      <c r="N18" s="550"/>
    </row>
    <row r="19" spans="1:21" x14ac:dyDescent="0.2">
      <c r="A19" s="88"/>
      <c r="B19" s="88"/>
      <c r="C19" s="88"/>
      <c r="M19" s="550"/>
      <c r="N19" s="550"/>
    </row>
    <row r="20" spans="1:21" x14ac:dyDescent="0.2">
      <c r="A20" s="88"/>
      <c r="B20" s="88"/>
      <c r="C20" s="88"/>
      <c r="M20" s="550"/>
      <c r="N20" s="550"/>
    </row>
    <row r="21" spans="1:21" x14ac:dyDescent="0.2">
      <c r="A21" s="88"/>
      <c r="B21" s="88"/>
      <c r="C21" s="88"/>
      <c r="M21" s="550"/>
      <c r="N21" s="550"/>
    </row>
    <row r="22" spans="1:21" x14ac:dyDescent="0.2">
      <c r="A22" s="88"/>
      <c r="B22" s="88"/>
      <c r="C22" s="88"/>
      <c r="M22" s="550"/>
      <c r="N22" s="550"/>
    </row>
    <row r="23" spans="1:21" x14ac:dyDescent="0.2">
      <c r="A23" s="88"/>
      <c r="B23" s="88"/>
      <c r="C23" s="88"/>
    </row>
    <row r="24" spans="1:21" x14ac:dyDescent="0.2">
      <c r="A24" s="88"/>
      <c r="B24" s="88"/>
      <c r="C24" s="88"/>
    </row>
    <row r="25" spans="1:21" x14ac:dyDescent="0.2">
      <c r="A25" s="88"/>
      <c r="B25" s="88"/>
      <c r="C25" s="88"/>
    </row>
    <row r="26" spans="1:21" x14ac:dyDescent="0.2">
      <c r="A26" s="88"/>
      <c r="B26" s="88"/>
      <c r="C26" s="88"/>
    </row>
    <row r="27" spans="1:21" x14ac:dyDescent="0.2">
      <c r="A27" s="88"/>
      <c r="B27" s="88"/>
      <c r="C27" s="88"/>
    </row>
    <row r="28" spans="1:21" x14ac:dyDescent="0.2">
      <c r="A28" s="88"/>
      <c r="B28" s="88"/>
      <c r="C28" s="88"/>
    </row>
    <row r="29" spans="1:21" x14ac:dyDescent="0.2">
      <c r="A29" s="88"/>
      <c r="B29" s="88"/>
      <c r="C29" s="88"/>
    </row>
    <row r="30" spans="1:21" x14ac:dyDescent="0.2">
      <c r="A30" s="88"/>
      <c r="B30" s="88"/>
      <c r="C30" s="88"/>
    </row>
    <row r="31" spans="1:21" ht="12.75" x14ac:dyDescent="0.2">
      <c r="T31" s="3742"/>
    </row>
    <row r="32" spans="1:21" s="510" customFormat="1" ht="13.35" customHeight="1" x14ac:dyDescent="0.2">
      <c r="A32" s="509">
        <v>6</v>
      </c>
      <c r="B32" s="509" t="s">
        <v>52</v>
      </c>
      <c r="C32" s="509"/>
      <c r="D32" s="3783" t="s">
        <v>2076</v>
      </c>
      <c r="E32" s="3742"/>
      <c r="F32" s="3742"/>
      <c r="G32" s="3742"/>
      <c r="H32" s="3742"/>
      <c r="I32" s="3742"/>
      <c r="J32" s="3742"/>
      <c r="K32" s="3742"/>
      <c r="L32" s="3742"/>
      <c r="M32" s="3742"/>
      <c r="N32" s="3742"/>
      <c r="O32" s="3742"/>
      <c r="P32" s="3742"/>
      <c r="Q32" s="3742"/>
      <c r="R32" s="3742"/>
      <c r="S32" s="3742"/>
      <c r="T32" s="3742"/>
      <c r="U32" s="3743"/>
    </row>
    <row r="33" spans="1:21" s="510" customFormat="1" ht="17.100000000000001" customHeight="1" x14ac:dyDescent="0.2">
      <c r="A33" s="546">
        <v>7</v>
      </c>
      <c r="B33" s="546" t="s">
        <v>54</v>
      </c>
      <c r="C33" s="546"/>
      <c r="D33" s="3783" t="s">
        <v>2077</v>
      </c>
      <c r="E33" s="3742"/>
      <c r="F33" s="3742"/>
      <c r="G33" s="3742"/>
      <c r="H33" s="3742"/>
      <c r="I33" s="3742"/>
      <c r="J33" s="3742"/>
      <c r="K33" s="3742"/>
      <c r="L33" s="3742"/>
      <c r="M33" s="3742"/>
      <c r="N33" s="3742"/>
      <c r="O33" s="3742"/>
      <c r="P33" s="3742"/>
      <c r="Q33" s="3742"/>
      <c r="R33" s="3742"/>
      <c r="S33" s="3742"/>
      <c r="T33" s="3742"/>
      <c r="U33" s="3743"/>
    </row>
    <row r="34" spans="1:21" s="510" customFormat="1" ht="13.35" customHeight="1" x14ac:dyDescent="0.2">
      <c r="A34" s="509">
        <v>8</v>
      </c>
      <c r="B34" s="509" t="s">
        <v>56</v>
      </c>
      <c r="C34" s="509"/>
      <c r="D34" s="3783" t="s">
        <v>2078</v>
      </c>
      <c r="E34" s="3742"/>
      <c r="F34" s="3742"/>
      <c r="G34" s="3742"/>
      <c r="H34" s="3742"/>
      <c r="I34" s="3742"/>
      <c r="J34" s="3742"/>
      <c r="K34" s="3742"/>
      <c r="L34" s="3742"/>
      <c r="M34" s="3742"/>
      <c r="N34" s="3742"/>
      <c r="O34" s="3742"/>
      <c r="P34" s="3742"/>
      <c r="Q34" s="3742"/>
      <c r="R34" s="3742"/>
      <c r="S34" s="3742"/>
      <c r="T34" s="3742"/>
      <c r="U34" s="3743"/>
    </row>
    <row r="35" spans="1:21" s="510" customFormat="1" ht="39.6" customHeight="1" x14ac:dyDescent="0.2">
      <c r="A35" s="546">
        <v>9</v>
      </c>
      <c r="B35" s="509" t="s">
        <v>58</v>
      </c>
      <c r="C35" s="509"/>
      <c r="D35" s="3783" t="s">
        <v>2079</v>
      </c>
      <c r="E35" s="3742"/>
      <c r="F35" s="3742"/>
      <c r="G35" s="3742"/>
      <c r="H35" s="3742"/>
      <c r="I35" s="3742"/>
      <c r="J35" s="3742"/>
      <c r="K35" s="3742"/>
      <c r="L35" s="3742"/>
      <c r="M35" s="3742"/>
      <c r="N35" s="3742"/>
      <c r="O35" s="3742"/>
      <c r="P35" s="3742"/>
      <c r="Q35" s="3742"/>
      <c r="R35" s="3742"/>
      <c r="S35" s="3742"/>
      <c r="T35" s="88"/>
      <c r="U35" s="3743"/>
    </row>
  </sheetData>
  <mergeCells count="3">
    <mergeCell ref="D2:U2"/>
    <mergeCell ref="D3:U3"/>
    <mergeCell ref="D4:U4"/>
  </mergeCells>
  <pageMargins left="0.74803149606299213" right="0.74803149606299213" top="0.98425196850393704" bottom="0.98425196850393704" header="0.51181102362204722" footer="0.51181102362204722"/>
  <pageSetup paperSize="9" scale="66"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D459A-641F-4A09-A379-75AF44A2C85C}">
  <sheetPr>
    <tabColor rgb="FFFFC000"/>
    <pageSetUpPr fitToPage="1"/>
  </sheetPr>
  <dimension ref="A1:AG62"/>
  <sheetViews>
    <sheetView showGridLines="0" view="pageBreakPreview" zoomScaleNormal="100" zoomScaleSheetLayoutView="100" workbookViewId="0">
      <selection activeCell="AC48" sqref="AC48"/>
    </sheetView>
  </sheetViews>
  <sheetFormatPr defaultColWidth="9.140625" defaultRowHeight="15" x14ac:dyDescent="0.25"/>
  <cols>
    <col min="1" max="1" width="3.85546875" style="69" customWidth="1"/>
    <col min="2" max="2" width="14.42578125" style="66" customWidth="1"/>
    <col min="3" max="3" width="3.85546875" style="67" customWidth="1"/>
    <col min="4" max="4" width="9.42578125" style="4" customWidth="1"/>
    <col min="5" max="5" width="6.85546875" style="4" customWidth="1"/>
    <col min="6" max="25" width="8.140625" style="4" customWidth="1"/>
    <col min="26" max="26" width="7" style="4" customWidth="1"/>
    <col min="27" max="27" width="7.140625" style="4" customWidth="1"/>
    <col min="28" max="28" width="7.42578125" style="4" customWidth="1"/>
    <col min="29" max="31" width="8.140625" style="4" customWidth="1"/>
    <col min="32" max="32" width="7.85546875" style="4" customWidth="1"/>
    <col min="33" max="16384" width="9.140625" style="4"/>
  </cols>
  <sheetData>
    <row r="1" spans="1:33" x14ac:dyDescent="0.25">
      <c r="A1" s="65"/>
      <c r="D1" s="68"/>
      <c r="E1" s="68"/>
      <c r="F1" s="68"/>
      <c r="G1" s="68"/>
      <c r="H1" s="68"/>
      <c r="I1" s="68"/>
      <c r="J1" s="68"/>
      <c r="K1" s="68"/>
      <c r="L1" s="68"/>
      <c r="M1" s="68"/>
      <c r="N1" s="68"/>
      <c r="O1" s="68"/>
      <c r="P1" s="68"/>
      <c r="Q1" s="68"/>
      <c r="R1" s="68"/>
      <c r="S1" s="68"/>
      <c r="T1" s="68"/>
      <c r="U1" s="68"/>
      <c r="V1" s="68"/>
      <c r="W1" s="68"/>
    </row>
    <row r="2" spans="1:33" ht="12.75" customHeight="1" x14ac:dyDescent="0.25">
      <c r="A2" s="69">
        <v>1</v>
      </c>
      <c r="B2" s="70" t="s">
        <v>0</v>
      </c>
      <c r="C2" s="69">
        <v>9</v>
      </c>
      <c r="D2" s="4674" t="s">
        <v>373</v>
      </c>
      <c r="E2" s="4675"/>
      <c r="F2" s="4675"/>
      <c r="G2" s="4675"/>
      <c r="H2" s="4675"/>
      <c r="I2" s="4675"/>
      <c r="J2" s="4675"/>
      <c r="K2" s="4675"/>
      <c r="L2" s="4675"/>
      <c r="M2" s="4675"/>
      <c r="N2" s="4675"/>
      <c r="O2" s="4675"/>
      <c r="P2" s="4675"/>
      <c r="Q2" s="4675"/>
      <c r="R2" s="4675"/>
      <c r="S2" s="4675"/>
      <c r="T2" s="4675"/>
      <c r="U2" s="4675"/>
      <c r="V2" s="4675"/>
      <c r="W2" s="4675"/>
      <c r="X2" s="4675"/>
      <c r="Y2" s="4675"/>
      <c r="Z2" s="4675"/>
      <c r="AA2" s="4675"/>
      <c r="AB2" s="4675"/>
      <c r="AC2" s="4676"/>
      <c r="AD2" s="180"/>
      <c r="AE2" s="180"/>
    </row>
    <row r="3" spans="1:33" ht="12.75" customHeight="1" x14ac:dyDescent="0.25">
      <c r="A3" s="69">
        <v>2</v>
      </c>
      <c r="B3" s="70" t="s">
        <v>2</v>
      </c>
      <c r="C3" s="69"/>
      <c r="D3" s="4677" t="s">
        <v>374</v>
      </c>
      <c r="E3" s="4678"/>
      <c r="F3" s="4678"/>
      <c r="G3" s="4678"/>
      <c r="H3" s="4678"/>
      <c r="I3" s="4678"/>
      <c r="J3" s="4678"/>
      <c r="K3" s="4678"/>
      <c r="L3" s="4678"/>
      <c r="M3" s="4678"/>
      <c r="N3" s="4678"/>
      <c r="O3" s="4678"/>
      <c r="P3" s="4678"/>
      <c r="Q3" s="4678"/>
      <c r="R3" s="4678"/>
      <c r="S3" s="4678"/>
      <c r="T3" s="4678"/>
      <c r="U3" s="4678"/>
      <c r="V3" s="4678"/>
      <c r="W3" s="4678"/>
      <c r="X3" s="4678"/>
      <c r="Y3" s="4678"/>
      <c r="Z3" s="4678"/>
      <c r="AA3" s="4678"/>
      <c r="AB3" s="4678"/>
      <c r="AC3" s="4679"/>
      <c r="AD3" s="867"/>
      <c r="AE3" s="867"/>
    </row>
    <row r="4" spans="1:33" ht="12.75" customHeight="1" x14ac:dyDescent="0.25">
      <c r="A4" s="69">
        <v>3</v>
      </c>
      <c r="B4" s="70" t="s">
        <v>4</v>
      </c>
      <c r="C4" s="69"/>
      <c r="D4" s="4674" t="s">
        <v>375</v>
      </c>
      <c r="E4" s="4675"/>
      <c r="F4" s="4675"/>
      <c r="G4" s="4675"/>
      <c r="H4" s="4675"/>
      <c r="I4" s="4675"/>
      <c r="J4" s="4675"/>
      <c r="K4" s="4675"/>
      <c r="L4" s="4675"/>
      <c r="M4" s="4675"/>
      <c r="N4" s="4675"/>
      <c r="O4" s="4675"/>
      <c r="P4" s="4675"/>
      <c r="Q4" s="4675"/>
      <c r="R4" s="4675"/>
      <c r="S4" s="4675"/>
      <c r="T4" s="4675"/>
      <c r="U4" s="4675"/>
      <c r="V4" s="4675"/>
      <c r="W4" s="4675"/>
      <c r="X4" s="4675"/>
      <c r="Y4" s="4675"/>
      <c r="Z4" s="4675"/>
      <c r="AA4" s="4675"/>
      <c r="AB4" s="4675"/>
      <c r="AC4" s="4676"/>
      <c r="AD4" s="180"/>
      <c r="AE4" s="180"/>
    </row>
    <row r="5" spans="1:33" ht="11.25" customHeight="1" x14ac:dyDescent="0.25">
      <c r="B5" s="70"/>
      <c r="C5" s="69"/>
      <c r="D5" s="4682"/>
      <c r="E5" s="4682"/>
      <c r="F5" s="4682"/>
      <c r="G5" s="4682"/>
      <c r="H5" s="4682"/>
      <c r="I5" s="4682"/>
      <c r="J5" s="4682"/>
      <c r="K5" s="4682"/>
      <c r="L5" s="4682"/>
      <c r="M5" s="4682"/>
      <c r="N5" s="4682"/>
      <c r="O5" s="4682"/>
      <c r="P5" s="4682"/>
      <c r="Q5" s="4682"/>
      <c r="R5" s="4682"/>
      <c r="S5" s="4682"/>
      <c r="T5" s="4682"/>
      <c r="U5" s="4682"/>
      <c r="V5" s="4682"/>
      <c r="W5" s="4682"/>
      <c r="X5" s="4682"/>
      <c r="Y5" s="4682"/>
      <c r="Z5" s="4682"/>
      <c r="AA5" s="4682"/>
      <c r="AB5" s="4682"/>
    </row>
    <row r="6" spans="1:33" x14ac:dyDescent="0.25">
      <c r="A6" s="69">
        <v>4</v>
      </c>
      <c r="B6" s="70" t="s">
        <v>6</v>
      </c>
      <c r="D6" s="72" t="s">
        <v>7</v>
      </c>
      <c r="E6" s="72"/>
      <c r="F6" s="72" t="str">
        <f>D2</f>
        <v>Net Foreign Direct Investment (Net FDI)</v>
      </c>
      <c r="G6" s="72"/>
      <c r="H6" s="72"/>
      <c r="I6" s="72"/>
      <c r="J6" s="72"/>
      <c r="K6" s="72"/>
      <c r="L6" s="72"/>
      <c r="M6" s="72"/>
      <c r="N6" s="95"/>
      <c r="O6" s="95"/>
      <c r="P6" s="95"/>
      <c r="Q6" s="95"/>
      <c r="R6" s="95"/>
      <c r="S6" s="95"/>
      <c r="T6" s="95"/>
      <c r="U6" s="88"/>
      <c r="V6" s="88"/>
      <c r="W6" s="88"/>
    </row>
    <row r="7" spans="1:33" s="101" customFormat="1" x14ac:dyDescent="0.25">
      <c r="A7" s="96"/>
      <c r="B7" s="97"/>
      <c r="C7" s="98"/>
      <c r="D7" s="99" t="s">
        <v>376</v>
      </c>
      <c r="E7" s="100" t="s">
        <v>318</v>
      </c>
      <c r="F7" s="100" t="s">
        <v>319</v>
      </c>
      <c r="G7" s="100" t="s">
        <v>320</v>
      </c>
      <c r="H7" s="100" t="s">
        <v>321</v>
      </c>
      <c r="I7" s="100" t="s">
        <v>322</v>
      </c>
      <c r="J7" s="100" t="s">
        <v>323</v>
      </c>
      <c r="K7" s="100" t="s">
        <v>324</v>
      </c>
      <c r="L7" s="100" t="s">
        <v>325</v>
      </c>
      <c r="M7" s="100" t="s">
        <v>326</v>
      </c>
      <c r="N7" s="100" t="s">
        <v>327</v>
      </c>
      <c r="O7" s="100" t="s">
        <v>328</v>
      </c>
      <c r="P7" s="100" t="s">
        <v>329</v>
      </c>
      <c r="Q7" s="2801" t="s">
        <v>330</v>
      </c>
      <c r="R7" s="2801" t="s">
        <v>331</v>
      </c>
      <c r="S7" s="2801" t="s">
        <v>332</v>
      </c>
      <c r="T7" s="2801" t="s">
        <v>333</v>
      </c>
      <c r="U7" s="2801" t="s">
        <v>334</v>
      </c>
      <c r="V7" s="2801" t="s">
        <v>335</v>
      </c>
      <c r="W7" s="2801" t="s">
        <v>336</v>
      </c>
      <c r="X7" s="2801" t="s">
        <v>337</v>
      </c>
      <c r="Y7" s="2801" t="s">
        <v>338</v>
      </c>
      <c r="Z7" s="2801" t="s">
        <v>339</v>
      </c>
      <c r="AA7" s="2801" t="s">
        <v>340</v>
      </c>
      <c r="AB7" s="2801" t="s">
        <v>341</v>
      </c>
      <c r="AC7" s="2801" t="s">
        <v>342</v>
      </c>
      <c r="AD7" s="2801" t="s">
        <v>343</v>
      </c>
      <c r="AE7" s="2801" t="s">
        <v>344</v>
      </c>
      <c r="AF7" s="3374" t="s">
        <v>345</v>
      </c>
      <c r="AG7" s="3374" t="s">
        <v>2173</v>
      </c>
    </row>
    <row r="8" spans="1:33" x14ac:dyDescent="0.25">
      <c r="D8" s="82" t="s">
        <v>377</v>
      </c>
      <c r="E8" s="102">
        <v>-3.04</v>
      </c>
      <c r="F8" s="102">
        <v>-4.5570000000000004</v>
      </c>
      <c r="G8" s="102">
        <v>-0.97</v>
      </c>
      <c r="H8" s="102">
        <v>6.7560000000000002</v>
      </c>
      <c r="I8" s="102">
        <v>-6.7370000000000001</v>
      </c>
      <c r="J8" s="102">
        <v>-0.47499999999999998</v>
      </c>
      <c r="K8" s="102">
        <v>4.28</v>
      </c>
      <c r="L8" s="103">
        <v>85.763000000000005</v>
      </c>
      <c r="M8" s="103">
        <v>20.734999999999999</v>
      </c>
      <c r="N8" s="103">
        <v>1.2749999999999999</v>
      </c>
      <c r="O8" s="103">
        <v>-3.5659999999999998</v>
      </c>
      <c r="P8" s="103">
        <v>36.353999999999999</v>
      </c>
      <c r="Q8" s="104">
        <v>-38.948999999999998</v>
      </c>
      <c r="R8" s="104">
        <v>25.167000000000002</v>
      </c>
      <c r="S8" s="104">
        <v>101.967</v>
      </c>
      <c r="T8" s="105">
        <v>53.813000000000002</v>
      </c>
      <c r="U8" s="106">
        <v>27.170999999999999</v>
      </c>
      <c r="V8" s="104">
        <v>32.673000000000002</v>
      </c>
      <c r="W8" s="104">
        <v>12.9</v>
      </c>
      <c r="X8" s="104">
        <v>15.942</v>
      </c>
      <c r="Y8" s="104">
        <v>-20.606999999999999</v>
      </c>
      <c r="Z8" s="104">
        <v>-51.216999999999999</v>
      </c>
      <c r="AA8" s="104">
        <v>-32.942</v>
      </c>
      <c r="AB8" s="104">
        <v>-71.453000000000003</v>
      </c>
      <c r="AC8" s="104">
        <v>18.18</v>
      </c>
      <c r="AD8" s="104">
        <v>28.58</v>
      </c>
      <c r="AE8" s="104">
        <v>82.51</v>
      </c>
      <c r="AF8" s="107">
        <v>603.99</v>
      </c>
      <c r="AG8" s="107">
        <v>144.9</v>
      </c>
    </row>
    <row r="9" spans="1:33" ht="17.100000000000001" customHeight="1" x14ac:dyDescent="0.25">
      <c r="D9" s="87"/>
      <c r="E9" s="87"/>
      <c r="F9" s="108"/>
      <c r="G9" s="108"/>
      <c r="H9" s="108"/>
      <c r="I9" s="108"/>
      <c r="J9" s="108"/>
      <c r="K9" s="108"/>
      <c r="L9" s="108"/>
      <c r="M9" s="108"/>
      <c r="N9" s="108"/>
      <c r="O9" s="108"/>
      <c r="P9" s="108"/>
      <c r="Q9" s="108"/>
      <c r="R9" s="109"/>
      <c r="S9" s="109"/>
      <c r="T9" s="68"/>
      <c r="U9" s="68"/>
      <c r="V9" s="68"/>
      <c r="W9" s="68"/>
      <c r="X9" s="68"/>
      <c r="Y9" s="68"/>
      <c r="Z9" s="68"/>
      <c r="AA9" s="68"/>
      <c r="AB9" s="68"/>
      <c r="AC9" s="68"/>
      <c r="AD9" s="68"/>
      <c r="AE9" s="68"/>
    </row>
    <row r="10" spans="1:33" x14ac:dyDescent="0.25">
      <c r="A10" s="69">
        <v>5</v>
      </c>
      <c r="B10" s="70" t="s">
        <v>51</v>
      </c>
      <c r="C10" s="69"/>
      <c r="D10" s="68"/>
      <c r="E10" s="68"/>
      <c r="F10" s="88"/>
      <c r="G10" s="88"/>
      <c r="H10" s="88"/>
      <c r="I10" s="88"/>
      <c r="J10" s="88"/>
      <c r="K10" s="88"/>
      <c r="L10" s="88"/>
      <c r="M10" s="88"/>
      <c r="N10" s="88"/>
      <c r="O10" s="88"/>
      <c r="P10" s="88"/>
      <c r="Q10" s="88"/>
      <c r="R10" s="88"/>
      <c r="S10" s="88"/>
      <c r="T10" s="68"/>
      <c r="U10" s="68"/>
      <c r="V10" s="68"/>
      <c r="W10" s="68"/>
      <c r="Z10" s="110"/>
      <c r="AA10" s="111"/>
      <c r="AB10" s="111"/>
      <c r="AC10" s="112"/>
      <c r="AD10" s="112"/>
      <c r="AE10" s="112"/>
    </row>
    <row r="11" spans="1:33" x14ac:dyDescent="0.25">
      <c r="D11" s="68"/>
      <c r="E11" s="68"/>
      <c r="F11" s="88"/>
      <c r="G11" s="88"/>
      <c r="H11" s="88"/>
      <c r="I11" s="88"/>
      <c r="J11" s="88"/>
      <c r="K11" s="88"/>
      <c r="L11" s="88"/>
      <c r="M11" s="88"/>
      <c r="N11" s="88"/>
      <c r="O11" s="88"/>
      <c r="P11" s="88"/>
      <c r="Q11" s="88"/>
      <c r="R11" s="88"/>
      <c r="S11" s="88"/>
      <c r="T11" s="68"/>
      <c r="U11" s="68"/>
      <c r="V11" s="68"/>
      <c r="W11" s="68"/>
      <c r="Z11" s="110"/>
      <c r="AA11" s="111"/>
      <c r="AB11" s="111"/>
      <c r="AC11" s="112"/>
      <c r="AD11" s="112"/>
      <c r="AE11" s="112"/>
      <c r="AF11" s="113"/>
    </row>
    <row r="12" spans="1:33" x14ac:dyDescent="0.25">
      <c r="D12" s="68"/>
      <c r="E12" s="68"/>
      <c r="F12" s="88"/>
      <c r="G12" s="88"/>
      <c r="H12" s="88"/>
      <c r="I12" s="88"/>
      <c r="J12" s="88"/>
      <c r="K12" s="88"/>
      <c r="L12" s="88"/>
      <c r="M12" s="88"/>
      <c r="N12" s="88"/>
      <c r="O12" s="88"/>
      <c r="P12" s="88"/>
      <c r="Q12" s="88"/>
      <c r="R12" s="88"/>
      <c r="S12" s="88"/>
      <c r="T12" s="68"/>
      <c r="U12" s="68"/>
      <c r="V12" s="68"/>
      <c r="W12" s="68"/>
      <c r="Z12" s="110"/>
      <c r="AA12" s="111"/>
      <c r="AB12" s="111"/>
      <c r="AC12" s="114"/>
      <c r="AD12" s="114"/>
      <c r="AE12" s="114"/>
    </row>
    <row r="13" spans="1:33" x14ac:dyDescent="0.25">
      <c r="D13" s="68"/>
      <c r="E13" s="68"/>
      <c r="F13" s="88"/>
      <c r="G13" s="88"/>
      <c r="H13" s="88"/>
      <c r="I13" s="88"/>
      <c r="J13" s="88"/>
      <c r="K13" s="88"/>
      <c r="L13" s="88"/>
      <c r="M13" s="88"/>
      <c r="N13" s="88"/>
      <c r="O13" s="88"/>
      <c r="P13" s="88"/>
      <c r="Q13" s="88"/>
      <c r="R13" s="88"/>
      <c r="S13" s="88"/>
      <c r="T13" s="68"/>
      <c r="U13" s="68"/>
      <c r="V13" s="68"/>
      <c r="W13" s="68"/>
      <c r="Z13" s="110"/>
      <c r="AA13" s="111"/>
      <c r="AB13" s="111"/>
      <c r="AC13" s="112"/>
      <c r="AD13" s="112"/>
      <c r="AE13" s="112"/>
    </row>
    <row r="14" spans="1:33" x14ac:dyDescent="0.25">
      <c r="D14" s="68"/>
      <c r="E14" s="68"/>
      <c r="F14" s="88"/>
      <c r="G14" s="88"/>
      <c r="H14" s="88"/>
      <c r="I14" s="88"/>
      <c r="J14" s="88"/>
      <c r="K14" s="88"/>
      <c r="L14" s="88"/>
      <c r="M14" s="89"/>
      <c r="N14" s="88"/>
      <c r="O14" s="88"/>
      <c r="P14" s="88"/>
      <c r="Q14" s="88"/>
      <c r="R14" s="68"/>
      <c r="S14" s="68"/>
      <c r="T14" s="68"/>
      <c r="U14" s="68"/>
      <c r="V14" s="68"/>
      <c r="W14" s="68"/>
      <c r="Z14" s="110"/>
      <c r="AA14" s="111"/>
      <c r="AB14" s="111"/>
      <c r="AC14" s="112"/>
      <c r="AD14" s="112"/>
      <c r="AE14" s="112"/>
    </row>
    <row r="15" spans="1:33" x14ac:dyDescent="0.25">
      <c r="D15" s="68"/>
      <c r="E15" s="68"/>
      <c r="F15" s="88"/>
      <c r="G15" s="88"/>
      <c r="H15" s="88"/>
      <c r="I15" s="88"/>
      <c r="J15" s="88"/>
      <c r="K15" s="88"/>
      <c r="L15" s="88"/>
      <c r="M15" s="89" t="s">
        <v>378</v>
      </c>
      <c r="N15" s="88"/>
      <c r="O15" s="88"/>
      <c r="P15" s="88"/>
      <c r="Q15" s="88"/>
      <c r="R15" s="68"/>
      <c r="S15" s="68"/>
      <c r="T15" s="68"/>
      <c r="U15" s="68"/>
      <c r="V15" s="68"/>
      <c r="W15" s="68"/>
      <c r="Z15" s="110"/>
      <c r="AA15" s="111"/>
      <c r="AB15" s="111"/>
      <c r="AC15" s="112"/>
      <c r="AD15" s="112"/>
      <c r="AE15" s="112"/>
    </row>
    <row r="16" spans="1:33" x14ac:dyDescent="0.25">
      <c r="D16" s="68"/>
      <c r="E16" s="68"/>
      <c r="F16" s="88"/>
      <c r="G16" s="88"/>
      <c r="H16" s="88"/>
      <c r="I16" s="88"/>
      <c r="J16" s="88"/>
      <c r="K16" s="88"/>
      <c r="L16" s="88"/>
      <c r="M16" s="88"/>
      <c r="N16" s="88"/>
      <c r="O16" s="88"/>
      <c r="P16" s="88"/>
      <c r="Q16" s="88"/>
      <c r="R16" s="68"/>
      <c r="S16" s="68"/>
      <c r="T16" s="68"/>
      <c r="U16" s="68"/>
      <c r="V16" s="68"/>
      <c r="W16" s="68"/>
      <c r="Z16" s="110"/>
      <c r="AA16" s="111"/>
      <c r="AB16" s="111"/>
      <c r="AC16" s="112"/>
      <c r="AD16" s="112"/>
      <c r="AE16" s="112"/>
    </row>
    <row r="17" spans="1:31" x14ac:dyDescent="0.25">
      <c r="D17" s="68"/>
      <c r="E17" s="68"/>
      <c r="F17" s="88"/>
      <c r="G17" s="88"/>
      <c r="H17" s="88"/>
      <c r="I17" s="88"/>
      <c r="J17" s="88"/>
      <c r="K17" s="88"/>
      <c r="L17" s="88"/>
      <c r="M17" s="88"/>
      <c r="N17" s="88"/>
      <c r="O17" s="88"/>
      <c r="P17" s="88"/>
      <c r="Q17" s="88"/>
      <c r="R17" s="68"/>
      <c r="S17" s="68"/>
      <c r="T17" s="68"/>
      <c r="U17" s="68"/>
      <c r="V17" s="68"/>
      <c r="W17" s="68"/>
      <c r="Z17" s="110"/>
      <c r="AA17" s="111"/>
      <c r="AB17" s="111"/>
      <c r="AC17" s="112"/>
      <c r="AD17" s="112"/>
      <c r="AE17" s="112"/>
    </row>
    <row r="18" spans="1:31" x14ac:dyDescent="0.25">
      <c r="D18" s="68"/>
      <c r="E18" s="68"/>
      <c r="F18" s="88"/>
      <c r="G18" s="88"/>
      <c r="H18" s="88"/>
      <c r="I18" s="88"/>
      <c r="J18" s="88"/>
      <c r="K18" s="88"/>
      <c r="L18" s="88"/>
      <c r="M18" s="89" t="s">
        <v>379</v>
      </c>
      <c r="N18" s="88"/>
      <c r="O18" s="88"/>
      <c r="P18" s="88"/>
      <c r="Q18" s="88"/>
      <c r="R18" s="68"/>
      <c r="S18" s="68"/>
      <c r="T18" s="68"/>
      <c r="U18" s="68"/>
      <c r="V18" s="68"/>
      <c r="W18" s="68"/>
      <c r="Z18" s="115"/>
      <c r="AA18" s="111"/>
      <c r="AB18" s="111"/>
      <c r="AC18" s="112"/>
      <c r="AD18" s="112"/>
      <c r="AE18" s="112"/>
    </row>
    <row r="19" spans="1:31" x14ac:dyDescent="0.25">
      <c r="D19" s="68"/>
      <c r="E19" s="68"/>
      <c r="F19" s="88"/>
      <c r="G19" s="88"/>
      <c r="H19" s="88"/>
      <c r="I19" s="88"/>
      <c r="J19" s="88"/>
      <c r="K19" s="88"/>
      <c r="L19" s="88"/>
      <c r="M19" s="88"/>
      <c r="N19" s="88"/>
      <c r="O19" s="88"/>
      <c r="P19" s="88"/>
      <c r="Q19" s="88"/>
      <c r="R19" s="88"/>
      <c r="S19" s="88"/>
      <c r="T19" s="68"/>
      <c r="U19" s="68"/>
      <c r="V19" s="68"/>
      <c r="W19" s="68"/>
      <c r="AA19" s="111"/>
      <c r="AB19" s="111"/>
      <c r="AC19" s="112"/>
      <c r="AD19" s="112"/>
      <c r="AE19" s="112"/>
    </row>
    <row r="20" spans="1:31" x14ac:dyDescent="0.25">
      <c r="D20" s="68"/>
      <c r="E20" s="68"/>
      <c r="F20" s="68"/>
      <c r="G20" s="68"/>
      <c r="H20" s="68"/>
      <c r="I20" s="68"/>
      <c r="J20" s="68"/>
      <c r="K20" s="68"/>
      <c r="L20" s="68"/>
      <c r="M20" s="68"/>
      <c r="N20" s="68"/>
      <c r="O20" s="68"/>
      <c r="P20" s="68"/>
      <c r="Q20" s="68"/>
      <c r="R20" s="68"/>
      <c r="S20" s="68"/>
      <c r="T20" s="68"/>
      <c r="U20" s="68"/>
      <c r="V20" s="68"/>
      <c r="W20" s="68"/>
      <c r="AA20" s="111"/>
      <c r="AB20" s="111"/>
      <c r="AC20" s="112"/>
      <c r="AD20" s="112"/>
      <c r="AE20" s="112"/>
    </row>
    <row r="21" spans="1:31" x14ac:dyDescent="0.25">
      <c r="D21" s="68"/>
      <c r="E21" s="68"/>
      <c r="F21" s="68"/>
      <c r="G21" s="68"/>
      <c r="H21" s="68"/>
      <c r="I21" s="68"/>
      <c r="J21" s="68"/>
      <c r="K21" s="68"/>
      <c r="L21" s="68"/>
      <c r="M21" s="68"/>
      <c r="N21" s="68"/>
      <c r="O21" s="68"/>
      <c r="P21" s="68"/>
      <c r="Q21" s="68"/>
      <c r="R21" s="68"/>
      <c r="S21" s="68"/>
      <c r="T21" s="68"/>
      <c r="U21" s="68"/>
      <c r="V21" s="68"/>
      <c r="W21" s="68"/>
      <c r="AA21" s="111"/>
      <c r="AB21" s="111"/>
      <c r="AC21" s="112"/>
      <c r="AD21" s="112"/>
      <c r="AE21" s="112"/>
    </row>
    <row r="22" spans="1:31" x14ac:dyDescent="0.25">
      <c r="D22" s="68"/>
      <c r="E22" s="68"/>
      <c r="F22" s="68"/>
      <c r="G22" s="68"/>
      <c r="H22" s="68"/>
      <c r="I22" s="68"/>
      <c r="J22" s="68"/>
      <c r="K22" s="68"/>
      <c r="L22" s="68"/>
      <c r="M22" s="68"/>
      <c r="N22" s="68"/>
      <c r="O22" s="68"/>
      <c r="P22" s="68"/>
      <c r="Q22" s="68"/>
      <c r="R22" s="68"/>
      <c r="S22" s="68"/>
      <c r="T22" s="68"/>
      <c r="U22" s="68"/>
      <c r="V22" s="68"/>
      <c r="W22" s="68"/>
      <c r="AA22" s="111"/>
      <c r="AB22" s="111"/>
      <c r="AC22" s="112"/>
      <c r="AD22" s="112"/>
      <c r="AE22" s="112"/>
    </row>
    <row r="23" spans="1:31" x14ac:dyDescent="0.25">
      <c r="D23" s="68"/>
      <c r="E23" s="68"/>
      <c r="F23" s="68"/>
      <c r="G23" s="68"/>
      <c r="H23" s="68"/>
      <c r="I23" s="68"/>
      <c r="J23" s="68"/>
      <c r="K23" s="68"/>
      <c r="L23" s="68"/>
      <c r="M23" s="68"/>
      <c r="N23" s="68"/>
      <c r="O23" s="68"/>
      <c r="P23" s="68"/>
      <c r="Q23" s="68"/>
      <c r="R23" s="68"/>
      <c r="S23" s="68"/>
      <c r="T23" s="68"/>
      <c r="U23" s="68"/>
      <c r="V23" s="68"/>
      <c r="W23" s="68"/>
      <c r="AA23" s="111"/>
      <c r="AB23" s="111"/>
      <c r="AC23" s="112"/>
      <c r="AD23" s="112"/>
      <c r="AE23" s="112"/>
    </row>
    <row r="24" spans="1:31" x14ac:dyDescent="0.25">
      <c r="D24" s="68"/>
      <c r="E24" s="68"/>
      <c r="F24" s="68"/>
      <c r="G24" s="68"/>
      <c r="H24" s="68"/>
      <c r="I24" s="68"/>
      <c r="J24" s="68"/>
      <c r="K24" s="68"/>
      <c r="L24" s="68"/>
      <c r="M24" s="68"/>
      <c r="N24" s="68"/>
      <c r="O24" s="68"/>
      <c r="P24" s="68"/>
      <c r="Q24" s="68"/>
      <c r="R24" s="68"/>
      <c r="S24" s="68"/>
      <c r="T24" s="68"/>
      <c r="U24" s="68"/>
      <c r="V24" s="68"/>
      <c r="W24" s="68"/>
      <c r="AA24" s="111"/>
      <c r="AB24" s="111"/>
      <c r="AC24" s="112"/>
      <c r="AD24" s="112"/>
      <c r="AE24" s="112"/>
    </row>
    <row r="25" spans="1:31" x14ac:dyDescent="0.25">
      <c r="D25" s="68"/>
      <c r="E25" s="68"/>
      <c r="F25" s="68"/>
      <c r="G25" s="68"/>
      <c r="H25" s="68"/>
      <c r="I25" s="68"/>
      <c r="J25" s="68"/>
      <c r="K25" s="68"/>
      <c r="L25" s="68"/>
      <c r="M25" s="68"/>
      <c r="N25" s="68"/>
      <c r="O25" s="68"/>
      <c r="P25" s="68"/>
      <c r="Q25" s="68"/>
      <c r="R25" s="68"/>
      <c r="S25" s="68"/>
      <c r="T25" s="68"/>
      <c r="U25" s="68"/>
      <c r="V25" s="68"/>
      <c r="W25" s="68"/>
      <c r="AA25" s="111"/>
      <c r="AB25" s="111"/>
      <c r="AC25" s="112"/>
      <c r="AD25" s="112"/>
      <c r="AE25" s="112"/>
    </row>
    <row r="26" spans="1:31" x14ac:dyDescent="0.25">
      <c r="D26" s="68"/>
      <c r="E26" s="68"/>
      <c r="F26" s="68"/>
      <c r="G26" s="68"/>
      <c r="H26" s="68"/>
      <c r="I26" s="68"/>
      <c r="J26" s="68"/>
      <c r="K26" s="68"/>
      <c r="L26" s="68"/>
      <c r="M26" s="68"/>
      <c r="N26" s="68"/>
      <c r="O26" s="68"/>
      <c r="P26" s="68"/>
      <c r="Q26" s="68"/>
      <c r="R26" s="68"/>
      <c r="S26" s="68"/>
      <c r="T26" s="68"/>
      <c r="U26" s="68"/>
      <c r="V26" s="68"/>
      <c r="W26" s="68"/>
      <c r="AA26" s="111"/>
      <c r="AB26" s="111"/>
      <c r="AC26" s="112"/>
      <c r="AD26" s="112"/>
      <c r="AE26" s="112"/>
    </row>
    <row r="27" spans="1:31" x14ac:dyDescent="0.25">
      <c r="D27" s="68"/>
      <c r="E27" s="68"/>
      <c r="F27" s="68"/>
      <c r="G27" s="68"/>
      <c r="H27" s="68"/>
      <c r="I27" s="68"/>
      <c r="J27" s="68"/>
      <c r="K27" s="68"/>
      <c r="L27" s="68"/>
      <c r="M27" s="68"/>
      <c r="N27" s="68"/>
      <c r="O27" s="68"/>
      <c r="P27" s="68"/>
      <c r="Q27" s="68"/>
      <c r="R27" s="68"/>
      <c r="S27" s="68"/>
      <c r="T27" s="68"/>
      <c r="U27" s="68"/>
      <c r="V27" s="68"/>
      <c r="W27" s="68"/>
      <c r="AA27" s="111"/>
      <c r="AB27" s="111"/>
      <c r="AC27" s="112"/>
      <c r="AD27" s="112"/>
      <c r="AE27" s="112"/>
    </row>
    <row r="28" spans="1:31" x14ac:dyDescent="0.25">
      <c r="D28" s="68"/>
      <c r="E28" s="68"/>
      <c r="F28" s="68"/>
      <c r="G28" s="68"/>
      <c r="H28" s="68"/>
      <c r="I28" s="68"/>
      <c r="J28" s="68"/>
      <c r="K28" s="68"/>
      <c r="L28" s="68"/>
      <c r="M28" s="68"/>
      <c r="N28" s="68"/>
      <c r="O28" s="68"/>
      <c r="P28" s="68"/>
      <c r="Q28" s="68"/>
      <c r="R28" s="68"/>
      <c r="S28" s="68"/>
      <c r="T28" s="68"/>
      <c r="U28" s="68"/>
      <c r="V28" s="68"/>
      <c r="W28" s="68"/>
      <c r="AA28" s="111"/>
      <c r="AB28" s="111"/>
      <c r="AC28" s="112"/>
      <c r="AD28" s="112"/>
      <c r="AE28" s="112"/>
    </row>
    <row r="29" spans="1:31" ht="12" customHeight="1" x14ac:dyDescent="0.25">
      <c r="D29" s="68"/>
      <c r="E29" s="68"/>
      <c r="F29" s="68"/>
      <c r="G29" s="68"/>
      <c r="H29" s="68"/>
      <c r="I29" s="68"/>
      <c r="J29" s="68"/>
      <c r="K29" s="68"/>
      <c r="L29" s="68"/>
      <c r="M29" s="68"/>
      <c r="N29" s="68"/>
      <c r="O29" s="68"/>
      <c r="P29" s="68"/>
      <c r="Q29" s="68"/>
      <c r="R29" s="68"/>
      <c r="S29" s="68"/>
      <c r="T29" s="68"/>
      <c r="U29" s="68"/>
      <c r="V29" s="68"/>
      <c r="W29" s="68"/>
      <c r="AA29" s="111"/>
      <c r="AB29" s="111"/>
      <c r="AC29" s="112"/>
      <c r="AD29" s="112"/>
      <c r="AE29" s="112"/>
    </row>
    <row r="30" spans="1:31" ht="12.75" customHeight="1" x14ac:dyDescent="0.25">
      <c r="A30" s="69">
        <v>6</v>
      </c>
      <c r="B30" s="70" t="s">
        <v>52</v>
      </c>
      <c r="C30" s="69"/>
      <c r="D30" s="4674" t="s">
        <v>380</v>
      </c>
      <c r="E30" s="4675"/>
      <c r="F30" s="4675"/>
      <c r="G30" s="4675"/>
      <c r="H30" s="4675"/>
      <c r="I30" s="4675"/>
      <c r="J30" s="4675"/>
      <c r="K30" s="4675"/>
      <c r="L30" s="4675"/>
      <c r="M30" s="4675"/>
      <c r="N30" s="4675"/>
      <c r="O30" s="4675"/>
      <c r="P30" s="4675"/>
      <c r="Q30" s="4675"/>
      <c r="R30" s="4675"/>
      <c r="S30" s="4675"/>
      <c r="T30" s="4675"/>
      <c r="U30" s="4675"/>
      <c r="V30" s="4675"/>
      <c r="W30" s="4675"/>
      <c r="X30" s="4675"/>
      <c r="Y30" s="4675"/>
      <c r="Z30" s="4675"/>
      <c r="AA30" s="4675"/>
      <c r="AB30" s="4675"/>
      <c r="AC30" s="4676"/>
      <c r="AD30" s="180"/>
      <c r="AE30" s="180"/>
    </row>
    <row r="31" spans="1:31" ht="15" customHeight="1" x14ac:dyDescent="0.25">
      <c r="A31" s="90">
        <v>7</v>
      </c>
      <c r="B31" s="91" t="s">
        <v>54</v>
      </c>
      <c r="C31" s="90"/>
      <c r="D31" s="4674" t="s">
        <v>381</v>
      </c>
      <c r="E31" s="4675"/>
      <c r="F31" s="4675"/>
      <c r="G31" s="4675"/>
      <c r="H31" s="4675"/>
      <c r="I31" s="4675"/>
      <c r="J31" s="4675"/>
      <c r="K31" s="4675"/>
      <c r="L31" s="4675"/>
      <c r="M31" s="4675"/>
      <c r="N31" s="4675"/>
      <c r="O31" s="4675"/>
      <c r="P31" s="4675"/>
      <c r="Q31" s="4675"/>
      <c r="R31" s="4675"/>
      <c r="S31" s="4675"/>
      <c r="T31" s="4675"/>
      <c r="U31" s="4675"/>
      <c r="V31" s="4675"/>
      <c r="W31" s="4675"/>
      <c r="X31" s="4675"/>
      <c r="Y31" s="4675"/>
      <c r="Z31" s="4675"/>
      <c r="AA31" s="4675"/>
      <c r="AB31" s="4675"/>
      <c r="AC31" s="4676"/>
      <c r="AD31" s="180"/>
      <c r="AE31" s="180"/>
    </row>
    <row r="32" spans="1:31" ht="12.75" customHeight="1" x14ac:dyDescent="0.25">
      <c r="A32" s="69">
        <v>8</v>
      </c>
      <c r="B32" s="70" t="s">
        <v>56</v>
      </c>
      <c r="C32" s="69"/>
      <c r="D32" s="4674" t="s">
        <v>370</v>
      </c>
      <c r="E32" s="4675"/>
      <c r="F32" s="4675"/>
      <c r="G32" s="4675"/>
      <c r="H32" s="4675"/>
      <c r="I32" s="4675"/>
      <c r="J32" s="4675"/>
      <c r="K32" s="4675"/>
      <c r="L32" s="4675"/>
      <c r="M32" s="4675"/>
      <c r="N32" s="4675"/>
      <c r="O32" s="4675"/>
      <c r="P32" s="4675"/>
      <c r="Q32" s="4675"/>
      <c r="R32" s="4675"/>
      <c r="S32" s="4675"/>
      <c r="T32" s="4675"/>
      <c r="U32" s="4675"/>
      <c r="V32" s="4675"/>
      <c r="W32" s="4675"/>
      <c r="X32" s="4675"/>
      <c r="Y32" s="4675"/>
      <c r="Z32" s="4675"/>
      <c r="AA32" s="4675"/>
      <c r="AB32" s="4675"/>
      <c r="AC32" s="4676"/>
      <c r="AD32" s="180"/>
      <c r="AE32" s="180"/>
    </row>
    <row r="33" spans="1:31" ht="12.75" customHeight="1" x14ac:dyDescent="0.25">
      <c r="A33" s="69">
        <v>9</v>
      </c>
      <c r="B33" s="70" t="s">
        <v>355</v>
      </c>
      <c r="C33" s="69"/>
      <c r="D33" s="4674" t="s">
        <v>382</v>
      </c>
      <c r="E33" s="4675"/>
      <c r="F33" s="4675"/>
      <c r="G33" s="4675"/>
      <c r="H33" s="4675"/>
      <c r="I33" s="4675"/>
      <c r="J33" s="4675"/>
      <c r="K33" s="4675"/>
      <c r="L33" s="4675"/>
      <c r="M33" s="4675"/>
      <c r="N33" s="4675"/>
      <c r="O33" s="4675"/>
      <c r="P33" s="4675"/>
      <c r="Q33" s="4675"/>
      <c r="R33" s="4675"/>
      <c r="S33" s="4675"/>
      <c r="T33" s="4675"/>
      <c r="U33" s="4675"/>
      <c r="V33" s="4675"/>
      <c r="W33" s="4675"/>
      <c r="X33" s="4675"/>
      <c r="Y33" s="4675"/>
      <c r="Z33" s="4675"/>
      <c r="AA33" s="4675"/>
      <c r="AB33" s="4675"/>
      <c r="AC33" s="4676"/>
      <c r="AD33" s="180"/>
      <c r="AE33" s="180"/>
    </row>
    <row r="35" spans="1:31" x14ac:dyDescent="0.25">
      <c r="A35" s="116"/>
      <c r="F35" s="117"/>
      <c r="G35" s="117"/>
      <c r="H35" s="117"/>
      <c r="I35" s="117"/>
      <c r="J35" s="117"/>
      <c r="K35" s="117"/>
      <c r="L35" s="117"/>
      <c r="M35" s="117"/>
      <c r="N35" s="117"/>
      <c r="O35" s="117"/>
      <c r="P35" s="117"/>
      <c r="Q35" s="117"/>
      <c r="R35" s="118"/>
      <c r="S35" s="118"/>
      <c r="T35" s="118"/>
      <c r="U35" s="119"/>
      <c r="V35" s="120"/>
      <c r="W35" s="120"/>
      <c r="X35" s="121"/>
      <c r="Y35" s="121"/>
    </row>
    <row r="36" spans="1:31" x14ac:dyDescent="0.25">
      <c r="A36" s="116"/>
      <c r="E36" s="4">
        <v>1990</v>
      </c>
      <c r="F36" s="4">
        <v>1991</v>
      </c>
      <c r="G36" s="4">
        <v>1992</v>
      </c>
      <c r="H36" s="4">
        <v>1993</v>
      </c>
      <c r="I36" s="4">
        <v>1994</v>
      </c>
      <c r="J36" s="4">
        <v>1995</v>
      </c>
      <c r="K36" s="4">
        <v>1996</v>
      </c>
      <c r="L36" s="4">
        <v>1997</v>
      </c>
      <c r="M36" s="4">
        <v>1998</v>
      </c>
      <c r="N36" s="4">
        <v>1999</v>
      </c>
      <c r="O36" s="4">
        <v>2000</v>
      </c>
      <c r="P36" s="4">
        <v>2001</v>
      </c>
      <c r="Q36" s="4">
        <v>2002</v>
      </c>
      <c r="R36" s="4">
        <v>2003</v>
      </c>
      <c r="S36" s="4">
        <v>2004</v>
      </c>
      <c r="T36" s="4">
        <v>2005</v>
      </c>
      <c r="U36" s="4">
        <v>2006</v>
      </c>
      <c r="V36" s="4">
        <v>2007</v>
      </c>
      <c r="W36" s="4">
        <v>2008</v>
      </c>
      <c r="X36" s="4">
        <v>2009</v>
      </c>
      <c r="Y36" s="4">
        <v>2010</v>
      </c>
      <c r="Z36" s="4">
        <v>2011</v>
      </c>
      <c r="AA36" s="4">
        <v>2012</v>
      </c>
      <c r="AB36" s="34">
        <v>2013</v>
      </c>
      <c r="AC36" s="4">
        <v>2014</v>
      </c>
    </row>
    <row r="37" spans="1:31" x14ac:dyDescent="0.25">
      <c r="A37" s="116"/>
      <c r="E37" s="4">
        <v>-274</v>
      </c>
      <c r="F37" s="4">
        <v>111</v>
      </c>
      <c r="G37" s="4">
        <v>-5514</v>
      </c>
      <c r="H37" s="4">
        <v>-941</v>
      </c>
      <c r="I37" s="4">
        <v>-3040</v>
      </c>
      <c r="J37" s="4">
        <v>-4557</v>
      </c>
      <c r="K37" s="4">
        <v>-970</v>
      </c>
      <c r="L37" s="4">
        <v>6756</v>
      </c>
      <c r="M37" s="4">
        <v>-6737</v>
      </c>
      <c r="N37" s="4">
        <v>-475</v>
      </c>
      <c r="O37" s="4">
        <v>4280</v>
      </c>
      <c r="P37" s="4">
        <v>85763</v>
      </c>
      <c r="Q37" s="4">
        <v>20735</v>
      </c>
      <c r="R37" s="4">
        <v>1275</v>
      </c>
      <c r="S37" s="4">
        <v>-3566</v>
      </c>
      <c r="T37" s="4">
        <v>36354</v>
      </c>
      <c r="U37" s="4">
        <v>-38949</v>
      </c>
      <c r="V37" s="4">
        <v>25167</v>
      </c>
      <c r="W37" s="4">
        <v>101967</v>
      </c>
      <c r="X37" s="4">
        <v>53813</v>
      </c>
      <c r="Y37" s="4">
        <v>27171</v>
      </c>
      <c r="Z37" s="4">
        <v>32673</v>
      </c>
      <c r="AA37" s="4">
        <v>12900</v>
      </c>
      <c r="AB37" s="4">
        <v>15942</v>
      </c>
    </row>
    <row r="38" spans="1:31" x14ac:dyDescent="0.25">
      <c r="A38" s="116"/>
      <c r="E38" s="4">
        <f>+E37/1000</f>
        <v>-0.27400000000000002</v>
      </c>
      <c r="F38" s="4">
        <f t="shared" ref="F38:AB38" si="0">+F37/1000</f>
        <v>0.111</v>
      </c>
      <c r="G38" s="4">
        <f t="shared" si="0"/>
        <v>-5.5140000000000002</v>
      </c>
      <c r="H38" s="4">
        <f t="shared" si="0"/>
        <v>-0.94099999999999995</v>
      </c>
      <c r="I38" s="4">
        <f t="shared" si="0"/>
        <v>-3.04</v>
      </c>
      <c r="J38" s="4">
        <f t="shared" si="0"/>
        <v>-4.5570000000000004</v>
      </c>
      <c r="K38" s="4">
        <f t="shared" si="0"/>
        <v>-0.97</v>
      </c>
      <c r="L38" s="4">
        <f t="shared" si="0"/>
        <v>6.7560000000000002</v>
      </c>
      <c r="M38" s="4">
        <f t="shared" si="0"/>
        <v>-6.7370000000000001</v>
      </c>
      <c r="N38" s="4">
        <f t="shared" si="0"/>
        <v>-0.47499999999999998</v>
      </c>
      <c r="O38" s="4">
        <f t="shared" si="0"/>
        <v>4.28</v>
      </c>
      <c r="P38" s="4">
        <f>+P37/1000</f>
        <v>85.763000000000005</v>
      </c>
      <c r="Q38" s="4">
        <f t="shared" si="0"/>
        <v>20.734999999999999</v>
      </c>
      <c r="R38" s="4">
        <f t="shared" si="0"/>
        <v>1.2749999999999999</v>
      </c>
      <c r="S38" s="4">
        <f t="shared" si="0"/>
        <v>-3.5659999999999998</v>
      </c>
      <c r="T38" s="4">
        <f t="shared" si="0"/>
        <v>36.353999999999999</v>
      </c>
      <c r="U38" s="4">
        <f t="shared" si="0"/>
        <v>-38.948999999999998</v>
      </c>
      <c r="V38" s="4">
        <f t="shared" si="0"/>
        <v>25.167000000000002</v>
      </c>
      <c r="W38" s="4">
        <f t="shared" si="0"/>
        <v>101.967</v>
      </c>
      <c r="X38" s="4">
        <f t="shared" si="0"/>
        <v>53.813000000000002</v>
      </c>
      <c r="Y38" s="4">
        <f t="shared" si="0"/>
        <v>27.170999999999999</v>
      </c>
      <c r="Z38" s="4">
        <f t="shared" si="0"/>
        <v>32.673000000000002</v>
      </c>
      <c r="AA38" s="4">
        <f t="shared" si="0"/>
        <v>12.9</v>
      </c>
      <c r="AB38" s="4">
        <f t="shared" si="0"/>
        <v>15.942</v>
      </c>
    </row>
    <row r="39" spans="1:31" x14ac:dyDescent="0.25">
      <c r="A39" s="116"/>
      <c r="I39" s="122"/>
      <c r="J39" s="122"/>
      <c r="K39" s="122"/>
      <c r="L39" s="122"/>
      <c r="M39" s="122"/>
      <c r="N39" s="122"/>
      <c r="O39" s="122"/>
      <c r="P39" s="122"/>
      <c r="Q39" s="122"/>
      <c r="R39" s="122"/>
      <c r="S39" s="122"/>
      <c r="T39" s="122"/>
      <c r="U39" s="122"/>
      <c r="V39" s="122"/>
      <c r="W39" s="122"/>
      <c r="X39" s="122"/>
      <c r="Y39" s="122"/>
      <c r="Z39" s="122"/>
      <c r="AA39" s="122"/>
      <c r="AB39" s="122"/>
    </row>
    <row r="62" spans="29:29" x14ac:dyDescent="0.25">
      <c r="AC62" s="4" t="s">
        <v>358</v>
      </c>
    </row>
  </sheetData>
  <mergeCells count="8">
    <mergeCell ref="D32:AC32"/>
    <mergeCell ref="D33:AC33"/>
    <mergeCell ref="D2:AC2"/>
    <mergeCell ref="D3:AC3"/>
    <mergeCell ref="D4:AC4"/>
    <mergeCell ref="D5:AB5"/>
    <mergeCell ref="D30:AC30"/>
    <mergeCell ref="D31:AC31"/>
  </mergeCells>
  <pageMargins left="0.74803149606299202" right="0.74803149606299202" top="0.98425196850393704" bottom="0.98425196850393704" header="0.511811023622047" footer="0.511811023622047"/>
  <pageSetup paperSize="9" scale="47" orientation="landscape" r:id="rId1"/>
  <headerFooter alignWithMargins="0">
    <oddHeader>&amp;C&amp;"-,Bold"DEVELOPMENT INDICATORS 2017</oddHeader>
    <oddFooter>&amp;LDepartment of Planning, Monitoring and Evaluation (DPME). &amp;CPage &amp;P of &amp;N&amp;R&amp;D</oddFooter>
  </headerFooter>
  <drawing r:id="rId2"/>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5A967-8FE4-4C50-B0E2-5A9CFF13283D}">
  <sheetPr>
    <tabColor rgb="FFFFC000"/>
    <pageSetUpPr fitToPage="1"/>
  </sheetPr>
  <dimension ref="A1:Z58"/>
  <sheetViews>
    <sheetView showGridLines="0" view="pageBreakPreview" zoomScaleNormal="100" zoomScaleSheetLayoutView="100" workbookViewId="0">
      <pane xSplit="3" topLeftCell="D1" activePane="topRight" state="frozen"/>
      <selection activeCell="D44" sqref="D44"/>
      <selection pane="topRight" activeCell="J5" sqref="J5"/>
    </sheetView>
  </sheetViews>
  <sheetFormatPr defaultColWidth="9.140625" defaultRowHeight="11.25" x14ac:dyDescent="0.2"/>
  <cols>
    <col min="1" max="1" width="3.85546875" style="860" customWidth="1"/>
    <col min="2" max="2" width="9.85546875" style="836" customWidth="1"/>
    <col min="3" max="3" width="3.85546875" style="836" customWidth="1"/>
    <col min="4" max="4" width="39.42578125" style="88" customWidth="1"/>
    <col min="5" max="5" width="7.85546875" style="88" customWidth="1"/>
    <col min="6" max="11" width="8.85546875" style="413" customWidth="1"/>
    <col min="12" max="12" width="8.85546875" style="88" customWidth="1"/>
    <col min="13" max="13" width="11.42578125" style="88" customWidth="1"/>
    <col min="14" max="14" width="9.140625" style="88" customWidth="1"/>
    <col min="15" max="15" width="9.42578125" style="88" customWidth="1"/>
    <col min="16" max="16" width="11.85546875" style="88" customWidth="1"/>
    <col min="17" max="17" width="10.42578125" style="88" customWidth="1"/>
    <col min="18" max="18" width="8.85546875" style="88" bestFit="1" customWidth="1"/>
    <col min="19" max="20" width="10.140625" style="88" bestFit="1" customWidth="1"/>
    <col min="21" max="21" width="10" style="88" customWidth="1"/>
    <col min="22" max="22" width="10.85546875" style="88" customWidth="1"/>
    <col min="23" max="23" width="9.5703125" style="88" customWidth="1"/>
    <col min="24" max="24" width="9.140625" style="88" customWidth="1"/>
    <col min="25" max="25" width="9.140625" style="88"/>
    <col min="26" max="26" width="9.140625" style="88" customWidth="1"/>
    <col min="27" max="259" width="9.140625" style="88"/>
    <col min="260" max="260" width="3.85546875" style="88" customWidth="1"/>
    <col min="261" max="261" width="14.42578125" style="88" customWidth="1"/>
    <col min="262" max="262" width="3.85546875" style="88" customWidth="1"/>
    <col min="263" max="263" width="33.85546875" style="88" customWidth="1"/>
    <col min="264" max="264" width="4.140625" style="88" customWidth="1"/>
    <col min="265" max="271" width="8.85546875" style="88" customWidth="1"/>
    <col min="272" max="272" width="8.85546875" style="88" bestFit="1" customWidth="1"/>
    <col min="273" max="273" width="9.5703125" style="88" customWidth="1"/>
    <col min="274" max="278" width="7.85546875" style="88" bestFit="1" customWidth="1"/>
    <col min="279" max="279" width="1.85546875" style="88" bestFit="1" customWidth="1"/>
    <col min="280" max="515" width="9.140625" style="88"/>
    <col min="516" max="516" width="3.85546875" style="88" customWidth="1"/>
    <col min="517" max="517" width="14.42578125" style="88" customWidth="1"/>
    <col min="518" max="518" width="3.85546875" style="88" customWidth="1"/>
    <col min="519" max="519" width="33.85546875" style="88" customWidth="1"/>
    <col min="520" max="520" width="4.140625" style="88" customWidth="1"/>
    <col min="521" max="527" width="8.85546875" style="88" customWidth="1"/>
    <col min="528" max="528" width="8.85546875" style="88" bestFit="1" customWidth="1"/>
    <col min="529" max="529" width="9.5703125" style="88" customWidth="1"/>
    <col min="530" max="534" width="7.85546875" style="88" bestFit="1" customWidth="1"/>
    <col min="535" max="535" width="1.85546875" style="88" bestFit="1" customWidth="1"/>
    <col min="536" max="771" width="9.140625" style="88"/>
    <col min="772" max="772" width="3.85546875" style="88" customWidth="1"/>
    <col min="773" max="773" width="14.42578125" style="88" customWidth="1"/>
    <col min="774" max="774" width="3.85546875" style="88" customWidth="1"/>
    <col min="775" max="775" width="33.85546875" style="88" customWidth="1"/>
    <col min="776" max="776" width="4.140625" style="88" customWidth="1"/>
    <col min="777" max="783" width="8.85546875" style="88" customWidth="1"/>
    <col min="784" max="784" width="8.85546875" style="88" bestFit="1" customWidth="1"/>
    <col min="785" max="785" width="9.5703125" style="88" customWidth="1"/>
    <col min="786" max="790" width="7.85546875" style="88" bestFit="1" customWidth="1"/>
    <col min="791" max="791" width="1.85546875" style="88" bestFit="1" customWidth="1"/>
    <col min="792" max="1027" width="9.140625" style="88"/>
    <col min="1028" max="1028" width="3.85546875" style="88" customWidth="1"/>
    <col min="1029" max="1029" width="14.42578125" style="88" customWidth="1"/>
    <col min="1030" max="1030" width="3.85546875" style="88" customWidth="1"/>
    <col min="1031" max="1031" width="33.85546875" style="88" customWidth="1"/>
    <col min="1032" max="1032" width="4.140625" style="88" customWidth="1"/>
    <col min="1033" max="1039" width="8.85546875" style="88" customWidth="1"/>
    <col min="1040" max="1040" width="8.85546875" style="88" bestFit="1" customWidth="1"/>
    <col min="1041" max="1041" width="9.5703125" style="88" customWidth="1"/>
    <col min="1042" max="1046" width="7.85546875" style="88" bestFit="1" customWidth="1"/>
    <col min="1047" max="1047" width="1.85546875" style="88" bestFit="1" customWidth="1"/>
    <col min="1048" max="1283" width="9.140625" style="88"/>
    <col min="1284" max="1284" width="3.85546875" style="88" customWidth="1"/>
    <col min="1285" max="1285" width="14.42578125" style="88" customWidth="1"/>
    <col min="1286" max="1286" width="3.85546875" style="88" customWidth="1"/>
    <col min="1287" max="1287" width="33.85546875" style="88" customWidth="1"/>
    <col min="1288" max="1288" width="4.140625" style="88" customWidth="1"/>
    <col min="1289" max="1295" width="8.85546875" style="88" customWidth="1"/>
    <col min="1296" max="1296" width="8.85546875" style="88" bestFit="1" customWidth="1"/>
    <col min="1297" max="1297" width="9.5703125" style="88" customWidth="1"/>
    <col min="1298" max="1302" width="7.85546875" style="88" bestFit="1" customWidth="1"/>
    <col min="1303" max="1303" width="1.85546875" style="88" bestFit="1" customWidth="1"/>
    <col min="1304" max="1539" width="9.140625" style="88"/>
    <col min="1540" max="1540" width="3.85546875" style="88" customWidth="1"/>
    <col min="1541" max="1541" width="14.42578125" style="88" customWidth="1"/>
    <col min="1542" max="1542" width="3.85546875" style="88" customWidth="1"/>
    <col min="1543" max="1543" width="33.85546875" style="88" customWidth="1"/>
    <col min="1544" max="1544" width="4.140625" style="88" customWidth="1"/>
    <col min="1545" max="1551" width="8.85546875" style="88" customWidth="1"/>
    <col min="1552" max="1552" width="8.85546875" style="88" bestFit="1" customWidth="1"/>
    <col min="1553" max="1553" width="9.5703125" style="88" customWidth="1"/>
    <col min="1554" max="1558" width="7.85546875" style="88" bestFit="1" customWidth="1"/>
    <col min="1559" max="1559" width="1.85546875" style="88" bestFit="1" customWidth="1"/>
    <col min="1560" max="1795" width="9.140625" style="88"/>
    <col min="1796" max="1796" width="3.85546875" style="88" customWidth="1"/>
    <col min="1797" max="1797" width="14.42578125" style="88" customWidth="1"/>
    <col min="1798" max="1798" width="3.85546875" style="88" customWidth="1"/>
    <col min="1799" max="1799" width="33.85546875" style="88" customWidth="1"/>
    <col min="1800" max="1800" width="4.140625" style="88" customWidth="1"/>
    <col min="1801" max="1807" width="8.85546875" style="88" customWidth="1"/>
    <col min="1808" max="1808" width="8.85546875" style="88" bestFit="1" customWidth="1"/>
    <col min="1809" max="1809" width="9.5703125" style="88" customWidth="1"/>
    <col min="1810" max="1814" width="7.85546875" style="88" bestFit="1" customWidth="1"/>
    <col min="1815" max="1815" width="1.85546875" style="88" bestFit="1" customWidth="1"/>
    <col min="1816" max="2051" width="9.140625" style="88"/>
    <col min="2052" max="2052" width="3.85546875" style="88" customWidth="1"/>
    <col min="2053" max="2053" width="14.42578125" style="88" customWidth="1"/>
    <col min="2054" max="2054" width="3.85546875" style="88" customWidth="1"/>
    <col min="2055" max="2055" width="33.85546875" style="88" customWidth="1"/>
    <col min="2056" max="2056" width="4.140625" style="88" customWidth="1"/>
    <col min="2057" max="2063" width="8.85546875" style="88" customWidth="1"/>
    <col min="2064" max="2064" width="8.85546875" style="88" bestFit="1" customWidth="1"/>
    <col min="2065" max="2065" width="9.5703125" style="88" customWidth="1"/>
    <col min="2066" max="2070" width="7.85546875" style="88" bestFit="1" customWidth="1"/>
    <col min="2071" max="2071" width="1.85546875" style="88" bestFit="1" customWidth="1"/>
    <col min="2072" max="2307" width="9.140625" style="88"/>
    <col min="2308" max="2308" width="3.85546875" style="88" customWidth="1"/>
    <col min="2309" max="2309" width="14.42578125" style="88" customWidth="1"/>
    <col min="2310" max="2310" width="3.85546875" style="88" customWidth="1"/>
    <col min="2311" max="2311" width="33.85546875" style="88" customWidth="1"/>
    <col min="2312" max="2312" width="4.140625" style="88" customWidth="1"/>
    <col min="2313" max="2319" width="8.85546875" style="88" customWidth="1"/>
    <col min="2320" max="2320" width="8.85546875" style="88" bestFit="1" customWidth="1"/>
    <col min="2321" max="2321" width="9.5703125" style="88" customWidth="1"/>
    <col min="2322" max="2326" width="7.85546875" style="88" bestFit="1" customWidth="1"/>
    <col min="2327" max="2327" width="1.85546875" style="88" bestFit="1" customWidth="1"/>
    <col min="2328" max="2563" width="9.140625" style="88"/>
    <col min="2564" max="2564" width="3.85546875" style="88" customWidth="1"/>
    <col min="2565" max="2565" width="14.42578125" style="88" customWidth="1"/>
    <col min="2566" max="2566" width="3.85546875" style="88" customWidth="1"/>
    <col min="2567" max="2567" width="33.85546875" style="88" customWidth="1"/>
    <col min="2568" max="2568" width="4.140625" style="88" customWidth="1"/>
    <col min="2569" max="2575" width="8.85546875" style="88" customWidth="1"/>
    <col min="2576" max="2576" width="8.85546875" style="88" bestFit="1" customWidth="1"/>
    <col min="2577" max="2577" width="9.5703125" style="88" customWidth="1"/>
    <col min="2578" max="2582" width="7.85546875" style="88" bestFit="1" customWidth="1"/>
    <col min="2583" max="2583" width="1.85546875" style="88" bestFit="1" customWidth="1"/>
    <col min="2584" max="2819" width="9.140625" style="88"/>
    <col min="2820" max="2820" width="3.85546875" style="88" customWidth="1"/>
    <col min="2821" max="2821" width="14.42578125" style="88" customWidth="1"/>
    <col min="2822" max="2822" width="3.85546875" style="88" customWidth="1"/>
    <col min="2823" max="2823" width="33.85546875" style="88" customWidth="1"/>
    <col min="2824" max="2824" width="4.140625" style="88" customWidth="1"/>
    <col min="2825" max="2831" width="8.85546875" style="88" customWidth="1"/>
    <col min="2832" max="2832" width="8.85546875" style="88" bestFit="1" customWidth="1"/>
    <col min="2833" max="2833" width="9.5703125" style="88" customWidth="1"/>
    <col min="2834" max="2838" width="7.85546875" style="88" bestFit="1" customWidth="1"/>
    <col min="2839" max="2839" width="1.85546875" style="88" bestFit="1" customWidth="1"/>
    <col min="2840" max="3075" width="9.140625" style="88"/>
    <col min="3076" max="3076" width="3.85546875" style="88" customWidth="1"/>
    <col min="3077" max="3077" width="14.42578125" style="88" customWidth="1"/>
    <col min="3078" max="3078" width="3.85546875" style="88" customWidth="1"/>
    <col min="3079" max="3079" width="33.85546875" style="88" customWidth="1"/>
    <col min="3080" max="3080" width="4.140625" style="88" customWidth="1"/>
    <col min="3081" max="3087" width="8.85546875" style="88" customWidth="1"/>
    <col min="3088" max="3088" width="8.85546875" style="88" bestFit="1" customWidth="1"/>
    <col min="3089" max="3089" width="9.5703125" style="88" customWidth="1"/>
    <col min="3090" max="3094" width="7.85546875" style="88" bestFit="1" customWidth="1"/>
    <col min="3095" max="3095" width="1.85546875" style="88" bestFit="1" customWidth="1"/>
    <col min="3096" max="3331" width="9.140625" style="88"/>
    <col min="3332" max="3332" width="3.85546875" style="88" customWidth="1"/>
    <col min="3333" max="3333" width="14.42578125" style="88" customWidth="1"/>
    <col min="3334" max="3334" width="3.85546875" style="88" customWidth="1"/>
    <col min="3335" max="3335" width="33.85546875" style="88" customWidth="1"/>
    <col min="3336" max="3336" width="4.140625" style="88" customWidth="1"/>
    <col min="3337" max="3343" width="8.85546875" style="88" customWidth="1"/>
    <col min="3344" max="3344" width="8.85546875" style="88" bestFit="1" customWidth="1"/>
    <col min="3345" max="3345" width="9.5703125" style="88" customWidth="1"/>
    <col min="3346" max="3350" width="7.85546875" style="88" bestFit="1" customWidth="1"/>
    <col min="3351" max="3351" width="1.85546875" style="88" bestFit="1" customWidth="1"/>
    <col min="3352" max="3587" width="9.140625" style="88"/>
    <col min="3588" max="3588" width="3.85546875" style="88" customWidth="1"/>
    <col min="3589" max="3589" width="14.42578125" style="88" customWidth="1"/>
    <col min="3590" max="3590" width="3.85546875" style="88" customWidth="1"/>
    <col min="3591" max="3591" width="33.85546875" style="88" customWidth="1"/>
    <col min="3592" max="3592" width="4.140625" style="88" customWidth="1"/>
    <col min="3593" max="3599" width="8.85546875" style="88" customWidth="1"/>
    <col min="3600" max="3600" width="8.85546875" style="88" bestFit="1" customWidth="1"/>
    <col min="3601" max="3601" width="9.5703125" style="88" customWidth="1"/>
    <col min="3602" max="3606" width="7.85546875" style="88" bestFit="1" customWidth="1"/>
    <col min="3607" max="3607" width="1.85546875" style="88" bestFit="1" customWidth="1"/>
    <col min="3608" max="3843" width="9.140625" style="88"/>
    <col min="3844" max="3844" width="3.85546875" style="88" customWidth="1"/>
    <col min="3845" max="3845" width="14.42578125" style="88" customWidth="1"/>
    <col min="3846" max="3846" width="3.85546875" style="88" customWidth="1"/>
    <col min="3847" max="3847" width="33.85546875" style="88" customWidth="1"/>
    <col min="3848" max="3848" width="4.140625" style="88" customWidth="1"/>
    <col min="3849" max="3855" width="8.85546875" style="88" customWidth="1"/>
    <col min="3856" max="3856" width="8.85546875" style="88" bestFit="1" customWidth="1"/>
    <col min="3857" max="3857" width="9.5703125" style="88" customWidth="1"/>
    <col min="3858" max="3862" width="7.85546875" style="88" bestFit="1" customWidth="1"/>
    <col min="3863" max="3863" width="1.85546875" style="88" bestFit="1" customWidth="1"/>
    <col min="3864" max="4099" width="9.140625" style="88"/>
    <col min="4100" max="4100" width="3.85546875" style="88" customWidth="1"/>
    <col min="4101" max="4101" width="14.42578125" style="88" customWidth="1"/>
    <col min="4102" max="4102" width="3.85546875" style="88" customWidth="1"/>
    <col min="4103" max="4103" width="33.85546875" style="88" customWidth="1"/>
    <col min="4104" max="4104" width="4.140625" style="88" customWidth="1"/>
    <col min="4105" max="4111" width="8.85546875" style="88" customWidth="1"/>
    <col min="4112" max="4112" width="8.85546875" style="88" bestFit="1" customWidth="1"/>
    <col min="4113" max="4113" width="9.5703125" style="88" customWidth="1"/>
    <col min="4114" max="4118" width="7.85546875" style="88" bestFit="1" customWidth="1"/>
    <col min="4119" max="4119" width="1.85546875" style="88" bestFit="1" customWidth="1"/>
    <col min="4120" max="4355" width="9.140625" style="88"/>
    <col min="4356" max="4356" width="3.85546875" style="88" customWidth="1"/>
    <col min="4357" max="4357" width="14.42578125" style="88" customWidth="1"/>
    <col min="4358" max="4358" width="3.85546875" style="88" customWidth="1"/>
    <col min="4359" max="4359" width="33.85546875" style="88" customWidth="1"/>
    <col min="4360" max="4360" width="4.140625" style="88" customWidth="1"/>
    <col min="4361" max="4367" width="8.85546875" style="88" customWidth="1"/>
    <col min="4368" max="4368" width="8.85546875" style="88" bestFit="1" customWidth="1"/>
    <col min="4369" max="4369" width="9.5703125" style="88" customWidth="1"/>
    <col min="4370" max="4374" width="7.85546875" style="88" bestFit="1" customWidth="1"/>
    <col min="4375" max="4375" width="1.85546875" style="88" bestFit="1" customWidth="1"/>
    <col min="4376" max="4611" width="9.140625" style="88"/>
    <col min="4612" max="4612" width="3.85546875" style="88" customWidth="1"/>
    <col min="4613" max="4613" width="14.42578125" style="88" customWidth="1"/>
    <col min="4614" max="4614" width="3.85546875" style="88" customWidth="1"/>
    <col min="4615" max="4615" width="33.85546875" style="88" customWidth="1"/>
    <col min="4616" max="4616" width="4.140625" style="88" customWidth="1"/>
    <col min="4617" max="4623" width="8.85546875" style="88" customWidth="1"/>
    <col min="4624" max="4624" width="8.85546875" style="88" bestFit="1" customWidth="1"/>
    <col min="4625" max="4625" width="9.5703125" style="88" customWidth="1"/>
    <col min="4626" max="4630" width="7.85546875" style="88" bestFit="1" customWidth="1"/>
    <col min="4631" max="4631" width="1.85546875" style="88" bestFit="1" customWidth="1"/>
    <col min="4632" max="4867" width="9.140625" style="88"/>
    <col min="4868" max="4868" width="3.85546875" style="88" customWidth="1"/>
    <col min="4869" max="4869" width="14.42578125" style="88" customWidth="1"/>
    <col min="4870" max="4870" width="3.85546875" style="88" customWidth="1"/>
    <col min="4871" max="4871" width="33.85546875" style="88" customWidth="1"/>
    <col min="4872" max="4872" width="4.140625" style="88" customWidth="1"/>
    <col min="4873" max="4879" width="8.85546875" style="88" customWidth="1"/>
    <col min="4880" max="4880" width="8.85546875" style="88" bestFit="1" customWidth="1"/>
    <col min="4881" max="4881" width="9.5703125" style="88" customWidth="1"/>
    <col min="4882" max="4886" width="7.85546875" style="88" bestFit="1" customWidth="1"/>
    <col min="4887" max="4887" width="1.85546875" style="88" bestFit="1" customWidth="1"/>
    <col min="4888" max="5123" width="9.140625" style="88"/>
    <col min="5124" max="5124" width="3.85546875" style="88" customWidth="1"/>
    <col min="5125" max="5125" width="14.42578125" style="88" customWidth="1"/>
    <col min="5126" max="5126" width="3.85546875" style="88" customWidth="1"/>
    <col min="5127" max="5127" width="33.85546875" style="88" customWidth="1"/>
    <col min="5128" max="5128" width="4.140625" style="88" customWidth="1"/>
    <col min="5129" max="5135" width="8.85546875" style="88" customWidth="1"/>
    <col min="5136" max="5136" width="8.85546875" style="88" bestFit="1" customWidth="1"/>
    <col min="5137" max="5137" width="9.5703125" style="88" customWidth="1"/>
    <col min="5138" max="5142" width="7.85546875" style="88" bestFit="1" customWidth="1"/>
    <col min="5143" max="5143" width="1.85546875" style="88" bestFit="1" customWidth="1"/>
    <col min="5144" max="5379" width="9.140625" style="88"/>
    <col min="5380" max="5380" width="3.85546875" style="88" customWidth="1"/>
    <col min="5381" max="5381" width="14.42578125" style="88" customWidth="1"/>
    <col min="5382" max="5382" width="3.85546875" style="88" customWidth="1"/>
    <col min="5383" max="5383" width="33.85546875" style="88" customWidth="1"/>
    <col min="5384" max="5384" width="4.140625" style="88" customWidth="1"/>
    <col min="5385" max="5391" width="8.85546875" style="88" customWidth="1"/>
    <col min="5392" max="5392" width="8.85546875" style="88" bestFit="1" customWidth="1"/>
    <col min="5393" max="5393" width="9.5703125" style="88" customWidth="1"/>
    <col min="5394" max="5398" width="7.85546875" style="88" bestFit="1" customWidth="1"/>
    <col min="5399" max="5399" width="1.85546875" style="88" bestFit="1" customWidth="1"/>
    <col min="5400" max="5635" width="9.140625" style="88"/>
    <col min="5636" max="5636" width="3.85546875" style="88" customWidth="1"/>
    <col min="5637" max="5637" width="14.42578125" style="88" customWidth="1"/>
    <col min="5638" max="5638" width="3.85546875" style="88" customWidth="1"/>
    <col min="5639" max="5639" width="33.85546875" style="88" customWidth="1"/>
    <col min="5640" max="5640" width="4.140625" style="88" customWidth="1"/>
    <col min="5641" max="5647" width="8.85546875" style="88" customWidth="1"/>
    <col min="5648" max="5648" width="8.85546875" style="88" bestFit="1" customWidth="1"/>
    <col min="5649" max="5649" width="9.5703125" style="88" customWidth="1"/>
    <col min="5650" max="5654" width="7.85546875" style="88" bestFit="1" customWidth="1"/>
    <col min="5655" max="5655" width="1.85546875" style="88" bestFit="1" customWidth="1"/>
    <col min="5656" max="5891" width="9.140625" style="88"/>
    <col min="5892" max="5892" width="3.85546875" style="88" customWidth="1"/>
    <col min="5893" max="5893" width="14.42578125" style="88" customWidth="1"/>
    <col min="5894" max="5894" width="3.85546875" style="88" customWidth="1"/>
    <col min="5895" max="5895" width="33.85546875" style="88" customWidth="1"/>
    <col min="5896" max="5896" width="4.140625" style="88" customWidth="1"/>
    <col min="5897" max="5903" width="8.85546875" style="88" customWidth="1"/>
    <col min="5904" max="5904" width="8.85546875" style="88" bestFit="1" customWidth="1"/>
    <col min="5905" max="5905" width="9.5703125" style="88" customWidth="1"/>
    <col min="5906" max="5910" width="7.85546875" style="88" bestFit="1" customWidth="1"/>
    <col min="5911" max="5911" width="1.85546875" style="88" bestFit="1" customWidth="1"/>
    <col min="5912" max="6147" width="9.140625" style="88"/>
    <col min="6148" max="6148" width="3.85546875" style="88" customWidth="1"/>
    <col min="6149" max="6149" width="14.42578125" style="88" customWidth="1"/>
    <col min="6150" max="6150" width="3.85546875" style="88" customWidth="1"/>
    <col min="6151" max="6151" width="33.85546875" style="88" customWidth="1"/>
    <col min="6152" max="6152" width="4.140625" style="88" customWidth="1"/>
    <col min="6153" max="6159" width="8.85546875" style="88" customWidth="1"/>
    <col min="6160" max="6160" width="8.85546875" style="88" bestFit="1" customWidth="1"/>
    <col min="6161" max="6161" width="9.5703125" style="88" customWidth="1"/>
    <col min="6162" max="6166" width="7.85546875" style="88" bestFit="1" customWidth="1"/>
    <col min="6167" max="6167" width="1.85546875" style="88" bestFit="1" customWidth="1"/>
    <col min="6168" max="6403" width="9.140625" style="88"/>
    <col min="6404" max="6404" width="3.85546875" style="88" customWidth="1"/>
    <col min="6405" max="6405" width="14.42578125" style="88" customWidth="1"/>
    <col min="6406" max="6406" width="3.85546875" style="88" customWidth="1"/>
    <col min="6407" max="6407" width="33.85546875" style="88" customWidth="1"/>
    <col min="6408" max="6408" width="4.140625" style="88" customWidth="1"/>
    <col min="6409" max="6415" width="8.85546875" style="88" customWidth="1"/>
    <col min="6416" max="6416" width="8.85546875" style="88" bestFit="1" customWidth="1"/>
    <col min="6417" max="6417" width="9.5703125" style="88" customWidth="1"/>
    <col min="6418" max="6422" width="7.85546875" style="88" bestFit="1" customWidth="1"/>
    <col min="6423" max="6423" width="1.85546875" style="88" bestFit="1" customWidth="1"/>
    <col min="6424" max="6659" width="9.140625" style="88"/>
    <col min="6660" max="6660" width="3.85546875" style="88" customWidth="1"/>
    <col min="6661" max="6661" width="14.42578125" style="88" customWidth="1"/>
    <col min="6662" max="6662" width="3.85546875" style="88" customWidth="1"/>
    <col min="6663" max="6663" width="33.85546875" style="88" customWidth="1"/>
    <col min="6664" max="6664" width="4.140625" style="88" customWidth="1"/>
    <col min="6665" max="6671" width="8.85546875" style="88" customWidth="1"/>
    <col min="6672" max="6672" width="8.85546875" style="88" bestFit="1" customWidth="1"/>
    <col min="6673" max="6673" width="9.5703125" style="88" customWidth="1"/>
    <col min="6674" max="6678" width="7.85546875" style="88" bestFit="1" customWidth="1"/>
    <col min="6679" max="6679" width="1.85546875" style="88" bestFit="1" customWidth="1"/>
    <col min="6680" max="6915" width="9.140625" style="88"/>
    <col min="6916" max="6916" width="3.85546875" style="88" customWidth="1"/>
    <col min="6917" max="6917" width="14.42578125" style="88" customWidth="1"/>
    <col min="6918" max="6918" width="3.85546875" style="88" customWidth="1"/>
    <col min="6919" max="6919" width="33.85546875" style="88" customWidth="1"/>
    <col min="6920" max="6920" width="4.140625" style="88" customWidth="1"/>
    <col min="6921" max="6927" width="8.85546875" style="88" customWidth="1"/>
    <col min="6928" max="6928" width="8.85546875" style="88" bestFit="1" customWidth="1"/>
    <col min="6929" max="6929" width="9.5703125" style="88" customWidth="1"/>
    <col min="6930" max="6934" width="7.85546875" style="88" bestFit="1" customWidth="1"/>
    <col min="6935" max="6935" width="1.85546875" style="88" bestFit="1" customWidth="1"/>
    <col min="6936" max="7171" width="9.140625" style="88"/>
    <col min="7172" max="7172" width="3.85546875" style="88" customWidth="1"/>
    <col min="7173" max="7173" width="14.42578125" style="88" customWidth="1"/>
    <col min="7174" max="7174" width="3.85546875" style="88" customWidth="1"/>
    <col min="7175" max="7175" width="33.85546875" style="88" customWidth="1"/>
    <col min="7176" max="7176" width="4.140625" style="88" customWidth="1"/>
    <col min="7177" max="7183" width="8.85546875" style="88" customWidth="1"/>
    <col min="7184" max="7184" width="8.85546875" style="88" bestFit="1" customWidth="1"/>
    <col min="7185" max="7185" width="9.5703125" style="88" customWidth="1"/>
    <col min="7186" max="7190" width="7.85546875" style="88" bestFit="1" customWidth="1"/>
    <col min="7191" max="7191" width="1.85546875" style="88" bestFit="1" customWidth="1"/>
    <col min="7192" max="7427" width="9.140625" style="88"/>
    <col min="7428" max="7428" width="3.85546875" style="88" customWidth="1"/>
    <col min="7429" max="7429" width="14.42578125" style="88" customWidth="1"/>
    <col min="7430" max="7430" width="3.85546875" style="88" customWidth="1"/>
    <col min="7431" max="7431" width="33.85546875" style="88" customWidth="1"/>
    <col min="7432" max="7432" width="4.140625" style="88" customWidth="1"/>
    <col min="7433" max="7439" width="8.85546875" style="88" customWidth="1"/>
    <col min="7440" max="7440" width="8.85546875" style="88" bestFit="1" customWidth="1"/>
    <col min="7441" max="7441" width="9.5703125" style="88" customWidth="1"/>
    <col min="7442" max="7446" width="7.85546875" style="88" bestFit="1" customWidth="1"/>
    <col min="7447" max="7447" width="1.85546875" style="88" bestFit="1" customWidth="1"/>
    <col min="7448" max="7683" width="9.140625" style="88"/>
    <col min="7684" max="7684" width="3.85546875" style="88" customWidth="1"/>
    <col min="7685" max="7685" width="14.42578125" style="88" customWidth="1"/>
    <col min="7686" max="7686" width="3.85546875" style="88" customWidth="1"/>
    <col min="7687" max="7687" width="33.85546875" style="88" customWidth="1"/>
    <col min="7688" max="7688" width="4.140625" style="88" customWidth="1"/>
    <col min="7689" max="7695" width="8.85546875" style="88" customWidth="1"/>
    <col min="7696" max="7696" width="8.85546875" style="88" bestFit="1" customWidth="1"/>
    <col min="7697" max="7697" width="9.5703125" style="88" customWidth="1"/>
    <col min="7698" max="7702" width="7.85546875" style="88" bestFit="1" customWidth="1"/>
    <col min="7703" max="7703" width="1.85546875" style="88" bestFit="1" customWidth="1"/>
    <col min="7704" max="7939" width="9.140625" style="88"/>
    <col min="7940" max="7940" width="3.85546875" style="88" customWidth="1"/>
    <col min="7941" max="7941" width="14.42578125" style="88" customWidth="1"/>
    <col min="7942" max="7942" width="3.85546875" style="88" customWidth="1"/>
    <col min="7943" max="7943" width="33.85546875" style="88" customWidth="1"/>
    <col min="7944" max="7944" width="4.140625" style="88" customWidth="1"/>
    <col min="7945" max="7951" width="8.85546875" style="88" customWidth="1"/>
    <col min="7952" max="7952" width="8.85546875" style="88" bestFit="1" customWidth="1"/>
    <col min="7953" max="7953" width="9.5703125" style="88" customWidth="1"/>
    <col min="7954" max="7958" width="7.85546875" style="88" bestFit="1" customWidth="1"/>
    <col min="7959" max="7959" width="1.85546875" style="88" bestFit="1" customWidth="1"/>
    <col min="7960" max="8195" width="9.140625" style="88"/>
    <col min="8196" max="8196" width="3.85546875" style="88" customWidth="1"/>
    <col min="8197" max="8197" width="14.42578125" style="88" customWidth="1"/>
    <col min="8198" max="8198" width="3.85546875" style="88" customWidth="1"/>
    <col min="8199" max="8199" width="33.85546875" style="88" customWidth="1"/>
    <col min="8200" max="8200" width="4.140625" style="88" customWidth="1"/>
    <col min="8201" max="8207" width="8.85546875" style="88" customWidth="1"/>
    <col min="8208" max="8208" width="8.85546875" style="88" bestFit="1" customWidth="1"/>
    <col min="8209" max="8209" width="9.5703125" style="88" customWidth="1"/>
    <col min="8210" max="8214" width="7.85546875" style="88" bestFit="1" customWidth="1"/>
    <col min="8215" max="8215" width="1.85546875" style="88" bestFit="1" customWidth="1"/>
    <col min="8216" max="8451" width="9.140625" style="88"/>
    <col min="8452" max="8452" width="3.85546875" style="88" customWidth="1"/>
    <col min="8453" max="8453" width="14.42578125" style="88" customWidth="1"/>
    <col min="8454" max="8454" width="3.85546875" style="88" customWidth="1"/>
    <col min="8455" max="8455" width="33.85546875" style="88" customWidth="1"/>
    <col min="8456" max="8456" width="4.140625" style="88" customWidth="1"/>
    <col min="8457" max="8463" width="8.85546875" style="88" customWidth="1"/>
    <col min="8464" max="8464" width="8.85546875" style="88" bestFit="1" customWidth="1"/>
    <col min="8465" max="8465" width="9.5703125" style="88" customWidth="1"/>
    <col min="8466" max="8470" width="7.85546875" style="88" bestFit="1" customWidth="1"/>
    <col min="8471" max="8471" width="1.85546875" style="88" bestFit="1" customWidth="1"/>
    <col min="8472" max="8707" width="9.140625" style="88"/>
    <col min="8708" max="8708" width="3.85546875" style="88" customWidth="1"/>
    <col min="8709" max="8709" width="14.42578125" style="88" customWidth="1"/>
    <col min="8710" max="8710" width="3.85546875" style="88" customWidth="1"/>
    <col min="8711" max="8711" width="33.85546875" style="88" customWidth="1"/>
    <col min="8712" max="8712" width="4.140625" style="88" customWidth="1"/>
    <col min="8713" max="8719" width="8.85546875" style="88" customWidth="1"/>
    <col min="8720" max="8720" width="8.85546875" style="88" bestFit="1" customWidth="1"/>
    <col min="8721" max="8721" width="9.5703125" style="88" customWidth="1"/>
    <col min="8722" max="8726" width="7.85546875" style="88" bestFit="1" customWidth="1"/>
    <col min="8727" max="8727" width="1.85546875" style="88" bestFit="1" customWidth="1"/>
    <col min="8728" max="8963" width="9.140625" style="88"/>
    <col min="8964" max="8964" width="3.85546875" style="88" customWidth="1"/>
    <col min="8965" max="8965" width="14.42578125" style="88" customWidth="1"/>
    <col min="8966" max="8966" width="3.85546875" style="88" customWidth="1"/>
    <col min="8967" max="8967" width="33.85546875" style="88" customWidth="1"/>
    <col min="8968" max="8968" width="4.140625" style="88" customWidth="1"/>
    <col min="8969" max="8975" width="8.85546875" style="88" customWidth="1"/>
    <col min="8976" max="8976" width="8.85546875" style="88" bestFit="1" customWidth="1"/>
    <col min="8977" max="8977" width="9.5703125" style="88" customWidth="1"/>
    <col min="8978" max="8982" width="7.85546875" style="88" bestFit="1" customWidth="1"/>
    <col min="8983" max="8983" width="1.85546875" style="88" bestFit="1" customWidth="1"/>
    <col min="8984" max="9219" width="9.140625" style="88"/>
    <col min="9220" max="9220" width="3.85546875" style="88" customWidth="1"/>
    <col min="9221" max="9221" width="14.42578125" style="88" customWidth="1"/>
    <col min="9222" max="9222" width="3.85546875" style="88" customWidth="1"/>
    <col min="9223" max="9223" width="33.85546875" style="88" customWidth="1"/>
    <col min="9224" max="9224" width="4.140625" style="88" customWidth="1"/>
    <col min="9225" max="9231" width="8.85546875" style="88" customWidth="1"/>
    <col min="9232" max="9232" width="8.85546875" style="88" bestFit="1" customWidth="1"/>
    <col min="9233" max="9233" width="9.5703125" style="88" customWidth="1"/>
    <col min="9234" max="9238" width="7.85546875" style="88" bestFit="1" customWidth="1"/>
    <col min="9239" max="9239" width="1.85546875" style="88" bestFit="1" customWidth="1"/>
    <col min="9240" max="9475" width="9.140625" style="88"/>
    <col min="9476" max="9476" width="3.85546875" style="88" customWidth="1"/>
    <col min="9477" max="9477" width="14.42578125" style="88" customWidth="1"/>
    <col min="9478" max="9478" width="3.85546875" style="88" customWidth="1"/>
    <col min="9479" max="9479" width="33.85546875" style="88" customWidth="1"/>
    <col min="9480" max="9480" width="4.140625" style="88" customWidth="1"/>
    <col min="9481" max="9487" width="8.85546875" style="88" customWidth="1"/>
    <col min="9488" max="9488" width="8.85546875" style="88" bestFit="1" customWidth="1"/>
    <col min="9489" max="9489" width="9.5703125" style="88" customWidth="1"/>
    <col min="9490" max="9494" width="7.85546875" style="88" bestFit="1" customWidth="1"/>
    <col min="9495" max="9495" width="1.85546875" style="88" bestFit="1" customWidth="1"/>
    <col min="9496" max="9731" width="9.140625" style="88"/>
    <col min="9732" max="9732" width="3.85546875" style="88" customWidth="1"/>
    <col min="9733" max="9733" width="14.42578125" style="88" customWidth="1"/>
    <col min="9734" max="9734" width="3.85546875" style="88" customWidth="1"/>
    <col min="9735" max="9735" width="33.85546875" style="88" customWidth="1"/>
    <col min="9736" max="9736" width="4.140625" style="88" customWidth="1"/>
    <col min="9737" max="9743" width="8.85546875" style="88" customWidth="1"/>
    <col min="9744" max="9744" width="8.85546875" style="88" bestFit="1" customWidth="1"/>
    <col min="9745" max="9745" width="9.5703125" style="88" customWidth="1"/>
    <col min="9746" max="9750" width="7.85546875" style="88" bestFit="1" customWidth="1"/>
    <col min="9751" max="9751" width="1.85546875" style="88" bestFit="1" customWidth="1"/>
    <col min="9752" max="9987" width="9.140625" style="88"/>
    <col min="9988" max="9988" width="3.85546875" style="88" customWidth="1"/>
    <col min="9989" max="9989" width="14.42578125" style="88" customWidth="1"/>
    <col min="9990" max="9990" width="3.85546875" style="88" customWidth="1"/>
    <col min="9991" max="9991" width="33.85546875" style="88" customWidth="1"/>
    <col min="9992" max="9992" width="4.140625" style="88" customWidth="1"/>
    <col min="9993" max="9999" width="8.85546875" style="88" customWidth="1"/>
    <col min="10000" max="10000" width="8.85546875" style="88" bestFit="1" customWidth="1"/>
    <col min="10001" max="10001" width="9.5703125" style="88" customWidth="1"/>
    <col min="10002" max="10006" width="7.85546875" style="88" bestFit="1" customWidth="1"/>
    <col min="10007" max="10007" width="1.85546875" style="88" bestFit="1" customWidth="1"/>
    <col min="10008" max="10243" width="9.140625" style="88"/>
    <col min="10244" max="10244" width="3.85546875" style="88" customWidth="1"/>
    <col min="10245" max="10245" width="14.42578125" style="88" customWidth="1"/>
    <col min="10246" max="10246" width="3.85546875" style="88" customWidth="1"/>
    <col min="10247" max="10247" width="33.85546875" style="88" customWidth="1"/>
    <col min="10248" max="10248" width="4.140625" style="88" customWidth="1"/>
    <col min="10249" max="10255" width="8.85546875" style="88" customWidth="1"/>
    <col min="10256" max="10256" width="8.85546875" style="88" bestFit="1" customWidth="1"/>
    <col min="10257" max="10257" width="9.5703125" style="88" customWidth="1"/>
    <col min="10258" max="10262" width="7.85546875" style="88" bestFit="1" customWidth="1"/>
    <col min="10263" max="10263" width="1.85546875" style="88" bestFit="1" customWidth="1"/>
    <col min="10264" max="10499" width="9.140625" style="88"/>
    <col min="10500" max="10500" width="3.85546875" style="88" customWidth="1"/>
    <col min="10501" max="10501" width="14.42578125" style="88" customWidth="1"/>
    <col min="10502" max="10502" width="3.85546875" style="88" customWidth="1"/>
    <col min="10503" max="10503" width="33.85546875" style="88" customWidth="1"/>
    <col min="10504" max="10504" width="4.140625" style="88" customWidth="1"/>
    <col min="10505" max="10511" width="8.85546875" style="88" customWidth="1"/>
    <col min="10512" max="10512" width="8.85546875" style="88" bestFit="1" customWidth="1"/>
    <col min="10513" max="10513" width="9.5703125" style="88" customWidth="1"/>
    <col min="10514" max="10518" width="7.85546875" style="88" bestFit="1" customWidth="1"/>
    <col min="10519" max="10519" width="1.85546875" style="88" bestFit="1" customWidth="1"/>
    <col min="10520" max="10755" width="9.140625" style="88"/>
    <col min="10756" max="10756" width="3.85546875" style="88" customWidth="1"/>
    <col min="10757" max="10757" width="14.42578125" style="88" customWidth="1"/>
    <col min="10758" max="10758" width="3.85546875" style="88" customWidth="1"/>
    <col min="10759" max="10759" width="33.85546875" style="88" customWidth="1"/>
    <col min="10760" max="10760" width="4.140625" style="88" customWidth="1"/>
    <col min="10761" max="10767" width="8.85546875" style="88" customWidth="1"/>
    <col min="10768" max="10768" width="8.85546875" style="88" bestFit="1" customWidth="1"/>
    <col min="10769" max="10769" width="9.5703125" style="88" customWidth="1"/>
    <col min="10770" max="10774" width="7.85546875" style="88" bestFit="1" customWidth="1"/>
    <col min="10775" max="10775" width="1.85546875" style="88" bestFit="1" customWidth="1"/>
    <col min="10776" max="11011" width="9.140625" style="88"/>
    <col min="11012" max="11012" width="3.85546875" style="88" customWidth="1"/>
    <col min="11013" max="11013" width="14.42578125" style="88" customWidth="1"/>
    <col min="11014" max="11014" width="3.85546875" style="88" customWidth="1"/>
    <col min="11015" max="11015" width="33.85546875" style="88" customWidth="1"/>
    <col min="11016" max="11016" width="4.140625" style="88" customWidth="1"/>
    <col min="11017" max="11023" width="8.85546875" style="88" customWidth="1"/>
    <col min="11024" max="11024" width="8.85546875" style="88" bestFit="1" customWidth="1"/>
    <col min="11025" max="11025" width="9.5703125" style="88" customWidth="1"/>
    <col min="11026" max="11030" width="7.85546875" style="88" bestFit="1" customWidth="1"/>
    <col min="11031" max="11031" width="1.85546875" style="88" bestFit="1" customWidth="1"/>
    <col min="11032" max="11267" width="9.140625" style="88"/>
    <col min="11268" max="11268" width="3.85546875" style="88" customWidth="1"/>
    <col min="11269" max="11269" width="14.42578125" style="88" customWidth="1"/>
    <col min="11270" max="11270" width="3.85546875" style="88" customWidth="1"/>
    <col min="11271" max="11271" width="33.85546875" style="88" customWidth="1"/>
    <col min="11272" max="11272" width="4.140625" style="88" customWidth="1"/>
    <col min="11273" max="11279" width="8.85546875" style="88" customWidth="1"/>
    <col min="11280" max="11280" width="8.85546875" style="88" bestFit="1" customWidth="1"/>
    <col min="11281" max="11281" width="9.5703125" style="88" customWidth="1"/>
    <col min="11282" max="11286" width="7.85546875" style="88" bestFit="1" customWidth="1"/>
    <col min="11287" max="11287" width="1.85546875" style="88" bestFit="1" customWidth="1"/>
    <col min="11288" max="11523" width="9.140625" style="88"/>
    <col min="11524" max="11524" width="3.85546875" style="88" customWidth="1"/>
    <col min="11525" max="11525" width="14.42578125" style="88" customWidth="1"/>
    <col min="11526" max="11526" width="3.85546875" style="88" customWidth="1"/>
    <col min="11527" max="11527" width="33.85546875" style="88" customWidth="1"/>
    <col min="11528" max="11528" width="4.140625" style="88" customWidth="1"/>
    <col min="11529" max="11535" width="8.85546875" style="88" customWidth="1"/>
    <col min="11536" max="11536" width="8.85546875" style="88" bestFit="1" customWidth="1"/>
    <col min="11537" max="11537" width="9.5703125" style="88" customWidth="1"/>
    <col min="11538" max="11542" width="7.85546875" style="88" bestFit="1" customWidth="1"/>
    <col min="11543" max="11543" width="1.85546875" style="88" bestFit="1" customWidth="1"/>
    <col min="11544" max="11779" width="9.140625" style="88"/>
    <col min="11780" max="11780" width="3.85546875" style="88" customWidth="1"/>
    <col min="11781" max="11781" width="14.42578125" style="88" customWidth="1"/>
    <col min="11782" max="11782" width="3.85546875" style="88" customWidth="1"/>
    <col min="11783" max="11783" width="33.85546875" style="88" customWidth="1"/>
    <col min="11784" max="11784" width="4.140625" style="88" customWidth="1"/>
    <col min="11785" max="11791" width="8.85546875" style="88" customWidth="1"/>
    <col min="11792" max="11792" width="8.85546875" style="88" bestFit="1" customWidth="1"/>
    <col min="11793" max="11793" width="9.5703125" style="88" customWidth="1"/>
    <col min="11794" max="11798" width="7.85546875" style="88" bestFit="1" customWidth="1"/>
    <col min="11799" max="11799" width="1.85546875" style="88" bestFit="1" customWidth="1"/>
    <col min="11800" max="12035" width="9.140625" style="88"/>
    <col min="12036" max="12036" width="3.85546875" style="88" customWidth="1"/>
    <col min="12037" max="12037" width="14.42578125" style="88" customWidth="1"/>
    <col min="12038" max="12038" width="3.85546875" style="88" customWidth="1"/>
    <col min="12039" max="12039" width="33.85546875" style="88" customWidth="1"/>
    <col min="12040" max="12040" width="4.140625" style="88" customWidth="1"/>
    <col min="12041" max="12047" width="8.85546875" style="88" customWidth="1"/>
    <col min="12048" max="12048" width="8.85546875" style="88" bestFit="1" customWidth="1"/>
    <col min="12049" max="12049" width="9.5703125" style="88" customWidth="1"/>
    <col min="12050" max="12054" width="7.85546875" style="88" bestFit="1" customWidth="1"/>
    <col min="12055" max="12055" width="1.85546875" style="88" bestFit="1" customWidth="1"/>
    <col min="12056" max="12291" width="9.140625" style="88"/>
    <col min="12292" max="12292" width="3.85546875" style="88" customWidth="1"/>
    <col min="12293" max="12293" width="14.42578125" style="88" customWidth="1"/>
    <col min="12294" max="12294" width="3.85546875" style="88" customWidth="1"/>
    <col min="12295" max="12295" width="33.85546875" style="88" customWidth="1"/>
    <col min="12296" max="12296" width="4.140625" style="88" customWidth="1"/>
    <col min="12297" max="12303" width="8.85546875" style="88" customWidth="1"/>
    <col min="12304" max="12304" width="8.85546875" style="88" bestFit="1" customWidth="1"/>
    <col min="12305" max="12305" width="9.5703125" style="88" customWidth="1"/>
    <col min="12306" max="12310" width="7.85546875" style="88" bestFit="1" customWidth="1"/>
    <col min="12311" max="12311" width="1.85546875" style="88" bestFit="1" customWidth="1"/>
    <col min="12312" max="12547" width="9.140625" style="88"/>
    <col min="12548" max="12548" width="3.85546875" style="88" customWidth="1"/>
    <col min="12549" max="12549" width="14.42578125" style="88" customWidth="1"/>
    <col min="12550" max="12550" width="3.85546875" style="88" customWidth="1"/>
    <col min="12551" max="12551" width="33.85546875" style="88" customWidth="1"/>
    <col min="12552" max="12552" width="4.140625" style="88" customWidth="1"/>
    <col min="12553" max="12559" width="8.85546875" style="88" customWidth="1"/>
    <col min="12560" max="12560" width="8.85546875" style="88" bestFit="1" customWidth="1"/>
    <col min="12561" max="12561" width="9.5703125" style="88" customWidth="1"/>
    <col min="12562" max="12566" width="7.85546875" style="88" bestFit="1" customWidth="1"/>
    <col min="12567" max="12567" width="1.85546875" style="88" bestFit="1" customWidth="1"/>
    <col min="12568" max="12803" width="9.140625" style="88"/>
    <col min="12804" max="12804" width="3.85546875" style="88" customWidth="1"/>
    <col min="12805" max="12805" width="14.42578125" style="88" customWidth="1"/>
    <col min="12806" max="12806" width="3.85546875" style="88" customWidth="1"/>
    <col min="12807" max="12807" width="33.85546875" style="88" customWidth="1"/>
    <col min="12808" max="12808" width="4.140625" style="88" customWidth="1"/>
    <col min="12809" max="12815" width="8.85546875" style="88" customWidth="1"/>
    <col min="12816" max="12816" width="8.85546875" style="88" bestFit="1" customWidth="1"/>
    <col min="12817" max="12817" width="9.5703125" style="88" customWidth="1"/>
    <col min="12818" max="12822" width="7.85546875" style="88" bestFit="1" customWidth="1"/>
    <col min="12823" max="12823" width="1.85546875" style="88" bestFit="1" customWidth="1"/>
    <col min="12824" max="13059" width="9.140625" style="88"/>
    <col min="13060" max="13060" width="3.85546875" style="88" customWidth="1"/>
    <col min="13061" max="13061" width="14.42578125" style="88" customWidth="1"/>
    <col min="13062" max="13062" width="3.85546875" style="88" customWidth="1"/>
    <col min="13063" max="13063" width="33.85546875" style="88" customWidth="1"/>
    <col min="13064" max="13064" width="4.140625" style="88" customWidth="1"/>
    <col min="13065" max="13071" width="8.85546875" style="88" customWidth="1"/>
    <col min="13072" max="13072" width="8.85546875" style="88" bestFit="1" customWidth="1"/>
    <col min="13073" max="13073" width="9.5703125" style="88" customWidth="1"/>
    <col min="13074" max="13078" width="7.85546875" style="88" bestFit="1" customWidth="1"/>
    <col min="13079" max="13079" width="1.85546875" style="88" bestFit="1" customWidth="1"/>
    <col min="13080" max="13315" width="9.140625" style="88"/>
    <col min="13316" max="13316" width="3.85546875" style="88" customWidth="1"/>
    <col min="13317" max="13317" width="14.42578125" style="88" customWidth="1"/>
    <col min="13318" max="13318" width="3.85546875" style="88" customWidth="1"/>
    <col min="13319" max="13319" width="33.85546875" style="88" customWidth="1"/>
    <col min="13320" max="13320" width="4.140625" style="88" customWidth="1"/>
    <col min="13321" max="13327" width="8.85546875" style="88" customWidth="1"/>
    <col min="13328" max="13328" width="8.85546875" style="88" bestFit="1" customWidth="1"/>
    <col min="13329" max="13329" width="9.5703125" style="88" customWidth="1"/>
    <col min="13330" max="13334" width="7.85546875" style="88" bestFit="1" customWidth="1"/>
    <col min="13335" max="13335" width="1.85546875" style="88" bestFit="1" customWidth="1"/>
    <col min="13336" max="13571" width="9.140625" style="88"/>
    <col min="13572" max="13572" width="3.85546875" style="88" customWidth="1"/>
    <col min="13573" max="13573" width="14.42578125" style="88" customWidth="1"/>
    <col min="13574" max="13574" width="3.85546875" style="88" customWidth="1"/>
    <col min="13575" max="13575" width="33.85546875" style="88" customWidth="1"/>
    <col min="13576" max="13576" width="4.140625" style="88" customWidth="1"/>
    <col min="13577" max="13583" width="8.85546875" style="88" customWidth="1"/>
    <col min="13584" max="13584" width="8.85546875" style="88" bestFit="1" customWidth="1"/>
    <col min="13585" max="13585" width="9.5703125" style="88" customWidth="1"/>
    <col min="13586" max="13590" width="7.85546875" style="88" bestFit="1" customWidth="1"/>
    <col min="13591" max="13591" width="1.85546875" style="88" bestFit="1" customWidth="1"/>
    <col min="13592" max="13827" width="9.140625" style="88"/>
    <col min="13828" max="13828" width="3.85546875" style="88" customWidth="1"/>
    <col min="13829" max="13829" width="14.42578125" style="88" customWidth="1"/>
    <col min="13830" max="13830" width="3.85546875" style="88" customWidth="1"/>
    <col min="13831" max="13831" width="33.85546875" style="88" customWidth="1"/>
    <col min="13832" max="13832" width="4.140625" style="88" customWidth="1"/>
    <col min="13833" max="13839" width="8.85546875" style="88" customWidth="1"/>
    <col min="13840" max="13840" width="8.85546875" style="88" bestFit="1" customWidth="1"/>
    <col min="13841" max="13841" width="9.5703125" style="88" customWidth="1"/>
    <col min="13842" max="13846" width="7.85546875" style="88" bestFit="1" customWidth="1"/>
    <col min="13847" max="13847" width="1.85546875" style="88" bestFit="1" customWidth="1"/>
    <col min="13848" max="14083" width="9.140625" style="88"/>
    <col min="14084" max="14084" width="3.85546875" style="88" customWidth="1"/>
    <col min="14085" max="14085" width="14.42578125" style="88" customWidth="1"/>
    <col min="14086" max="14086" width="3.85546875" style="88" customWidth="1"/>
    <col min="14087" max="14087" width="33.85546875" style="88" customWidth="1"/>
    <col min="14088" max="14088" width="4.140625" style="88" customWidth="1"/>
    <col min="14089" max="14095" width="8.85546875" style="88" customWidth="1"/>
    <col min="14096" max="14096" width="8.85546875" style="88" bestFit="1" customWidth="1"/>
    <col min="14097" max="14097" width="9.5703125" style="88" customWidth="1"/>
    <col min="14098" max="14102" width="7.85546875" style="88" bestFit="1" customWidth="1"/>
    <col min="14103" max="14103" width="1.85546875" style="88" bestFit="1" customWidth="1"/>
    <col min="14104" max="14339" width="9.140625" style="88"/>
    <col min="14340" max="14340" width="3.85546875" style="88" customWidth="1"/>
    <col min="14341" max="14341" width="14.42578125" style="88" customWidth="1"/>
    <col min="14342" max="14342" width="3.85546875" style="88" customWidth="1"/>
    <col min="14343" max="14343" width="33.85546875" style="88" customWidth="1"/>
    <col min="14344" max="14344" width="4.140625" style="88" customWidth="1"/>
    <col min="14345" max="14351" width="8.85546875" style="88" customWidth="1"/>
    <col min="14352" max="14352" width="8.85546875" style="88" bestFit="1" customWidth="1"/>
    <col min="14353" max="14353" width="9.5703125" style="88" customWidth="1"/>
    <col min="14354" max="14358" width="7.85546875" style="88" bestFit="1" customWidth="1"/>
    <col min="14359" max="14359" width="1.85546875" style="88" bestFit="1" customWidth="1"/>
    <col min="14360" max="14595" width="9.140625" style="88"/>
    <col min="14596" max="14596" width="3.85546875" style="88" customWidth="1"/>
    <col min="14597" max="14597" width="14.42578125" style="88" customWidth="1"/>
    <col min="14598" max="14598" width="3.85546875" style="88" customWidth="1"/>
    <col min="14599" max="14599" width="33.85546875" style="88" customWidth="1"/>
    <col min="14600" max="14600" width="4.140625" style="88" customWidth="1"/>
    <col min="14601" max="14607" width="8.85546875" style="88" customWidth="1"/>
    <col min="14608" max="14608" width="8.85546875" style="88" bestFit="1" customWidth="1"/>
    <col min="14609" max="14609" width="9.5703125" style="88" customWidth="1"/>
    <col min="14610" max="14614" width="7.85546875" style="88" bestFit="1" customWidth="1"/>
    <col min="14615" max="14615" width="1.85546875" style="88" bestFit="1" customWidth="1"/>
    <col min="14616" max="14851" width="9.140625" style="88"/>
    <col min="14852" max="14852" width="3.85546875" style="88" customWidth="1"/>
    <col min="14853" max="14853" width="14.42578125" style="88" customWidth="1"/>
    <col min="14854" max="14854" width="3.85546875" style="88" customWidth="1"/>
    <col min="14855" max="14855" width="33.85546875" style="88" customWidth="1"/>
    <col min="14856" max="14856" width="4.140625" style="88" customWidth="1"/>
    <col min="14857" max="14863" width="8.85546875" style="88" customWidth="1"/>
    <col min="14864" max="14864" width="8.85546875" style="88" bestFit="1" customWidth="1"/>
    <col min="14865" max="14865" width="9.5703125" style="88" customWidth="1"/>
    <col min="14866" max="14870" width="7.85546875" style="88" bestFit="1" customWidth="1"/>
    <col min="14871" max="14871" width="1.85546875" style="88" bestFit="1" customWidth="1"/>
    <col min="14872" max="15107" width="9.140625" style="88"/>
    <col min="15108" max="15108" width="3.85546875" style="88" customWidth="1"/>
    <col min="15109" max="15109" width="14.42578125" style="88" customWidth="1"/>
    <col min="15110" max="15110" width="3.85546875" style="88" customWidth="1"/>
    <col min="15111" max="15111" width="33.85546875" style="88" customWidth="1"/>
    <col min="15112" max="15112" width="4.140625" style="88" customWidth="1"/>
    <col min="15113" max="15119" width="8.85546875" style="88" customWidth="1"/>
    <col min="15120" max="15120" width="8.85546875" style="88" bestFit="1" customWidth="1"/>
    <col min="15121" max="15121" width="9.5703125" style="88" customWidth="1"/>
    <col min="15122" max="15126" width="7.85546875" style="88" bestFit="1" customWidth="1"/>
    <col min="15127" max="15127" width="1.85546875" style="88" bestFit="1" customWidth="1"/>
    <col min="15128" max="15363" width="9.140625" style="88"/>
    <col min="15364" max="15364" width="3.85546875" style="88" customWidth="1"/>
    <col min="15365" max="15365" width="14.42578125" style="88" customWidth="1"/>
    <col min="15366" max="15366" width="3.85546875" style="88" customWidth="1"/>
    <col min="15367" max="15367" width="33.85546875" style="88" customWidth="1"/>
    <col min="15368" max="15368" width="4.140625" style="88" customWidth="1"/>
    <col min="15369" max="15375" width="8.85546875" style="88" customWidth="1"/>
    <col min="15376" max="15376" width="8.85546875" style="88" bestFit="1" customWidth="1"/>
    <col min="15377" max="15377" width="9.5703125" style="88" customWidth="1"/>
    <col min="15378" max="15382" width="7.85546875" style="88" bestFit="1" customWidth="1"/>
    <col min="15383" max="15383" width="1.85546875" style="88" bestFit="1" customWidth="1"/>
    <col min="15384" max="15619" width="9.140625" style="88"/>
    <col min="15620" max="15620" width="3.85546875" style="88" customWidth="1"/>
    <col min="15621" max="15621" width="14.42578125" style="88" customWidth="1"/>
    <col min="15622" max="15622" width="3.85546875" style="88" customWidth="1"/>
    <col min="15623" max="15623" width="33.85546875" style="88" customWidth="1"/>
    <col min="15624" max="15624" width="4.140625" style="88" customWidth="1"/>
    <col min="15625" max="15631" width="8.85546875" style="88" customWidth="1"/>
    <col min="15632" max="15632" width="8.85546875" style="88" bestFit="1" customWidth="1"/>
    <col min="15633" max="15633" width="9.5703125" style="88" customWidth="1"/>
    <col min="15634" max="15638" width="7.85546875" style="88" bestFit="1" customWidth="1"/>
    <col min="15639" max="15639" width="1.85546875" style="88" bestFit="1" customWidth="1"/>
    <col min="15640" max="15875" width="9.140625" style="88"/>
    <col min="15876" max="15876" width="3.85546875" style="88" customWidth="1"/>
    <col min="15877" max="15877" width="14.42578125" style="88" customWidth="1"/>
    <col min="15878" max="15878" width="3.85546875" style="88" customWidth="1"/>
    <col min="15879" max="15879" width="33.85546875" style="88" customWidth="1"/>
    <col min="15880" max="15880" width="4.140625" style="88" customWidth="1"/>
    <col min="15881" max="15887" width="8.85546875" style="88" customWidth="1"/>
    <col min="15888" max="15888" width="8.85546875" style="88" bestFit="1" customWidth="1"/>
    <col min="15889" max="15889" width="9.5703125" style="88" customWidth="1"/>
    <col min="15890" max="15894" width="7.85546875" style="88" bestFit="1" customWidth="1"/>
    <col min="15895" max="15895" width="1.85546875" style="88" bestFit="1" customWidth="1"/>
    <col min="15896" max="16131" width="9.140625" style="88"/>
    <col min="16132" max="16132" width="3.85546875" style="88" customWidth="1"/>
    <col min="16133" max="16133" width="14.42578125" style="88" customWidth="1"/>
    <col min="16134" max="16134" width="3.85546875" style="88" customWidth="1"/>
    <col min="16135" max="16135" width="33.85546875" style="88" customWidth="1"/>
    <col min="16136" max="16136" width="4.140625" style="88" customWidth="1"/>
    <col min="16137" max="16143" width="8.85546875" style="88" customWidth="1"/>
    <col min="16144" max="16144" width="8.85546875" style="88" bestFit="1" customWidth="1"/>
    <col min="16145" max="16145" width="9.5703125" style="88" customWidth="1"/>
    <col min="16146" max="16150" width="7.85546875" style="88" bestFit="1" customWidth="1"/>
    <col min="16151" max="16151" width="1.85546875" style="88" bestFit="1" customWidth="1"/>
    <col min="16152" max="16384" width="9.140625" style="88"/>
  </cols>
  <sheetData>
    <row r="1" spans="1:26" s="510" customFormat="1" ht="12.75" customHeight="1" x14ac:dyDescent="0.2">
      <c r="A1" s="509"/>
      <c r="B1" s="309"/>
      <c r="C1" s="309"/>
      <c r="F1" s="859"/>
      <c r="G1" s="859"/>
      <c r="H1" s="859"/>
      <c r="I1" s="859"/>
      <c r="J1" s="859"/>
      <c r="K1" s="859"/>
    </row>
    <row r="2" spans="1:26" s="510" customFormat="1" ht="12.75" customHeight="1" x14ac:dyDescent="0.2">
      <c r="A2" s="509">
        <v>1</v>
      </c>
      <c r="B2" s="509" t="s">
        <v>0</v>
      </c>
      <c r="C2" s="509">
        <v>83</v>
      </c>
      <c r="D2" s="4170" t="s">
        <v>2080</v>
      </c>
      <c r="E2" s="4171"/>
      <c r="F2" s="4171"/>
      <c r="G2" s="4171"/>
      <c r="H2" s="4171"/>
      <c r="I2" s="4171"/>
      <c r="J2" s="4171"/>
      <c r="K2" s="4171"/>
      <c r="L2" s="4171"/>
      <c r="M2" s="4171"/>
      <c r="N2" s="4171"/>
      <c r="O2" s="4171"/>
      <c r="P2" s="4171"/>
      <c r="Q2" s="4171"/>
      <c r="R2" s="4171"/>
      <c r="S2" s="4171"/>
      <c r="T2" s="4171"/>
      <c r="U2" s="4172"/>
      <c r="V2" s="344"/>
      <c r="W2" s="4176"/>
    </row>
    <row r="3" spans="1:26" s="510" customFormat="1" ht="12.75" customHeight="1" x14ac:dyDescent="0.2">
      <c r="A3" s="509">
        <v>2</v>
      </c>
      <c r="B3" s="509" t="s">
        <v>2</v>
      </c>
      <c r="C3" s="509"/>
      <c r="D3" s="4603" t="s">
        <v>2081</v>
      </c>
      <c r="E3" s="4604"/>
      <c r="F3" s="4604"/>
      <c r="G3" s="4604"/>
      <c r="H3" s="4604"/>
      <c r="I3" s="4604"/>
      <c r="J3" s="4604"/>
      <c r="K3" s="4604"/>
      <c r="L3" s="4604"/>
      <c r="M3" s="4604"/>
      <c r="N3" s="4604"/>
      <c r="O3" s="4604"/>
      <c r="P3" s="4604"/>
      <c r="Q3" s="4604"/>
      <c r="R3" s="4604"/>
      <c r="S3" s="4604"/>
      <c r="T3" s="4604"/>
      <c r="U3" s="4605"/>
      <c r="V3" s="4176"/>
      <c r="W3" s="4176"/>
    </row>
    <row r="4" spans="1:26" s="510" customFormat="1" ht="12.75" customHeight="1" x14ac:dyDescent="0.2">
      <c r="A4" s="509">
        <v>3</v>
      </c>
      <c r="B4" s="509" t="s">
        <v>4</v>
      </c>
      <c r="C4" s="509"/>
      <c r="D4" s="4603" t="s">
        <v>2082</v>
      </c>
      <c r="E4" s="4604"/>
      <c r="F4" s="4604"/>
      <c r="G4" s="4604"/>
      <c r="H4" s="4604"/>
      <c r="I4" s="4604"/>
      <c r="J4" s="4604"/>
      <c r="K4" s="4604"/>
      <c r="L4" s="4604"/>
      <c r="M4" s="4604"/>
      <c r="N4" s="4604"/>
      <c r="O4" s="4604"/>
      <c r="P4" s="4604"/>
      <c r="Q4" s="4604"/>
      <c r="R4" s="4604"/>
      <c r="S4" s="4604"/>
      <c r="T4" s="4604"/>
      <c r="U4" s="4605"/>
      <c r="V4" s="4176"/>
      <c r="W4" s="4176"/>
    </row>
    <row r="5" spans="1:26" s="510" customFormat="1" ht="13.5" customHeight="1" x14ac:dyDescent="0.2">
      <c r="A5" s="509"/>
      <c r="B5" s="509"/>
      <c r="C5" s="509"/>
      <c r="D5" s="4176"/>
      <c r="E5" s="4176"/>
      <c r="F5" s="3290"/>
      <c r="G5" s="3290"/>
      <c r="H5" s="3290"/>
      <c r="I5" s="3290"/>
      <c r="J5" s="3290"/>
      <c r="K5" s="3290"/>
      <c r="L5" s="344"/>
      <c r="M5" s="344"/>
      <c r="N5" s="344"/>
      <c r="O5" s="344"/>
      <c r="P5" s="344"/>
      <c r="Q5" s="344"/>
      <c r="R5" s="344"/>
      <c r="S5" s="344"/>
      <c r="T5" s="344"/>
      <c r="U5" s="344"/>
      <c r="V5" s="511"/>
      <c r="W5" s="3291"/>
      <c r="X5" s="3291"/>
    </row>
    <row r="6" spans="1:26" s="510" customFormat="1" ht="13.5" customHeight="1" x14ac:dyDescent="0.2">
      <c r="C6" s="509"/>
      <c r="F6" s="859"/>
      <c r="G6" s="859"/>
      <c r="H6" s="859"/>
      <c r="I6" s="859"/>
      <c r="J6" s="859"/>
      <c r="K6" s="859"/>
    </row>
    <row r="7" spans="1:26" s="510" customFormat="1" ht="13.5" customHeight="1" x14ac:dyDescent="0.2">
      <c r="A7" s="509">
        <v>4</v>
      </c>
      <c r="B7" s="509" t="s">
        <v>6</v>
      </c>
      <c r="C7" s="509"/>
      <c r="D7" s="71" t="s">
        <v>365</v>
      </c>
      <c r="E7" s="71"/>
      <c r="F7" s="981" t="s">
        <v>2083</v>
      </c>
      <c r="G7" s="1192"/>
      <c r="H7" s="1192"/>
      <c r="I7" s="859"/>
      <c r="J7" s="859"/>
      <c r="K7" s="859"/>
    </row>
    <row r="8" spans="1:26" ht="12" customHeight="1" x14ac:dyDescent="0.2">
      <c r="D8" s="2186"/>
      <c r="E8" s="2567"/>
      <c r="F8" s="2424">
        <v>2002</v>
      </c>
      <c r="G8" s="2424">
        <v>2003</v>
      </c>
      <c r="H8" s="2424">
        <v>2004</v>
      </c>
      <c r="I8" s="2424">
        <v>2005</v>
      </c>
      <c r="J8" s="2424">
        <v>2006</v>
      </c>
      <c r="K8" s="2424">
        <v>2007</v>
      </c>
      <c r="L8" s="2424">
        <v>2008</v>
      </c>
      <c r="M8" s="3135">
        <v>2009</v>
      </c>
      <c r="N8" s="3134">
        <v>2010</v>
      </c>
      <c r="O8" s="3134">
        <v>2011</v>
      </c>
      <c r="P8" s="3134">
        <v>2012</v>
      </c>
      <c r="Q8" s="3134">
        <v>2013</v>
      </c>
      <c r="R8" s="3135">
        <v>2014</v>
      </c>
      <c r="S8" s="3135">
        <v>2015</v>
      </c>
      <c r="T8" s="3135">
        <v>2016</v>
      </c>
      <c r="U8" s="3135">
        <v>2017</v>
      </c>
      <c r="V8" s="3135">
        <v>2018</v>
      </c>
      <c r="W8" s="2186">
        <v>2019</v>
      </c>
      <c r="X8" s="2945">
        <v>2020</v>
      </c>
      <c r="Y8" s="2945">
        <v>2021</v>
      </c>
      <c r="Z8" s="2945">
        <v>2022</v>
      </c>
    </row>
    <row r="9" spans="1:26" ht="12.75" x14ac:dyDescent="0.2">
      <c r="A9" s="1197"/>
      <c r="C9" s="3292" t="s">
        <v>2084</v>
      </c>
      <c r="D9" s="1082" t="s">
        <v>2085</v>
      </c>
      <c r="E9" s="135"/>
      <c r="F9" s="955"/>
      <c r="G9" s="955"/>
      <c r="H9" s="955"/>
      <c r="I9" s="955"/>
      <c r="J9" s="955"/>
      <c r="K9" s="955"/>
      <c r="L9" s="955"/>
      <c r="M9" s="3293">
        <v>7000052</v>
      </c>
      <c r="N9" s="3293">
        <v>7882979</v>
      </c>
      <c r="O9" s="3293">
        <v>8135066</v>
      </c>
      <c r="P9" s="3293">
        <v>8603190</v>
      </c>
      <c r="Q9" s="3293">
        <v>8961565</v>
      </c>
      <c r="R9" s="3293">
        <v>9549236</v>
      </c>
      <c r="S9" s="3293">
        <v>8903773</v>
      </c>
      <c r="T9" s="3293">
        <v>10044163</v>
      </c>
      <c r="U9" s="3293">
        <v>10285197</v>
      </c>
      <c r="V9" s="3294">
        <v>10472105</v>
      </c>
      <c r="W9" s="3294">
        <v>10228593</v>
      </c>
      <c r="X9" s="3295">
        <v>2802320</v>
      </c>
      <c r="Y9" s="3296">
        <v>2255699</v>
      </c>
      <c r="Z9" s="4178">
        <v>5968062</v>
      </c>
    </row>
    <row r="10" spans="1:26" s="550" customFormat="1" ht="15" customHeight="1" x14ac:dyDescent="0.2">
      <c r="A10" s="143"/>
      <c r="B10" s="80"/>
      <c r="C10" s="3292"/>
      <c r="D10" s="4179" t="s">
        <v>2086</v>
      </c>
      <c r="E10" s="1534"/>
      <c r="F10" s="419"/>
      <c r="G10" s="419"/>
      <c r="H10" s="419"/>
      <c r="I10" s="419"/>
      <c r="J10" s="419"/>
      <c r="K10" s="419"/>
      <c r="L10" s="419"/>
      <c r="M10" s="3297">
        <v>5081011</v>
      </c>
      <c r="N10" s="3297">
        <v>5680356</v>
      </c>
      <c r="O10" s="3297">
        <v>6078000</v>
      </c>
      <c r="P10" s="3297">
        <v>6485058</v>
      </c>
      <c r="Q10" s="3297">
        <v>6732434</v>
      </c>
      <c r="R10" s="3297">
        <v>7279814</v>
      </c>
      <c r="S10" s="3297">
        <v>6746114</v>
      </c>
      <c r="T10" s="3297">
        <v>7501512</v>
      </c>
      <c r="U10" s="3293">
        <v>7559342</v>
      </c>
      <c r="V10" s="3294">
        <v>7786357</v>
      </c>
      <c r="W10" s="3294">
        <v>7600843</v>
      </c>
      <c r="X10" s="3298">
        <v>2137524</v>
      </c>
      <c r="Y10" s="3296">
        <v>1873609</v>
      </c>
      <c r="Z10" s="4178">
        <v>4237261</v>
      </c>
    </row>
    <row r="11" spans="1:26" s="550" customFormat="1" ht="17.100000000000001" customHeight="1" x14ac:dyDescent="0.2">
      <c r="A11" s="143"/>
      <c r="B11" s="80"/>
      <c r="C11" s="3292"/>
      <c r="D11" s="4179" t="s">
        <v>2087</v>
      </c>
      <c r="E11" s="1534"/>
      <c r="F11" s="419"/>
      <c r="G11" s="419"/>
      <c r="H11" s="419"/>
      <c r="I11" s="419"/>
      <c r="J11" s="419"/>
      <c r="K11" s="419"/>
      <c r="L11" s="3299"/>
      <c r="M11" s="3293">
        <v>1882612</v>
      </c>
      <c r="N11" s="3293">
        <v>2089573</v>
      </c>
      <c r="O11" s="3293">
        <v>2032862</v>
      </c>
      <c r="P11" s="3293">
        <v>2096780</v>
      </c>
      <c r="Q11" s="3293">
        <v>2213134</v>
      </c>
      <c r="R11" s="3293">
        <v>2254709</v>
      </c>
      <c r="S11" s="3293">
        <v>2144988</v>
      </c>
      <c r="T11" s="3297">
        <v>2531046</v>
      </c>
      <c r="U11" s="3293">
        <v>2713133</v>
      </c>
      <c r="V11" s="3294">
        <v>2672146</v>
      </c>
      <c r="W11" s="3294">
        <v>2612159</v>
      </c>
      <c r="X11" s="3298">
        <v>661030</v>
      </c>
      <c r="Y11" s="3296">
        <v>377804</v>
      </c>
      <c r="Z11" s="4178">
        <v>10130</v>
      </c>
    </row>
    <row r="12" spans="1:26" ht="17.100000000000001" customHeight="1" x14ac:dyDescent="0.2">
      <c r="A12" s="836"/>
      <c r="C12" s="3292"/>
      <c r="D12" s="4180" t="s">
        <v>2088</v>
      </c>
      <c r="E12" s="4181"/>
      <c r="F12" s="4165"/>
      <c r="G12" s="4165"/>
      <c r="H12" s="4165"/>
      <c r="I12" s="4165"/>
      <c r="J12" s="4165"/>
      <c r="K12" s="4165"/>
      <c r="L12" s="4165"/>
      <c r="M12" s="4180">
        <v>36429</v>
      </c>
      <c r="N12" s="4180">
        <v>113050</v>
      </c>
      <c r="O12" s="4180">
        <v>24204</v>
      </c>
      <c r="P12" s="4180">
        <v>21350</v>
      </c>
      <c r="Q12" s="4180">
        <v>15997</v>
      </c>
      <c r="R12" s="4180">
        <v>14713</v>
      </c>
      <c r="S12" s="4180">
        <v>12671</v>
      </c>
      <c r="T12" s="4180">
        <v>11605</v>
      </c>
      <c r="U12" s="4180">
        <v>12722</v>
      </c>
      <c r="V12" s="4180">
        <v>13602</v>
      </c>
      <c r="W12" s="4180">
        <v>15591</v>
      </c>
      <c r="X12" s="4165">
        <v>3766</v>
      </c>
      <c r="Y12" s="4182">
        <v>4286</v>
      </c>
    </row>
    <row r="13" spans="1:26" ht="17.100000000000001" customHeight="1" x14ac:dyDescent="0.2">
      <c r="C13" s="3292"/>
      <c r="D13" s="981" t="s">
        <v>2089</v>
      </c>
      <c r="I13" s="88"/>
      <c r="J13" s="88"/>
      <c r="K13" s="88"/>
      <c r="V13" s="109"/>
      <c r="W13" s="109"/>
    </row>
    <row r="14" spans="1:26" ht="17.100000000000001" customHeight="1" x14ac:dyDescent="0.2">
      <c r="A14" s="1197"/>
      <c r="C14" s="3292" t="s">
        <v>2090</v>
      </c>
      <c r="D14" s="528" t="s">
        <v>2091</v>
      </c>
      <c r="E14" s="414"/>
      <c r="F14" s="3300"/>
      <c r="G14" s="2184"/>
      <c r="H14" s="420"/>
      <c r="I14" s="3301">
        <v>507384</v>
      </c>
      <c r="J14" s="3301">
        <v>553712</v>
      </c>
      <c r="K14" s="3301">
        <v>569688</v>
      </c>
      <c r="L14" s="3301">
        <v>609021</v>
      </c>
      <c r="M14" s="3302">
        <v>547934</v>
      </c>
      <c r="N14" s="3302">
        <v>603022</v>
      </c>
      <c r="O14" s="3302">
        <v>622929</v>
      </c>
      <c r="P14" s="3302">
        <v>646390</v>
      </c>
      <c r="Q14" s="3302">
        <v>657766</v>
      </c>
      <c r="R14" s="3302">
        <v>681915</v>
      </c>
      <c r="S14" s="2185">
        <v>635544</v>
      </c>
      <c r="T14" s="109">
        <v>630509</v>
      </c>
      <c r="U14" s="109">
        <v>575910</v>
      </c>
      <c r="V14" s="109">
        <v>611737</v>
      </c>
      <c r="W14" s="3303">
        <v>773533</v>
      </c>
      <c r="X14" s="3304"/>
    </row>
    <row r="15" spans="1:26" ht="25.35" customHeight="1" x14ac:dyDescent="0.2">
      <c r="C15" s="3292"/>
      <c r="D15" s="3305" t="s">
        <v>2092</v>
      </c>
      <c r="E15" s="3306"/>
      <c r="F15" s="3307"/>
      <c r="G15" s="3307"/>
      <c r="H15" s="3307"/>
      <c r="I15" s="3308">
        <v>0.04</v>
      </c>
      <c r="J15" s="3308">
        <v>4.1000000000000002E-2</v>
      </c>
      <c r="K15" s="3308">
        <v>4.2000000000000003E-2</v>
      </c>
      <c r="L15" s="3308">
        <v>4.3999999999999997E-2</v>
      </c>
      <c r="M15" s="3308">
        <v>4.1000000000000002E-2</v>
      </c>
      <c r="N15" s="3308">
        <v>4.3999999999999997E-2</v>
      </c>
      <c r="O15" s="3309">
        <v>4.3999999999999997E-2</v>
      </c>
      <c r="P15" s="3309">
        <v>4.4999999999999998E-2</v>
      </c>
      <c r="Q15" s="3309">
        <v>4.3999999999999997E-2</v>
      </c>
      <c r="R15" s="3309">
        <v>4.4999999999999998E-2</v>
      </c>
      <c r="S15" s="3310">
        <v>0.04</v>
      </c>
      <c r="T15" s="3310">
        <v>0.04</v>
      </c>
      <c r="U15" s="3310">
        <v>3.5999999999999997E-2</v>
      </c>
      <c r="V15" s="3310">
        <v>3.6999999999999998E-2</v>
      </c>
      <c r="W15" s="3311">
        <v>4.7E-2</v>
      </c>
      <c r="X15" s="3309"/>
    </row>
    <row r="16" spans="1:26" ht="17.100000000000001" customHeight="1" x14ac:dyDescent="0.2">
      <c r="C16" s="3292" t="s">
        <v>2093</v>
      </c>
      <c r="D16" s="528" t="s">
        <v>2094</v>
      </c>
      <c r="E16" s="414"/>
      <c r="F16" s="3300"/>
      <c r="G16" s="2184"/>
      <c r="H16" s="420"/>
      <c r="I16" s="3312" t="s">
        <v>2095</v>
      </c>
      <c r="J16" s="3312">
        <v>1400900</v>
      </c>
      <c r="K16" s="3312">
        <v>1378100</v>
      </c>
      <c r="L16" s="3301">
        <v>1488300</v>
      </c>
      <c r="M16" s="3302">
        <v>1417900</v>
      </c>
      <c r="N16" s="3302">
        <v>1351300</v>
      </c>
      <c r="O16" s="3302">
        <v>1336800</v>
      </c>
      <c r="P16" s="3302">
        <v>1431000</v>
      </c>
      <c r="Q16" s="3313">
        <v>1360600</v>
      </c>
      <c r="R16" s="3302">
        <v>1393300</v>
      </c>
      <c r="S16" s="3302">
        <v>1426100</v>
      </c>
      <c r="T16" s="3302">
        <v>1466100</v>
      </c>
      <c r="U16" s="3302">
        <v>1424100</v>
      </c>
      <c r="V16" s="3302">
        <v>1540000</v>
      </c>
      <c r="W16" s="3302">
        <v>1513300</v>
      </c>
      <c r="X16" s="3302">
        <v>1061400</v>
      </c>
      <c r="Y16" s="3302">
        <v>1081500</v>
      </c>
    </row>
    <row r="17" spans="1:26" ht="17.100000000000001" customHeight="1" x14ac:dyDescent="0.2">
      <c r="C17" s="3292"/>
      <c r="D17" s="528"/>
      <c r="E17" s="414"/>
      <c r="F17" s="3300"/>
      <c r="G17" s="2184"/>
      <c r="H17" s="420"/>
      <c r="I17" s="420"/>
      <c r="J17" s="420"/>
      <c r="K17" s="420"/>
      <c r="L17" s="2184"/>
      <c r="M17" s="2185"/>
      <c r="N17" s="2185"/>
      <c r="O17" s="2185"/>
      <c r="P17" s="2185"/>
      <c r="Q17" s="2185"/>
      <c r="R17" s="2185"/>
      <c r="S17" s="2185"/>
      <c r="T17" s="109"/>
      <c r="U17" s="109"/>
    </row>
    <row r="18" spans="1:26" ht="17.100000000000001" customHeight="1" x14ac:dyDescent="0.2">
      <c r="C18" s="3314"/>
      <c r="D18" s="3315" t="s">
        <v>2096</v>
      </c>
      <c r="E18" s="522"/>
      <c r="F18" s="3316"/>
      <c r="G18" s="3317"/>
      <c r="H18" s="495"/>
      <c r="I18" s="3318">
        <v>9.5000000000000001E-2</v>
      </c>
      <c r="J18" s="3318">
        <v>0.10100000000000001</v>
      </c>
      <c r="K18" s="3318">
        <v>9.9000000000000005E-2</v>
      </c>
      <c r="L18" s="3318">
        <v>0.10199999999999999</v>
      </c>
      <c r="M18" s="3318">
        <v>0.1</v>
      </c>
      <c r="N18" s="3318">
        <v>9.8000000000000004E-2</v>
      </c>
      <c r="O18" s="3318">
        <v>9.5000000000000001E-2</v>
      </c>
      <c r="P18" s="3318">
        <v>9.9000000000000005E-2</v>
      </c>
      <c r="Q18" s="3318">
        <v>9.0999999999999998E-2</v>
      </c>
      <c r="R18" s="3318">
        <v>9.1999999999999998E-2</v>
      </c>
      <c r="S18" s="3319">
        <v>9.0999999999999998E-2</v>
      </c>
      <c r="T18" s="3320">
        <v>9.2999999999999999E-2</v>
      </c>
      <c r="U18" s="3320">
        <v>8.7999999999999995E-2</v>
      </c>
      <c r="V18" s="3320">
        <v>9.4E-2</v>
      </c>
      <c r="W18" s="3320">
        <v>9.2999999999999999E-2</v>
      </c>
      <c r="X18" s="3321">
        <v>7.0000000000000007E-2</v>
      </c>
      <c r="Y18" s="3322">
        <v>7.0000000000000007E-2</v>
      </c>
      <c r="Z18" s="572"/>
    </row>
    <row r="19" spans="1:26" ht="18" customHeight="1" x14ac:dyDescent="0.2">
      <c r="C19" s="3292" t="s">
        <v>2097</v>
      </c>
      <c r="D19" s="4183" t="s">
        <v>2098</v>
      </c>
      <c r="E19" s="413"/>
      <c r="F19" s="1351"/>
      <c r="G19" s="1351"/>
      <c r="H19" s="419"/>
      <c r="I19" s="3323"/>
      <c r="J19" s="3323"/>
      <c r="K19" s="3323"/>
      <c r="L19" s="3324"/>
      <c r="M19" s="3325"/>
      <c r="N19" s="3325"/>
      <c r="O19" s="3325"/>
      <c r="P19" s="3326"/>
      <c r="Q19" s="3325"/>
      <c r="R19" s="3325"/>
      <c r="S19" s="3327"/>
      <c r="T19" s="3304"/>
      <c r="U19" s="3304"/>
      <c r="V19" s="3304"/>
      <c r="W19" s="3304" t="s">
        <v>85</v>
      </c>
      <c r="X19" s="3304"/>
    </row>
    <row r="20" spans="1:26" x14ac:dyDescent="0.2">
      <c r="D20" s="2693" t="s">
        <v>2099</v>
      </c>
      <c r="E20" s="135" t="s">
        <v>376</v>
      </c>
      <c r="F20" s="1143"/>
      <c r="G20" s="1143"/>
      <c r="H20" s="1143"/>
      <c r="I20" s="3328">
        <v>44.9</v>
      </c>
      <c r="J20" s="3328">
        <v>54.4</v>
      </c>
      <c r="K20" s="3328">
        <v>59.8</v>
      </c>
      <c r="L20" s="3328">
        <v>67.2</v>
      </c>
      <c r="M20" s="3328">
        <v>68.8</v>
      </c>
      <c r="N20" s="3328">
        <v>88.4</v>
      </c>
      <c r="O20" s="3328">
        <v>83.9</v>
      </c>
      <c r="P20" s="3328">
        <v>93.8</v>
      </c>
      <c r="Q20" s="3329">
        <v>103.3</v>
      </c>
      <c r="R20" s="3329">
        <v>112.6</v>
      </c>
      <c r="S20" s="3304">
        <v>127.1</v>
      </c>
      <c r="T20" s="3304" t="s">
        <v>2100</v>
      </c>
      <c r="U20" s="3327">
        <v>132.4</v>
      </c>
      <c r="V20" s="3327">
        <v>146.19999999999999</v>
      </c>
      <c r="W20" s="3304">
        <v>209.2</v>
      </c>
      <c r="X20" s="3304"/>
    </row>
    <row r="21" spans="1:26" ht="22.5" x14ac:dyDescent="0.2">
      <c r="A21" s="836"/>
      <c r="B21" s="1527"/>
      <c r="D21" s="2693" t="s">
        <v>2101</v>
      </c>
      <c r="E21" s="135"/>
      <c r="G21" s="1143"/>
      <c r="H21" s="1143"/>
      <c r="I21" s="3330">
        <v>2.9000000000000001E-2</v>
      </c>
      <c r="J21" s="3330">
        <v>0.03</v>
      </c>
      <c r="K21" s="3330">
        <v>0.03</v>
      </c>
      <c r="L21" s="3330">
        <v>0.03</v>
      </c>
      <c r="M21" s="3330">
        <v>2.9000000000000001E-2</v>
      </c>
      <c r="N21" s="3330">
        <v>0.03</v>
      </c>
      <c r="O21" s="3330">
        <v>2.8000000000000001E-2</v>
      </c>
      <c r="P21" s="3330">
        <v>2.9000000000000001E-2</v>
      </c>
      <c r="Q21" s="3330">
        <v>2.9000000000000001E-2</v>
      </c>
      <c r="R21" s="3330">
        <v>0.03</v>
      </c>
      <c r="S21" s="3330">
        <v>2.9000000000000001E-2</v>
      </c>
      <c r="T21" s="3330">
        <v>2.9000000000000001E-2</v>
      </c>
      <c r="U21" s="3330">
        <v>2.5999999999999999E-2</v>
      </c>
      <c r="V21" s="3330">
        <v>2.7E-2</v>
      </c>
      <c r="W21" s="3330">
        <v>3.6999999999999998E-2</v>
      </c>
      <c r="X21" s="3330"/>
    </row>
    <row r="22" spans="1:26" ht="22.5" x14ac:dyDescent="0.2">
      <c r="A22" s="836"/>
      <c r="C22" s="3292" t="s">
        <v>2102</v>
      </c>
      <c r="D22" s="2693" t="s">
        <v>2103</v>
      </c>
      <c r="E22" s="135" t="s">
        <v>376</v>
      </c>
      <c r="G22" s="1143"/>
      <c r="H22" s="1143"/>
      <c r="I22" s="3331">
        <v>330.5</v>
      </c>
      <c r="J22" s="3331">
        <v>374.9</v>
      </c>
      <c r="K22" s="3331">
        <v>384.9</v>
      </c>
      <c r="L22" s="3331">
        <v>381.4</v>
      </c>
      <c r="M22" s="3331">
        <v>369.8</v>
      </c>
      <c r="N22" s="3331">
        <v>370.3</v>
      </c>
      <c r="O22" s="3327">
        <v>361.6</v>
      </c>
      <c r="P22" s="3327">
        <v>392.4</v>
      </c>
      <c r="Q22" s="3327" t="s">
        <v>2104</v>
      </c>
      <c r="R22" s="3327">
        <v>411.6</v>
      </c>
      <c r="S22" s="3327">
        <v>428.1</v>
      </c>
      <c r="T22" s="3304">
        <v>442.3</v>
      </c>
      <c r="U22" s="3304">
        <v>402.6</v>
      </c>
      <c r="V22" s="3304">
        <v>420.8</v>
      </c>
      <c r="W22" s="3304">
        <v>405.2</v>
      </c>
      <c r="X22" s="3304">
        <v>180.2</v>
      </c>
      <c r="Y22" s="3304">
        <v>195.2</v>
      </c>
    </row>
    <row r="23" spans="1:26" ht="22.5" x14ac:dyDescent="0.2">
      <c r="A23" s="836"/>
      <c r="B23" s="1527"/>
      <c r="C23" s="1527"/>
      <c r="D23" s="2693" t="s">
        <v>2105</v>
      </c>
      <c r="E23" s="135"/>
      <c r="G23" s="1143"/>
      <c r="H23" s="1143"/>
      <c r="I23" s="3330">
        <v>9.4E-2</v>
      </c>
      <c r="J23" s="3330">
        <v>0.10100000000000001</v>
      </c>
      <c r="K23" s="3330">
        <v>9.8000000000000004E-2</v>
      </c>
      <c r="L23" s="3330">
        <v>9.5000000000000001E-2</v>
      </c>
      <c r="M23" s="3330">
        <v>9.2999999999999999E-2</v>
      </c>
      <c r="N23" s="3330">
        <v>0.09</v>
      </c>
      <c r="O23" s="3309">
        <v>8.5999999999999993E-2</v>
      </c>
      <c r="P23" s="3309">
        <v>9.0999999999999998E-2</v>
      </c>
      <c r="Q23" s="3309">
        <v>8.1000000000000003E-2</v>
      </c>
      <c r="R23" s="3332">
        <v>8.1000000000000003E-2</v>
      </c>
      <c r="S23" s="3332">
        <v>7.0000000000000007E-2</v>
      </c>
      <c r="T23" s="3333">
        <v>7.1999999999999995E-2</v>
      </c>
      <c r="U23" s="3333">
        <v>6.5000000000000002E-2</v>
      </c>
      <c r="V23" s="3333">
        <v>6.7000000000000004E-2</v>
      </c>
      <c r="W23" s="3333">
        <v>6.4000000000000001E-2</v>
      </c>
      <c r="X23" s="3333">
        <v>3.1E-2</v>
      </c>
      <c r="Y23" s="3333">
        <v>3.2000000000000001E-2</v>
      </c>
    </row>
    <row r="24" spans="1:26" x14ac:dyDescent="0.2">
      <c r="A24" s="836"/>
      <c r="I24" s="1143"/>
      <c r="J24" s="1143"/>
      <c r="K24" s="1143"/>
      <c r="R24" s="3334"/>
      <c r="S24" s="3334"/>
      <c r="T24" s="3334"/>
      <c r="V24" s="3334"/>
    </row>
    <row r="25" spans="1:26" x14ac:dyDescent="0.2">
      <c r="A25" s="836"/>
      <c r="I25" s="1143"/>
      <c r="J25" s="1143"/>
      <c r="K25" s="1143"/>
    </row>
    <row r="26" spans="1:26" x14ac:dyDescent="0.2">
      <c r="A26" s="836"/>
      <c r="I26" s="1143"/>
      <c r="J26" s="1143"/>
      <c r="K26" s="1143"/>
    </row>
    <row r="27" spans="1:26" x14ac:dyDescent="0.2">
      <c r="A27" s="836"/>
      <c r="I27" s="1143"/>
      <c r="J27" s="1143"/>
      <c r="K27" s="1143"/>
    </row>
    <row r="28" spans="1:26" x14ac:dyDescent="0.2">
      <c r="A28" s="836"/>
      <c r="I28" s="1143"/>
      <c r="J28" s="1143"/>
      <c r="K28" s="1143"/>
    </row>
    <row r="29" spans="1:26" x14ac:dyDescent="0.2">
      <c r="A29" s="836"/>
      <c r="I29" s="1143"/>
      <c r="J29" s="1143"/>
      <c r="K29" s="1143"/>
    </row>
    <row r="30" spans="1:26" x14ac:dyDescent="0.2">
      <c r="A30" s="836"/>
      <c r="I30" s="1143"/>
      <c r="J30" s="1143"/>
      <c r="K30" s="1143"/>
    </row>
    <row r="31" spans="1:26" x14ac:dyDescent="0.2">
      <c r="A31" s="836"/>
      <c r="I31" s="1143"/>
      <c r="J31" s="1143"/>
      <c r="K31" s="1143"/>
    </row>
    <row r="32" spans="1:26" ht="12.75" x14ac:dyDescent="0.2">
      <c r="A32" s="509">
        <v>5</v>
      </c>
      <c r="B32" s="509" t="s">
        <v>51</v>
      </c>
      <c r="C32" s="509"/>
    </row>
    <row r="33" spans="18:18" x14ac:dyDescent="0.2">
      <c r="R33" s="550"/>
    </row>
    <row r="34" spans="18:18" x14ac:dyDescent="0.2">
      <c r="R34" s="550"/>
    </row>
    <row r="35" spans="18:18" x14ac:dyDescent="0.2">
      <c r="R35" s="550"/>
    </row>
    <row r="36" spans="18:18" x14ac:dyDescent="0.2">
      <c r="R36" s="550"/>
    </row>
    <row r="37" spans="18:18" x14ac:dyDescent="0.2">
      <c r="R37" s="550"/>
    </row>
    <row r="38" spans="18:18" x14ac:dyDescent="0.2">
      <c r="R38" s="550"/>
    </row>
    <row r="39" spans="18:18" x14ac:dyDescent="0.2">
      <c r="R39" s="550"/>
    </row>
    <row r="40" spans="18:18" x14ac:dyDescent="0.2">
      <c r="R40" s="550"/>
    </row>
    <row r="41" spans="18:18" x14ac:dyDescent="0.2">
      <c r="R41" s="550"/>
    </row>
    <row r="42" spans="18:18" x14ac:dyDescent="0.2">
      <c r="R42" s="550"/>
    </row>
    <row r="43" spans="18:18" x14ac:dyDescent="0.2">
      <c r="R43" s="550"/>
    </row>
    <row r="44" spans="18:18" x14ac:dyDescent="0.2">
      <c r="R44" s="550"/>
    </row>
    <row r="45" spans="18:18" x14ac:dyDescent="0.2">
      <c r="R45" s="550"/>
    </row>
    <row r="54" spans="1:23" s="510" customFormat="1" ht="12.75" customHeight="1" x14ac:dyDescent="0.2">
      <c r="A54" s="860"/>
      <c r="B54" s="836"/>
      <c r="C54" s="836"/>
      <c r="D54" s="88"/>
      <c r="E54" s="88"/>
      <c r="F54" s="413"/>
      <c r="G54" s="413"/>
      <c r="H54" s="413"/>
      <c r="I54" s="413"/>
      <c r="J54" s="413"/>
      <c r="K54" s="413"/>
      <c r="L54" s="4169"/>
      <c r="M54" s="4169"/>
      <c r="N54" s="4169"/>
      <c r="O54" s="4169"/>
      <c r="P54" s="4169"/>
      <c r="Q54" s="4169"/>
      <c r="R54" s="4169"/>
      <c r="S54" s="4169"/>
      <c r="T54" s="4169"/>
      <c r="U54" s="4169"/>
      <c r="V54" s="4176"/>
      <c r="W54" s="4176"/>
    </row>
    <row r="55" spans="1:23" s="510" customFormat="1" ht="12.75" x14ac:dyDescent="0.2">
      <c r="A55" s="509">
        <v>6</v>
      </c>
      <c r="B55" s="509" t="s">
        <v>52</v>
      </c>
      <c r="C55" s="509"/>
      <c r="D55" s="4603" t="s">
        <v>2106</v>
      </c>
      <c r="E55" s="4604"/>
      <c r="F55" s="4604"/>
      <c r="G55" s="4604"/>
      <c r="H55" s="4604"/>
      <c r="I55" s="4604"/>
      <c r="J55" s="4604"/>
      <c r="K55" s="4604"/>
      <c r="L55" s="4604"/>
      <c r="M55" s="4604"/>
      <c r="N55" s="4604"/>
      <c r="O55" s="4604"/>
      <c r="P55" s="4604"/>
      <c r="Q55" s="4604"/>
      <c r="R55" s="4604"/>
      <c r="S55" s="4604"/>
      <c r="T55" s="4604"/>
      <c r="U55" s="4605"/>
      <c r="V55" s="4176"/>
      <c r="W55" s="4176"/>
    </row>
    <row r="56" spans="1:23" s="510" customFormat="1" ht="45.75" customHeight="1" x14ac:dyDescent="0.2">
      <c r="A56" s="509">
        <v>7</v>
      </c>
      <c r="B56" s="509" t="s">
        <v>56</v>
      </c>
      <c r="C56" s="509"/>
      <c r="D56" s="4603" t="s">
        <v>2107</v>
      </c>
      <c r="E56" s="4604"/>
      <c r="F56" s="4604"/>
      <c r="G56" s="4604"/>
      <c r="H56" s="4604"/>
      <c r="I56" s="4604"/>
      <c r="J56" s="4604"/>
      <c r="K56" s="4604"/>
      <c r="L56" s="4604"/>
      <c r="M56" s="4604"/>
      <c r="N56" s="4604"/>
      <c r="O56" s="4604"/>
      <c r="P56" s="4604"/>
      <c r="Q56" s="4604"/>
      <c r="R56" s="4604"/>
      <c r="S56" s="4604"/>
      <c r="T56" s="4604"/>
      <c r="U56" s="4605"/>
      <c r="V56" s="4176"/>
      <c r="W56" s="4176"/>
    </row>
    <row r="57" spans="1:23" ht="12.75" x14ac:dyDescent="0.2">
      <c r="A57" s="509">
        <v>8</v>
      </c>
      <c r="B57" s="546" t="s">
        <v>58</v>
      </c>
      <c r="C57" s="546"/>
      <c r="D57" s="4603" t="s">
        <v>2108</v>
      </c>
      <c r="E57" s="4604"/>
      <c r="F57" s="4604"/>
      <c r="G57" s="4604"/>
      <c r="H57" s="4604"/>
      <c r="I57" s="4604"/>
      <c r="J57" s="4604"/>
      <c r="K57" s="4604"/>
      <c r="L57" s="4604"/>
      <c r="M57" s="4604"/>
      <c r="N57" s="4604"/>
      <c r="O57" s="4604"/>
      <c r="P57" s="4604"/>
      <c r="Q57" s="4604"/>
      <c r="R57" s="4604"/>
      <c r="S57" s="4604"/>
      <c r="T57" s="4604"/>
      <c r="U57" s="4605"/>
    </row>
    <row r="58" spans="1:23" s="510" customFormat="1" ht="66" customHeight="1" x14ac:dyDescent="0.2">
      <c r="A58" s="509">
        <v>9</v>
      </c>
      <c r="B58" s="509" t="s">
        <v>54</v>
      </c>
      <c r="C58" s="509"/>
      <c r="D58" s="5138" t="s">
        <v>2109</v>
      </c>
      <c r="E58" s="5139"/>
      <c r="F58" s="5139"/>
      <c r="G58" s="5139"/>
      <c r="H58" s="5139"/>
      <c r="I58" s="5139"/>
      <c r="J58" s="5139"/>
      <c r="K58" s="5139"/>
      <c r="L58" s="5139"/>
      <c r="M58" s="5139"/>
      <c r="N58" s="5139"/>
      <c r="O58" s="5139"/>
      <c r="P58" s="5139"/>
      <c r="Q58" s="5139"/>
      <c r="R58" s="5139"/>
      <c r="S58" s="5139"/>
      <c r="T58" s="5139"/>
      <c r="U58" s="5140"/>
      <c r="V58" s="4176"/>
      <c r="W58" s="4176"/>
    </row>
  </sheetData>
  <mergeCells count="6">
    <mergeCell ref="D58:U58"/>
    <mergeCell ref="D3:U3"/>
    <mergeCell ref="D4:U4"/>
    <mergeCell ref="D55:U55"/>
    <mergeCell ref="D56:U56"/>
    <mergeCell ref="D57:U57"/>
  </mergeCells>
  <pageMargins left="0.74803149606299213" right="0.74803149606299213" top="0.98425196850393704" bottom="0.98425196850393704" header="0.51181102362204722" footer="0.51181102362204722"/>
  <pageSetup paperSize="9" scale="47" orientation="landscape" r:id="rId1"/>
  <headerFooter alignWithMargins="0">
    <oddHeader>&amp;C&amp;"-,Bold"DEVELOPMENT INDICATORS 2014</oddHeader>
    <oddFooter>&amp;LDepartment of Planning, Monitoring and Evaluation (DPME). &amp;CPage &amp;P of &amp;N&amp;R&amp;D</oddFooter>
  </headerFooter>
  <drawing r:id="rId2"/>
  <legacyDrawing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1A157-7978-4392-9489-CE0175ED2C53}">
  <sheetPr>
    <tabColor rgb="FFFFC000"/>
    <pageSetUpPr fitToPage="1"/>
  </sheetPr>
  <dimension ref="A1:AA65"/>
  <sheetViews>
    <sheetView showGridLines="0" view="pageBreakPreview" topLeftCell="A13" zoomScaleNormal="100" zoomScaleSheetLayoutView="100" workbookViewId="0">
      <selection activeCell="N14" sqref="N14"/>
    </sheetView>
  </sheetViews>
  <sheetFormatPr defaultColWidth="9.140625" defaultRowHeight="11.25" x14ac:dyDescent="0.2"/>
  <cols>
    <col min="1" max="1" width="3.85546875" style="860" customWidth="1"/>
    <col min="2" max="2" width="14.42578125" style="836" customWidth="1"/>
    <col min="3" max="3" width="3.85546875" style="836" customWidth="1"/>
    <col min="4" max="4" width="17.140625" style="88" customWidth="1"/>
    <col min="5" max="7" width="8.85546875" style="88" customWidth="1"/>
    <col min="8" max="8" width="7.85546875" style="88" customWidth="1"/>
    <col min="9" max="9" width="8.140625" style="88" customWidth="1"/>
    <col min="10" max="10" width="8" style="88" customWidth="1"/>
    <col min="11" max="11" width="6.85546875" style="88" customWidth="1"/>
    <col min="12" max="12" width="7.85546875" style="88" customWidth="1"/>
    <col min="13" max="13" width="7" style="88" customWidth="1"/>
    <col min="14" max="14" width="7.42578125" style="88" customWidth="1"/>
    <col min="15" max="15" width="6.42578125" style="88" customWidth="1"/>
    <col min="16" max="16" width="7.85546875" style="88" customWidth="1"/>
    <col min="17" max="17" width="7.5703125" style="88" customWidth="1"/>
    <col min="18" max="19" width="7.85546875" style="88" customWidth="1"/>
    <col min="20" max="20" width="6.85546875" style="88" customWidth="1"/>
    <col min="21" max="21" width="8.140625" style="88" customWidth="1"/>
    <col min="22" max="22" width="7.85546875" style="88" customWidth="1"/>
    <col min="23" max="23" width="6.5703125" style="88" bestFit="1" customWidth="1"/>
    <col min="24" max="24" width="8.42578125" style="88" customWidth="1"/>
    <col min="25" max="25" width="6.85546875" style="88" customWidth="1"/>
    <col min="26" max="26" width="7.42578125" style="88" customWidth="1"/>
    <col min="27" max="27" width="8.140625" style="88" customWidth="1"/>
    <col min="28" max="257" width="9.140625" style="88"/>
    <col min="258" max="258" width="3.85546875" style="88" customWidth="1"/>
    <col min="259" max="259" width="14.42578125" style="88" customWidth="1"/>
    <col min="260" max="260" width="3.85546875" style="88" customWidth="1"/>
    <col min="261" max="261" width="22.5703125" style="88" customWidth="1"/>
    <col min="262" max="271" width="8.85546875" style="88" customWidth="1"/>
    <col min="272" max="513" width="9.140625" style="88"/>
    <col min="514" max="514" width="3.85546875" style="88" customWidth="1"/>
    <col min="515" max="515" width="14.42578125" style="88" customWidth="1"/>
    <col min="516" max="516" width="3.85546875" style="88" customWidth="1"/>
    <col min="517" max="517" width="22.5703125" style="88" customWidth="1"/>
    <col min="518" max="527" width="8.85546875" style="88" customWidth="1"/>
    <col min="528" max="769" width="9.140625" style="88"/>
    <col min="770" max="770" width="3.85546875" style="88" customWidth="1"/>
    <col min="771" max="771" width="14.42578125" style="88" customWidth="1"/>
    <col min="772" max="772" width="3.85546875" style="88" customWidth="1"/>
    <col min="773" max="773" width="22.5703125" style="88" customWidth="1"/>
    <col min="774" max="783" width="8.85546875" style="88" customWidth="1"/>
    <col min="784" max="1025" width="9.140625" style="88"/>
    <col min="1026" max="1026" width="3.85546875" style="88" customWidth="1"/>
    <col min="1027" max="1027" width="14.42578125" style="88" customWidth="1"/>
    <col min="1028" max="1028" width="3.85546875" style="88" customWidth="1"/>
    <col min="1029" max="1029" width="22.5703125" style="88" customWidth="1"/>
    <col min="1030" max="1039" width="8.85546875" style="88" customWidth="1"/>
    <col min="1040" max="1281" width="9.140625" style="88"/>
    <col min="1282" max="1282" width="3.85546875" style="88" customWidth="1"/>
    <col min="1283" max="1283" width="14.42578125" style="88" customWidth="1"/>
    <col min="1284" max="1284" width="3.85546875" style="88" customWidth="1"/>
    <col min="1285" max="1285" width="22.5703125" style="88" customWidth="1"/>
    <col min="1286" max="1295" width="8.85546875" style="88" customWidth="1"/>
    <col min="1296" max="1537" width="9.140625" style="88"/>
    <col min="1538" max="1538" width="3.85546875" style="88" customWidth="1"/>
    <col min="1539" max="1539" width="14.42578125" style="88" customWidth="1"/>
    <col min="1540" max="1540" width="3.85546875" style="88" customWidth="1"/>
    <col min="1541" max="1541" width="22.5703125" style="88" customWidth="1"/>
    <col min="1542" max="1551" width="8.85546875" style="88" customWidth="1"/>
    <col min="1552" max="1793" width="9.140625" style="88"/>
    <col min="1794" max="1794" width="3.85546875" style="88" customWidth="1"/>
    <col min="1795" max="1795" width="14.42578125" style="88" customWidth="1"/>
    <col min="1796" max="1796" width="3.85546875" style="88" customWidth="1"/>
    <col min="1797" max="1797" width="22.5703125" style="88" customWidth="1"/>
    <col min="1798" max="1807" width="8.85546875" style="88" customWidth="1"/>
    <col min="1808" max="2049" width="9.140625" style="88"/>
    <col min="2050" max="2050" width="3.85546875" style="88" customWidth="1"/>
    <col min="2051" max="2051" width="14.42578125" style="88" customWidth="1"/>
    <col min="2052" max="2052" width="3.85546875" style="88" customWidth="1"/>
    <col min="2053" max="2053" width="22.5703125" style="88" customWidth="1"/>
    <col min="2054" max="2063" width="8.85546875" style="88" customWidth="1"/>
    <col min="2064" max="2305" width="9.140625" style="88"/>
    <col min="2306" max="2306" width="3.85546875" style="88" customWidth="1"/>
    <col min="2307" max="2307" width="14.42578125" style="88" customWidth="1"/>
    <col min="2308" max="2308" width="3.85546875" style="88" customWidth="1"/>
    <col min="2309" max="2309" width="22.5703125" style="88" customWidth="1"/>
    <col min="2310" max="2319" width="8.85546875" style="88" customWidth="1"/>
    <col min="2320" max="2561" width="9.140625" style="88"/>
    <col min="2562" max="2562" width="3.85546875" style="88" customWidth="1"/>
    <col min="2563" max="2563" width="14.42578125" style="88" customWidth="1"/>
    <col min="2564" max="2564" width="3.85546875" style="88" customWidth="1"/>
    <col min="2565" max="2565" width="22.5703125" style="88" customWidth="1"/>
    <col min="2566" max="2575" width="8.85546875" style="88" customWidth="1"/>
    <col min="2576" max="2817" width="9.140625" style="88"/>
    <col min="2818" max="2818" width="3.85546875" style="88" customWidth="1"/>
    <col min="2819" max="2819" width="14.42578125" style="88" customWidth="1"/>
    <col min="2820" max="2820" width="3.85546875" style="88" customWidth="1"/>
    <col min="2821" max="2821" width="22.5703125" style="88" customWidth="1"/>
    <col min="2822" max="2831" width="8.85546875" style="88" customWidth="1"/>
    <col min="2832" max="3073" width="9.140625" style="88"/>
    <col min="3074" max="3074" width="3.85546875" style="88" customWidth="1"/>
    <col min="3075" max="3075" width="14.42578125" style="88" customWidth="1"/>
    <col min="3076" max="3076" width="3.85546875" style="88" customWidth="1"/>
    <col min="3077" max="3077" width="22.5703125" style="88" customWidth="1"/>
    <col min="3078" max="3087" width="8.85546875" style="88" customWidth="1"/>
    <col min="3088" max="3329" width="9.140625" style="88"/>
    <col min="3330" max="3330" width="3.85546875" style="88" customWidth="1"/>
    <col min="3331" max="3331" width="14.42578125" style="88" customWidth="1"/>
    <col min="3332" max="3332" width="3.85546875" style="88" customWidth="1"/>
    <col min="3333" max="3333" width="22.5703125" style="88" customWidth="1"/>
    <col min="3334" max="3343" width="8.85546875" style="88" customWidth="1"/>
    <col min="3344" max="3585" width="9.140625" style="88"/>
    <col min="3586" max="3586" width="3.85546875" style="88" customWidth="1"/>
    <col min="3587" max="3587" width="14.42578125" style="88" customWidth="1"/>
    <col min="3588" max="3588" width="3.85546875" style="88" customWidth="1"/>
    <col min="3589" max="3589" width="22.5703125" style="88" customWidth="1"/>
    <col min="3590" max="3599" width="8.85546875" style="88" customWidth="1"/>
    <col min="3600" max="3841" width="9.140625" style="88"/>
    <col min="3842" max="3842" width="3.85546875" style="88" customWidth="1"/>
    <col min="3843" max="3843" width="14.42578125" style="88" customWidth="1"/>
    <col min="3844" max="3844" width="3.85546875" style="88" customWidth="1"/>
    <col min="3845" max="3845" width="22.5703125" style="88" customWidth="1"/>
    <col min="3846" max="3855" width="8.85546875" style="88" customWidth="1"/>
    <col min="3856" max="4097" width="9.140625" style="88"/>
    <col min="4098" max="4098" width="3.85546875" style="88" customWidth="1"/>
    <col min="4099" max="4099" width="14.42578125" style="88" customWidth="1"/>
    <col min="4100" max="4100" width="3.85546875" style="88" customWidth="1"/>
    <col min="4101" max="4101" width="22.5703125" style="88" customWidth="1"/>
    <col min="4102" max="4111" width="8.85546875" style="88" customWidth="1"/>
    <col min="4112" max="4353" width="9.140625" style="88"/>
    <col min="4354" max="4354" width="3.85546875" style="88" customWidth="1"/>
    <col min="4355" max="4355" width="14.42578125" style="88" customWidth="1"/>
    <col min="4356" max="4356" width="3.85546875" style="88" customWidth="1"/>
    <col min="4357" max="4357" width="22.5703125" style="88" customWidth="1"/>
    <col min="4358" max="4367" width="8.85546875" style="88" customWidth="1"/>
    <col min="4368" max="4609" width="9.140625" style="88"/>
    <col min="4610" max="4610" width="3.85546875" style="88" customWidth="1"/>
    <col min="4611" max="4611" width="14.42578125" style="88" customWidth="1"/>
    <col min="4612" max="4612" width="3.85546875" style="88" customWidth="1"/>
    <col min="4613" max="4613" width="22.5703125" style="88" customWidth="1"/>
    <col min="4614" max="4623" width="8.85546875" style="88" customWidth="1"/>
    <col min="4624" max="4865" width="9.140625" style="88"/>
    <col min="4866" max="4866" width="3.85546875" style="88" customWidth="1"/>
    <col min="4867" max="4867" width="14.42578125" style="88" customWidth="1"/>
    <col min="4868" max="4868" width="3.85546875" style="88" customWidth="1"/>
    <col min="4869" max="4869" width="22.5703125" style="88" customWidth="1"/>
    <col min="4870" max="4879" width="8.85546875" style="88" customWidth="1"/>
    <col min="4880" max="5121" width="9.140625" style="88"/>
    <col min="5122" max="5122" width="3.85546875" style="88" customWidth="1"/>
    <col min="5123" max="5123" width="14.42578125" style="88" customWidth="1"/>
    <col min="5124" max="5124" width="3.85546875" style="88" customWidth="1"/>
    <col min="5125" max="5125" width="22.5703125" style="88" customWidth="1"/>
    <col min="5126" max="5135" width="8.85546875" style="88" customWidth="1"/>
    <col min="5136" max="5377" width="9.140625" style="88"/>
    <col min="5378" max="5378" width="3.85546875" style="88" customWidth="1"/>
    <col min="5379" max="5379" width="14.42578125" style="88" customWidth="1"/>
    <col min="5380" max="5380" width="3.85546875" style="88" customWidth="1"/>
    <col min="5381" max="5381" width="22.5703125" style="88" customWidth="1"/>
    <col min="5382" max="5391" width="8.85546875" style="88" customWidth="1"/>
    <col min="5392" max="5633" width="9.140625" style="88"/>
    <col min="5634" max="5634" width="3.85546875" style="88" customWidth="1"/>
    <col min="5635" max="5635" width="14.42578125" style="88" customWidth="1"/>
    <col min="5636" max="5636" width="3.85546875" style="88" customWidth="1"/>
    <col min="5637" max="5637" width="22.5703125" style="88" customWidth="1"/>
    <col min="5638" max="5647" width="8.85546875" style="88" customWidth="1"/>
    <col min="5648" max="5889" width="9.140625" style="88"/>
    <col min="5890" max="5890" width="3.85546875" style="88" customWidth="1"/>
    <col min="5891" max="5891" width="14.42578125" style="88" customWidth="1"/>
    <col min="5892" max="5892" width="3.85546875" style="88" customWidth="1"/>
    <col min="5893" max="5893" width="22.5703125" style="88" customWidth="1"/>
    <col min="5894" max="5903" width="8.85546875" style="88" customWidth="1"/>
    <col min="5904" max="6145" width="9.140625" style="88"/>
    <col min="6146" max="6146" width="3.85546875" style="88" customWidth="1"/>
    <col min="6147" max="6147" width="14.42578125" style="88" customWidth="1"/>
    <col min="6148" max="6148" width="3.85546875" style="88" customWidth="1"/>
    <col min="6149" max="6149" width="22.5703125" style="88" customWidth="1"/>
    <col min="6150" max="6159" width="8.85546875" style="88" customWidth="1"/>
    <col min="6160" max="6401" width="9.140625" style="88"/>
    <col min="6402" max="6402" width="3.85546875" style="88" customWidth="1"/>
    <col min="6403" max="6403" width="14.42578125" style="88" customWidth="1"/>
    <col min="6404" max="6404" width="3.85546875" style="88" customWidth="1"/>
    <col min="6405" max="6405" width="22.5703125" style="88" customWidth="1"/>
    <col min="6406" max="6415" width="8.85546875" style="88" customWidth="1"/>
    <col min="6416" max="6657" width="9.140625" style="88"/>
    <col min="6658" max="6658" width="3.85546875" style="88" customWidth="1"/>
    <col min="6659" max="6659" width="14.42578125" style="88" customWidth="1"/>
    <col min="6660" max="6660" width="3.85546875" style="88" customWidth="1"/>
    <col min="6661" max="6661" width="22.5703125" style="88" customWidth="1"/>
    <col min="6662" max="6671" width="8.85546875" style="88" customWidth="1"/>
    <col min="6672" max="6913" width="9.140625" style="88"/>
    <col min="6914" max="6914" width="3.85546875" style="88" customWidth="1"/>
    <col min="6915" max="6915" width="14.42578125" style="88" customWidth="1"/>
    <col min="6916" max="6916" width="3.85546875" style="88" customWidth="1"/>
    <col min="6917" max="6917" width="22.5703125" style="88" customWidth="1"/>
    <col min="6918" max="6927" width="8.85546875" style="88" customWidth="1"/>
    <col min="6928" max="7169" width="9.140625" style="88"/>
    <col min="7170" max="7170" width="3.85546875" style="88" customWidth="1"/>
    <col min="7171" max="7171" width="14.42578125" style="88" customWidth="1"/>
    <col min="7172" max="7172" width="3.85546875" style="88" customWidth="1"/>
    <col min="7173" max="7173" width="22.5703125" style="88" customWidth="1"/>
    <col min="7174" max="7183" width="8.85546875" style="88" customWidth="1"/>
    <col min="7184" max="7425" width="9.140625" style="88"/>
    <col min="7426" max="7426" width="3.85546875" style="88" customWidth="1"/>
    <col min="7427" max="7427" width="14.42578125" style="88" customWidth="1"/>
    <col min="7428" max="7428" width="3.85546875" style="88" customWidth="1"/>
    <col min="7429" max="7429" width="22.5703125" style="88" customWidth="1"/>
    <col min="7430" max="7439" width="8.85546875" style="88" customWidth="1"/>
    <col min="7440" max="7681" width="9.140625" style="88"/>
    <col min="7682" max="7682" width="3.85546875" style="88" customWidth="1"/>
    <col min="7683" max="7683" width="14.42578125" style="88" customWidth="1"/>
    <col min="7684" max="7684" width="3.85546875" style="88" customWidth="1"/>
    <col min="7685" max="7685" width="22.5703125" style="88" customWidth="1"/>
    <col min="7686" max="7695" width="8.85546875" style="88" customWidth="1"/>
    <col min="7696" max="7937" width="9.140625" style="88"/>
    <col min="7938" max="7938" width="3.85546875" style="88" customWidth="1"/>
    <col min="7939" max="7939" width="14.42578125" style="88" customWidth="1"/>
    <col min="7940" max="7940" width="3.85546875" style="88" customWidth="1"/>
    <col min="7941" max="7941" width="22.5703125" style="88" customWidth="1"/>
    <col min="7942" max="7951" width="8.85546875" style="88" customWidth="1"/>
    <col min="7952" max="8193" width="9.140625" style="88"/>
    <col min="8194" max="8194" width="3.85546875" style="88" customWidth="1"/>
    <col min="8195" max="8195" width="14.42578125" style="88" customWidth="1"/>
    <col min="8196" max="8196" width="3.85546875" style="88" customWidth="1"/>
    <col min="8197" max="8197" width="22.5703125" style="88" customWidth="1"/>
    <col min="8198" max="8207" width="8.85546875" style="88" customWidth="1"/>
    <col min="8208" max="8449" width="9.140625" style="88"/>
    <col min="8450" max="8450" width="3.85546875" style="88" customWidth="1"/>
    <col min="8451" max="8451" width="14.42578125" style="88" customWidth="1"/>
    <col min="8452" max="8452" width="3.85546875" style="88" customWidth="1"/>
    <col min="8453" max="8453" width="22.5703125" style="88" customWidth="1"/>
    <col min="8454" max="8463" width="8.85546875" style="88" customWidth="1"/>
    <col min="8464" max="8705" width="9.140625" style="88"/>
    <col min="8706" max="8706" width="3.85546875" style="88" customWidth="1"/>
    <col min="8707" max="8707" width="14.42578125" style="88" customWidth="1"/>
    <col min="8708" max="8708" width="3.85546875" style="88" customWidth="1"/>
    <col min="8709" max="8709" width="22.5703125" style="88" customWidth="1"/>
    <col min="8710" max="8719" width="8.85546875" style="88" customWidth="1"/>
    <col min="8720" max="8961" width="9.140625" style="88"/>
    <col min="8962" max="8962" width="3.85546875" style="88" customWidth="1"/>
    <col min="8963" max="8963" width="14.42578125" style="88" customWidth="1"/>
    <col min="8964" max="8964" width="3.85546875" style="88" customWidth="1"/>
    <col min="8965" max="8965" width="22.5703125" style="88" customWidth="1"/>
    <col min="8966" max="8975" width="8.85546875" style="88" customWidth="1"/>
    <col min="8976" max="9217" width="9.140625" style="88"/>
    <col min="9218" max="9218" width="3.85546875" style="88" customWidth="1"/>
    <col min="9219" max="9219" width="14.42578125" style="88" customWidth="1"/>
    <col min="9220" max="9220" width="3.85546875" style="88" customWidth="1"/>
    <col min="9221" max="9221" width="22.5703125" style="88" customWidth="1"/>
    <col min="9222" max="9231" width="8.85546875" style="88" customWidth="1"/>
    <col min="9232" max="9473" width="9.140625" style="88"/>
    <col min="9474" max="9474" width="3.85546875" style="88" customWidth="1"/>
    <col min="9475" max="9475" width="14.42578125" style="88" customWidth="1"/>
    <col min="9476" max="9476" width="3.85546875" style="88" customWidth="1"/>
    <col min="9477" max="9477" width="22.5703125" style="88" customWidth="1"/>
    <col min="9478" max="9487" width="8.85546875" style="88" customWidth="1"/>
    <col min="9488" max="9729" width="9.140625" style="88"/>
    <col min="9730" max="9730" width="3.85546875" style="88" customWidth="1"/>
    <col min="9731" max="9731" width="14.42578125" style="88" customWidth="1"/>
    <col min="9732" max="9732" width="3.85546875" style="88" customWidth="1"/>
    <col min="9733" max="9733" width="22.5703125" style="88" customWidth="1"/>
    <col min="9734" max="9743" width="8.85546875" style="88" customWidth="1"/>
    <col min="9744" max="9985" width="9.140625" style="88"/>
    <col min="9986" max="9986" width="3.85546875" style="88" customWidth="1"/>
    <col min="9987" max="9987" width="14.42578125" style="88" customWidth="1"/>
    <col min="9988" max="9988" width="3.85546875" style="88" customWidth="1"/>
    <col min="9989" max="9989" width="22.5703125" style="88" customWidth="1"/>
    <col min="9990" max="9999" width="8.85546875" style="88" customWidth="1"/>
    <col min="10000" max="10241" width="9.140625" style="88"/>
    <col min="10242" max="10242" width="3.85546875" style="88" customWidth="1"/>
    <col min="10243" max="10243" width="14.42578125" style="88" customWidth="1"/>
    <col min="10244" max="10244" width="3.85546875" style="88" customWidth="1"/>
    <col min="10245" max="10245" width="22.5703125" style="88" customWidth="1"/>
    <col min="10246" max="10255" width="8.85546875" style="88" customWidth="1"/>
    <col min="10256" max="10497" width="9.140625" style="88"/>
    <col min="10498" max="10498" width="3.85546875" style="88" customWidth="1"/>
    <col min="10499" max="10499" width="14.42578125" style="88" customWidth="1"/>
    <col min="10500" max="10500" width="3.85546875" style="88" customWidth="1"/>
    <col min="10501" max="10501" width="22.5703125" style="88" customWidth="1"/>
    <col min="10502" max="10511" width="8.85546875" style="88" customWidth="1"/>
    <col min="10512" max="10753" width="9.140625" style="88"/>
    <col min="10754" max="10754" width="3.85546875" style="88" customWidth="1"/>
    <col min="10755" max="10755" width="14.42578125" style="88" customWidth="1"/>
    <col min="10756" max="10756" width="3.85546875" style="88" customWidth="1"/>
    <col min="10757" max="10757" width="22.5703125" style="88" customWidth="1"/>
    <col min="10758" max="10767" width="8.85546875" style="88" customWidth="1"/>
    <col min="10768" max="11009" width="9.140625" style="88"/>
    <col min="11010" max="11010" width="3.85546875" style="88" customWidth="1"/>
    <col min="11011" max="11011" width="14.42578125" style="88" customWidth="1"/>
    <col min="11012" max="11012" width="3.85546875" style="88" customWidth="1"/>
    <col min="11013" max="11013" width="22.5703125" style="88" customWidth="1"/>
    <col min="11014" max="11023" width="8.85546875" style="88" customWidth="1"/>
    <col min="11024" max="11265" width="9.140625" style="88"/>
    <col min="11266" max="11266" width="3.85546875" style="88" customWidth="1"/>
    <col min="11267" max="11267" width="14.42578125" style="88" customWidth="1"/>
    <col min="11268" max="11268" width="3.85546875" style="88" customWidth="1"/>
    <col min="11269" max="11269" width="22.5703125" style="88" customWidth="1"/>
    <col min="11270" max="11279" width="8.85546875" style="88" customWidth="1"/>
    <col min="11280" max="11521" width="9.140625" style="88"/>
    <col min="11522" max="11522" width="3.85546875" style="88" customWidth="1"/>
    <col min="11523" max="11523" width="14.42578125" style="88" customWidth="1"/>
    <col min="11524" max="11524" width="3.85546875" style="88" customWidth="1"/>
    <col min="11525" max="11525" width="22.5703125" style="88" customWidth="1"/>
    <col min="11526" max="11535" width="8.85546875" style="88" customWidth="1"/>
    <col min="11536" max="11777" width="9.140625" style="88"/>
    <col min="11778" max="11778" width="3.85546875" style="88" customWidth="1"/>
    <col min="11779" max="11779" width="14.42578125" style="88" customWidth="1"/>
    <col min="11780" max="11780" width="3.85546875" style="88" customWidth="1"/>
    <col min="11781" max="11781" width="22.5703125" style="88" customWidth="1"/>
    <col min="11782" max="11791" width="8.85546875" style="88" customWidth="1"/>
    <col min="11792" max="12033" width="9.140625" style="88"/>
    <col min="12034" max="12034" width="3.85546875" style="88" customWidth="1"/>
    <col min="12035" max="12035" width="14.42578125" style="88" customWidth="1"/>
    <col min="12036" max="12036" width="3.85546875" style="88" customWidth="1"/>
    <col min="12037" max="12037" width="22.5703125" style="88" customWidth="1"/>
    <col min="12038" max="12047" width="8.85546875" style="88" customWidth="1"/>
    <col min="12048" max="12289" width="9.140625" style="88"/>
    <col min="12290" max="12290" width="3.85546875" style="88" customWidth="1"/>
    <col min="12291" max="12291" width="14.42578125" style="88" customWidth="1"/>
    <col min="12292" max="12292" width="3.85546875" style="88" customWidth="1"/>
    <col min="12293" max="12293" width="22.5703125" style="88" customWidth="1"/>
    <col min="12294" max="12303" width="8.85546875" style="88" customWidth="1"/>
    <col min="12304" max="12545" width="9.140625" style="88"/>
    <col min="12546" max="12546" width="3.85546875" style="88" customWidth="1"/>
    <col min="12547" max="12547" width="14.42578125" style="88" customWidth="1"/>
    <col min="12548" max="12548" width="3.85546875" style="88" customWidth="1"/>
    <col min="12549" max="12549" width="22.5703125" style="88" customWidth="1"/>
    <col min="12550" max="12559" width="8.85546875" style="88" customWidth="1"/>
    <col min="12560" max="12801" width="9.140625" style="88"/>
    <col min="12802" max="12802" width="3.85546875" style="88" customWidth="1"/>
    <col min="12803" max="12803" width="14.42578125" style="88" customWidth="1"/>
    <col min="12804" max="12804" width="3.85546875" style="88" customWidth="1"/>
    <col min="12805" max="12805" width="22.5703125" style="88" customWidth="1"/>
    <col min="12806" max="12815" width="8.85546875" style="88" customWidth="1"/>
    <col min="12816" max="13057" width="9.140625" style="88"/>
    <col min="13058" max="13058" width="3.85546875" style="88" customWidth="1"/>
    <col min="13059" max="13059" width="14.42578125" style="88" customWidth="1"/>
    <col min="13060" max="13060" width="3.85546875" style="88" customWidth="1"/>
    <col min="13061" max="13061" width="22.5703125" style="88" customWidth="1"/>
    <col min="13062" max="13071" width="8.85546875" style="88" customWidth="1"/>
    <col min="13072" max="13313" width="9.140625" style="88"/>
    <col min="13314" max="13314" width="3.85546875" style="88" customWidth="1"/>
    <col min="13315" max="13315" width="14.42578125" style="88" customWidth="1"/>
    <col min="13316" max="13316" width="3.85546875" style="88" customWidth="1"/>
    <col min="13317" max="13317" width="22.5703125" style="88" customWidth="1"/>
    <col min="13318" max="13327" width="8.85546875" style="88" customWidth="1"/>
    <col min="13328" max="13569" width="9.140625" style="88"/>
    <col min="13570" max="13570" width="3.85546875" style="88" customWidth="1"/>
    <col min="13571" max="13571" width="14.42578125" style="88" customWidth="1"/>
    <col min="13572" max="13572" width="3.85546875" style="88" customWidth="1"/>
    <col min="13573" max="13573" width="22.5703125" style="88" customWidth="1"/>
    <col min="13574" max="13583" width="8.85546875" style="88" customWidth="1"/>
    <col min="13584" max="13825" width="9.140625" style="88"/>
    <col min="13826" max="13826" width="3.85546875" style="88" customWidth="1"/>
    <col min="13827" max="13827" width="14.42578125" style="88" customWidth="1"/>
    <col min="13828" max="13828" width="3.85546875" style="88" customWidth="1"/>
    <col min="13829" max="13829" width="22.5703125" style="88" customWidth="1"/>
    <col min="13830" max="13839" width="8.85546875" style="88" customWidth="1"/>
    <col min="13840" max="14081" width="9.140625" style="88"/>
    <col min="14082" max="14082" width="3.85546875" style="88" customWidth="1"/>
    <col min="14083" max="14083" width="14.42578125" style="88" customWidth="1"/>
    <col min="14084" max="14084" width="3.85546875" style="88" customWidth="1"/>
    <col min="14085" max="14085" width="22.5703125" style="88" customWidth="1"/>
    <col min="14086" max="14095" width="8.85546875" style="88" customWidth="1"/>
    <col min="14096" max="14337" width="9.140625" style="88"/>
    <col min="14338" max="14338" width="3.85546875" style="88" customWidth="1"/>
    <col min="14339" max="14339" width="14.42578125" style="88" customWidth="1"/>
    <col min="14340" max="14340" width="3.85546875" style="88" customWidth="1"/>
    <col min="14341" max="14341" width="22.5703125" style="88" customWidth="1"/>
    <col min="14342" max="14351" width="8.85546875" style="88" customWidth="1"/>
    <col min="14352" max="14593" width="9.140625" style="88"/>
    <col min="14594" max="14594" width="3.85546875" style="88" customWidth="1"/>
    <col min="14595" max="14595" width="14.42578125" style="88" customWidth="1"/>
    <col min="14596" max="14596" width="3.85546875" style="88" customWidth="1"/>
    <col min="14597" max="14597" width="22.5703125" style="88" customWidth="1"/>
    <col min="14598" max="14607" width="8.85546875" style="88" customWidth="1"/>
    <col min="14608" max="14849" width="9.140625" style="88"/>
    <col min="14850" max="14850" width="3.85546875" style="88" customWidth="1"/>
    <col min="14851" max="14851" width="14.42578125" style="88" customWidth="1"/>
    <col min="14852" max="14852" width="3.85546875" style="88" customWidth="1"/>
    <col min="14853" max="14853" width="22.5703125" style="88" customWidth="1"/>
    <col min="14854" max="14863" width="8.85546875" style="88" customWidth="1"/>
    <col min="14864" max="15105" width="9.140625" style="88"/>
    <col min="15106" max="15106" width="3.85546875" style="88" customWidth="1"/>
    <col min="15107" max="15107" width="14.42578125" style="88" customWidth="1"/>
    <col min="15108" max="15108" width="3.85546875" style="88" customWidth="1"/>
    <col min="15109" max="15109" width="22.5703125" style="88" customWidth="1"/>
    <col min="15110" max="15119" width="8.85546875" style="88" customWidth="1"/>
    <col min="15120" max="15361" width="9.140625" style="88"/>
    <col min="15362" max="15362" width="3.85546875" style="88" customWidth="1"/>
    <col min="15363" max="15363" width="14.42578125" style="88" customWidth="1"/>
    <col min="15364" max="15364" width="3.85546875" style="88" customWidth="1"/>
    <col min="15365" max="15365" width="22.5703125" style="88" customWidth="1"/>
    <col min="15366" max="15375" width="8.85546875" style="88" customWidth="1"/>
    <col min="15376" max="15617" width="9.140625" style="88"/>
    <col min="15618" max="15618" width="3.85546875" style="88" customWidth="1"/>
    <col min="15619" max="15619" width="14.42578125" style="88" customWidth="1"/>
    <col min="15620" max="15620" width="3.85546875" style="88" customWidth="1"/>
    <col min="15621" max="15621" width="22.5703125" style="88" customWidth="1"/>
    <col min="15622" max="15631" width="8.85546875" style="88" customWidth="1"/>
    <col min="15632" max="15873" width="9.140625" style="88"/>
    <col min="15874" max="15874" width="3.85546875" style="88" customWidth="1"/>
    <col min="15875" max="15875" width="14.42578125" style="88" customWidth="1"/>
    <col min="15876" max="15876" width="3.85546875" style="88" customWidth="1"/>
    <col min="15877" max="15877" width="22.5703125" style="88" customWidth="1"/>
    <col min="15878" max="15887" width="8.85546875" style="88" customWidth="1"/>
    <col min="15888" max="16129" width="9.140625" style="88"/>
    <col min="16130" max="16130" width="3.85546875" style="88" customWidth="1"/>
    <col min="16131" max="16131" width="14.42578125" style="88" customWidth="1"/>
    <col min="16132" max="16132" width="3.85546875" style="88" customWidth="1"/>
    <col min="16133" max="16133" width="22.5703125" style="88" customWidth="1"/>
    <col min="16134" max="16143" width="8.85546875" style="88" customWidth="1"/>
    <col min="16144" max="16384" width="9.140625" style="88"/>
  </cols>
  <sheetData>
    <row r="1" spans="1:24" ht="12.75" customHeight="1" x14ac:dyDescent="0.2">
      <c r="A1" s="509"/>
      <c r="B1" s="309"/>
      <c r="C1" s="309"/>
      <c r="D1" s="510"/>
      <c r="E1" s="510"/>
      <c r="F1" s="510"/>
      <c r="G1" s="510"/>
      <c r="H1" s="510"/>
      <c r="I1" s="510"/>
      <c r="J1" s="510"/>
      <c r="K1" s="510"/>
      <c r="L1" s="510"/>
      <c r="M1" s="510"/>
      <c r="N1" s="510"/>
      <c r="O1" s="510"/>
      <c r="P1" s="510"/>
      <c r="Q1" s="510"/>
      <c r="R1" s="510"/>
      <c r="S1" s="510"/>
      <c r="T1" s="510"/>
      <c r="U1" s="510"/>
    </row>
    <row r="2" spans="1:24" ht="16.5" customHeight="1" x14ac:dyDescent="0.2">
      <c r="A2" s="509">
        <v>1</v>
      </c>
      <c r="B2" s="509" t="s">
        <v>361</v>
      </c>
      <c r="C2" s="509">
        <v>84</v>
      </c>
      <c r="D2" s="4603" t="s">
        <v>2110</v>
      </c>
      <c r="E2" s="4604"/>
      <c r="F2" s="4604"/>
      <c r="G2" s="4604"/>
      <c r="H2" s="4604"/>
      <c r="I2" s="4604"/>
      <c r="J2" s="4604"/>
      <c r="K2" s="4604"/>
      <c r="L2" s="4604"/>
      <c r="M2" s="4604"/>
      <c r="N2" s="4604"/>
      <c r="O2" s="4604"/>
      <c r="P2" s="4604"/>
      <c r="Q2" s="4604"/>
      <c r="R2" s="4604"/>
      <c r="S2" s="4604"/>
      <c r="T2" s="4604"/>
      <c r="U2" s="4605"/>
    </row>
    <row r="3" spans="1:24" ht="15.75" customHeight="1" x14ac:dyDescent="0.2">
      <c r="A3" s="509">
        <v>2</v>
      </c>
      <c r="B3" s="509" t="s">
        <v>363</v>
      </c>
      <c r="C3" s="509"/>
      <c r="D3" s="3781" t="s">
        <v>2111</v>
      </c>
      <c r="E3" s="3753"/>
      <c r="F3" s="3753"/>
      <c r="G3" s="3753"/>
      <c r="H3" s="3753"/>
      <c r="I3" s="3753"/>
      <c r="J3" s="3753"/>
      <c r="K3" s="3753"/>
      <c r="L3" s="3753"/>
      <c r="M3" s="3753"/>
      <c r="N3" s="3753"/>
      <c r="O3" s="3753"/>
      <c r="P3" s="3753"/>
      <c r="Q3" s="3753"/>
      <c r="R3" s="3753"/>
      <c r="S3" s="3753"/>
      <c r="T3" s="3753"/>
      <c r="U3" s="3782"/>
    </row>
    <row r="4" spans="1:24" ht="27.75" customHeight="1" x14ac:dyDescent="0.2">
      <c r="A4" s="509">
        <v>3</v>
      </c>
      <c r="B4" s="509" t="s">
        <v>4</v>
      </c>
      <c r="C4" s="509"/>
      <c r="D4" s="4603" t="s">
        <v>2112</v>
      </c>
      <c r="E4" s="4604"/>
      <c r="F4" s="4604"/>
      <c r="G4" s="4604"/>
      <c r="H4" s="4604"/>
      <c r="I4" s="4604"/>
      <c r="J4" s="4604"/>
      <c r="K4" s="4604"/>
      <c r="L4" s="4604"/>
      <c r="M4" s="4604"/>
      <c r="N4" s="4604"/>
      <c r="O4" s="4604"/>
      <c r="P4" s="4604"/>
      <c r="Q4" s="4604"/>
      <c r="R4" s="4604"/>
      <c r="S4" s="4604"/>
      <c r="T4" s="4604"/>
      <c r="U4" s="4605"/>
    </row>
    <row r="5" spans="1:24" ht="43.5" customHeight="1" x14ac:dyDescent="0.2">
      <c r="A5" s="509">
        <v>4</v>
      </c>
      <c r="B5" s="509" t="s">
        <v>2057</v>
      </c>
      <c r="C5" s="509"/>
      <c r="D5" s="4603" t="s">
        <v>2113</v>
      </c>
      <c r="E5" s="4604"/>
      <c r="F5" s="4604"/>
      <c r="G5" s="4604"/>
      <c r="H5" s="4604"/>
      <c r="I5" s="4604"/>
      <c r="J5" s="4604"/>
      <c r="K5" s="4604"/>
      <c r="L5" s="4604"/>
      <c r="M5" s="4604"/>
      <c r="N5" s="4604"/>
      <c r="O5" s="4604"/>
      <c r="P5" s="4604"/>
      <c r="Q5" s="4604"/>
      <c r="R5" s="4604"/>
      <c r="S5" s="4604"/>
      <c r="T5" s="4604"/>
      <c r="U5" s="4605"/>
    </row>
    <row r="6" spans="1:24" ht="12.75" customHeight="1" x14ac:dyDescent="0.2">
      <c r="A6" s="2187"/>
      <c r="B6" s="509"/>
      <c r="C6" s="509"/>
      <c r="D6" s="510"/>
      <c r="E6" s="510"/>
      <c r="F6" s="510"/>
      <c r="G6" s="510"/>
      <c r="H6" s="510"/>
      <c r="I6" s="510"/>
      <c r="J6" s="510"/>
      <c r="K6" s="510"/>
      <c r="L6" s="510"/>
      <c r="M6" s="510"/>
      <c r="N6" s="510"/>
      <c r="O6" s="510"/>
      <c r="P6" s="510"/>
      <c r="Q6" s="510"/>
      <c r="R6" s="510"/>
      <c r="S6" s="510"/>
      <c r="T6" s="510"/>
      <c r="U6" s="510"/>
    </row>
    <row r="7" spans="1:24" ht="12.75" customHeight="1" x14ac:dyDescent="0.2">
      <c r="A7" s="509">
        <v>5</v>
      </c>
      <c r="B7" s="509" t="s">
        <v>6</v>
      </c>
      <c r="D7" s="981" t="s">
        <v>858</v>
      </c>
      <c r="E7" s="981" t="s">
        <v>2114</v>
      </c>
      <c r="F7" s="510"/>
      <c r="G7" s="510"/>
      <c r="H7" s="510"/>
      <c r="I7" s="510"/>
      <c r="J7" s="510"/>
      <c r="K7" s="510"/>
      <c r="L7" s="510"/>
      <c r="M7" s="1835"/>
      <c r="N7" s="1835"/>
      <c r="O7" s="1835"/>
    </row>
    <row r="8" spans="1:24" ht="19.5" customHeight="1" x14ac:dyDescent="0.2">
      <c r="D8" s="2945"/>
      <c r="E8" s="2424" t="s">
        <v>14</v>
      </c>
      <c r="F8" s="2424" t="s">
        <v>15</v>
      </c>
      <c r="G8" s="2424" t="s">
        <v>16</v>
      </c>
      <c r="H8" s="2424" t="s">
        <v>17</v>
      </c>
      <c r="I8" s="2424" t="s">
        <v>18</v>
      </c>
      <c r="J8" s="2424" t="s">
        <v>19</v>
      </c>
      <c r="K8" s="2424" t="s">
        <v>20</v>
      </c>
      <c r="L8" s="2424" t="s">
        <v>21</v>
      </c>
      <c r="M8" s="2424" t="s">
        <v>22</v>
      </c>
      <c r="N8" s="3155" t="s">
        <v>23</v>
      </c>
      <c r="O8" s="3099" t="s">
        <v>24</v>
      </c>
      <c r="P8" s="3155" t="s">
        <v>25</v>
      </c>
      <c r="Q8" s="3155" t="s">
        <v>26</v>
      </c>
      <c r="R8" s="3155" t="s">
        <v>27</v>
      </c>
      <c r="S8" s="3155" t="s">
        <v>28</v>
      </c>
      <c r="T8" s="3155" t="s">
        <v>30</v>
      </c>
      <c r="U8" s="3155" t="s">
        <v>31</v>
      </c>
      <c r="V8" s="3155" t="s">
        <v>32</v>
      </c>
      <c r="W8" s="2953" t="s">
        <v>33</v>
      </c>
      <c r="X8" s="3155" t="s">
        <v>59</v>
      </c>
    </row>
    <row r="9" spans="1:24" ht="13.5" customHeight="1" x14ac:dyDescent="0.2">
      <c r="D9" s="550" t="s">
        <v>2115</v>
      </c>
      <c r="E9" s="88">
        <v>27</v>
      </c>
      <c r="F9" s="88">
        <v>28</v>
      </c>
      <c r="G9" s="88">
        <v>32</v>
      </c>
      <c r="H9" s="88">
        <v>37</v>
      </c>
      <c r="I9" s="88">
        <v>38</v>
      </c>
      <c r="J9" s="88">
        <v>39</v>
      </c>
      <c r="K9" s="88">
        <v>43</v>
      </c>
      <c r="L9" s="88">
        <v>46</v>
      </c>
      <c r="M9" s="88">
        <v>46</v>
      </c>
      <c r="N9" s="462">
        <v>47</v>
      </c>
      <c r="O9" s="462">
        <v>47</v>
      </c>
      <c r="P9" s="88">
        <v>47</v>
      </c>
      <c r="Q9" s="88">
        <v>47</v>
      </c>
      <c r="R9" s="88">
        <v>47</v>
      </c>
      <c r="S9" s="88">
        <v>47</v>
      </c>
      <c r="T9" s="88">
        <v>47</v>
      </c>
      <c r="U9" s="88">
        <v>47</v>
      </c>
      <c r="V9" s="88">
        <v>47</v>
      </c>
      <c r="W9" s="2182">
        <v>47</v>
      </c>
      <c r="X9" s="88">
        <v>47</v>
      </c>
    </row>
    <row r="10" spans="1:24" ht="13.5" customHeight="1" x14ac:dyDescent="0.2">
      <c r="D10" s="550" t="s">
        <v>2116</v>
      </c>
      <c r="E10" s="88">
        <v>10</v>
      </c>
      <c r="F10" s="88">
        <v>10</v>
      </c>
      <c r="G10" s="88">
        <v>10</v>
      </c>
      <c r="H10" s="88">
        <v>10</v>
      </c>
      <c r="I10" s="88">
        <v>10</v>
      </c>
      <c r="J10" s="88">
        <v>11</v>
      </c>
      <c r="K10" s="88">
        <v>11</v>
      </c>
      <c r="L10" s="88">
        <v>11</v>
      </c>
      <c r="M10" s="88">
        <v>11</v>
      </c>
      <c r="N10" s="462">
        <v>11</v>
      </c>
      <c r="O10" s="462">
        <v>11</v>
      </c>
      <c r="P10" s="88">
        <v>11</v>
      </c>
      <c r="Q10" s="88">
        <v>11</v>
      </c>
      <c r="R10" s="88">
        <v>11</v>
      </c>
      <c r="S10" s="88">
        <v>11</v>
      </c>
      <c r="T10" s="88">
        <v>11</v>
      </c>
      <c r="U10" s="88">
        <v>10</v>
      </c>
      <c r="V10" s="88">
        <v>10</v>
      </c>
      <c r="W10" s="88">
        <v>9</v>
      </c>
      <c r="X10" s="88">
        <v>8</v>
      </c>
    </row>
    <row r="11" spans="1:24" ht="13.5" customHeight="1" x14ac:dyDescent="0.2">
      <c r="D11" s="550" t="s">
        <v>2117</v>
      </c>
      <c r="E11" s="88">
        <v>22</v>
      </c>
      <c r="F11" s="88">
        <v>26</v>
      </c>
      <c r="G11" s="88">
        <v>27</v>
      </c>
      <c r="H11" s="88">
        <v>27</v>
      </c>
      <c r="I11" s="88">
        <v>28</v>
      </c>
      <c r="J11" s="88">
        <v>30</v>
      </c>
      <c r="K11" s="88">
        <v>31</v>
      </c>
      <c r="L11" s="88">
        <v>32</v>
      </c>
      <c r="M11" s="88">
        <v>32</v>
      </c>
      <c r="N11" s="462">
        <v>32</v>
      </c>
      <c r="O11" s="462">
        <v>32</v>
      </c>
      <c r="P11" s="88">
        <v>32</v>
      </c>
      <c r="Q11" s="88">
        <v>32</v>
      </c>
      <c r="R11" s="88">
        <v>32</v>
      </c>
      <c r="S11" s="88">
        <v>32</v>
      </c>
      <c r="T11" s="88">
        <v>32</v>
      </c>
      <c r="U11" s="88">
        <v>32</v>
      </c>
      <c r="V11" s="88">
        <v>32</v>
      </c>
      <c r="W11" s="88">
        <v>31</v>
      </c>
      <c r="X11" s="88">
        <v>29</v>
      </c>
    </row>
    <row r="12" spans="1:24" ht="13.5" customHeight="1" x14ac:dyDescent="0.2">
      <c r="D12" s="550" t="s">
        <v>2118</v>
      </c>
      <c r="E12" s="88">
        <v>6</v>
      </c>
      <c r="F12" s="88">
        <v>6</v>
      </c>
      <c r="G12" s="88">
        <v>6</v>
      </c>
      <c r="H12" s="88">
        <v>7</v>
      </c>
      <c r="I12" s="88">
        <v>7</v>
      </c>
      <c r="J12" s="88">
        <v>7</v>
      </c>
      <c r="K12" s="88">
        <v>7</v>
      </c>
      <c r="L12" s="88">
        <v>7</v>
      </c>
      <c r="M12" s="88">
        <v>7</v>
      </c>
      <c r="N12" s="462">
        <v>7</v>
      </c>
      <c r="O12" s="462">
        <v>7</v>
      </c>
      <c r="P12" s="88">
        <v>7</v>
      </c>
      <c r="Q12" s="88">
        <v>7</v>
      </c>
      <c r="R12" s="88">
        <v>7</v>
      </c>
      <c r="S12" s="88">
        <v>7</v>
      </c>
      <c r="T12" s="88">
        <v>7</v>
      </c>
      <c r="U12" s="88">
        <v>7</v>
      </c>
      <c r="V12" s="88">
        <v>7</v>
      </c>
      <c r="W12" s="88">
        <v>7</v>
      </c>
      <c r="X12" s="88">
        <v>6</v>
      </c>
    </row>
    <row r="13" spans="1:24" ht="13.5" customHeight="1" x14ac:dyDescent="0.2">
      <c r="D13" s="550" t="s">
        <v>2119</v>
      </c>
      <c r="E13" s="88">
        <v>26</v>
      </c>
      <c r="F13" s="88">
        <v>26</v>
      </c>
      <c r="G13" s="88">
        <v>26</v>
      </c>
      <c r="H13" s="88">
        <v>26</v>
      </c>
      <c r="I13" s="88">
        <v>26</v>
      </c>
      <c r="J13" s="88">
        <v>27</v>
      </c>
      <c r="K13" s="88">
        <v>27</v>
      </c>
      <c r="L13" s="3435">
        <v>28</v>
      </c>
      <c r="M13" s="3435">
        <v>28</v>
      </c>
      <c r="N13" s="3513">
        <v>28</v>
      </c>
      <c r="O13" s="3513">
        <v>28</v>
      </c>
      <c r="P13" s="3513">
        <v>28</v>
      </c>
      <c r="Q13" s="3435">
        <v>28</v>
      </c>
      <c r="R13" s="3435">
        <v>28</v>
      </c>
      <c r="S13" s="3435">
        <v>27</v>
      </c>
      <c r="T13" s="3435">
        <v>27</v>
      </c>
      <c r="U13" s="3435">
        <v>29</v>
      </c>
      <c r="V13" s="3435">
        <v>29</v>
      </c>
      <c r="W13" s="3435">
        <v>28</v>
      </c>
      <c r="X13" s="3435">
        <v>23</v>
      </c>
    </row>
    <row r="14" spans="1:24" ht="13.5" customHeight="1" x14ac:dyDescent="0.2">
      <c r="C14" s="865"/>
      <c r="D14" s="3646" t="s">
        <v>2120</v>
      </c>
      <c r="E14" s="3604">
        <v>91</v>
      </c>
      <c r="F14" s="3604">
        <v>96</v>
      </c>
      <c r="G14" s="3604">
        <v>101</v>
      </c>
      <c r="H14" s="3604">
        <v>107</v>
      </c>
      <c r="I14" s="3604">
        <v>109</v>
      </c>
      <c r="J14" s="3604">
        <v>114</v>
      </c>
      <c r="K14" s="3604">
        <v>119</v>
      </c>
      <c r="L14" s="72">
        <v>124</v>
      </c>
      <c r="M14" s="72">
        <v>124</v>
      </c>
      <c r="N14" s="460">
        <f>SUM(N9:N13)</f>
        <v>125</v>
      </c>
      <c r="O14" s="460">
        <f>SUM(O9:O13)</f>
        <v>125</v>
      </c>
      <c r="P14" s="460">
        <f>SUM(P9:P13)</f>
        <v>125</v>
      </c>
      <c r="Q14" s="460">
        <f>SUM(Q9:Q13)</f>
        <v>125</v>
      </c>
      <c r="R14" s="72">
        <f>SUM(R9:R13)</f>
        <v>125</v>
      </c>
      <c r="S14" s="72">
        <v>124</v>
      </c>
      <c r="T14" s="72">
        <v>124</v>
      </c>
      <c r="U14" s="72">
        <v>125</v>
      </c>
      <c r="V14" s="72">
        <v>125</v>
      </c>
      <c r="W14" s="72">
        <v>122</v>
      </c>
      <c r="X14" s="72">
        <f>SUM(X9:X13)</f>
        <v>113</v>
      </c>
    </row>
    <row r="15" spans="1:24" ht="12.75" customHeight="1" x14ac:dyDescent="0.2">
      <c r="C15" s="865"/>
      <c r="D15" s="861"/>
      <c r="E15" s="71"/>
      <c r="F15" s="71"/>
      <c r="G15" s="71"/>
      <c r="H15" s="71"/>
      <c r="I15" s="71"/>
      <c r="J15" s="71"/>
      <c r="K15" s="71"/>
      <c r="N15" s="462"/>
      <c r="O15" s="462"/>
      <c r="Q15" s="550"/>
    </row>
    <row r="16" spans="1:24" ht="12.75" customHeight="1" x14ac:dyDescent="0.2">
      <c r="C16" s="865"/>
      <c r="D16" s="71" t="s">
        <v>862</v>
      </c>
      <c r="E16" s="71" t="s">
        <v>2121</v>
      </c>
      <c r="F16" s="71"/>
      <c r="G16" s="72"/>
      <c r="H16" s="71"/>
      <c r="I16" s="71"/>
      <c r="J16" s="71"/>
      <c r="K16" s="71"/>
      <c r="N16" s="462"/>
      <c r="O16" s="462"/>
      <c r="Q16" s="550"/>
    </row>
    <row r="17" spans="1:24" ht="15" customHeight="1" x14ac:dyDescent="0.2">
      <c r="C17" s="865"/>
      <c r="D17" s="2945"/>
      <c r="E17" s="2186"/>
      <c r="F17" s="2186"/>
      <c r="G17" s="2424">
        <v>2004</v>
      </c>
      <c r="H17" s="2424">
        <v>2005</v>
      </c>
      <c r="I17" s="2424">
        <v>2006</v>
      </c>
      <c r="J17" s="2424">
        <v>2007</v>
      </c>
      <c r="K17" s="2424">
        <v>2008</v>
      </c>
      <c r="L17" s="2424">
        <v>2009</v>
      </c>
      <c r="M17" s="3530">
        <v>2010</v>
      </c>
      <c r="N17" s="3530">
        <v>2011</v>
      </c>
      <c r="O17" s="3530">
        <v>2012</v>
      </c>
      <c r="P17" s="3530">
        <v>2013</v>
      </c>
      <c r="Q17" s="3530">
        <v>2014</v>
      </c>
      <c r="R17" s="3155">
        <v>2015</v>
      </c>
      <c r="S17" s="3155">
        <v>2016</v>
      </c>
      <c r="T17" s="3155">
        <v>2017</v>
      </c>
      <c r="U17" s="3155">
        <v>2018</v>
      </c>
      <c r="V17" s="3155">
        <v>2019</v>
      </c>
      <c r="W17" s="2953">
        <v>2020</v>
      </c>
      <c r="X17" s="3155">
        <v>2021</v>
      </c>
    </row>
    <row r="18" spans="1:24" ht="13.5" customHeight="1" x14ac:dyDescent="0.2">
      <c r="C18" s="865"/>
      <c r="D18" s="550" t="s">
        <v>2122</v>
      </c>
      <c r="E18" s="550"/>
      <c r="F18" s="550"/>
      <c r="G18" s="413">
        <v>47</v>
      </c>
      <c r="H18" s="413">
        <v>59</v>
      </c>
      <c r="I18" s="413">
        <v>69</v>
      </c>
      <c r="J18" s="413">
        <v>93</v>
      </c>
      <c r="K18" s="88">
        <v>130</v>
      </c>
      <c r="L18" s="88">
        <v>133</v>
      </c>
      <c r="M18" s="462">
        <v>83</v>
      </c>
      <c r="N18" s="462">
        <f>17+20</f>
        <v>37</v>
      </c>
      <c r="O18" s="462">
        <f>18+16</f>
        <v>34</v>
      </c>
      <c r="P18" s="462">
        <f>19+0</f>
        <v>19</v>
      </c>
      <c r="Q18" s="462">
        <f>20+21</f>
        <v>41</v>
      </c>
      <c r="R18" s="2188" t="s">
        <v>2123</v>
      </c>
      <c r="S18" s="2188">
        <v>47</v>
      </c>
      <c r="T18" s="2188">
        <v>46</v>
      </c>
      <c r="U18" s="2188">
        <v>9</v>
      </c>
      <c r="V18" s="2188">
        <v>42</v>
      </c>
      <c r="W18" s="3335">
        <v>78</v>
      </c>
      <c r="X18" s="88">
        <v>0</v>
      </c>
    </row>
    <row r="19" spans="1:24" ht="13.5" customHeight="1" x14ac:dyDescent="0.2">
      <c r="C19" s="865"/>
      <c r="D19" s="550" t="s">
        <v>2124</v>
      </c>
      <c r="E19" s="550"/>
      <c r="F19" s="550"/>
      <c r="G19" s="413">
        <v>17</v>
      </c>
      <c r="H19" s="413">
        <v>20</v>
      </c>
      <c r="I19" s="413">
        <v>8</v>
      </c>
      <c r="J19" s="413">
        <v>15</v>
      </c>
      <c r="K19" s="88">
        <v>14</v>
      </c>
      <c r="L19" s="88">
        <v>19</v>
      </c>
      <c r="M19" s="462">
        <v>18</v>
      </c>
      <c r="N19" s="462">
        <v>11</v>
      </c>
      <c r="O19" s="462">
        <v>38</v>
      </c>
      <c r="P19" s="462">
        <v>16</v>
      </c>
      <c r="Q19" s="462">
        <v>17</v>
      </c>
      <c r="R19" s="2188">
        <v>20</v>
      </c>
      <c r="S19" s="2188">
        <v>14</v>
      </c>
      <c r="T19" s="2188">
        <v>31</v>
      </c>
      <c r="U19" s="2188">
        <v>12</v>
      </c>
      <c r="V19" s="2188">
        <v>38</v>
      </c>
      <c r="W19" s="3335">
        <v>16</v>
      </c>
      <c r="X19" s="88">
        <v>10</v>
      </c>
    </row>
    <row r="20" spans="1:24" ht="13.5" customHeight="1" x14ac:dyDescent="0.25">
      <c r="A20" s="88"/>
      <c r="B20" s="88"/>
      <c r="C20" s="865"/>
      <c r="D20" s="5141" t="s">
        <v>2125</v>
      </c>
      <c r="E20" s="5142"/>
      <c r="F20" s="5142"/>
      <c r="G20" s="555">
        <v>44</v>
      </c>
      <c r="H20" s="555">
        <v>95</v>
      </c>
      <c r="I20" s="555">
        <v>82</v>
      </c>
      <c r="J20" s="555">
        <v>256</v>
      </c>
      <c r="K20" s="555">
        <v>817</v>
      </c>
      <c r="L20" s="555">
        <v>747</v>
      </c>
      <c r="M20" s="522">
        <v>980</v>
      </c>
      <c r="N20" s="522">
        <v>508</v>
      </c>
      <c r="O20" s="522">
        <v>594</v>
      </c>
      <c r="P20" s="522">
        <v>629</v>
      </c>
      <c r="Q20" s="522"/>
      <c r="R20" s="555">
        <v>740</v>
      </c>
      <c r="S20" s="555">
        <v>486</v>
      </c>
      <c r="T20" s="555">
        <v>284</v>
      </c>
      <c r="U20" s="555">
        <v>272</v>
      </c>
      <c r="V20" s="555">
        <v>244</v>
      </c>
      <c r="W20" s="555">
        <v>103</v>
      </c>
      <c r="X20" s="95">
        <v>117</v>
      </c>
    </row>
    <row r="21" spans="1:24" ht="13.5" customHeight="1" x14ac:dyDescent="0.25">
      <c r="A21" s="88"/>
      <c r="B21" s="88"/>
      <c r="C21" s="865"/>
      <c r="D21" s="87"/>
      <c r="E21" s="1137"/>
      <c r="F21" s="1137"/>
      <c r="H21" s="413"/>
      <c r="I21" s="413"/>
      <c r="J21" s="413"/>
      <c r="K21" s="413"/>
      <c r="L21" s="413"/>
      <c r="M21" s="413"/>
      <c r="N21" s="414"/>
      <c r="O21" s="414"/>
      <c r="P21" s="413"/>
      <c r="Q21" s="550"/>
    </row>
    <row r="22" spans="1:24" ht="13.5" customHeight="1" x14ac:dyDescent="0.25">
      <c r="A22" s="88"/>
      <c r="B22" s="88"/>
      <c r="C22" s="865"/>
      <c r="D22" s="87"/>
      <c r="E22" s="1137"/>
      <c r="F22" s="1137"/>
      <c r="H22" s="413"/>
      <c r="I22" s="413"/>
      <c r="J22" s="413"/>
      <c r="K22" s="413"/>
      <c r="L22" s="413"/>
      <c r="M22" s="413"/>
      <c r="N22" s="414"/>
      <c r="O22" s="414"/>
      <c r="P22" s="413"/>
      <c r="Q22" s="550"/>
    </row>
    <row r="23" spans="1:24" ht="13.5" customHeight="1" x14ac:dyDescent="0.2">
      <c r="A23" s="88"/>
      <c r="B23" s="88"/>
      <c r="C23" s="865"/>
      <c r="D23" s="71" t="s">
        <v>656</v>
      </c>
      <c r="E23" s="550"/>
      <c r="F23" s="71"/>
      <c r="G23" s="72"/>
      <c r="H23" s="71" t="s">
        <v>2126</v>
      </c>
      <c r="I23" s="71"/>
      <c r="J23" s="71"/>
      <c r="K23" s="71"/>
      <c r="N23" s="462"/>
      <c r="O23" s="462"/>
      <c r="P23" s="413"/>
      <c r="Q23" s="550"/>
    </row>
    <row r="24" spans="1:24" ht="13.5" customHeight="1" x14ac:dyDescent="0.2">
      <c r="A24" s="88"/>
      <c r="B24" s="88"/>
      <c r="C24" s="865"/>
      <c r="D24" s="2945"/>
      <c r="E24" s="2186"/>
      <c r="F24" s="2945" t="s">
        <v>394</v>
      </c>
      <c r="G24" s="1876" t="s">
        <v>17</v>
      </c>
      <c r="H24" s="3099" t="s">
        <v>18</v>
      </c>
      <c r="I24" s="3099" t="s">
        <v>19</v>
      </c>
      <c r="J24" s="3099" t="s">
        <v>20</v>
      </c>
      <c r="K24" s="3155" t="s">
        <v>21</v>
      </c>
      <c r="L24" s="3155" t="s">
        <v>22</v>
      </c>
      <c r="M24" s="3155" t="s">
        <v>23</v>
      </c>
      <c r="N24" s="3155" t="s">
        <v>24</v>
      </c>
      <c r="O24" s="3155" t="s">
        <v>25</v>
      </c>
      <c r="P24" s="3155" t="s">
        <v>26</v>
      </c>
      <c r="Q24" s="3155" t="s">
        <v>27</v>
      </c>
      <c r="R24" s="3155" t="s">
        <v>28</v>
      </c>
      <c r="S24" s="3155" t="s">
        <v>29</v>
      </c>
      <c r="T24" s="3155" t="s">
        <v>30</v>
      </c>
      <c r="U24" s="3155" t="s">
        <v>31</v>
      </c>
      <c r="V24" s="3155" t="s">
        <v>32</v>
      </c>
      <c r="W24" s="3155" t="s">
        <v>33</v>
      </c>
      <c r="X24" s="3155" t="s">
        <v>59</v>
      </c>
    </row>
    <row r="25" spans="1:24" ht="13.5" customHeight="1" x14ac:dyDescent="0.2">
      <c r="A25" s="88"/>
      <c r="B25" s="88"/>
      <c r="C25" s="865"/>
      <c r="D25" s="462" t="s">
        <v>2127</v>
      </c>
      <c r="E25" s="462"/>
      <c r="F25" s="284"/>
      <c r="G25" s="2189">
        <v>113</v>
      </c>
      <c r="H25" s="2188">
        <v>118</v>
      </c>
      <c r="I25" s="2188">
        <v>122</v>
      </c>
      <c r="J25" s="2188">
        <v>121</v>
      </c>
      <c r="K25" s="2188">
        <v>121</v>
      </c>
      <c r="L25" s="2188">
        <v>122</v>
      </c>
      <c r="M25" s="2188">
        <v>125</v>
      </c>
      <c r="N25" s="2190">
        <v>129</v>
      </c>
      <c r="O25" s="2188">
        <v>133</v>
      </c>
      <c r="P25" s="2188">
        <v>136</v>
      </c>
      <c r="Q25" s="2188">
        <v>136</v>
      </c>
      <c r="R25" s="2188">
        <v>150</v>
      </c>
      <c r="S25" s="2188">
        <v>142</v>
      </c>
      <c r="T25" s="2188">
        <v>142</v>
      </c>
      <c r="U25" s="2188">
        <v>143</v>
      </c>
      <c r="V25" s="2188">
        <v>134</v>
      </c>
      <c r="W25" s="2188">
        <v>123</v>
      </c>
      <c r="X25" s="2188">
        <v>134</v>
      </c>
    </row>
    <row r="26" spans="1:24" ht="13.5" customHeight="1" x14ac:dyDescent="0.2">
      <c r="A26" s="88"/>
      <c r="B26" s="88"/>
      <c r="C26" s="865"/>
      <c r="D26" s="462" t="s">
        <v>2128</v>
      </c>
      <c r="E26" s="462"/>
      <c r="F26" s="284"/>
      <c r="G26" s="2189">
        <v>16</v>
      </c>
      <c r="H26" s="2188">
        <v>11</v>
      </c>
      <c r="I26" s="2188">
        <v>11</v>
      </c>
      <c r="J26" s="2188">
        <v>11</v>
      </c>
      <c r="K26" s="2188" t="s">
        <v>2129</v>
      </c>
      <c r="L26" s="2188">
        <v>16</v>
      </c>
      <c r="M26" s="2188">
        <v>18</v>
      </c>
      <c r="N26" s="2190">
        <v>19</v>
      </c>
      <c r="O26" s="2188">
        <v>19</v>
      </c>
      <c r="P26" s="2188">
        <v>19</v>
      </c>
      <c r="Q26" s="2188">
        <v>19</v>
      </c>
      <c r="R26" s="2188">
        <v>21</v>
      </c>
      <c r="S26" s="2188">
        <v>20</v>
      </c>
      <c r="T26" s="2188">
        <v>20</v>
      </c>
      <c r="U26" s="2188">
        <v>20</v>
      </c>
      <c r="V26" s="2188">
        <v>21</v>
      </c>
      <c r="W26" s="2188">
        <v>18</v>
      </c>
      <c r="X26" s="2188">
        <v>18</v>
      </c>
    </row>
    <row r="27" spans="1:24" ht="13.5" customHeight="1" x14ac:dyDescent="0.2">
      <c r="A27" s="88"/>
      <c r="B27" s="88"/>
      <c r="C27" s="865"/>
      <c r="D27" s="528" t="s">
        <v>2130</v>
      </c>
      <c r="E27" s="528"/>
      <c r="F27" s="2191"/>
      <c r="G27" s="284">
        <v>53</v>
      </c>
      <c r="H27" s="1351">
        <v>53</v>
      </c>
      <c r="I27" s="1351">
        <v>53</v>
      </c>
      <c r="J27" s="1351">
        <v>53</v>
      </c>
      <c r="K27" s="1351">
        <v>53</v>
      </c>
      <c r="L27" s="284">
        <v>53</v>
      </c>
      <c r="M27" s="284">
        <v>52</v>
      </c>
      <c r="N27" s="489">
        <v>50</v>
      </c>
      <c r="O27" s="284">
        <v>50</v>
      </c>
      <c r="P27" s="284">
        <v>57</v>
      </c>
      <c r="Q27" s="284">
        <v>57</v>
      </c>
      <c r="R27" s="284">
        <v>57</v>
      </c>
      <c r="S27" s="284">
        <v>53</v>
      </c>
      <c r="T27" s="284">
        <v>53</v>
      </c>
      <c r="U27" s="284">
        <v>53</v>
      </c>
      <c r="V27" s="284">
        <v>57</v>
      </c>
      <c r="W27" s="284">
        <v>53</v>
      </c>
      <c r="X27" s="284">
        <v>56</v>
      </c>
    </row>
    <row r="28" spans="1:24" ht="13.5" customHeight="1" x14ac:dyDescent="0.2">
      <c r="A28" s="88"/>
      <c r="B28" s="88"/>
      <c r="C28" s="865"/>
      <c r="D28" s="528" t="s">
        <v>2131</v>
      </c>
      <c r="E28" s="528"/>
      <c r="F28" s="2191"/>
      <c r="G28" s="284">
        <v>73</v>
      </c>
      <c r="H28" s="1351">
        <v>73</v>
      </c>
      <c r="I28" s="1351">
        <v>73</v>
      </c>
      <c r="J28" s="1351">
        <v>73</v>
      </c>
      <c r="K28" s="1351">
        <v>73</v>
      </c>
      <c r="L28" s="284">
        <v>73</v>
      </c>
      <c r="M28" s="284">
        <v>80</v>
      </c>
      <c r="N28" s="489">
        <v>82</v>
      </c>
      <c r="O28" s="284">
        <v>82</v>
      </c>
      <c r="P28" s="284">
        <v>82</v>
      </c>
      <c r="Q28" s="284">
        <v>82</v>
      </c>
      <c r="R28" s="284">
        <v>82</v>
      </c>
      <c r="S28" s="284">
        <v>79</v>
      </c>
      <c r="T28" s="284">
        <v>79</v>
      </c>
      <c r="U28" s="284">
        <v>79</v>
      </c>
      <c r="V28" s="284">
        <v>78</v>
      </c>
      <c r="W28" s="284">
        <v>79</v>
      </c>
      <c r="X28" s="284">
        <v>60</v>
      </c>
    </row>
    <row r="29" spans="1:24" ht="13.5" customHeight="1" x14ac:dyDescent="0.2">
      <c r="A29" s="88"/>
      <c r="B29" s="88"/>
      <c r="C29" s="865"/>
      <c r="D29" s="528" t="s">
        <v>2132</v>
      </c>
      <c r="E29" s="528"/>
      <c r="F29" s="2191"/>
      <c r="G29" s="284">
        <v>22</v>
      </c>
      <c r="H29" s="1351">
        <v>23</v>
      </c>
      <c r="I29" s="1351">
        <v>23</v>
      </c>
      <c r="J29" s="1351">
        <v>26</v>
      </c>
      <c r="K29" s="1351">
        <v>28</v>
      </c>
      <c r="L29" s="284">
        <v>31</v>
      </c>
      <c r="M29" s="284">
        <v>30</v>
      </c>
      <c r="N29" s="489">
        <v>30</v>
      </c>
      <c r="O29" s="284">
        <v>30</v>
      </c>
      <c r="P29" s="284">
        <v>31</v>
      </c>
      <c r="Q29" s="284">
        <v>31</v>
      </c>
      <c r="R29" s="284">
        <v>30</v>
      </c>
      <c r="S29" s="284">
        <v>30</v>
      </c>
      <c r="T29" s="284">
        <v>30</v>
      </c>
      <c r="U29" s="284">
        <v>31</v>
      </c>
      <c r="V29" s="284">
        <v>31</v>
      </c>
      <c r="W29" s="284">
        <v>37</v>
      </c>
      <c r="X29" s="284">
        <v>37</v>
      </c>
    </row>
    <row r="30" spans="1:24" ht="13.5" customHeight="1" x14ac:dyDescent="0.2">
      <c r="A30" s="88"/>
      <c r="B30" s="88"/>
      <c r="C30" s="865"/>
      <c r="D30" s="528" t="s">
        <v>2133</v>
      </c>
      <c r="E30" s="528"/>
      <c r="F30" s="2191"/>
      <c r="G30" s="284">
        <v>1</v>
      </c>
      <c r="H30" s="1351">
        <v>1</v>
      </c>
      <c r="I30" s="1351">
        <v>1</v>
      </c>
      <c r="J30" s="1351">
        <v>1</v>
      </c>
      <c r="K30" s="1351">
        <v>1</v>
      </c>
      <c r="L30" s="284">
        <v>1</v>
      </c>
      <c r="M30" s="284">
        <v>1</v>
      </c>
      <c r="N30" s="489">
        <v>1</v>
      </c>
      <c r="O30" s="284">
        <v>1</v>
      </c>
      <c r="P30" s="284">
        <v>1</v>
      </c>
      <c r="Q30" s="284">
        <v>1</v>
      </c>
      <c r="R30" s="284">
        <v>1</v>
      </c>
      <c r="S30" s="284">
        <v>1</v>
      </c>
      <c r="T30" s="284">
        <v>1</v>
      </c>
      <c r="U30" s="284">
        <v>1</v>
      </c>
      <c r="V30" s="284">
        <v>1</v>
      </c>
      <c r="W30" s="284">
        <v>1</v>
      </c>
      <c r="X30" s="284">
        <v>1</v>
      </c>
    </row>
    <row r="31" spans="1:24" ht="23.25" customHeight="1" x14ac:dyDescent="0.2">
      <c r="A31" s="88"/>
      <c r="B31" s="88"/>
      <c r="C31" s="865"/>
      <c r="D31" s="3646" t="s">
        <v>2134</v>
      </c>
      <c r="E31" s="3646"/>
      <c r="F31" s="3647">
        <v>68</v>
      </c>
      <c r="G31" s="3648">
        <f>SUM(G25:G30)</f>
        <v>278</v>
      </c>
      <c r="H31" s="3648">
        <f t="shared" ref="H31:N31" si="0">SUM(H25:H30)</f>
        <v>279</v>
      </c>
      <c r="I31" s="3648">
        <f t="shared" si="0"/>
        <v>283</v>
      </c>
      <c r="J31" s="3648">
        <f t="shared" si="0"/>
        <v>285</v>
      </c>
      <c r="K31" s="3648">
        <v>292</v>
      </c>
      <c r="L31" s="3648">
        <f t="shared" si="0"/>
        <v>296</v>
      </c>
      <c r="M31" s="3648">
        <v>307</v>
      </c>
      <c r="N31" s="3648">
        <f t="shared" si="0"/>
        <v>311</v>
      </c>
      <c r="O31" s="3648">
        <f>SUM(O25:O30)</f>
        <v>315</v>
      </c>
      <c r="P31" s="3648">
        <f>SUM(P25:P30)</f>
        <v>326</v>
      </c>
      <c r="Q31" s="3648">
        <f>SUM(Q25:Q30)</f>
        <v>326</v>
      </c>
      <c r="R31" s="3648">
        <v>341</v>
      </c>
      <c r="S31" s="3648">
        <v>325</v>
      </c>
      <c r="T31" s="3648">
        <v>325</v>
      </c>
      <c r="U31" s="3648">
        <v>327</v>
      </c>
      <c r="V31" s="3648">
        <v>322</v>
      </c>
      <c r="W31" s="3648">
        <f>SUM(W25:W30)</f>
        <v>311</v>
      </c>
      <c r="X31" s="3648">
        <v>306</v>
      </c>
    </row>
    <row r="32" spans="1:24" ht="13.5" customHeight="1" x14ac:dyDescent="0.25">
      <c r="A32" s="88"/>
      <c r="B32" s="88"/>
      <c r="C32" s="865"/>
      <c r="D32" s="87"/>
      <c r="E32" s="1137"/>
      <c r="F32" s="1137"/>
      <c r="H32" s="413"/>
      <c r="I32" s="413"/>
      <c r="J32" s="413"/>
      <c r="K32" s="413"/>
      <c r="L32" s="413"/>
      <c r="M32" s="413"/>
      <c r="N32" s="414"/>
      <c r="O32" s="414"/>
      <c r="P32" s="413"/>
      <c r="Q32" s="2192"/>
    </row>
    <row r="33" spans="1:17" ht="13.5" customHeight="1" x14ac:dyDescent="0.25">
      <c r="A33" s="88"/>
      <c r="B33" s="88"/>
      <c r="C33" s="865"/>
      <c r="D33" s="87"/>
      <c r="E33" s="1137"/>
      <c r="F33" s="1137"/>
      <c r="H33" s="413"/>
      <c r="I33" s="413"/>
      <c r="J33" s="413"/>
      <c r="K33" s="413"/>
      <c r="L33" s="413"/>
      <c r="M33" s="413"/>
      <c r="N33" s="414"/>
      <c r="O33" s="414"/>
      <c r="P33" s="413"/>
      <c r="Q33" s="550"/>
    </row>
    <row r="34" spans="1:17" ht="13.5" customHeight="1" x14ac:dyDescent="0.25">
      <c r="A34" s="88"/>
      <c r="B34" s="88"/>
      <c r="C34" s="865"/>
      <c r="D34" s="87"/>
      <c r="E34" s="1137"/>
      <c r="F34" s="1137"/>
      <c r="H34" s="413"/>
      <c r="I34" s="413"/>
      <c r="J34" s="413"/>
      <c r="K34" s="413"/>
      <c r="L34" s="413"/>
      <c r="M34" s="413"/>
      <c r="N34" s="414"/>
      <c r="O34" s="414"/>
      <c r="P34" s="413"/>
      <c r="Q34" s="550"/>
    </row>
    <row r="35" spans="1:17" ht="13.5" customHeight="1" x14ac:dyDescent="0.25">
      <c r="A35" s="88"/>
      <c r="B35" s="88"/>
      <c r="C35" s="865"/>
      <c r="D35" s="87"/>
      <c r="E35" s="1137"/>
      <c r="F35" s="1137"/>
      <c r="H35" s="413"/>
      <c r="I35" s="413"/>
      <c r="J35" s="413"/>
      <c r="K35" s="413"/>
      <c r="L35" s="413"/>
      <c r="M35" s="413"/>
      <c r="N35" s="414"/>
      <c r="O35" s="414"/>
      <c r="P35" s="413"/>
      <c r="Q35" s="550"/>
    </row>
    <row r="36" spans="1:17" ht="13.5" customHeight="1" x14ac:dyDescent="0.25">
      <c r="A36" s="88"/>
      <c r="B36" s="88"/>
      <c r="C36" s="865"/>
      <c r="D36" s="87"/>
      <c r="E36" s="1137"/>
      <c r="F36" s="1137"/>
      <c r="H36" s="413"/>
      <c r="I36" s="413"/>
      <c r="J36" s="413"/>
      <c r="K36" s="413"/>
      <c r="L36" s="413"/>
      <c r="M36" s="413"/>
      <c r="N36" s="414"/>
      <c r="O36" s="414"/>
      <c r="P36" s="413"/>
      <c r="Q36" s="550"/>
    </row>
    <row r="37" spans="1:17" ht="13.5" customHeight="1" x14ac:dyDescent="0.25">
      <c r="A37" s="88"/>
      <c r="B37" s="88"/>
      <c r="C37" s="865"/>
      <c r="D37" s="87"/>
      <c r="E37" s="1137"/>
      <c r="F37" s="1137"/>
      <c r="H37" s="413"/>
      <c r="I37" s="413"/>
      <c r="J37" s="413"/>
      <c r="K37" s="413"/>
      <c r="L37" s="413"/>
      <c r="M37" s="413"/>
      <c r="N37" s="414"/>
      <c r="O37" s="414"/>
      <c r="P37" s="413"/>
      <c r="Q37" s="550"/>
    </row>
    <row r="38" spans="1:17" ht="13.5" customHeight="1" x14ac:dyDescent="0.25">
      <c r="A38" s="88"/>
      <c r="B38" s="88"/>
      <c r="C38" s="865"/>
      <c r="D38" s="87"/>
      <c r="E38" s="1137"/>
      <c r="F38" s="1137"/>
      <c r="H38" s="413"/>
      <c r="I38" s="413"/>
      <c r="J38" s="413"/>
      <c r="K38" s="413"/>
      <c r="L38" s="413"/>
      <c r="M38" s="413"/>
      <c r="N38" s="414"/>
      <c r="O38" s="414"/>
      <c r="P38" s="413"/>
      <c r="Q38" s="550"/>
    </row>
    <row r="39" spans="1:17" ht="13.5" customHeight="1" x14ac:dyDescent="0.25">
      <c r="A39" s="88"/>
      <c r="B39" s="88"/>
      <c r="C39" s="865"/>
      <c r="D39" s="87"/>
      <c r="E39" s="1137"/>
      <c r="F39" s="1137"/>
      <c r="H39" s="413"/>
      <c r="I39" s="413"/>
      <c r="J39" s="413"/>
      <c r="K39" s="413"/>
      <c r="L39" s="413"/>
      <c r="M39" s="413"/>
      <c r="N39" s="414"/>
      <c r="O39" s="414"/>
      <c r="P39" s="413"/>
      <c r="Q39" s="550"/>
    </row>
    <row r="40" spans="1:17" ht="13.5" customHeight="1" x14ac:dyDescent="0.25">
      <c r="A40" s="88"/>
      <c r="B40" s="88"/>
      <c r="C40" s="865"/>
      <c r="D40" s="87"/>
      <c r="E40" s="1137"/>
      <c r="F40" s="1137"/>
      <c r="H40" s="413"/>
      <c r="I40" s="413"/>
      <c r="J40" s="413"/>
      <c r="K40" s="413"/>
      <c r="L40" s="413"/>
      <c r="M40" s="413"/>
      <c r="N40" s="414"/>
      <c r="O40" s="414"/>
      <c r="P40" s="413"/>
      <c r="Q40" s="550"/>
    </row>
    <row r="41" spans="1:17" ht="13.5" customHeight="1" x14ac:dyDescent="0.25">
      <c r="A41" s="88"/>
      <c r="B41" s="88"/>
      <c r="C41" s="865"/>
      <c r="D41" s="87"/>
      <c r="E41" s="1137"/>
      <c r="F41" s="1137"/>
      <c r="H41" s="413"/>
      <c r="I41" s="413"/>
      <c r="J41" s="413"/>
      <c r="K41" s="413"/>
      <c r="L41" s="413"/>
      <c r="M41" s="413"/>
      <c r="N41" s="414"/>
      <c r="O41" s="414"/>
      <c r="P41" s="413"/>
      <c r="Q41" s="550"/>
    </row>
    <row r="42" spans="1:17" ht="13.5" customHeight="1" x14ac:dyDescent="0.25">
      <c r="A42" s="88"/>
      <c r="B42" s="88"/>
      <c r="C42" s="865"/>
      <c r="D42" s="87"/>
      <c r="E42" s="1137"/>
      <c r="F42" s="1137"/>
      <c r="H42" s="413"/>
      <c r="I42" s="413"/>
      <c r="J42" s="413"/>
      <c r="K42" s="413"/>
      <c r="L42" s="413"/>
      <c r="M42" s="413"/>
      <c r="N42" s="414"/>
      <c r="O42" s="414"/>
      <c r="P42" s="413"/>
      <c r="Q42" s="550"/>
    </row>
    <row r="43" spans="1:17" ht="13.5" customHeight="1" x14ac:dyDescent="0.25">
      <c r="A43" s="88"/>
      <c r="B43" s="88"/>
      <c r="C43" s="865"/>
      <c r="D43" s="87"/>
      <c r="E43" s="1137"/>
      <c r="F43" s="1137"/>
      <c r="H43" s="413"/>
      <c r="I43" s="413"/>
      <c r="J43" s="413"/>
      <c r="K43" s="413"/>
      <c r="L43" s="413"/>
      <c r="M43" s="413"/>
      <c r="N43" s="414"/>
      <c r="O43" s="414"/>
      <c r="P43" s="413"/>
      <c r="Q43" s="550"/>
    </row>
    <row r="44" spans="1:17" ht="13.5" customHeight="1" x14ac:dyDescent="0.25">
      <c r="C44" s="865"/>
      <c r="D44" s="87"/>
      <c r="E44" s="1137"/>
      <c r="F44" s="1137"/>
      <c r="H44" s="413"/>
      <c r="I44" s="413"/>
      <c r="J44" s="413"/>
      <c r="K44" s="413"/>
      <c r="L44" s="413"/>
      <c r="M44" s="413"/>
      <c r="N44" s="414"/>
      <c r="O44" s="414"/>
      <c r="P44" s="413"/>
      <c r="Q44" s="550"/>
    </row>
    <row r="45" spans="1:17" ht="13.5" customHeight="1" x14ac:dyDescent="0.25">
      <c r="C45" s="865"/>
      <c r="D45" s="87"/>
      <c r="E45" s="1137"/>
      <c r="F45" s="1137"/>
      <c r="H45" s="413"/>
      <c r="I45" s="413"/>
      <c r="J45" s="413"/>
      <c r="K45" s="413"/>
      <c r="L45" s="413"/>
      <c r="M45" s="413"/>
      <c r="N45" s="414"/>
      <c r="O45" s="414"/>
      <c r="P45" s="413"/>
      <c r="Q45" s="550"/>
    </row>
    <row r="46" spans="1:17" ht="13.5" customHeight="1" x14ac:dyDescent="0.25">
      <c r="C46" s="865"/>
      <c r="D46" s="87"/>
      <c r="E46" s="1137"/>
      <c r="F46" s="1137"/>
      <c r="H46" s="413"/>
      <c r="I46" s="413"/>
      <c r="J46" s="413"/>
      <c r="K46" s="413"/>
      <c r="L46" s="413"/>
      <c r="M46" s="413"/>
      <c r="N46" s="414"/>
      <c r="O46" s="414"/>
      <c r="P46" s="413"/>
      <c r="Q46" s="550"/>
    </row>
    <row r="47" spans="1:17" ht="12.75" customHeight="1" x14ac:dyDescent="0.2">
      <c r="K47" s="71"/>
      <c r="L47" s="71"/>
    </row>
    <row r="48" spans="1:17" ht="14.25" customHeight="1" x14ac:dyDescent="0.2"/>
    <row r="49" spans="1:27" s="510" customFormat="1" ht="12.75" customHeight="1" x14ac:dyDescent="0.2">
      <c r="A49" s="509">
        <v>7</v>
      </c>
      <c r="B49" s="509" t="s">
        <v>52</v>
      </c>
      <c r="C49" s="509"/>
      <c r="D49" s="4869" t="s">
        <v>2135</v>
      </c>
      <c r="E49" s="4870"/>
      <c r="F49" s="4870"/>
      <c r="G49" s="4870"/>
      <c r="H49" s="4870"/>
      <c r="I49" s="4870"/>
      <c r="J49" s="4870"/>
      <c r="K49" s="4870"/>
      <c r="L49" s="4870"/>
      <c r="M49" s="4870"/>
      <c r="N49" s="4870"/>
      <c r="O49" s="4870"/>
      <c r="P49" s="4870"/>
      <c r="Q49" s="4870"/>
      <c r="R49" s="4871"/>
      <c r="S49" s="344"/>
    </row>
    <row r="50" spans="1:27" s="510" customFormat="1" ht="65.25" customHeight="1" x14ac:dyDescent="0.2">
      <c r="A50" s="546">
        <v>8</v>
      </c>
      <c r="B50" s="546" t="s">
        <v>54</v>
      </c>
      <c r="C50" s="546"/>
      <c r="D50" s="4869" t="s">
        <v>2136</v>
      </c>
      <c r="E50" s="4870"/>
      <c r="F50" s="4870"/>
      <c r="G50" s="4870"/>
      <c r="H50" s="4870"/>
      <c r="I50" s="4870"/>
      <c r="J50" s="4870"/>
      <c r="K50" s="4870"/>
      <c r="L50" s="4870"/>
      <c r="M50" s="4870"/>
      <c r="N50" s="4870"/>
      <c r="O50" s="4870"/>
      <c r="P50" s="4870"/>
      <c r="Q50" s="4870"/>
      <c r="R50" s="4871"/>
      <c r="S50" s="344"/>
      <c r="T50" s="511"/>
    </row>
    <row r="51" spans="1:27" ht="32.25" customHeight="1" x14ac:dyDescent="0.2">
      <c r="A51" s="546">
        <v>9</v>
      </c>
      <c r="B51" s="546" t="s">
        <v>355</v>
      </c>
      <c r="D51" s="4869" t="s">
        <v>2137</v>
      </c>
      <c r="E51" s="4870"/>
      <c r="F51" s="4870"/>
      <c r="G51" s="4870"/>
      <c r="H51" s="4870"/>
      <c r="I51" s="4870"/>
      <c r="J51" s="4870"/>
      <c r="K51" s="4870"/>
      <c r="L51" s="4870"/>
      <c r="M51" s="4870"/>
      <c r="N51" s="4870"/>
      <c r="O51" s="4870"/>
      <c r="P51" s="4870"/>
      <c r="Q51" s="4870"/>
      <c r="R51" s="4871"/>
      <c r="Z51" s="3435"/>
    </row>
    <row r="52" spans="1:27" s="510" customFormat="1" ht="15.75" customHeight="1" x14ac:dyDescent="0.2">
      <c r="A52" s="546">
        <v>10</v>
      </c>
      <c r="B52" s="546" t="s">
        <v>56</v>
      </c>
      <c r="C52" s="509"/>
      <c r="D52" s="4869" t="s">
        <v>2138</v>
      </c>
      <c r="E52" s="4870"/>
      <c r="F52" s="4870"/>
      <c r="G52" s="4870"/>
      <c r="H52" s="4870"/>
      <c r="I52" s="4870"/>
      <c r="J52" s="4870"/>
      <c r="K52" s="4870"/>
      <c r="L52" s="4870"/>
      <c r="M52" s="4870"/>
      <c r="N52" s="4870"/>
      <c r="O52" s="4870"/>
      <c r="P52" s="4870"/>
      <c r="Q52" s="4870"/>
      <c r="R52" s="4871"/>
      <c r="S52" s="344"/>
    </row>
    <row r="55" spans="1:27" x14ac:dyDescent="0.2">
      <c r="D55" s="71" t="s">
        <v>656</v>
      </c>
      <c r="E55" s="71" t="s">
        <v>2126</v>
      </c>
      <c r="F55" s="71"/>
      <c r="G55" s="71"/>
      <c r="H55" s="71"/>
      <c r="I55" s="71"/>
      <c r="J55" s="71"/>
      <c r="K55" s="71"/>
      <c r="N55" s="462"/>
      <c r="O55" s="462"/>
    </row>
    <row r="56" spans="1:27" x14ac:dyDescent="0.2">
      <c r="D56" s="2945"/>
      <c r="E56" s="2186"/>
      <c r="F56" s="2945" t="s">
        <v>394</v>
      </c>
      <c r="G56" s="3531" t="s">
        <v>14</v>
      </c>
      <c r="H56" s="3531" t="s">
        <v>15</v>
      </c>
      <c r="I56" s="3531" t="s">
        <v>16</v>
      </c>
      <c r="J56" s="3532" t="s">
        <v>17</v>
      </c>
      <c r="K56" s="3099" t="s">
        <v>18</v>
      </c>
      <c r="L56" s="3099" t="s">
        <v>19</v>
      </c>
      <c r="M56" s="3099" t="s">
        <v>20</v>
      </c>
      <c r="N56" s="3155" t="s">
        <v>21</v>
      </c>
      <c r="O56" s="3155" t="s">
        <v>22</v>
      </c>
      <c r="P56" s="3155" t="s">
        <v>23</v>
      </c>
      <c r="Q56" s="3155" t="s">
        <v>24</v>
      </c>
      <c r="R56" s="3155" t="s">
        <v>25</v>
      </c>
      <c r="S56" s="3155" t="s">
        <v>26</v>
      </c>
      <c r="T56" s="3155" t="s">
        <v>27</v>
      </c>
      <c r="U56" s="2424" t="s">
        <v>28</v>
      </c>
      <c r="V56" s="2424" t="s">
        <v>29</v>
      </c>
      <c r="W56" s="2424" t="s">
        <v>30</v>
      </c>
      <c r="X56" s="2424" t="s">
        <v>31</v>
      </c>
      <c r="Y56" s="2424" t="s">
        <v>32</v>
      </c>
      <c r="Z56" s="2424" t="s">
        <v>33</v>
      </c>
      <c r="AA56" s="2424" t="s">
        <v>59</v>
      </c>
    </row>
    <row r="57" spans="1:27" x14ac:dyDescent="0.2">
      <c r="A57" s="88"/>
      <c r="B57" s="88"/>
      <c r="C57" s="88"/>
      <c r="D57" s="88" t="s">
        <v>2127</v>
      </c>
      <c r="F57" s="284"/>
      <c r="J57" s="2189">
        <v>113</v>
      </c>
      <c r="K57" s="2188">
        <v>118</v>
      </c>
      <c r="L57" s="2188">
        <v>122</v>
      </c>
      <c r="M57" s="2188">
        <v>121</v>
      </c>
      <c r="N57" s="2188">
        <v>121</v>
      </c>
      <c r="O57" s="2188">
        <v>122</v>
      </c>
      <c r="P57" s="2188">
        <v>125</v>
      </c>
      <c r="Q57" s="2190">
        <v>129</v>
      </c>
      <c r="R57" s="2190"/>
      <c r="S57" s="2190">
        <v>136</v>
      </c>
      <c r="T57" s="2190">
        <v>136</v>
      </c>
      <c r="U57" s="88">
        <v>150</v>
      </c>
      <c r="V57" s="88">
        <v>142</v>
      </c>
      <c r="W57" s="88">
        <v>142</v>
      </c>
      <c r="X57" s="88">
        <v>143</v>
      </c>
      <c r="Y57" s="88">
        <v>134</v>
      </c>
      <c r="Z57" s="88">
        <v>123</v>
      </c>
      <c r="AA57" s="88">
        <v>134</v>
      </c>
    </row>
    <row r="58" spans="1:27" x14ac:dyDescent="0.2">
      <c r="A58" s="88"/>
      <c r="B58" s="88"/>
      <c r="C58" s="88"/>
      <c r="D58" s="88" t="s">
        <v>2128</v>
      </c>
      <c r="F58" s="284"/>
      <c r="J58" s="2189">
        <v>16</v>
      </c>
      <c r="K58" s="2188">
        <v>11</v>
      </c>
      <c r="L58" s="2188">
        <v>11</v>
      </c>
      <c r="M58" s="2188">
        <v>11</v>
      </c>
      <c r="N58" s="2188" t="s">
        <v>2129</v>
      </c>
      <c r="O58" s="2188">
        <v>16</v>
      </c>
      <c r="P58" s="2188">
        <v>18</v>
      </c>
      <c r="Q58" s="2190">
        <v>19</v>
      </c>
      <c r="R58" s="2190"/>
      <c r="S58" s="2190">
        <v>19</v>
      </c>
      <c r="T58" s="2190">
        <v>19</v>
      </c>
      <c r="U58" s="88">
        <v>21</v>
      </c>
      <c r="V58" s="88">
        <v>20</v>
      </c>
      <c r="W58" s="88">
        <v>20</v>
      </c>
      <c r="X58" s="88">
        <v>20</v>
      </c>
      <c r="Y58" s="88">
        <v>21</v>
      </c>
      <c r="Z58" s="88">
        <v>18</v>
      </c>
      <c r="AA58" s="88">
        <v>18</v>
      </c>
    </row>
    <row r="59" spans="1:27" x14ac:dyDescent="0.2">
      <c r="A59" s="88"/>
      <c r="B59" s="88"/>
      <c r="C59" s="88"/>
      <c r="D59" s="550" t="s">
        <v>2130</v>
      </c>
      <c r="E59" s="550"/>
      <c r="F59" s="2191"/>
      <c r="J59" s="284">
        <v>53</v>
      </c>
      <c r="K59" s="1351">
        <v>53</v>
      </c>
      <c r="L59" s="1351">
        <v>53</v>
      </c>
      <c r="M59" s="1351">
        <v>53</v>
      </c>
      <c r="N59" s="1351">
        <v>53</v>
      </c>
      <c r="O59" s="284">
        <v>53</v>
      </c>
      <c r="P59" s="284">
        <v>52</v>
      </c>
      <c r="Q59" s="489">
        <v>50</v>
      </c>
      <c r="R59" s="489"/>
      <c r="S59" s="489">
        <v>57</v>
      </c>
      <c r="T59" s="489">
        <v>57</v>
      </c>
      <c r="U59" s="88">
        <v>57</v>
      </c>
      <c r="V59" s="88">
        <v>53</v>
      </c>
      <c r="W59" s="88">
        <v>53</v>
      </c>
      <c r="X59" s="88">
        <v>53</v>
      </c>
      <c r="Y59" s="88">
        <v>57</v>
      </c>
      <c r="Z59" s="88">
        <v>53</v>
      </c>
      <c r="AA59" s="88">
        <v>56</v>
      </c>
    </row>
    <row r="60" spans="1:27" x14ac:dyDescent="0.2">
      <c r="A60" s="88"/>
      <c r="B60" s="88"/>
      <c r="C60" s="88"/>
      <c r="D60" s="550" t="s">
        <v>2131</v>
      </c>
      <c r="E60" s="550"/>
      <c r="F60" s="2191"/>
      <c r="J60" s="284">
        <v>73</v>
      </c>
      <c r="K60" s="1351">
        <v>73</v>
      </c>
      <c r="L60" s="1351">
        <v>73</v>
      </c>
      <c r="M60" s="1351">
        <v>73</v>
      </c>
      <c r="N60" s="1351">
        <v>73</v>
      </c>
      <c r="O60" s="284">
        <v>73</v>
      </c>
      <c r="P60" s="284">
        <v>80</v>
      </c>
      <c r="Q60" s="489">
        <v>82</v>
      </c>
      <c r="R60" s="489"/>
      <c r="S60" s="489">
        <v>82</v>
      </c>
      <c r="T60" s="489">
        <v>82</v>
      </c>
      <c r="U60" s="88">
        <v>82</v>
      </c>
      <c r="V60" s="88">
        <v>79</v>
      </c>
      <c r="W60" s="88">
        <v>79</v>
      </c>
      <c r="X60" s="88">
        <v>79</v>
      </c>
      <c r="Y60" s="88">
        <v>78</v>
      </c>
      <c r="Z60" s="88">
        <v>79</v>
      </c>
      <c r="AA60" s="88">
        <v>60</v>
      </c>
    </row>
    <row r="61" spans="1:27" x14ac:dyDescent="0.2">
      <c r="A61" s="88"/>
      <c r="B61" s="88"/>
      <c r="C61" s="88"/>
      <c r="D61" s="550" t="s">
        <v>2132</v>
      </c>
      <c r="E61" s="550"/>
      <c r="F61" s="2191"/>
      <c r="J61" s="284">
        <v>22</v>
      </c>
      <c r="K61" s="1351">
        <v>23</v>
      </c>
      <c r="L61" s="1351">
        <v>23</v>
      </c>
      <c r="M61" s="1351">
        <v>26</v>
      </c>
      <c r="N61" s="1351">
        <v>28</v>
      </c>
      <c r="O61" s="284">
        <v>31</v>
      </c>
      <c r="P61" s="284">
        <v>30</v>
      </c>
      <c r="Q61" s="489">
        <v>30</v>
      </c>
      <c r="R61" s="489"/>
      <c r="S61" s="489">
        <v>31</v>
      </c>
      <c r="T61" s="489">
        <v>31</v>
      </c>
      <c r="U61" s="88">
        <v>30</v>
      </c>
      <c r="V61" s="88">
        <v>30</v>
      </c>
      <c r="W61" s="88">
        <v>30</v>
      </c>
      <c r="X61" s="88">
        <v>31</v>
      </c>
      <c r="Y61" s="88">
        <v>31</v>
      </c>
      <c r="Z61" s="88">
        <v>37</v>
      </c>
      <c r="AA61" s="88">
        <v>37</v>
      </c>
    </row>
    <row r="62" spans="1:27" x14ac:dyDescent="0.2">
      <c r="A62" s="88"/>
      <c r="B62" s="88"/>
      <c r="C62" s="88"/>
      <c r="D62" s="550" t="s">
        <v>2133</v>
      </c>
      <c r="E62" s="550"/>
      <c r="F62" s="2191"/>
      <c r="J62" s="284">
        <v>1</v>
      </c>
      <c r="K62" s="1351">
        <v>1</v>
      </c>
      <c r="L62" s="1351">
        <v>1</v>
      </c>
      <c r="M62" s="1351">
        <v>1</v>
      </c>
      <c r="N62" s="1351">
        <v>1</v>
      </c>
      <c r="O62" s="284">
        <v>1</v>
      </c>
      <c r="P62" s="284">
        <v>1</v>
      </c>
      <c r="Q62" s="489">
        <v>1</v>
      </c>
      <c r="R62" s="489"/>
      <c r="S62" s="489">
        <v>1</v>
      </c>
      <c r="T62" s="489">
        <v>1</v>
      </c>
      <c r="U62" s="88">
        <v>1</v>
      </c>
      <c r="V62" s="88">
        <v>1</v>
      </c>
      <c r="W62" s="88">
        <v>1</v>
      </c>
      <c r="X62" s="88">
        <v>1</v>
      </c>
      <c r="Y62" s="88">
        <v>1</v>
      </c>
      <c r="Z62" s="3435">
        <v>1</v>
      </c>
      <c r="AA62" s="3435">
        <v>1</v>
      </c>
    </row>
    <row r="63" spans="1:27" ht="22.5" x14ac:dyDescent="0.2">
      <c r="A63" s="88"/>
      <c r="B63" s="88"/>
      <c r="C63" s="88"/>
      <c r="D63" s="3646" t="s">
        <v>2134</v>
      </c>
      <c r="E63" s="3646"/>
      <c r="F63" s="3647">
        <v>68</v>
      </c>
      <c r="G63" s="3649"/>
      <c r="H63" s="3649"/>
      <c r="I63" s="3649"/>
      <c r="J63" s="3648">
        <f>SUM(J57:J62)</f>
        <v>278</v>
      </c>
      <c r="K63" s="3648">
        <f>SUM(K57:K62)</f>
        <v>279</v>
      </c>
      <c r="L63" s="3648">
        <f>SUM(L57:L62)</f>
        <v>283</v>
      </c>
      <c r="M63" s="3648">
        <f>SUM(M57:M62)</f>
        <v>285</v>
      </c>
      <c r="N63" s="3648">
        <v>292</v>
      </c>
      <c r="O63" s="3648">
        <f>SUM(O57:O62)</f>
        <v>296</v>
      </c>
      <c r="P63" s="3648">
        <v>307</v>
      </c>
      <c r="Q63" s="3648">
        <f>SUM(Q57:Q62)</f>
        <v>311</v>
      </c>
      <c r="R63" s="3648"/>
      <c r="S63" s="3648">
        <f>SUM(S57:S62)</f>
        <v>326</v>
      </c>
      <c r="T63" s="3648">
        <f>SUM(T57:T62)</f>
        <v>326</v>
      </c>
      <c r="U63" s="3604">
        <v>341</v>
      </c>
      <c r="V63" s="3604">
        <v>325</v>
      </c>
      <c r="W63" s="3604">
        <v>325</v>
      </c>
      <c r="X63" s="3604">
        <v>327</v>
      </c>
      <c r="Y63" s="3604">
        <v>322</v>
      </c>
      <c r="Z63" s="95">
        <v>311</v>
      </c>
      <c r="AA63" s="95">
        <v>306</v>
      </c>
    </row>
    <row r="64" spans="1:27" x14ac:dyDescent="0.2">
      <c r="A64" s="88"/>
      <c r="B64" s="88"/>
      <c r="C64" s="88"/>
      <c r="D64" s="2003" t="s">
        <v>2139</v>
      </c>
      <c r="E64" s="2003"/>
      <c r="F64" s="2003"/>
      <c r="G64" s="2003">
        <v>91</v>
      </c>
      <c r="H64" s="2003">
        <v>96</v>
      </c>
      <c r="I64" s="2003">
        <v>101</v>
      </c>
      <c r="J64" s="2003">
        <v>107</v>
      </c>
      <c r="K64" s="2003">
        <v>109</v>
      </c>
      <c r="L64" s="2003">
        <v>114</v>
      </c>
      <c r="M64" s="2003">
        <v>119</v>
      </c>
      <c r="N64" s="2003">
        <v>124</v>
      </c>
      <c r="O64" s="2003">
        <v>124</v>
      </c>
      <c r="P64" s="2003">
        <v>125</v>
      </c>
      <c r="Q64" s="2003">
        <v>125</v>
      </c>
      <c r="R64" s="2003">
        <v>125</v>
      </c>
      <c r="S64" s="2003">
        <v>125</v>
      </c>
      <c r="T64" s="2003">
        <v>125</v>
      </c>
      <c r="U64" s="2003">
        <v>124</v>
      </c>
      <c r="V64" s="2003"/>
      <c r="W64" s="2003">
        <v>124</v>
      </c>
      <c r="X64" s="2003">
        <v>125</v>
      </c>
      <c r="Y64" s="3435">
        <v>125</v>
      </c>
      <c r="Z64" s="2003">
        <v>122</v>
      </c>
      <c r="AA64" s="2003">
        <v>113</v>
      </c>
    </row>
    <row r="65" spans="1:20" x14ac:dyDescent="0.2">
      <c r="A65" s="88"/>
      <c r="B65" s="88"/>
      <c r="C65" s="88"/>
      <c r="H65" s="72"/>
      <c r="I65" s="72"/>
      <c r="J65" s="72"/>
      <c r="K65" s="72"/>
      <c r="L65" s="72"/>
      <c r="M65" s="72"/>
      <c r="N65" s="72"/>
      <c r="O65" s="72"/>
      <c r="P65" s="72"/>
      <c r="Q65" s="460"/>
      <c r="R65" s="2193"/>
      <c r="S65" s="2193"/>
      <c r="T65" s="2193"/>
    </row>
  </sheetData>
  <mergeCells count="8">
    <mergeCell ref="D51:R51"/>
    <mergeCell ref="D52:R52"/>
    <mergeCell ref="D2:U2"/>
    <mergeCell ref="D4:U4"/>
    <mergeCell ref="D5:U5"/>
    <mergeCell ref="D20:F20"/>
    <mergeCell ref="D49:R49"/>
    <mergeCell ref="D50:R50"/>
  </mergeCells>
  <pageMargins left="0.74803149606299213" right="0.74803149606299213" top="0.98425196850393704" bottom="0.98425196850393704" header="0.51181102362204722" footer="0.51181102362204722"/>
  <pageSetup paperSize="9" scale="4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F6658-96EE-4CBB-8D1E-D5E90B3D805A}">
  <sheetPr>
    <tabColor rgb="FFFFC000"/>
    <pageSetUpPr fitToPage="1"/>
  </sheetPr>
  <dimension ref="A1:Z36"/>
  <sheetViews>
    <sheetView showGridLines="0" view="pageBreakPreview" topLeftCell="C1" zoomScale="110" zoomScaleNormal="100" zoomScaleSheetLayoutView="110" workbookViewId="0">
      <selection activeCell="D36" sqref="D36:T36"/>
    </sheetView>
  </sheetViews>
  <sheetFormatPr defaultColWidth="9.140625" defaultRowHeight="11.25" x14ac:dyDescent="0.2"/>
  <cols>
    <col min="1" max="1" width="3.85546875" style="860" customWidth="1"/>
    <col min="2" max="2" width="14.42578125" style="836" customWidth="1"/>
    <col min="3" max="3" width="5.42578125" style="836" customWidth="1"/>
    <col min="4" max="4" width="14.140625" style="88" customWidth="1"/>
    <col min="5" max="19" width="6" style="88" customWidth="1"/>
    <col min="20" max="20" width="6.42578125" style="88" customWidth="1"/>
    <col min="21" max="21" width="5.5703125" style="88" customWidth="1"/>
    <col min="22" max="22" width="6.42578125" style="88" customWidth="1"/>
    <col min="23" max="23" width="6.5703125" style="88" customWidth="1"/>
    <col min="24" max="24" width="7" style="88" customWidth="1"/>
    <col min="25" max="25" width="5.85546875" style="88" customWidth="1"/>
    <col min="26" max="26" width="6.140625" style="88" customWidth="1"/>
    <col min="27" max="257" width="9.140625" style="88"/>
    <col min="258" max="258" width="3.85546875" style="88" customWidth="1"/>
    <col min="259" max="259" width="14.42578125" style="88" customWidth="1"/>
    <col min="260" max="260" width="5.42578125" style="88" customWidth="1"/>
    <col min="261" max="261" width="14.140625" style="88" customWidth="1"/>
    <col min="262" max="275" width="6" style="88" customWidth="1"/>
    <col min="276" max="513" width="9.140625" style="88"/>
    <col min="514" max="514" width="3.85546875" style="88" customWidth="1"/>
    <col min="515" max="515" width="14.42578125" style="88" customWidth="1"/>
    <col min="516" max="516" width="5.42578125" style="88" customWidth="1"/>
    <col min="517" max="517" width="14.140625" style="88" customWidth="1"/>
    <col min="518" max="531" width="6" style="88" customWidth="1"/>
    <col min="532" max="769" width="9.140625" style="88"/>
    <col min="770" max="770" width="3.85546875" style="88" customWidth="1"/>
    <col min="771" max="771" width="14.42578125" style="88" customWidth="1"/>
    <col min="772" max="772" width="5.42578125" style="88" customWidth="1"/>
    <col min="773" max="773" width="14.140625" style="88" customWidth="1"/>
    <col min="774" max="787" width="6" style="88" customWidth="1"/>
    <col min="788" max="1025" width="9.140625" style="88"/>
    <col min="1026" max="1026" width="3.85546875" style="88" customWidth="1"/>
    <col min="1027" max="1027" width="14.42578125" style="88" customWidth="1"/>
    <col min="1028" max="1028" width="5.42578125" style="88" customWidth="1"/>
    <col min="1029" max="1029" width="14.140625" style="88" customWidth="1"/>
    <col min="1030" max="1043" width="6" style="88" customWidth="1"/>
    <col min="1044" max="1281" width="9.140625" style="88"/>
    <col min="1282" max="1282" width="3.85546875" style="88" customWidth="1"/>
    <col min="1283" max="1283" width="14.42578125" style="88" customWidth="1"/>
    <col min="1284" max="1284" width="5.42578125" style="88" customWidth="1"/>
    <col min="1285" max="1285" width="14.140625" style="88" customWidth="1"/>
    <col min="1286" max="1299" width="6" style="88" customWidth="1"/>
    <col min="1300" max="1537" width="9.140625" style="88"/>
    <col min="1538" max="1538" width="3.85546875" style="88" customWidth="1"/>
    <col min="1539" max="1539" width="14.42578125" style="88" customWidth="1"/>
    <col min="1540" max="1540" width="5.42578125" style="88" customWidth="1"/>
    <col min="1541" max="1541" width="14.140625" style="88" customWidth="1"/>
    <col min="1542" max="1555" width="6" style="88" customWidth="1"/>
    <col min="1556" max="1793" width="9.140625" style="88"/>
    <col min="1794" max="1794" width="3.85546875" style="88" customWidth="1"/>
    <col min="1795" max="1795" width="14.42578125" style="88" customWidth="1"/>
    <col min="1796" max="1796" width="5.42578125" style="88" customWidth="1"/>
    <col min="1797" max="1797" width="14.140625" style="88" customWidth="1"/>
    <col min="1798" max="1811" width="6" style="88" customWidth="1"/>
    <col min="1812" max="2049" width="9.140625" style="88"/>
    <col min="2050" max="2050" width="3.85546875" style="88" customWidth="1"/>
    <col min="2051" max="2051" width="14.42578125" style="88" customWidth="1"/>
    <col min="2052" max="2052" width="5.42578125" style="88" customWidth="1"/>
    <col min="2053" max="2053" width="14.140625" style="88" customWidth="1"/>
    <col min="2054" max="2067" width="6" style="88" customWidth="1"/>
    <col min="2068" max="2305" width="9.140625" style="88"/>
    <col min="2306" max="2306" width="3.85546875" style="88" customWidth="1"/>
    <col min="2307" max="2307" width="14.42578125" style="88" customWidth="1"/>
    <col min="2308" max="2308" width="5.42578125" style="88" customWidth="1"/>
    <col min="2309" max="2309" width="14.140625" style="88" customWidth="1"/>
    <col min="2310" max="2323" width="6" style="88" customWidth="1"/>
    <col min="2324" max="2561" width="9.140625" style="88"/>
    <col min="2562" max="2562" width="3.85546875" style="88" customWidth="1"/>
    <col min="2563" max="2563" width="14.42578125" style="88" customWidth="1"/>
    <col min="2564" max="2564" width="5.42578125" style="88" customWidth="1"/>
    <col min="2565" max="2565" width="14.140625" style="88" customWidth="1"/>
    <col min="2566" max="2579" width="6" style="88" customWidth="1"/>
    <col min="2580" max="2817" width="9.140625" style="88"/>
    <col min="2818" max="2818" width="3.85546875" style="88" customWidth="1"/>
    <col min="2819" max="2819" width="14.42578125" style="88" customWidth="1"/>
    <col min="2820" max="2820" width="5.42578125" style="88" customWidth="1"/>
    <col min="2821" max="2821" width="14.140625" style="88" customWidth="1"/>
    <col min="2822" max="2835" width="6" style="88" customWidth="1"/>
    <col min="2836" max="3073" width="9.140625" style="88"/>
    <col min="3074" max="3074" width="3.85546875" style="88" customWidth="1"/>
    <col min="3075" max="3075" width="14.42578125" style="88" customWidth="1"/>
    <col min="3076" max="3076" width="5.42578125" style="88" customWidth="1"/>
    <col min="3077" max="3077" width="14.140625" style="88" customWidth="1"/>
    <col min="3078" max="3091" width="6" style="88" customWidth="1"/>
    <col min="3092" max="3329" width="9.140625" style="88"/>
    <col min="3330" max="3330" width="3.85546875" style="88" customWidth="1"/>
    <col min="3331" max="3331" width="14.42578125" style="88" customWidth="1"/>
    <col min="3332" max="3332" width="5.42578125" style="88" customWidth="1"/>
    <col min="3333" max="3333" width="14.140625" style="88" customWidth="1"/>
    <col min="3334" max="3347" width="6" style="88" customWidth="1"/>
    <col min="3348" max="3585" width="9.140625" style="88"/>
    <col min="3586" max="3586" width="3.85546875" style="88" customWidth="1"/>
    <col min="3587" max="3587" width="14.42578125" style="88" customWidth="1"/>
    <col min="3588" max="3588" width="5.42578125" style="88" customWidth="1"/>
    <col min="3589" max="3589" width="14.140625" style="88" customWidth="1"/>
    <col min="3590" max="3603" width="6" style="88" customWidth="1"/>
    <col min="3604" max="3841" width="9.140625" style="88"/>
    <col min="3842" max="3842" width="3.85546875" style="88" customWidth="1"/>
    <col min="3843" max="3843" width="14.42578125" style="88" customWidth="1"/>
    <col min="3844" max="3844" width="5.42578125" style="88" customWidth="1"/>
    <col min="3845" max="3845" width="14.140625" style="88" customWidth="1"/>
    <col min="3846" max="3859" width="6" style="88" customWidth="1"/>
    <col min="3860" max="4097" width="9.140625" style="88"/>
    <col min="4098" max="4098" width="3.85546875" style="88" customWidth="1"/>
    <col min="4099" max="4099" width="14.42578125" style="88" customWidth="1"/>
    <col min="4100" max="4100" width="5.42578125" style="88" customWidth="1"/>
    <col min="4101" max="4101" width="14.140625" style="88" customWidth="1"/>
    <col min="4102" max="4115" width="6" style="88" customWidth="1"/>
    <col min="4116" max="4353" width="9.140625" style="88"/>
    <col min="4354" max="4354" width="3.85546875" style="88" customWidth="1"/>
    <col min="4355" max="4355" width="14.42578125" style="88" customWidth="1"/>
    <col min="4356" max="4356" width="5.42578125" style="88" customWidth="1"/>
    <col min="4357" max="4357" width="14.140625" style="88" customWidth="1"/>
    <col min="4358" max="4371" width="6" style="88" customWidth="1"/>
    <col min="4372" max="4609" width="9.140625" style="88"/>
    <col min="4610" max="4610" width="3.85546875" style="88" customWidth="1"/>
    <col min="4611" max="4611" width="14.42578125" style="88" customWidth="1"/>
    <col min="4612" max="4612" width="5.42578125" style="88" customWidth="1"/>
    <col min="4613" max="4613" width="14.140625" style="88" customWidth="1"/>
    <col min="4614" max="4627" width="6" style="88" customWidth="1"/>
    <col min="4628" max="4865" width="9.140625" style="88"/>
    <col min="4866" max="4866" width="3.85546875" style="88" customWidth="1"/>
    <col min="4867" max="4867" width="14.42578125" style="88" customWidth="1"/>
    <col min="4868" max="4868" width="5.42578125" style="88" customWidth="1"/>
    <col min="4869" max="4869" width="14.140625" style="88" customWidth="1"/>
    <col min="4870" max="4883" width="6" style="88" customWidth="1"/>
    <col min="4884" max="5121" width="9.140625" style="88"/>
    <col min="5122" max="5122" width="3.85546875" style="88" customWidth="1"/>
    <col min="5123" max="5123" width="14.42578125" style="88" customWidth="1"/>
    <col min="5124" max="5124" width="5.42578125" style="88" customWidth="1"/>
    <col min="5125" max="5125" width="14.140625" style="88" customWidth="1"/>
    <col min="5126" max="5139" width="6" style="88" customWidth="1"/>
    <col min="5140" max="5377" width="9.140625" style="88"/>
    <col min="5378" max="5378" width="3.85546875" style="88" customWidth="1"/>
    <col min="5379" max="5379" width="14.42578125" style="88" customWidth="1"/>
    <col min="5380" max="5380" width="5.42578125" style="88" customWidth="1"/>
    <col min="5381" max="5381" width="14.140625" style="88" customWidth="1"/>
    <col min="5382" max="5395" width="6" style="88" customWidth="1"/>
    <col min="5396" max="5633" width="9.140625" style="88"/>
    <col min="5634" max="5634" width="3.85546875" style="88" customWidth="1"/>
    <col min="5635" max="5635" width="14.42578125" style="88" customWidth="1"/>
    <col min="5636" max="5636" width="5.42578125" style="88" customWidth="1"/>
    <col min="5637" max="5637" width="14.140625" style="88" customWidth="1"/>
    <col min="5638" max="5651" width="6" style="88" customWidth="1"/>
    <col min="5652" max="5889" width="9.140625" style="88"/>
    <col min="5890" max="5890" width="3.85546875" style="88" customWidth="1"/>
    <col min="5891" max="5891" width="14.42578125" style="88" customWidth="1"/>
    <col min="5892" max="5892" width="5.42578125" style="88" customWidth="1"/>
    <col min="5893" max="5893" width="14.140625" style="88" customWidth="1"/>
    <col min="5894" max="5907" width="6" style="88" customWidth="1"/>
    <col min="5908" max="6145" width="9.140625" style="88"/>
    <col min="6146" max="6146" width="3.85546875" style="88" customWidth="1"/>
    <col min="6147" max="6147" width="14.42578125" style="88" customWidth="1"/>
    <col min="6148" max="6148" width="5.42578125" style="88" customWidth="1"/>
    <col min="6149" max="6149" width="14.140625" style="88" customWidth="1"/>
    <col min="6150" max="6163" width="6" style="88" customWidth="1"/>
    <col min="6164" max="6401" width="9.140625" style="88"/>
    <col min="6402" max="6402" width="3.85546875" style="88" customWidth="1"/>
    <col min="6403" max="6403" width="14.42578125" style="88" customWidth="1"/>
    <col min="6404" max="6404" width="5.42578125" style="88" customWidth="1"/>
    <col min="6405" max="6405" width="14.140625" style="88" customWidth="1"/>
    <col min="6406" max="6419" width="6" style="88" customWidth="1"/>
    <col min="6420" max="6657" width="9.140625" style="88"/>
    <col min="6658" max="6658" width="3.85546875" style="88" customWidth="1"/>
    <col min="6659" max="6659" width="14.42578125" style="88" customWidth="1"/>
    <col min="6660" max="6660" width="5.42578125" style="88" customWidth="1"/>
    <col min="6661" max="6661" width="14.140625" style="88" customWidth="1"/>
    <col min="6662" max="6675" width="6" style="88" customWidth="1"/>
    <col min="6676" max="6913" width="9.140625" style="88"/>
    <col min="6914" max="6914" width="3.85546875" style="88" customWidth="1"/>
    <col min="6915" max="6915" width="14.42578125" style="88" customWidth="1"/>
    <col min="6916" max="6916" width="5.42578125" style="88" customWidth="1"/>
    <col min="6917" max="6917" width="14.140625" style="88" customWidth="1"/>
    <col min="6918" max="6931" width="6" style="88" customWidth="1"/>
    <col min="6932" max="7169" width="9.140625" style="88"/>
    <col min="7170" max="7170" width="3.85546875" style="88" customWidth="1"/>
    <col min="7171" max="7171" width="14.42578125" style="88" customWidth="1"/>
    <col min="7172" max="7172" width="5.42578125" style="88" customWidth="1"/>
    <col min="7173" max="7173" width="14.140625" style="88" customWidth="1"/>
    <col min="7174" max="7187" width="6" style="88" customWidth="1"/>
    <col min="7188" max="7425" width="9.140625" style="88"/>
    <col min="7426" max="7426" width="3.85546875" style="88" customWidth="1"/>
    <col min="7427" max="7427" width="14.42578125" style="88" customWidth="1"/>
    <col min="7428" max="7428" width="5.42578125" style="88" customWidth="1"/>
    <col min="7429" max="7429" width="14.140625" style="88" customWidth="1"/>
    <col min="7430" max="7443" width="6" style="88" customWidth="1"/>
    <col min="7444" max="7681" width="9.140625" style="88"/>
    <col min="7682" max="7682" width="3.85546875" style="88" customWidth="1"/>
    <col min="7683" max="7683" width="14.42578125" style="88" customWidth="1"/>
    <col min="7684" max="7684" width="5.42578125" style="88" customWidth="1"/>
    <col min="7685" max="7685" width="14.140625" style="88" customWidth="1"/>
    <col min="7686" max="7699" width="6" style="88" customWidth="1"/>
    <col min="7700" max="7937" width="9.140625" style="88"/>
    <col min="7938" max="7938" width="3.85546875" style="88" customWidth="1"/>
    <col min="7939" max="7939" width="14.42578125" style="88" customWidth="1"/>
    <col min="7940" max="7940" width="5.42578125" style="88" customWidth="1"/>
    <col min="7941" max="7941" width="14.140625" style="88" customWidth="1"/>
    <col min="7942" max="7955" width="6" style="88" customWidth="1"/>
    <col min="7956" max="8193" width="9.140625" style="88"/>
    <col min="8194" max="8194" width="3.85546875" style="88" customWidth="1"/>
    <col min="8195" max="8195" width="14.42578125" style="88" customWidth="1"/>
    <col min="8196" max="8196" width="5.42578125" style="88" customWidth="1"/>
    <col min="8197" max="8197" width="14.140625" style="88" customWidth="1"/>
    <col min="8198" max="8211" width="6" style="88" customWidth="1"/>
    <col min="8212" max="8449" width="9.140625" style="88"/>
    <col min="8450" max="8450" width="3.85546875" style="88" customWidth="1"/>
    <col min="8451" max="8451" width="14.42578125" style="88" customWidth="1"/>
    <col min="8452" max="8452" width="5.42578125" style="88" customWidth="1"/>
    <col min="8453" max="8453" width="14.140625" style="88" customWidth="1"/>
    <col min="8454" max="8467" width="6" style="88" customWidth="1"/>
    <col min="8468" max="8705" width="9.140625" style="88"/>
    <col min="8706" max="8706" width="3.85546875" style="88" customWidth="1"/>
    <col min="8707" max="8707" width="14.42578125" style="88" customWidth="1"/>
    <col min="8708" max="8708" width="5.42578125" style="88" customWidth="1"/>
    <col min="8709" max="8709" width="14.140625" style="88" customWidth="1"/>
    <col min="8710" max="8723" width="6" style="88" customWidth="1"/>
    <col min="8724" max="8961" width="9.140625" style="88"/>
    <col min="8962" max="8962" width="3.85546875" style="88" customWidth="1"/>
    <col min="8963" max="8963" width="14.42578125" style="88" customWidth="1"/>
    <col min="8964" max="8964" width="5.42578125" style="88" customWidth="1"/>
    <col min="8965" max="8965" width="14.140625" style="88" customWidth="1"/>
    <col min="8966" max="8979" width="6" style="88" customWidth="1"/>
    <col min="8980" max="9217" width="9.140625" style="88"/>
    <col min="9218" max="9218" width="3.85546875" style="88" customWidth="1"/>
    <col min="9219" max="9219" width="14.42578125" style="88" customWidth="1"/>
    <col min="9220" max="9220" width="5.42578125" style="88" customWidth="1"/>
    <col min="9221" max="9221" width="14.140625" style="88" customWidth="1"/>
    <col min="9222" max="9235" width="6" style="88" customWidth="1"/>
    <col min="9236" max="9473" width="9.140625" style="88"/>
    <col min="9474" max="9474" width="3.85546875" style="88" customWidth="1"/>
    <col min="9475" max="9475" width="14.42578125" style="88" customWidth="1"/>
    <col min="9476" max="9476" width="5.42578125" style="88" customWidth="1"/>
    <col min="9477" max="9477" width="14.140625" style="88" customWidth="1"/>
    <col min="9478" max="9491" width="6" style="88" customWidth="1"/>
    <col min="9492" max="9729" width="9.140625" style="88"/>
    <col min="9730" max="9730" width="3.85546875" style="88" customWidth="1"/>
    <col min="9731" max="9731" width="14.42578125" style="88" customWidth="1"/>
    <col min="9732" max="9732" width="5.42578125" style="88" customWidth="1"/>
    <col min="9733" max="9733" width="14.140625" style="88" customWidth="1"/>
    <col min="9734" max="9747" width="6" style="88" customWidth="1"/>
    <col min="9748" max="9985" width="9.140625" style="88"/>
    <col min="9986" max="9986" width="3.85546875" style="88" customWidth="1"/>
    <col min="9987" max="9987" width="14.42578125" style="88" customWidth="1"/>
    <col min="9988" max="9988" width="5.42578125" style="88" customWidth="1"/>
    <col min="9989" max="9989" width="14.140625" style="88" customWidth="1"/>
    <col min="9990" max="10003" width="6" style="88" customWidth="1"/>
    <col min="10004" max="10241" width="9.140625" style="88"/>
    <col min="10242" max="10242" width="3.85546875" style="88" customWidth="1"/>
    <col min="10243" max="10243" width="14.42578125" style="88" customWidth="1"/>
    <col min="10244" max="10244" width="5.42578125" style="88" customWidth="1"/>
    <col min="10245" max="10245" width="14.140625" style="88" customWidth="1"/>
    <col min="10246" max="10259" width="6" style="88" customWidth="1"/>
    <col min="10260" max="10497" width="9.140625" style="88"/>
    <col min="10498" max="10498" width="3.85546875" style="88" customWidth="1"/>
    <col min="10499" max="10499" width="14.42578125" style="88" customWidth="1"/>
    <col min="10500" max="10500" width="5.42578125" style="88" customWidth="1"/>
    <col min="10501" max="10501" width="14.140625" style="88" customWidth="1"/>
    <col min="10502" max="10515" width="6" style="88" customWidth="1"/>
    <col min="10516" max="10753" width="9.140625" style="88"/>
    <col min="10754" max="10754" width="3.85546875" style="88" customWidth="1"/>
    <col min="10755" max="10755" width="14.42578125" style="88" customWidth="1"/>
    <col min="10756" max="10756" width="5.42578125" style="88" customWidth="1"/>
    <col min="10757" max="10757" width="14.140625" style="88" customWidth="1"/>
    <col min="10758" max="10771" width="6" style="88" customWidth="1"/>
    <col min="10772" max="11009" width="9.140625" style="88"/>
    <col min="11010" max="11010" width="3.85546875" style="88" customWidth="1"/>
    <col min="11011" max="11011" width="14.42578125" style="88" customWidth="1"/>
    <col min="11012" max="11012" width="5.42578125" style="88" customWidth="1"/>
    <col min="11013" max="11013" width="14.140625" style="88" customWidth="1"/>
    <col min="11014" max="11027" width="6" style="88" customWidth="1"/>
    <col min="11028" max="11265" width="9.140625" style="88"/>
    <col min="11266" max="11266" width="3.85546875" style="88" customWidth="1"/>
    <col min="11267" max="11267" width="14.42578125" style="88" customWidth="1"/>
    <col min="11268" max="11268" width="5.42578125" style="88" customWidth="1"/>
    <col min="11269" max="11269" width="14.140625" style="88" customWidth="1"/>
    <col min="11270" max="11283" width="6" style="88" customWidth="1"/>
    <col min="11284" max="11521" width="9.140625" style="88"/>
    <col min="11522" max="11522" width="3.85546875" style="88" customWidth="1"/>
    <col min="11523" max="11523" width="14.42578125" style="88" customWidth="1"/>
    <col min="11524" max="11524" width="5.42578125" style="88" customWidth="1"/>
    <col min="11525" max="11525" width="14.140625" style="88" customWidth="1"/>
    <col min="11526" max="11539" width="6" style="88" customWidth="1"/>
    <col min="11540" max="11777" width="9.140625" style="88"/>
    <col min="11778" max="11778" width="3.85546875" style="88" customWidth="1"/>
    <col min="11779" max="11779" width="14.42578125" style="88" customWidth="1"/>
    <col min="11780" max="11780" width="5.42578125" style="88" customWidth="1"/>
    <col min="11781" max="11781" width="14.140625" style="88" customWidth="1"/>
    <col min="11782" max="11795" width="6" style="88" customWidth="1"/>
    <col min="11796" max="12033" width="9.140625" style="88"/>
    <col min="12034" max="12034" width="3.85546875" style="88" customWidth="1"/>
    <col min="12035" max="12035" width="14.42578125" style="88" customWidth="1"/>
    <col min="12036" max="12036" width="5.42578125" style="88" customWidth="1"/>
    <col min="12037" max="12037" width="14.140625" style="88" customWidth="1"/>
    <col min="12038" max="12051" width="6" style="88" customWidth="1"/>
    <col min="12052" max="12289" width="9.140625" style="88"/>
    <col min="12290" max="12290" width="3.85546875" style="88" customWidth="1"/>
    <col min="12291" max="12291" width="14.42578125" style="88" customWidth="1"/>
    <col min="12292" max="12292" width="5.42578125" style="88" customWidth="1"/>
    <col min="12293" max="12293" width="14.140625" style="88" customWidth="1"/>
    <col min="12294" max="12307" width="6" style="88" customWidth="1"/>
    <col min="12308" max="12545" width="9.140625" style="88"/>
    <col min="12546" max="12546" width="3.85546875" style="88" customWidth="1"/>
    <col min="12547" max="12547" width="14.42578125" style="88" customWidth="1"/>
    <col min="12548" max="12548" width="5.42578125" style="88" customWidth="1"/>
    <col min="12549" max="12549" width="14.140625" style="88" customWidth="1"/>
    <col min="12550" max="12563" width="6" style="88" customWidth="1"/>
    <col min="12564" max="12801" width="9.140625" style="88"/>
    <col min="12802" max="12802" width="3.85546875" style="88" customWidth="1"/>
    <col min="12803" max="12803" width="14.42578125" style="88" customWidth="1"/>
    <col min="12804" max="12804" width="5.42578125" style="88" customWidth="1"/>
    <col min="12805" max="12805" width="14.140625" style="88" customWidth="1"/>
    <col min="12806" max="12819" width="6" style="88" customWidth="1"/>
    <col min="12820" max="13057" width="9.140625" style="88"/>
    <col min="13058" max="13058" width="3.85546875" style="88" customWidth="1"/>
    <col min="13059" max="13059" width="14.42578125" style="88" customWidth="1"/>
    <col min="13060" max="13060" width="5.42578125" style="88" customWidth="1"/>
    <col min="13061" max="13061" width="14.140625" style="88" customWidth="1"/>
    <col min="13062" max="13075" width="6" style="88" customWidth="1"/>
    <col min="13076" max="13313" width="9.140625" style="88"/>
    <col min="13314" max="13314" width="3.85546875" style="88" customWidth="1"/>
    <col min="13315" max="13315" width="14.42578125" style="88" customWidth="1"/>
    <col min="13316" max="13316" width="5.42578125" style="88" customWidth="1"/>
    <col min="13317" max="13317" width="14.140625" style="88" customWidth="1"/>
    <col min="13318" max="13331" width="6" style="88" customWidth="1"/>
    <col min="13332" max="13569" width="9.140625" style="88"/>
    <col min="13570" max="13570" width="3.85546875" style="88" customWidth="1"/>
    <col min="13571" max="13571" width="14.42578125" style="88" customWidth="1"/>
    <col min="13572" max="13572" width="5.42578125" style="88" customWidth="1"/>
    <col min="13573" max="13573" width="14.140625" style="88" customWidth="1"/>
    <col min="13574" max="13587" width="6" style="88" customWidth="1"/>
    <col min="13588" max="13825" width="9.140625" style="88"/>
    <col min="13826" max="13826" width="3.85546875" style="88" customWidth="1"/>
    <col min="13827" max="13827" width="14.42578125" style="88" customWidth="1"/>
    <col min="13828" max="13828" width="5.42578125" style="88" customWidth="1"/>
    <col min="13829" max="13829" width="14.140625" style="88" customWidth="1"/>
    <col min="13830" max="13843" width="6" style="88" customWidth="1"/>
    <col min="13844" max="14081" width="9.140625" style="88"/>
    <col min="14082" max="14082" width="3.85546875" style="88" customWidth="1"/>
    <col min="14083" max="14083" width="14.42578125" style="88" customWidth="1"/>
    <col min="14084" max="14084" width="5.42578125" style="88" customWidth="1"/>
    <col min="14085" max="14085" width="14.140625" style="88" customWidth="1"/>
    <col min="14086" max="14099" width="6" style="88" customWidth="1"/>
    <col min="14100" max="14337" width="9.140625" style="88"/>
    <col min="14338" max="14338" width="3.85546875" style="88" customWidth="1"/>
    <col min="14339" max="14339" width="14.42578125" style="88" customWidth="1"/>
    <col min="14340" max="14340" width="5.42578125" style="88" customWidth="1"/>
    <col min="14341" max="14341" width="14.140625" style="88" customWidth="1"/>
    <col min="14342" max="14355" width="6" style="88" customWidth="1"/>
    <col min="14356" max="14593" width="9.140625" style="88"/>
    <col min="14594" max="14594" width="3.85546875" style="88" customWidth="1"/>
    <col min="14595" max="14595" width="14.42578125" style="88" customWidth="1"/>
    <col min="14596" max="14596" width="5.42578125" style="88" customWidth="1"/>
    <col min="14597" max="14597" width="14.140625" style="88" customWidth="1"/>
    <col min="14598" max="14611" width="6" style="88" customWidth="1"/>
    <col min="14612" max="14849" width="9.140625" style="88"/>
    <col min="14850" max="14850" width="3.85546875" style="88" customWidth="1"/>
    <col min="14851" max="14851" width="14.42578125" style="88" customWidth="1"/>
    <col min="14852" max="14852" width="5.42578125" style="88" customWidth="1"/>
    <col min="14853" max="14853" width="14.140625" style="88" customWidth="1"/>
    <col min="14854" max="14867" width="6" style="88" customWidth="1"/>
    <col min="14868" max="15105" width="9.140625" style="88"/>
    <col min="15106" max="15106" width="3.85546875" style="88" customWidth="1"/>
    <col min="15107" max="15107" width="14.42578125" style="88" customWidth="1"/>
    <col min="15108" max="15108" width="5.42578125" style="88" customWidth="1"/>
    <col min="15109" max="15109" width="14.140625" style="88" customWidth="1"/>
    <col min="15110" max="15123" width="6" style="88" customWidth="1"/>
    <col min="15124" max="15361" width="9.140625" style="88"/>
    <col min="15362" max="15362" width="3.85546875" style="88" customWidth="1"/>
    <col min="15363" max="15363" width="14.42578125" style="88" customWidth="1"/>
    <col min="15364" max="15364" width="5.42578125" style="88" customWidth="1"/>
    <col min="15365" max="15365" width="14.140625" style="88" customWidth="1"/>
    <col min="15366" max="15379" width="6" style="88" customWidth="1"/>
    <col min="15380" max="15617" width="9.140625" style="88"/>
    <col min="15618" max="15618" width="3.85546875" style="88" customWidth="1"/>
    <col min="15619" max="15619" width="14.42578125" style="88" customWidth="1"/>
    <col min="15620" max="15620" width="5.42578125" style="88" customWidth="1"/>
    <col min="15621" max="15621" width="14.140625" style="88" customWidth="1"/>
    <col min="15622" max="15635" width="6" style="88" customWidth="1"/>
    <col min="15636" max="15873" width="9.140625" style="88"/>
    <col min="15874" max="15874" width="3.85546875" style="88" customWidth="1"/>
    <col min="15875" max="15875" width="14.42578125" style="88" customWidth="1"/>
    <col min="15876" max="15876" width="5.42578125" style="88" customWidth="1"/>
    <col min="15877" max="15877" width="14.140625" style="88" customWidth="1"/>
    <col min="15878" max="15891" width="6" style="88" customWidth="1"/>
    <col min="15892" max="16129" width="9.140625" style="88"/>
    <col min="16130" max="16130" width="3.85546875" style="88" customWidth="1"/>
    <col min="16131" max="16131" width="14.42578125" style="88" customWidth="1"/>
    <col min="16132" max="16132" width="5.42578125" style="88" customWidth="1"/>
    <col min="16133" max="16133" width="14.140625" style="88" customWidth="1"/>
    <col min="16134" max="16147" width="6" style="88" customWidth="1"/>
    <col min="16148" max="16384" width="9.140625" style="88"/>
  </cols>
  <sheetData>
    <row r="1" spans="1:26" ht="12.75" x14ac:dyDescent="0.2">
      <c r="A1" s="509"/>
      <c r="B1" s="309"/>
      <c r="C1" s="309"/>
      <c r="D1" s="510"/>
      <c r="E1" s="510"/>
      <c r="F1" s="510"/>
      <c r="G1" s="510"/>
      <c r="H1" s="510"/>
      <c r="I1" s="510"/>
      <c r="J1" s="510"/>
      <c r="K1" s="510"/>
      <c r="L1" s="510"/>
      <c r="M1" s="510"/>
      <c r="N1" s="510"/>
      <c r="O1" s="510"/>
      <c r="P1" s="510"/>
      <c r="Q1" s="510"/>
      <c r="R1" s="510"/>
      <c r="S1" s="510"/>
      <c r="T1" s="510"/>
    </row>
    <row r="2" spans="1:26" ht="17.25" customHeight="1" x14ac:dyDescent="0.2">
      <c r="A2" s="509">
        <v>1</v>
      </c>
      <c r="B2" s="509" t="s">
        <v>361</v>
      </c>
      <c r="C2" s="509">
        <v>85</v>
      </c>
      <c r="D2" s="4603" t="s">
        <v>2140</v>
      </c>
      <c r="E2" s="4604"/>
      <c r="F2" s="4604"/>
      <c r="G2" s="4604"/>
      <c r="H2" s="4604"/>
      <c r="I2" s="4604"/>
      <c r="J2" s="4604"/>
      <c r="K2" s="4604"/>
      <c r="L2" s="4604"/>
      <c r="M2" s="4604"/>
      <c r="N2" s="4604"/>
      <c r="O2" s="4604"/>
      <c r="P2" s="4604"/>
      <c r="Q2" s="4604"/>
      <c r="R2" s="4604"/>
      <c r="S2" s="4604"/>
      <c r="T2" s="4605"/>
    </row>
    <row r="3" spans="1:26" ht="16.5" customHeight="1" x14ac:dyDescent="0.2">
      <c r="A3" s="509">
        <v>2</v>
      </c>
      <c r="B3" s="509" t="s">
        <v>363</v>
      </c>
      <c r="C3" s="509"/>
      <c r="D3" s="4603" t="s">
        <v>2141</v>
      </c>
      <c r="E3" s="4604"/>
      <c r="F3" s="4604"/>
      <c r="G3" s="4604"/>
      <c r="H3" s="4604"/>
      <c r="I3" s="4604"/>
      <c r="J3" s="4604"/>
      <c r="K3" s="4604"/>
      <c r="L3" s="4604"/>
      <c r="M3" s="4604"/>
      <c r="N3" s="4604"/>
      <c r="O3" s="4604"/>
      <c r="P3" s="4604"/>
      <c r="Q3" s="4604"/>
      <c r="R3" s="4604"/>
      <c r="S3" s="4604"/>
      <c r="T3" s="4605"/>
    </row>
    <row r="4" spans="1:26" ht="16.5" customHeight="1" x14ac:dyDescent="0.2">
      <c r="A4" s="509">
        <v>3</v>
      </c>
      <c r="B4" s="509" t="s">
        <v>4</v>
      </c>
      <c r="C4" s="509"/>
      <c r="D4" s="4603" t="s">
        <v>2142</v>
      </c>
      <c r="E4" s="4604"/>
      <c r="F4" s="4604"/>
      <c r="G4" s="4604"/>
      <c r="H4" s="4604"/>
      <c r="I4" s="4604"/>
      <c r="J4" s="4604"/>
      <c r="K4" s="4604"/>
      <c r="L4" s="4604"/>
      <c r="M4" s="4604"/>
      <c r="N4" s="4604"/>
      <c r="O4" s="4604"/>
      <c r="P4" s="4604"/>
      <c r="Q4" s="4604"/>
      <c r="R4" s="4604"/>
      <c r="S4" s="4604"/>
      <c r="T4" s="4605"/>
    </row>
    <row r="5" spans="1:26" ht="12.75" x14ac:dyDescent="0.2">
      <c r="C5" s="509"/>
      <c r="D5" s="510"/>
      <c r="E5" s="510"/>
      <c r="F5" s="510"/>
      <c r="G5" s="510"/>
      <c r="H5" s="510"/>
      <c r="I5" s="510"/>
      <c r="J5" s="510"/>
      <c r="K5" s="510"/>
      <c r="L5" s="510"/>
      <c r="M5" s="510"/>
      <c r="N5" s="510"/>
      <c r="O5" s="510"/>
      <c r="P5" s="510"/>
      <c r="Q5" s="510"/>
      <c r="R5" s="510"/>
      <c r="S5" s="510"/>
      <c r="T5" s="510"/>
    </row>
    <row r="6" spans="1:26" ht="12.75" x14ac:dyDescent="0.2">
      <c r="A6" s="2187"/>
      <c r="B6" s="509"/>
      <c r="C6" s="509"/>
      <c r="D6" s="510"/>
      <c r="E6" s="510"/>
      <c r="F6" s="510"/>
      <c r="G6" s="510"/>
      <c r="H6" s="510"/>
      <c r="I6" s="510"/>
      <c r="J6" s="510"/>
      <c r="K6" s="510"/>
      <c r="L6" s="510"/>
      <c r="M6" s="510"/>
      <c r="N6" s="510"/>
      <c r="O6" s="510"/>
      <c r="P6" s="510"/>
      <c r="Q6" s="510"/>
      <c r="R6" s="510"/>
      <c r="S6" s="510"/>
      <c r="T6" s="510"/>
    </row>
    <row r="7" spans="1:26" ht="12.75" x14ac:dyDescent="0.2">
      <c r="A7" s="509">
        <v>4</v>
      </c>
      <c r="B7" s="509" t="s">
        <v>6</v>
      </c>
      <c r="D7" s="72" t="s">
        <v>7</v>
      </c>
      <c r="E7" s="72" t="s">
        <v>2143</v>
      </c>
      <c r="F7" s="72"/>
      <c r="G7" s="72"/>
      <c r="H7" s="72"/>
      <c r="I7" s="72"/>
      <c r="J7" s="72"/>
      <c r="K7" s="72"/>
      <c r="L7" s="95"/>
    </row>
    <row r="8" spans="1:26" x14ac:dyDescent="0.2">
      <c r="D8" s="550" t="s">
        <v>2144</v>
      </c>
      <c r="E8" s="2194">
        <v>2000</v>
      </c>
      <c r="F8" s="2194">
        <v>2001</v>
      </c>
      <c r="G8" s="2194">
        <v>2002</v>
      </c>
      <c r="H8" s="2194">
        <v>2003</v>
      </c>
      <c r="I8" s="2194">
        <v>2004</v>
      </c>
      <c r="J8" s="2194">
        <v>2005</v>
      </c>
      <c r="K8" s="2194">
        <v>2006</v>
      </c>
      <c r="L8" s="2194">
        <v>2007</v>
      </c>
      <c r="M8" s="3289">
        <v>2008</v>
      </c>
      <c r="N8" s="3289">
        <v>2009</v>
      </c>
      <c r="O8" s="3289">
        <v>2010</v>
      </c>
      <c r="P8" s="3289">
        <v>2011</v>
      </c>
      <c r="Q8" s="3289">
        <v>2012</v>
      </c>
      <c r="R8" s="3289">
        <v>2013</v>
      </c>
      <c r="S8" s="3289">
        <v>2014</v>
      </c>
      <c r="T8" s="3289">
        <v>2015</v>
      </c>
      <c r="U8" s="2424">
        <v>2016</v>
      </c>
      <c r="V8" s="2424">
        <v>2017</v>
      </c>
      <c r="W8" s="2424">
        <v>2018</v>
      </c>
      <c r="X8" s="2424">
        <v>2019</v>
      </c>
      <c r="Y8" s="3289">
        <v>2021</v>
      </c>
      <c r="Z8" s="2424">
        <v>2022</v>
      </c>
    </row>
    <row r="9" spans="1:26" ht="11.25" customHeight="1" x14ac:dyDescent="0.2">
      <c r="D9" s="1534" t="s">
        <v>2145</v>
      </c>
      <c r="E9" s="2180">
        <v>12</v>
      </c>
      <c r="F9" s="2180">
        <v>13</v>
      </c>
      <c r="G9" s="2180">
        <v>8</v>
      </c>
      <c r="H9" s="2180">
        <v>10</v>
      </c>
      <c r="I9" s="2180">
        <v>2</v>
      </c>
      <c r="J9" s="2180">
        <v>4</v>
      </c>
      <c r="K9" s="2180">
        <v>9</v>
      </c>
      <c r="L9" s="2180">
        <v>7</v>
      </c>
      <c r="M9" s="2180">
        <v>11</v>
      </c>
      <c r="N9" s="2180">
        <v>4</v>
      </c>
      <c r="O9" s="2180">
        <v>6</v>
      </c>
      <c r="P9" s="2180">
        <v>9</v>
      </c>
      <c r="Q9" s="2180">
        <v>5</v>
      </c>
      <c r="R9" s="2180">
        <v>8</v>
      </c>
      <c r="S9" s="2180">
        <v>6</v>
      </c>
      <c r="T9" s="2180">
        <v>5</v>
      </c>
      <c r="U9" s="413">
        <v>7</v>
      </c>
      <c r="V9" s="413">
        <v>10</v>
      </c>
      <c r="W9" s="413">
        <v>6</v>
      </c>
      <c r="X9" s="413">
        <v>7</v>
      </c>
      <c r="Y9" s="2180">
        <v>0</v>
      </c>
      <c r="Z9" s="88">
        <v>4</v>
      </c>
    </row>
    <row r="10" spans="1:26" ht="11.25" customHeight="1" x14ac:dyDescent="0.2">
      <c r="D10" s="1567" t="s">
        <v>2146</v>
      </c>
      <c r="E10" s="2195">
        <v>125</v>
      </c>
      <c r="F10" s="2195">
        <v>108</v>
      </c>
      <c r="G10" s="2195">
        <v>97</v>
      </c>
      <c r="H10" s="2195">
        <v>92</v>
      </c>
      <c r="I10" s="2195">
        <v>109</v>
      </c>
      <c r="J10" s="2195">
        <v>120</v>
      </c>
      <c r="K10" s="2195">
        <v>102</v>
      </c>
      <c r="L10" s="2195">
        <v>85</v>
      </c>
      <c r="M10" s="2195">
        <v>69</v>
      </c>
      <c r="N10" s="2195">
        <v>67</v>
      </c>
      <c r="O10" s="2195">
        <v>80</v>
      </c>
      <c r="P10" s="2195">
        <v>84</v>
      </c>
      <c r="Q10" s="2195">
        <v>61</v>
      </c>
      <c r="R10" s="2195">
        <v>81</v>
      </c>
      <c r="S10" s="2195">
        <v>45</v>
      </c>
      <c r="T10" s="2195">
        <v>61</v>
      </c>
      <c r="U10" s="555">
        <v>71</v>
      </c>
      <c r="V10" s="555">
        <v>59</v>
      </c>
      <c r="W10" s="555">
        <v>48</v>
      </c>
      <c r="X10" s="555">
        <v>22</v>
      </c>
      <c r="Y10" s="2195">
        <v>12</v>
      </c>
      <c r="Z10" s="95">
        <v>44</v>
      </c>
    </row>
    <row r="11" spans="1:26" x14ac:dyDescent="0.2">
      <c r="A11" s="836"/>
      <c r="D11" s="1534"/>
    </row>
    <row r="12" spans="1:26" ht="14.25" customHeight="1" x14ac:dyDescent="0.2">
      <c r="A12" s="509">
        <v>5</v>
      </c>
      <c r="B12" s="509" t="s">
        <v>51</v>
      </c>
    </row>
    <row r="13" spans="1:26" ht="12.75" x14ac:dyDescent="0.2">
      <c r="A13" s="836"/>
      <c r="C13" s="509"/>
    </row>
    <row r="16" spans="1:26" x14ac:dyDescent="0.2">
      <c r="A16" s="88"/>
      <c r="B16" s="88"/>
      <c r="C16" s="88"/>
      <c r="M16" s="550"/>
      <c r="N16" s="550"/>
    </row>
    <row r="17" spans="1:14" x14ac:dyDescent="0.2">
      <c r="A17" s="88"/>
      <c r="B17" s="88"/>
      <c r="C17" s="88"/>
      <c r="M17" s="550"/>
      <c r="N17" s="550"/>
    </row>
    <row r="18" spans="1:14" x14ac:dyDescent="0.2">
      <c r="A18" s="88"/>
      <c r="B18" s="88"/>
      <c r="C18" s="88"/>
      <c r="M18" s="550"/>
      <c r="N18" s="550"/>
    </row>
    <row r="19" spans="1:14" x14ac:dyDescent="0.2">
      <c r="A19" s="88"/>
      <c r="B19" s="88"/>
      <c r="C19" s="88"/>
      <c r="M19" s="550"/>
      <c r="N19" s="550"/>
    </row>
    <row r="20" spans="1:14" x14ac:dyDescent="0.2">
      <c r="A20" s="88"/>
      <c r="B20" s="88"/>
      <c r="C20" s="88"/>
      <c r="M20" s="550"/>
      <c r="N20" s="550"/>
    </row>
    <row r="21" spans="1:14" x14ac:dyDescent="0.2">
      <c r="A21" s="88"/>
      <c r="B21" s="88"/>
      <c r="C21" s="88"/>
      <c r="M21" s="550"/>
      <c r="N21" s="550"/>
    </row>
    <row r="22" spans="1:14" x14ac:dyDescent="0.2">
      <c r="A22" s="88"/>
      <c r="B22" s="88"/>
      <c r="C22" s="88"/>
      <c r="M22" s="550"/>
      <c r="N22" s="550"/>
    </row>
    <row r="23" spans="1:14" x14ac:dyDescent="0.2">
      <c r="A23" s="88"/>
      <c r="B23" s="88"/>
      <c r="C23" s="88"/>
      <c r="M23" s="550"/>
      <c r="N23" s="550"/>
    </row>
    <row r="24" spans="1:14" x14ac:dyDescent="0.2">
      <c r="A24" s="88"/>
      <c r="B24" s="88"/>
      <c r="C24" s="88"/>
    </row>
    <row r="25" spans="1:14" x14ac:dyDescent="0.2">
      <c r="A25" s="88"/>
      <c r="B25" s="88"/>
      <c r="C25" s="88"/>
    </row>
    <row r="26" spans="1:14" x14ac:dyDescent="0.2">
      <c r="A26" s="88"/>
      <c r="B26" s="88"/>
      <c r="C26" s="88"/>
    </row>
    <row r="27" spans="1:14" x14ac:dyDescent="0.2">
      <c r="A27" s="88"/>
      <c r="B27" s="88"/>
      <c r="C27" s="88"/>
    </row>
    <row r="28" spans="1:14" x14ac:dyDescent="0.2">
      <c r="A28" s="88"/>
      <c r="B28" s="88"/>
      <c r="C28" s="88"/>
    </row>
    <row r="29" spans="1:14" x14ac:dyDescent="0.2">
      <c r="A29" s="88"/>
      <c r="B29" s="88"/>
      <c r="C29" s="88"/>
    </row>
    <row r="30" spans="1:14" x14ac:dyDescent="0.2">
      <c r="A30" s="88"/>
      <c r="B30" s="88"/>
      <c r="C30" s="88"/>
    </row>
    <row r="31" spans="1:14" x14ac:dyDescent="0.2">
      <c r="A31" s="88"/>
      <c r="B31" s="88"/>
      <c r="C31" s="88"/>
    </row>
    <row r="33" spans="1:20" s="510" customFormat="1" ht="13.35" customHeight="1" x14ac:dyDescent="0.2">
      <c r="A33" s="509">
        <v>6</v>
      </c>
      <c r="B33" s="509" t="s">
        <v>52</v>
      </c>
      <c r="C33" s="509"/>
      <c r="D33" s="4603" t="s">
        <v>2147</v>
      </c>
      <c r="E33" s="4604"/>
      <c r="F33" s="4604"/>
      <c r="G33" s="4604"/>
      <c r="H33" s="4604"/>
      <c r="I33" s="4604"/>
      <c r="J33" s="4604"/>
      <c r="K33" s="4604"/>
      <c r="L33" s="4604"/>
      <c r="M33" s="4604"/>
      <c r="N33" s="4604"/>
      <c r="O33" s="4604"/>
      <c r="P33" s="4604"/>
      <c r="Q33" s="4604"/>
      <c r="R33" s="4604"/>
      <c r="S33" s="4604"/>
      <c r="T33" s="4605"/>
    </row>
    <row r="34" spans="1:20" s="510" customFormat="1" ht="13.35" customHeight="1" x14ac:dyDescent="0.2">
      <c r="A34" s="546">
        <v>7</v>
      </c>
      <c r="B34" s="546" t="s">
        <v>54</v>
      </c>
      <c r="C34" s="546"/>
      <c r="D34" s="4737" t="s">
        <v>2148</v>
      </c>
      <c r="E34" s="4738"/>
      <c r="F34" s="4738"/>
      <c r="G34" s="4738"/>
      <c r="H34" s="4738"/>
      <c r="I34" s="4738"/>
      <c r="J34" s="4738"/>
      <c r="K34" s="4738"/>
      <c r="L34" s="4738"/>
      <c r="M34" s="4738"/>
      <c r="N34" s="4738"/>
      <c r="O34" s="4738"/>
      <c r="P34" s="4738"/>
      <c r="Q34" s="4738"/>
      <c r="R34" s="4738"/>
      <c r="S34" s="4738"/>
      <c r="T34" s="4739"/>
    </row>
    <row r="35" spans="1:20" s="510" customFormat="1" ht="44.25" customHeight="1" x14ac:dyDescent="0.2">
      <c r="A35" s="509">
        <v>8</v>
      </c>
      <c r="B35" s="509" t="s">
        <v>355</v>
      </c>
      <c r="C35" s="509"/>
      <c r="D35" s="4737" t="s">
        <v>2149</v>
      </c>
      <c r="E35" s="4738"/>
      <c r="F35" s="4738"/>
      <c r="G35" s="4738"/>
      <c r="H35" s="4738"/>
      <c r="I35" s="4738"/>
      <c r="J35" s="4738"/>
      <c r="K35" s="4738"/>
      <c r="L35" s="4738"/>
      <c r="M35" s="4738"/>
      <c r="N35" s="4738"/>
      <c r="O35" s="4738"/>
      <c r="P35" s="4738"/>
      <c r="Q35" s="4738"/>
      <c r="R35" s="4738"/>
      <c r="S35" s="4738"/>
      <c r="T35" s="4739"/>
    </row>
    <row r="36" spans="1:20" s="510" customFormat="1" ht="12.75" customHeight="1" x14ac:dyDescent="0.2">
      <c r="A36" s="546">
        <v>9</v>
      </c>
      <c r="B36" s="509" t="s">
        <v>56</v>
      </c>
      <c r="C36" s="509"/>
      <c r="D36" s="4737" t="s">
        <v>2150</v>
      </c>
      <c r="E36" s="4738"/>
      <c r="F36" s="4738"/>
      <c r="G36" s="4738"/>
      <c r="H36" s="4738"/>
      <c r="I36" s="4738"/>
      <c r="J36" s="4738"/>
      <c r="K36" s="4738"/>
      <c r="L36" s="4738"/>
      <c r="M36" s="4738"/>
      <c r="N36" s="4738"/>
      <c r="O36" s="4738"/>
      <c r="P36" s="4738"/>
      <c r="Q36" s="4738"/>
      <c r="R36" s="4738"/>
      <c r="S36" s="4738"/>
      <c r="T36" s="4739"/>
    </row>
  </sheetData>
  <mergeCells count="7">
    <mergeCell ref="D36:T36"/>
    <mergeCell ref="D2:T2"/>
    <mergeCell ref="D3:T3"/>
    <mergeCell ref="D4:T4"/>
    <mergeCell ref="D33:T33"/>
    <mergeCell ref="D34:T34"/>
    <mergeCell ref="D35:T35"/>
  </mergeCells>
  <pageMargins left="0.74803149606299213" right="0.74803149606299213" top="0.98425196850393704" bottom="0.98425196850393704" header="0.51181102362204722" footer="0.51181102362204722"/>
  <pageSetup paperSize="9" scale="71"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053DF-691D-4CB0-968C-E98A7E7C1B99}">
  <sheetPr>
    <tabColor rgb="FFFFC000"/>
    <pageSetUpPr fitToPage="1"/>
  </sheetPr>
  <dimension ref="A2:AD204"/>
  <sheetViews>
    <sheetView showGridLines="0" tabSelected="1" view="pageBreakPreview" topLeftCell="A172" zoomScale="110" zoomScaleNormal="100" zoomScaleSheetLayoutView="110" workbookViewId="0">
      <selection activeCell="S194" sqref="S194"/>
    </sheetView>
  </sheetViews>
  <sheetFormatPr defaultColWidth="9.140625" defaultRowHeight="12.75" x14ac:dyDescent="0.2"/>
  <cols>
    <col min="1" max="1" width="3.85546875" style="630" customWidth="1"/>
    <col min="2" max="2" width="9.85546875" style="631" customWidth="1"/>
    <col min="3" max="3" width="3.5703125" style="631" customWidth="1"/>
    <col min="4" max="4" width="21.140625" style="632" customWidth="1"/>
    <col min="5" max="5" width="9.140625" style="632" customWidth="1"/>
    <col min="6" max="7" width="9.85546875" style="632" bestFit="1" customWidth="1"/>
    <col min="8" max="15" width="11.140625" style="632" bestFit="1" customWidth="1"/>
    <col min="16" max="16" width="11.140625" style="632" customWidth="1"/>
    <col min="17" max="17" width="11.140625" style="632" bestFit="1" customWidth="1"/>
    <col min="18" max="18" width="5.85546875" style="632" customWidth="1"/>
    <col min="19" max="19" width="9.140625" style="632"/>
    <col min="20" max="20" width="10.140625" style="632" bestFit="1" customWidth="1"/>
    <col min="21" max="16384" width="9.140625" style="632"/>
  </cols>
  <sheetData>
    <row r="2" spans="1:20" ht="12.75" customHeight="1" x14ac:dyDescent="0.2">
      <c r="A2" s="630">
        <v>1</v>
      </c>
      <c r="B2" s="630" t="s">
        <v>0</v>
      </c>
      <c r="C2" s="630">
        <v>17</v>
      </c>
      <c r="D2" s="5146" t="s">
        <v>2198</v>
      </c>
      <c r="E2" s="5147"/>
      <c r="F2" s="5147"/>
      <c r="G2" s="5147"/>
      <c r="H2" s="5147"/>
      <c r="I2" s="5147"/>
      <c r="J2" s="5147"/>
      <c r="K2" s="5147"/>
      <c r="L2" s="5147"/>
      <c r="M2" s="5147"/>
      <c r="N2" s="5147"/>
      <c r="O2" s="5147"/>
      <c r="P2" s="5147"/>
      <c r="Q2" s="5148"/>
    </row>
    <row r="3" spans="1:20" ht="15" customHeight="1" x14ac:dyDescent="0.2">
      <c r="A3" s="630">
        <v>2</v>
      </c>
      <c r="B3" s="630" t="s">
        <v>2</v>
      </c>
      <c r="C3" s="630"/>
      <c r="D3" s="5146" t="s">
        <v>2199</v>
      </c>
      <c r="E3" s="5147"/>
      <c r="F3" s="5147"/>
      <c r="G3" s="5147"/>
      <c r="H3" s="5147"/>
      <c r="I3" s="5147"/>
      <c r="J3" s="5147"/>
      <c r="K3" s="5147"/>
      <c r="L3" s="5147"/>
      <c r="M3" s="5147"/>
      <c r="N3" s="5147"/>
      <c r="O3" s="5147"/>
      <c r="P3" s="5147"/>
      <c r="Q3" s="5148"/>
    </row>
    <row r="4" spans="1:20" ht="12.75" customHeight="1" x14ac:dyDescent="0.2">
      <c r="A4" s="630">
        <v>3</v>
      </c>
      <c r="B4" s="630" t="s">
        <v>4</v>
      </c>
      <c r="C4" s="630"/>
      <c r="D4" s="5149" t="s">
        <v>2246</v>
      </c>
      <c r="E4" s="5150"/>
      <c r="F4" s="5150"/>
      <c r="G4" s="5150"/>
      <c r="H4" s="5150"/>
      <c r="I4" s="5150"/>
      <c r="J4" s="5150"/>
      <c r="K4" s="5150"/>
      <c r="L4" s="5150"/>
      <c r="M4" s="5150"/>
      <c r="N4" s="5150"/>
      <c r="O4" s="5150"/>
      <c r="P4" s="5150"/>
      <c r="Q4" s="5151"/>
    </row>
    <row r="5" spans="1:20" x14ac:dyDescent="0.2">
      <c r="B5" s="630" t="s">
        <v>85</v>
      </c>
      <c r="C5" s="630"/>
      <c r="D5" s="5152"/>
      <c r="E5" s="5147"/>
      <c r="F5" s="5147"/>
      <c r="G5" s="5147"/>
      <c r="H5" s="5147"/>
      <c r="I5" s="5147"/>
      <c r="J5" s="5147"/>
      <c r="K5" s="5147"/>
      <c r="L5" s="5147"/>
      <c r="M5" s="5147"/>
      <c r="N5" s="5147"/>
      <c r="O5" s="5147"/>
      <c r="P5" s="5147"/>
      <c r="Q5" s="5148"/>
      <c r="T5" s="637"/>
    </row>
    <row r="6" spans="1:20" ht="12.75" customHeight="1" x14ac:dyDescent="0.2">
      <c r="B6" s="630"/>
      <c r="C6" s="630"/>
      <c r="D6" s="721"/>
      <c r="E6" s="721"/>
      <c r="F6" s="721"/>
      <c r="G6" s="721"/>
      <c r="H6" s="721"/>
      <c r="I6" s="721"/>
      <c r="J6" s="721"/>
      <c r="K6" s="721"/>
      <c r="L6" s="721"/>
      <c r="M6" s="721"/>
      <c r="N6" s="721"/>
      <c r="O6" s="721"/>
      <c r="P6" s="721"/>
      <c r="T6" s="637"/>
    </row>
    <row r="7" spans="1:20" x14ac:dyDescent="0.2">
      <c r="A7" s="630">
        <v>5</v>
      </c>
      <c r="B7" s="630" t="s">
        <v>6</v>
      </c>
      <c r="C7" s="630"/>
      <c r="D7" s="815" t="s">
        <v>2200</v>
      </c>
      <c r="T7" s="637"/>
    </row>
    <row r="8" spans="1:20" x14ac:dyDescent="0.2">
      <c r="D8" s="722" t="s">
        <v>80</v>
      </c>
      <c r="E8" s="722" t="s">
        <v>2201</v>
      </c>
      <c r="G8" s="723"/>
    </row>
    <row r="9" spans="1:20" x14ac:dyDescent="0.2">
      <c r="D9" s="4537"/>
      <c r="E9" s="4538">
        <v>2010</v>
      </c>
      <c r="F9" s="4538">
        <v>2011</v>
      </c>
      <c r="G9" s="4538">
        <v>2012</v>
      </c>
      <c r="H9" s="4538">
        <v>2013</v>
      </c>
      <c r="I9" s="4538">
        <v>2014</v>
      </c>
      <c r="J9" s="4538">
        <v>2015</v>
      </c>
      <c r="K9" s="4538">
        <v>2016</v>
      </c>
      <c r="L9" s="4538">
        <v>2017</v>
      </c>
      <c r="M9" s="4538">
        <v>2018</v>
      </c>
      <c r="N9" s="4538">
        <v>2019</v>
      </c>
      <c r="O9" s="4538">
        <v>2020</v>
      </c>
      <c r="P9" s="4538">
        <v>2021</v>
      </c>
      <c r="Q9" s="4538">
        <v>2022</v>
      </c>
    </row>
    <row r="10" spans="1:20" x14ac:dyDescent="0.2">
      <c r="D10" s="637" t="s">
        <v>2202</v>
      </c>
      <c r="E10" s="4539">
        <v>388081.66396099998</v>
      </c>
      <c r="F10" s="4539">
        <v>474940.71916699997</v>
      </c>
      <c r="G10" s="4539">
        <v>466020.44667500001</v>
      </c>
      <c r="H10" s="4539">
        <v>528043.41010800004</v>
      </c>
      <c r="I10" s="4539">
        <v>543550.180055</v>
      </c>
      <c r="J10" s="4539">
        <v>515023.42194999999</v>
      </c>
      <c r="K10" s="4539">
        <v>562672.45984499995</v>
      </c>
      <c r="L10" s="4539">
        <v>617156.73809300002</v>
      </c>
      <c r="M10" s="4539">
        <v>665366.58333199995</v>
      </c>
      <c r="N10" s="4539">
        <v>689114.28605400003</v>
      </c>
      <c r="O10" s="4539">
        <v>778082.96461799997</v>
      </c>
      <c r="P10" s="4539">
        <v>1097005.9065080001</v>
      </c>
      <c r="Q10" s="4539">
        <v>1198678</v>
      </c>
    </row>
    <row r="11" spans="1:20" x14ac:dyDescent="0.2">
      <c r="D11" s="637" t="s">
        <v>593</v>
      </c>
      <c r="E11" s="4539">
        <v>240833.611833</v>
      </c>
      <c r="F11" s="4539">
        <v>272462.24217400001</v>
      </c>
      <c r="G11" s="4539">
        <v>304687.60569</v>
      </c>
      <c r="H11" s="4539">
        <v>340885.76267199998</v>
      </c>
      <c r="I11" s="4539">
        <v>394900.44692100002</v>
      </c>
      <c r="J11" s="4539">
        <v>430912.57161400001</v>
      </c>
      <c r="K11" s="4539">
        <v>464018.965876</v>
      </c>
      <c r="L11" s="4539">
        <v>454767.44969600003</v>
      </c>
      <c r="M11" s="4539">
        <v>486122.71875</v>
      </c>
      <c r="N11" s="4539">
        <v>519354.5</v>
      </c>
      <c r="O11" s="4539">
        <v>496933.96875</v>
      </c>
      <c r="P11" s="4539">
        <v>573114.25</v>
      </c>
      <c r="Q11" s="4539">
        <v>661573.6875</v>
      </c>
    </row>
    <row r="12" spans="1:20" x14ac:dyDescent="0.2">
      <c r="D12" s="637" t="s">
        <v>551</v>
      </c>
      <c r="E12" s="4539">
        <v>36896.077671999999</v>
      </c>
      <c r="F12" s="4539">
        <v>42696.809328000003</v>
      </c>
      <c r="G12" s="4539">
        <v>45822.648184999998</v>
      </c>
      <c r="H12" s="4539">
        <v>58950.135767</v>
      </c>
      <c r="I12" s="4539">
        <v>67776.445458999995</v>
      </c>
      <c r="J12" s="4539">
        <v>72948.257404000004</v>
      </c>
      <c r="K12" s="4539">
        <v>84410.373219000001</v>
      </c>
      <c r="L12" s="4539">
        <v>86763.756645999994</v>
      </c>
      <c r="M12" s="4539">
        <v>90350.350938000003</v>
      </c>
      <c r="N12" s="4539">
        <v>90373.860589999997</v>
      </c>
      <c r="O12" s="4539">
        <v>113906.625</v>
      </c>
      <c r="P12" s="4539">
        <v>121319.53125</v>
      </c>
      <c r="Q12" s="4539">
        <v>147144.921875</v>
      </c>
    </row>
    <row r="13" spans="1:20" ht="13.35" customHeight="1" x14ac:dyDescent="0.2">
      <c r="D13" s="652" t="s">
        <v>2203</v>
      </c>
      <c r="E13" s="4540">
        <v>3582.1592970000002</v>
      </c>
      <c r="F13" s="4540">
        <v>4270.6510280000002</v>
      </c>
      <c r="G13" s="4540">
        <v>4499.8549709999998</v>
      </c>
      <c r="H13" s="4540">
        <v>4861.1028850000002</v>
      </c>
      <c r="I13" s="4540">
        <v>5884.7055700000001</v>
      </c>
      <c r="J13" s="4540">
        <v>8178.2044550000001</v>
      </c>
      <c r="K13" s="4540">
        <v>9283.5751390000005</v>
      </c>
      <c r="L13" s="4540">
        <v>9323.0292399999998</v>
      </c>
      <c r="M13" s="4540">
        <v>6347.2861890000004</v>
      </c>
      <c r="N13" s="4540">
        <v>3967.3404340000002</v>
      </c>
      <c r="O13" s="4540">
        <v>4726.4746094000002</v>
      </c>
      <c r="P13" s="4540">
        <v>3242.1003418</v>
      </c>
      <c r="Q13" s="4540">
        <v>6090.0551758000001</v>
      </c>
    </row>
    <row r="14" spans="1:20" ht="22.5" x14ac:dyDescent="0.2">
      <c r="D14" s="4541" t="s">
        <v>2204</v>
      </c>
      <c r="E14" s="4542">
        <v>669393.51276249997</v>
      </c>
      <c r="F14" s="4542">
        <v>794370.42169750005</v>
      </c>
      <c r="G14" s="4542">
        <v>821030.55552199995</v>
      </c>
      <c r="H14" s="4542">
        <v>932740.4114325</v>
      </c>
      <c r="I14" s="4542">
        <v>1012111.7780045</v>
      </c>
      <c r="J14" s="4542">
        <v>1027062.4554224</v>
      </c>
      <c r="K14" s="4542">
        <v>1120385.3740794</v>
      </c>
      <c r="L14" s="4542">
        <v>1168010.9736764</v>
      </c>
      <c r="M14" s="4542">
        <v>1249030.875</v>
      </c>
      <c r="N14" s="4542">
        <v>1302682.625</v>
      </c>
      <c r="O14" s="4542">
        <v>1393994.625</v>
      </c>
      <c r="P14" s="4542">
        <v>1796750.125</v>
      </c>
      <c r="Q14" s="4542">
        <v>2013484.75</v>
      </c>
    </row>
    <row r="15" spans="1:20" x14ac:dyDescent="0.2">
      <c r="D15" s="637" t="s">
        <v>2202</v>
      </c>
      <c r="E15" s="4539">
        <v>152740</v>
      </c>
      <c r="F15" s="4539">
        <v>202019</v>
      </c>
      <c r="G15" s="4539">
        <v>239729</v>
      </c>
      <c r="H15" s="4539">
        <v>280572</v>
      </c>
      <c r="I15" s="4539">
        <v>303713</v>
      </c>
      <c r="J15" s="4539">
        <v>233602</v>
      </c>
      <c r="K15" s="4539">
        <v>219265</v>
      </c>
      <c r="L15" s="4539">
        <v>243207</v>
      </c>
      <c r="M15" s="4539">
        <v>309179</v>
      </c>
      <c r="N15" s="4539">
        <v>300091</v>
      </c>
      <c r="O15" s="4539">
        <v>232296</v>
      </c>
      <c r="P15" s="4539">
        <v>331838</v>
      </c>
      <c r="Q15" s="4539">
        <v>541034</v>
      </c>
    </row>
    <row r="16" spans="1:20" x14ac:dyDescent="0.2">
      <c r="D16" s="637" t="s">
        <v>593</v>
      </c>
      <c r="E16" s="4539">
        <v>427177</v>
      </c>
      <c r="F16" s="4539">
        <v>504613</v>
      </c>
      <c r="G16" s="4539">
        <v>572718</v>
      </c>
      <c r="H16" s="4539">
        <v>674655</v>
      </c>
      <c r="I16" s="4539">
        <v>715767</v>
      </c>
      <c r="J16" s="4539">
        <v>790109</v>
      </c>
      <c r="K16" s="4539">
        <v>804756</v>
      </c>
      <c r="L16" s="4539">
        <v>800374</v>
      </c>
      <c r="M16" s="4539">
        <v>848507</v>
      </c>
      <c r="N16" s="4539">
        <v>897268</v>
      </c>
      <c r="O16" s="4539">
        <v>806679</v>
      </c>
      <c r="P16" s="4539">
        <v>950931</v>
      </c>
      <c r="Q16" s="4539">
        <v>1168947</v>
      </c>
    </row>
    <row r="17" spans="2:20" x14ac:dyDescent="0.2">
      <c r="D17" s="637" t="s">
        <v>551</v>
      </c>
      <c r="E17" s="4539">
        <v>25333</v>
      </c>
      <c r="F17" s="4539">
        <v>33889</v>
      </c>
      <c r="G17" s="4539">
        <v>40133</v>
      </c>
      <c r="H17" s="4539">
        <v>41499</v>
      </c>
      <c r="I17" s="4539">
        <v>44688</v>
      </c>
      <c r="J17" s="4539">
        <v>51073</v>
      </c>
      <c r="K17" s="4539">
        <v>63416</v>
      </c>
      <c r="L17" s="4539">
        <v>57304</v>
      </c>
      <c r="M17" s="4539">
        <v>56622</v>
      </c>
      <c r="N17" s="4539">
        <v>58309</v>
      </c>
      <c r="O17" s="4539">
        <v>62728</v>
      </c>
      <c r="P17" s="4539">
        <v>64147</v>
      </c>
      <c r="Q17" s="4539">
        <v>78771</v>
      </c>
    </row>
    <row r="18" spans="2:20" x14ac:dyDescent="0.2">
      <c r="D18" s="652" t="s">
        <v>2203</v>
      </c>
      <c r="E18" s="4540">
        <v>5368</v>
      </c>
      <c r="F18" s="4540">
        <v>6600</v>
      </c>
      <c r="G18" s="4540">
        <v>8204</v>
      </c>
      <c r="H18" s="4540">
        <v>9536</v>
      </c>
      <c r="I18" s="4540">
        <v>10660</v>
      </c>
      <c r="J18" s="4540">
        <v>7493</v>
      </c>
      <c r="K18" s="4540">
        <v>7249</v>
      </c>
      <c r="L18" s="4540">
        <v>8161</v>
      </c>
      <c r="M18" s="4540">
        <v>8607</v>
      </c>
      <c r="N18" s="4540">
        <v>8028</v>
      </c>
      <c r="O18" s="4540">
        <v>2945</v>
      </c>
      <c r="P18" s="4540">
        <v>1739</v>
      </c>
      <c r="Q18" s="4540">
        <v>3153</v>
      </c>
    </row>
    <row r="19" spans="2:20" ht="22.5" x14ac:dyDescent="0.2">
      <c r="D19" s="4541" t="s">
        <v>2205</v>
      </c>
      <c r="E19" s="4542">
        <v>610619</v>
      </c>
      <c r="F19" s="4542">
        <v>747121</v>
      </c>
      <c r="G19" s="4542">
        <v>860784</v>
      </c>
      <c r="H19" s="4542">
        <v>1006262</v>
      </c>
      <c r="I19" s="4542">
        <v>1074828</v>
      </c>
      <c r="J19" s="4542">
        <v>1082277</v>
      </c>
      <c r="K19" s="4542">
        <v>1094687</v>
      </c>
      <c r="L19" s="4542">
        <v>1109045</v>
      </c>
      <c r="M19" s="4542">
        <v>1222914</v>
      </c>
      <c r="N19" s="4542">
        <v>1263696</v>
      </c>
      <c r="O19" s="4542">
        <v>1104648</v>
      </c>
      <c r="P19" s="4542">
        <v>1348655</v>
      </c>
      <c r="Q19" s="4542">
        <v>1791905</v>
      </c>
    </row>
    <row r="20" spans="2:20" x14ac:dyDescent="0.2">
      <c r="D20" s="637"/>
      <c r="E20" s="730"/>
      <c r="F20" s="733"/>
    </row>
    <row r="21" spans="2:20" x14ac:dyDescent="0.2">
      <c r="B21" s="630"/>
      <c r="C21" s="630"/>
      <c r="D21" s="636" t="s">
        <v>267</v>
      </c>
      <c r="E21" s="636" t="s">
        <v>2206</v>
      </c>
      <c r="F21" s="735"/>
      <c r="G21" s="723"/>
    </row>
    <row r="22" spans="2:20" x14ac:dyDescent="0.2">
      <c r="D22" s="4537"/>
      <c r="E22" s="4538">
        <v>2010</v>
      </c>
      <c r="F22" s="4538">
        <v>2011</v>
      </c>
      <c r="G22" s="4538">
        <v>2012</v>
      </c>
      <c r="H22" s="4538">
        <v>2013</v>
      </c>
      <c r="I22" s="4538">
        <v>2014</v>
      </c>
      <c r="J22" s="4538">
        <v>2015</v>
      </c>
      <c r="K22" s="4538">
        <v>2016</v>
      </c>
      <c r="L22" s="4538">
        <v>2017</v>
      </c>
      <c r="M22" s="4538">
        <v>2018</v>
      </c>
      <c r="N22" s="4538">
        <v>2019</v>
      </c>
      <c r="O22" s="4538">
        <v>2020</v>
      </c>
      <c r="P22" s="4538">
        <v>2021</v>
      </c>
      <c r="Q22" s="4538">
        <v>2022</v>
      </c>
    </row>
    <row r="23" spans="2:20" x14ac:dyDescent="0.2">
      <c r="D23" s="636" t="s">
        <v>2207</v>
      </c>
      <c r="E23" s="736"/>
      <c r="F23" s="738"/>
      <c r="G23" s="738"/>
      <c r="H23" s="738"/>
      <c r="I23" s="738"/>
      <c r="J23" s="738"/>
      <c r="K23" s="738"/>
      <c r="L23" s="738"/>
      <c r="M23" s="738"/>
      <c r="N23" s="738"/>
      <c r="O23" s="738"/>
      <c r="P23" s="738"/>
      <c r="Q23" s="738"/>
    </row>
    <row r="24" spans="2:20" x14ac:dyDescent="0.2">
      <c r="D24" s="637" t="s">
        <v>111</v>
      </c>
      <c r="E24" s="4540">
        <v>30454.340660999998</v>
      </c>
      <c r="F24" s="4540">
        <v>32569.0371094</v>
      </c>
      <c r="G24" s="4540">
        <v>40060.2578125</v>
      </c>
      <c r="H24" s="4540">
        <v>43125.8710938</v>
      </c>
      <c r="I24" s="4540">
        <v>50189.078125</v>
      </c>
      <c r="J24" s="4540">
        <v>50908.125</v>
      </c>
      <c r="K24" s="4540">
        <v>52952.6914063</v>
      </c>
      <c r="L24" s="4540">
        <v>50621.7851563</v>
      </c>
      <c r="M24" s="4540">
        <v>53672.5546875</v>
      </c>
      <c r="N24" s="4540">
        <v>55366.5625</v>
      </c>
      <c r="O24" s="4540">
        <v>51813.578125</v>
      </c>
      <c r="P24" s="4540">
        <v>63034.5234375</v>
      </c>
      <c r="Q24" s="4540">
        <v>75367.796875</v>
      </c>
    </row>
    <row r="25" spans="2:20" x14ac:dyDescent="0.2">
      <c r="D25" s="637" t="s">
        <v>232</v>
      </c>
      <c r="E25" s="4540">
        <v>59057.027030999998</v>
      </c>
      <c r="F25" s="4540">
        <v>90715.5625</v>
      </c>
      <c r="G25" s="4540">
        <v>84696.328125</v>
      </c>
      <c r="H25" s="4540">
        <v>116381.0078125</v>
      </c>
      <c r="I25" s="4540">
        <v>95219.2734375</v>
      </c>
      <c r="J25" s="4540">
        <v>92952.7421875</v>
      </c>
      <c r="K25" s="4540">
        <v>100044.5234375</v>
      </c>
      <c r="L25" s="4540">
        <v>109672.65625</v>
      </c>
      <c r="M25" s="4540">
        <v>113486.828125</v>
      </c>
      <c r="N25" s="4540">
        <v>139163.578125</v>
      </c>
      <c r="O25" s="4540">
        <v>164205.6875</v>
      </c>
      <c r="P25" s="4540">
        <v>189209.9375</v>
      </c>
      <c r="Q25" s="4540">
        <v>189576.734375</v>
      </c>
    </row>
    <row r="26" spans="2:20" x14ac:dyDescent="0.2">
      <c r="D26" s="637" t="s">
        <v>112</v>
      </c>
      <c r="E26" s="4540">
        <v>42436.820203000003</v>
      </c>
      <c r="F26" s="4540">
        <v>42553.625</v>
      </c>
      <c r="G26" s="4540">
        <v>37256.8515625</v>
      </c>
      <c r="H26" s="4540">
        <v>41275.359375</v>
      </c>
      <c r="I26" s="4540">
        <v>49747.328125</v>
      </c>
      <c r="J26" s="4540">
        <v>67942.953125</v>
      </c>
      <c r="K26" s="4540">
        <v>82747.8984375</v>
      </c>
      <c r="L26" s="4540">
        <v>83913.0859375</v>
      </c>
      <c r="M26" s="4540">
        <v>93486.59375</v>
      </c>
      <c r="N26" s="4540">
        <v>107907.34375</v>
      </c>
      <c r="O26" s="4540">
        <v>113782.328125</v>
      </c>
      <c r="P26" s="4540">
        <v>155045.71875</v>
      </c>
      <c r="Q26" s="4540">
        <v>163386.890625</v>
      </c>
      <c r="T26" s="4543"/>
    </row>
    <row r="27" spans="2:20" x14ac:dyDescent="0.2">
      <c r="D27" s="637" t="s">
        <v>125</v>
      </c>
      <c r="E27" s="4540">
        <v>22136.151847000001</v>
      </c>
      <c r="F27" s="4540">
        <v>24509.2265625</v>
      </c>
      <c r="G27" s="4540">
        <v>30781.1816406</v>
      </c>
      <c r="H27" s="4540">
        <v>29010.8964844</v>
      </c>
      <c r="I27" s="4540">
        <v>40771.609375</v>
      </c>
      <c r="J27" s="4540">
        <v>40708.3710938</v>
      </c>
      <c r="K27" s="4540">
        <v>48195.6679688</v>
      </c>
      <c r="L27" s="4540">
        <v>53573.90625</v>
      </c>
      <c r="M27" s="4540">
        <v>59875.9882813</v>
      </c>
      <c r="N27" s="4540">
        <v>58468.1757813</v>
      </c>
      <c r="O27" s="4540">
        <v>49381.0976563</v>
      </c>
      <c r="P27" s="4540">
        <v>60432.8632813</v>
      </c>
      <c r="Q27" s="4540">
        <v>86896.0234375</v>
      </c>
    </row>
    <row r="28" spans="2:20" x14ac:dyDescent="0.2">
      <c r="D28" s="637" t="s">
        <v>144</v>
      </c>
      <c r="E28" s="4540">
        <v>46893.862846999997</v>
      </c>
      <c r="F28" s="4540">
        <v>55355.1679688</v>
      </c>
      <c r="G28" s="4540">
        <v>46689.0195313</v>
      </c>
      <c r="H28" s="4540">
        <v>53826.6445313</v>
      </c>
      <c r="I28" s="4540">
        <v>53039.2421875</v>
      </c>
      <c r="J28" s="4540">
        <v>50826.0390625</v>
      </c>
      <c r="K28" s="4540">
        <v>50758.2382813</v>
      </c>
      <c r="L28" s="4540">
        <v>55455.109375</v>
      </c>
      <c r="M28" s="4540">
        <v>59334.3398438</v>
      </c>
      <c r="N28" s="4540">
        <v>62121.9375</v>
      </c>
      <c r="O28" s="4540">
        <v>62102.5234375</v>
      </c>
      <c r="P28" s="4540">
        <v>121451.140625</v>
      </c>
      <c r="Q28" s="4540">
        <v>139293.8125</v>
      </c>
    </row>
    <row r="29" spans="2:20" x14ac:dyDescent="0.2">
      <c r="D29" s="637" t="s">
        <v>185</v>
      </c>
      <c r="E29" s="4540">
        <v>12810.875260000001</v>
      </c>
      <c r="F29" s="4540">
        <v>16029.6679688</v>
      </c>
      <c r="G29" s="4540">
        <v>17466.9042969</v>
      </c>
      <c r="H29" s="4540">
        <v>24670.984375</v>
      </c>
      <c r="I29" s="4540">
        <v>29152.3671875</v>
      </c>
      <c r="J29" s="4540">
        <v>26666.9726563</v>
      </c>
      <c r="K29" s="4540">
        <v>29939.0800781</v>
      </c>
      <c r="L29" s="4540">
        <v>34177.96875</v>
      </c>
      <c r="M29" s="4540">
        <v>38716.3398438</v>
      </c>
      <c r="N29" s="4540">
        <v>48025.671875</v>
      </c>
      <c r="O29" s="4540">
        <v>45754.984375</v>
      </c>
      <c r="P29" s="4540">
        <v>59627.8242188</v>
      </c>
      <c r="Q29" s="4540">
        <v>90467.3046875</v>
      </c>
    </row>
    <row r="30" spans="2:20" x14ac:dyDescent="0.2">
      <c r="D30" s="652" t="s">
        <v>147</v>
      </c>
      <c r="E30" s="4540">
        <v>28291.904759000001</v>
      </c>
      <c r="F30" s="4540">
        <v>30737.140625</v>
      </c>
      <c r="G30" s="4540">
        <v>32970.296875</v>
      </c>
      <c r="H30" s="4540">
        <v>40206.7734375</v>
      </c>
      <c r="I30" s="4540">
        <v>48569.34375</v>
      </c>
      <c r="J30" s="4540">
        <v>51920.3984375</v>
      </c>
      <c r="K30" s="4540">
        <v>50393.2226563</v>
      </c>
      <c r="L30" s="4540">
        <v>45929.421875</v>
      </c>
      <c r="M30" s="4540">
        <v>46269.8398438</v>
      </c>
      <c r="N30" s="4540">
        <v>48802.6679688</v>
      </c>
      <c r="O30" s="4540">
        <v>41565.6328125</v>
      </c>
      <c r="P30" s="4540">
        <v>48362.6328125</v>
      </c>
      <c r="Q30" s="4540">
        <v>55203.9101563</v>
      </c>
    </row>
    <row r="31" spans="2:20" x14ac:dyDescent="0.2">
      <c r="D31" s="652" t="s">
        <v>2208</v>
      </c>
      <c r="E31" s="4540">
        <v>16855.644985999999</v>
      </c>
      <c r="F31" s="4540">
        <v>21315.3671875</v>
      </c>
      <c r="G31" s="4540">
        <v>23004.2519531</v>
      </c>
      <c r="H31" s="4540">
        <v>29492.6035156</v>
      </c>
      <c r="I31" s="4540">
        <v>33118.6953125</v>
      </c>
      <c r="J31" s="4540">
        <v>25310.4042969</v>
      </c>
      <c r="K31" s="4540">
        <v>28876.578125</v>
      </c>
      <c r="L31" s="4540">
        <v>35719.7617188</v>
      </c>
      <c r="M31" s="4540">
        <v>41651.6054688</v>
      </c>
      <c r="N31" s="4540">
        <v>42314.84375</v>
      </c>
      <c r="O31" s="4540">
        <v>54557.6445313</v>
      </c>
      <c r="P31" s="4540">
        <v>61312.8945313</v>
      </c>
      <c r="Q31" s="4540">
        <v>98482.2109375</v>
      </c>
    </row>
    <row r="32" spans="2:20" x14ac:dyDescent="0.2">
      <c r="D32" s="652" t="s">
        <v>97</v>
      </c>
      <c r="E32" s="4540">
        <v>26814.197287999999</v>
      </c>
      <c r="F32" s="4540">
        <v>28604.828125</v>
      </c>
      <c r="G32" s="4540">
        <v>27483.8007813</v>
      </c>
      <c r="H32" s="4540">
        <v>31924.0039063</v>
      </c>
      <c r="I32" s="4540">
        <v>37719.2851563</v>
      </c>
      <c r="J32" s="4540">
        <v>41846.90625</v>
      </c>
      <c r="K32" s="4540">
        <v>46491.390625</v>
      </c>
      <c r="L32" s="4540">
        <v>46376.4101563</v>
      </c>
      <c r="M32" s="4540">
        <v>63924.6796875</v>
      </c>
      <c r="N32" s="4540">
        <v>67755.953125</v>
      </c>
      <c r="O32" s="4540">
        <v>68878.890625</v>
      </c>
      <c r="P32" s="4540">
        <v>120845.2265625</v>
      </c>
      <c r="Q32" s="4540">
        <v>102576.7578125</v>
      </c>
      <c r="T32" s="4543"/>
    </row>
    <row r="33" spans="2:20" x14ac:dyDescent="0.2">
      <c r="D33" s="637" t="s">
        <v>791</v>
      </c>
      <c r="E33" s="4540">
        <v>52645.082276000001</v>
      </c>
      <c r="F33" s="4540">
        <v>59682.6875</v>
      </c>
      <c r="G33" s="4540">
        <v>64431.0859375</v>
      </c>
      <c r="H33" s="4540">
        <v>67105.25</v>
      </c>
      <c r="I33" s="4540">
        <v>69731.4296875</v>
      </c>
      <c r="J33" s="4540">
        <v>78601.7890625</v>
      </c>
      <c r="K33" s="4540">
        <v>80329.6953125</v>
      </c>
      <c r="L33" s="4540">
        <v>86228.4140625</v>
      </c>
      <c r="M33" s="4540">
        <v>83993.1015625</v>
      </c>
      <c r="N33" s="4540">
        <v>89457.4453125</v>
      </c>
      <c r="O33" s="4540">
        <v>116162.4921875</v>
      </c>
      <c r="P33" s="4540">
        <v>193003.328125</v>
      </c>
      <c r="Q33" s="4540">
        <v>178049.328125</v>
      </c>
    </row>
    <row r="34" spans="2:20" x14ac:dyDescent="0.2">
      <c r="D34" s="637" t="s">
        <v>694</v>
      </c>
      <c r="E34" s="4540">
        <v>330997.60560499999</v>
      </c>
      <c r="F34" s="4540">
        <v>392298.125</v>
      </c>
      <c r="G34" s="4540">
        <v>416190.5625</v>
      </c>
      <c r="H34" s="4540">
        <v>455721.03125</v>
      </c>
      <c r="I34" s="4540">
        <v>504854.125</v>
      </c>
      <c r="J34" s="4540">
        <v>499377.75</v>
      </c>
      <c r="K34" s="4540">
        <v>549656.375</v>
      </c>
      <c r="L34" s="4540">
        <v>566342.4375</v>
      </c>
      <c r="M34" s="4540">
        <v>594619</v>
      </c>
      <c r="N34" s="4540">
        <v>583298.4375</v>
      </c>
      <c r="O34" s="4540">
        <v>625789.8125</v>
      </c>
      <c r="P34" s="4540">
        <v>724424</v>
      </c>
      <c r="Q34" s="4540">
        <v>834184</v>
      </c>
    </row>
    <row r="35" spans="2:20" ht="22.5" x14ac:dyDescent="0.2">
      <c r="D35" s="4541" t="s">
        <v>2204</v>
      </c>
      <c r="E35" s="4542">
        <v>669393.51276249997</v>
      </c>
      <c r="F35" s="4542">
        <v>794370.42169750005</v>
      </c>
      <c r="G35" s="4542">
        <v>821030.55552199995</v>
      </c>
      <c r="H35" s="4542">
        <v>932740.4114325</v>
      </c>
      <c r="I35" s="4542">
        <v>1012111.7780045</v>
      </c>
      <c r="J35" s="4542">
        <v>1027062.4554224</v>
      </c>
      <c r="K35" s="4542">
        <v>1120385.3740794</v>
      </c>
      <c r="L35" s="4542">
        <v>1168010.9736764</v>
      </c>
      <c r="M35" s="4542">
        <v>1249031</v>
      </c>
      <c r="N35" s="4542">
        <v>1302683</v>
      </c>
      <c r="O35" s="4542">
        <v>1393995</v>
      </c>
      <c r="P35" s="4542">
        <v>1796750</v>
      </c>
      <c r="Q35" s="4542">
        <v>2013485</v>
      </c>
    </row>
    <row r="36" spans="2:20" x14ac:dyDescent="0.2">
      <c r="D36" s="4544"/>
      <c r="E36" s="4545"/>
      <c r="F36" s="4545"/>
      <c r="G36" s="4545"/>
      <c r="H36" s="4545"/>
      <c r="I36" s="4545"/>
      <c r="J36" s="4545"/>
      <c r="K36" s="4545"/>
      <c r="L36" s="4545"/>
      <c r="M36" s="4545"/>
      <c r="N36" s="4545"/>
      <c r="O36" s="4545"/>
      <c r="P36" s="4545"/>
      <c r="Q36" s="4545"/>
    </row>
    <row r="37" spans="2:20" x14ac:dyDescent="0.2">
      <c r="B37" s="630"/>
      <c r="C37" s="630"/>
      <c r="D37" s="636" t="s">
        <v>656</v>
      </c>
      <c r="E37" s="636" t="s">
        <v>2206</v>
      </c>
      <c r="F37" s="735"/>
      <c r="G37" s="723"/>
      <c r="T37" s="4543"/>
    </row>
    <row r="38" spans="2:20" x14ac:dyDescent="0.2">
      <c r="D38" s="4537"/>
      <c r="E38" s="4538">
        <v>2010</v>
      </c>
      <c r="F38" s="4538">
        <v>2011</v>
      </c>
      <c r="G38" s="4538">
        <v>2012</v>
      </c>
      <c r="H38" s="4538">
        <v>2013</v>
      </c>
      <c r="I38" s="4538">
        <v>2014</v>
      </c>
      <c r="J38" s="4538">
        <v>2015</v>
      </c>
      <c r="K38" s="4538">
        <v>2016</v>
      </c>
      <c r="L38" s="4538">
        <v>2017</v>
      </c>
      <c r="M38" s="4538">
        <v>2018</v>
      </c>
      <c r="N38" s="4538">
        <v>2019</v>
      </c>
      <c r="O38" s="4538">
        <v>2020</v>
      </c>
      <c r="P38" s="4538">
        <v>2021</v>
      </c>
      <c r="Q38" s="4538">
        <v>2022</v>
      </c>
    </row>
    <row r="39" spans="2:20" x14ac:dyDescent="0.2">
      <c r="D39" s="636" t="s">
        <v>2209</v>
      </c>
      <c r="E39" s="736"/>
      <c r="F39" s="738"/>
      <c r="G39" s="738"/>
      <c r="H39" s="738"/>
      <c r="I39" s="738"/>
      <c r="J39" s="738"/>
      <c r="K39" s="738"/>
      <c r="L39" s="738"/>
      <c r="M39" s="738"/>
      <c r="N39" s="738"/>
      <c r="O39" s="738"/>
      <c r="P39" s="738"/>
      <c r="Q39" s="738"/>
    </row>
    <row r="40" spans="2:20" x14ac:dyDescent="0.2">
      <c r="D40" s="637" t="s">
        <v>232</v>
      </c>
      <c r="E40" s="4540">
        <v>83899.312864000007</v>
      </c>
      <c r="F40" s="4540">
        <v>103152.625</v>
      </c>
      <c r="G40" s="4540">
        <v>119959.6640625</v>
      </c>
      <c r="H40" s="4540">
        <v>154464.078125</v>
      </c>
      <c r="I40" s="4540">
        <v>167637.4375</v>
      </c>
      <c r="J40" s="4540">
        <v>199403.46875</v>
      </c>
      <c r="K40" s="4540">
        <v>198465.828125</v>
      </c>
      <c r="L40" s="4540">
        <v>202949.65625</v>
      </c>
      <c r="M40" s="4540">
        <v>226504.765625</v>
      </c>
      <c r="N40" s="4540">
        <v>235075.921875</v>
      </c>
      <c r="O40" s="4540">
        <v>232979.421875</v>
      </c>
      <c r="P40" s="4540">
        <v>283974.65625</v>
      </c>
      <c r="Q40" s="4540">
        <v>367468.25</v>
      </c>
    </row>
    <row r="41" spans="2:20" x14ac:dyDescent="0.2">
      <c r="D41" s="637" t="s">
        <v>112</v>
      </c>
      <c r="E41" s="4540">
        <v>66929.490764999995</v>
      </c>
      <c r="F41" s="4540">
        <v>77567.03125</v>
      </c>
      <c r="G41" s="4540">
        <v>83774.4609375</v>
      </c>
      <c r="H41" s="4540">
        <v>103284.890625</v>
      </c>
      <c r="I41" s="4540">
        <v>108717.40625</v>
      </c>
      <c r="J41" s="4540">
        <v>122432.875</v>
      </c>
      <c r="K41" s="4540">
        <v>129795.796875</v>
      </c>
      <c r="L41" s="4540">
        <v>127537.2265625</v>
      </c>
      <c r="M41" s="4540">
        <v>121031.265625</v>
      </c>
      <c r="N41" s="4540">
        <v>125648.9140625</v>
      </c>
      <c r="O41" s="4540">
        <v>102220.9375</v>
      </c>
      <c r="P41" s="4540">
        <v>111461.5703125</v>
      </c>
      <c r="Q41" s="4540">
        <v>134368.296875</v>
      </c>
    </row>
    <row r="42" spans="2:20" x14ac:dyDescent="0.2">
      <c r="D42" s="637" t="s">
        <v>125</v>
      </c>
      <c r="E42" s="4540">
        <v>20762.110709</v>
      </c>
      <c r="F42" s="4540">
        <v>29172.3378906</v>
      </c>
      <c r="G42" s="4540">
        <v>37701.734375</v>
      </c>
      <c r="H42" s="4540">
        <v>51894.6445313</v>
      </c>
      <c r="I42" s="4540">
        <v>49322.3828125</v>
      </c>
      <c r="J42" s="4540">
        <v>53706.109375</v>
      </c>
      <c r="K42" s="4540">
        <v>45642.5664063</v>
      </c>
      <c r="L42" s="4540">
        <v>52180.9257813</v>
      </c>
      <c r="M42" s="4540">
        <v>50943.03125</v>
      </c>
      <c r="N42" s="4540">
        <v>62487.5390625</v>
      </c>
      <c r="O42" s="4540">
        <v>58491.8164063</v>
      </c>
      <c r="P42" s="4540">
        <v>78971.140625</v>
      </c>
      <c r="Q42" s="4540">
        <v>130601.4296875</v>
      </c>
    </row>
    <row r="43" spans="2:20" x14ac:dyDescent="0.2">
      <c r="D43" s="637" t="s">
        <v>127</v>
      </c>
      <c r="E43" s="4540">
        <v>14716.622586</v>
      </c>
      <c r="F43" s="4540">
        <v>19607.6054688</v>
      </c>
      <c r="G43" s="4540">
        <v>21128.9296875</v>
      </c>
      <c r="H43" s="4540">
        <v>26048.5507813</v>
      </c>
      <c r="I43" s="4540">
        <v>28713.2421875</v>
      </c>
      <c r="J43" s="4540">
        <v>28410.7363281</v>
      </c>
      <c r="K43" s="4540">
        <v>27161.2597656</v>
      </c>
      <c r="L43" s="4540">
        <v>29674.5761719</v>
      </c>
      <c r="M43" s="4540">
        <v>34036.5742188</v>
      </c>
      <c r="N43" s="4540">
        <v>32225.7890625</v>
      </c>
      <c r="O43" s="4540">
        <v>28785.1601563</v>
      </c>
      <c r="P43" s="4540">
        <v>38093.9375</v>
      </c>
      <c r="Q43" s="4540">
        <v>40358.390625</v>
      </c>
    </row>
    <row r="44" spans="2:20" x14ac:dyDescent="0.2">
      <c r="D44" s="637" t="s">
        <v>144</v>
      </c>
      <c r="E44" s="4540">
        <v>31034.566144</v>
      </c>
      <c r="F44" s="4540">
        <v>34382.5859375</v>
      </c>
      <c r="G44" s="4540">
        <v>37823.5859375</v>
      </c>
      <c r="H44" s="4540">
        <v>39404.0898438</v>
      </c>
      <c r="I44" s="4540">
        <v>40969.9453125</v>
      </c>
      <c r="J44" s="4540">
        <v>39913.6757813</v>
      </c>
      <c r="K44" s="4540">
        <v>37548.2382813</v>
      </c>
      <c r="L44" s="4540">
        <v>37704.7890625</v>
      </c>
      <c r="M44" s="4540">
        <v>37853.5820313</v>
      </c>
      <c r="N44" s="4540">
        <v>40504.7539063</v>
      </c>
      <c r="O44" s="4540">
        <v>31283.640625</v>
      </c>
      <c r="P44" s="4540">
        <v>38425.7304688</v>
      </c>
      <c r="Q44" s="4540">
        <v>46324.703125</v>
      </c>
    </row>
    <row r="45" spans="2:20" x14ac:dyDescent="0.2">
      <c r="D45" s="637" t="s">
        <v>216</v>
      </c>
      <c r="E45" s="4540">
        <v>16079.954513999999</v>
      </c>
      <c r="F45" s="4540">
        <v>22398.3242188</v>
      </c>
      <c r="G45" s="4540">
        <v>29837.2910156</v>
      </c>
      <c r="H45" s="4540">
        <v>34898.2304688</v>
      </c>
      <c r="I45" s="4540">
        <v>45821.5195313</v>
      </c>
      <c r="J45" s="4540">
        <v>26259.1289063</v>
      </c>
      <c r="K45" s="4540">
        <v>27139.3046875</v>
      </c>
      <c r="L45" s="4540">
        <v>21450.1542969</v>
      </c>
      <c r="M45" s="4540">
        <v>49027.453125</v>
      </c>
      <c r="N45" s="4540">
        <v>52601.6289063</v>
      </c>
      <c r="O45" s="4540">
        <v>31671.4394531</v>
      </c>
      <c r="P45" s="4540">
        <v>24003.8886719</v>
      </c>
      <c r="Q45" s="4540">
        <v>36916.8867188</v>
      </c>
    </row>
    <row r="46" spans="2:20" x14ac:dyDescent="0.2">
      <c r="D46" s="652" t="s">
        <v>228</v>
      </c>
      <c r="E46" s="4540">
        <v>23674.494407999999</v>
      </c>
      <c r="F46" s="4540">
        <v>32294.84375</v>
      </c>
      <c r="G46" s="4540">
        <v>65148.4140625</v>
      </c>
      <c r="H46" s="4540">
        <v>77439.9140625</v>
      </c>
      <c r="I46" s="4540">
        <v>77334.265625</v>
      </c>
      <c r="J46" s="4540">
        <v>33623.421875</v>
      </c>
      <c r="K46" s="4540">
        <v>41691.625</v>
      </c>
      <c r="L46" s="4540">
        <v>51289.8476563</v>
      </c>
      <c r="M46" s="4540">
        <v>71710.125</v>
      </c>
      <c r="N46" s="4540">
        <v>52846.1914063</v>
      </c>
      <c r="O46" s="4540">
        <v>43866.3242188</v>
      </c>
      <c r="P46" s="4540">
        <v>60612.2148438</v>
      </c>
      <c r="Q46" s="4540">
        <v>73629.265625</v>
      </c>
    </row>
    <row r="47" spans="2:20" x14ac:dyDescent="0.2">
      <c r="D47" s="652" t="s">
        <v>145</v>
      </c>
      <c r="E47" s="4540">
        <v>13372.567455</v>
      </c>
      <c r="F47" s="4540">
        <v>16450.2011719</v>
      </c>
      <c r="G47" s="4540">
        <v>22138.7441406</v>
      </c>
      <c r="H47" s="4540">
        <v>26537.6660156</v>
      </c>
      <c r="I47" s="4540">
        <v>25772.8027344</v>
      </c>
      <c r="J47" s="4540">
        <v>26305.3671875</v>
      </c>
      <c r="K47" s="4540">
        <v>31763.6816406</v>
      </c>
      <c r="L47" s="4540">
        <v>33115.9179688</v>
      </c>
      <c r="M47" s="4540">
        <v>38467.84375</v>
      </c>
      <c r="N47" s="4540">
        <v>38488.4101563</v>
      </c>
      <c r="O47" s="4540">
        <v>34933.9140625</v>
      </c>
      <c r="P47" s="4540">
        <v>43920.53125</v>
      </c>
      <c r="Q47" s="4540">
        <v>50293.3203125</v>
      </c>
    </row>
    <row r="48" spans="2:20" x14ac:dyDescent="0.2">
      <c r="D48" s="652" t="s">
        <v>97</v>
      </c>
      <c r="E48" s="4540">
        <v>22465.540944</v>
      </c>
      <c r="F48" s="4540">
        <v>29738.8691406</v>
      </c>
      <c r="G48" s="4540">
        <v>28862.703125</v>
      </c>
      <c r="H48" s="4540">
        <v>32326.4589844</v>
      </c>
      <c r="I48" s="4540">
        <v>33204.6171875</v>
      </c>
      <c r="J48" s="4540">
        <v>35039.0234375</v>
      </c>
      <c r="K48" s="4540">
        <v>31889.2089844</v>
      </c>
      <c r="L48" s="4540">
        <v>31175.8925781</v>
      </c>
      <c r="M48" s="4540">
        <v>32679.5800781</v>
      </c>
      <c r="N48" s="4540">
        <v>29019.1015625</v>
      </c>
      <c r="O48" s="4540">
        <v>23270.2324219</v>
      </c>
      <c r="P48" s="4540">
        <v>25410.3535156</v>
      </c>
      <c r="Q48" s="4540">
        <v>29429.0078125</v>
      </c>
    </row>
    <row r="49" spans="1:17" x14ac:dyDescent="0.2">
      <c r="D49" s="637" t="s">
        <v>791</v>
      </c>
      <c r="E49" s="4540">
        <v>43054.500995000002</v>
      </c>
      <c r="F49" s="4540">
        <v>57500.5078125</v>
      </c>
      <c r="G49" s="4540">
        <v>61132.6601563</v>
      </c>
      <c r="H49" s="4540">
        <v>63143.078125</v>
      </c>
      <c r="I49" s="4540">
        <v>71519.3359375</v>
      </c>
      <c r="J49" s="4540">
        <v>76476.875</v>
      </c>
      <c r="K49" s="4540">
        <v>73051.0234375</v>
      </c>
      <c r="L49" s="4540">
        <v>72323.78125</v>
      </c>
      <c r="M49" s="4540">
        <v>73280.9765625</v>
      </c>
      <c r="N49" s="4540">
        <v>83252.03125</v>
      </c>
      <c r="O49" s="4540">
        <v>72143.5625</v>
      </c>
      <c r="P49" s="4540">
        <v>85448.15625</v>
      </c>
      <c r="Q49" s="4540">
        <v>106624.078125</v>
      </c>
    </row>
    <row r="50" spans="1:17" x14ac:dyDescent="0.2">
      <c r="D50" s="637" t="s">
        <v>694</v>
      </c>
      <c r="E50" s="4540">
        <v>274629.37955299998</v>
      </c>
      <c r="F50" s="4540">
        <v>324855.71875</v>
      </c>
      <c r="G50" s="4540">
        <v>353275.40625</v>
      </c>
      <c r="H50" s="4540">
        <v>396820.09375</v>
      </c>
      <c r="I50" s="4540">
        <v>425815.09375</v>
      </c>
      <c r="J50" s="4540">
        <v>440706.53125</v>
      </c>
      <c r="K50" s="4540">
        <v>450538.125</v>
      </c>
      <c r="L50" s="4540">
        <v>449642.5625</v>
      </c>
      <c r="M50" s="4540">
        <v>487378.625</v>
      </c>
      <c r="N50" s="4540">
        <v>511545.65625</v>
      </c>
      <c r="O50" s="4540">
        <v>445001.78125</v>
      </c>
      <c r="P50" s="4540">
        <v>558332.5625</v>
      </c>
      <c r="Q50" s="4540">
        <v>775891.375</v>
      </c>
    </row>
    <row r="51" spans="1:17" ht="22.5" x14ac:dyDescent="0.2">
      <c r="D51" s="4541" t="s">
        <v>2205</v>
      </c>
      <c r="E51" s="4542">
        <f t="shared" ref="E51:Q51" si="0">SUM(E40:E50)</f>
        <v>610618.54093699995</v>
      </c>
      <c r="F51" s="4542">
        <f t="shared" si="0"/>
        <v>747120.65039069997</v>
      </c>
      <c r="G51" s="4542">
        <f t="shared" si="0"/>
        <v>860783.59375</v>
      </c>
      <c r="H51" s="4542">
        <f t="shared" si="0"/>
        <v>1006261.6953127</v>
      </c>
      <c r="I51" s="4542">
        <f t="shared" si="0"/>
        <v>1074828.0488282</v>
      </c>
      <c r="J51" s="4542">
        <f t="shared" si="0"/>
        <v>1082277.2128907</v>
      </c>
      <c r="K51" s="4542">
        <f t="shared" si="0"/>
        <v>1094686.6582032</v>
      </c>
      <c r="L51" s="4542">
        <f t="shared" si="0"/>
        <v>1109045.3300783001</v>
      </c>
      <c r="M51" s="4542">
        <f t="shared" si="0"/>
        <v>1222913.8222657</v>
      </c>
      <c r="N51" s="4542">
        <f t="shared" si="0"/>
        <v>1263695.9375002</v>
      </c>
      <c r="O51" s="4542">
        <f t="shared" si="0"/>
        <v>1104648.2304688999</v>
      </c>
      <c r="P51" s="4542">
        <f t="shared" si="0"/>
        <v>1348654.7421876001</v>
      </c>
      <c r="Q51" s="4542">
        <f t="shared" si="0"/>
        <v>1791905.0039063001</v>
      </c>
    </row>
    <row r="52" spans="1:17" x14ac:dyDescent="0.2">
      <c r="D52" s="785"/>
      <c r="E52" s="4546"/>
      <c r="F52" s="4546"/>
      <c r="G52" s="4546"/>
      <c r="H52" s="4546"/>
      <c r="I52" s="4546"/>
      <c r="J52" s="4546"/>
      <c r="K52" s="4546"/>
      <c r="L52" s="4546"/>
      <c r="M52" s="4546"/>
      <c r="N52" s="4546"/>
      <c r="O52" s="4546"/>
      <c r="P52" s="4546"/>
      <c r="Q52" s="4546"/>
    </row>
    <row r="53" spans="1:17" x14ac:dyDescent="0.2">
      <c r="B53" s="630"/>
      <c r="C53" s="630"/>
      <c r="D53" s="636" t="s">
        <v>663</v>
      </c>
      <c r="E53" s="636" t="s">
        <v>2210</v>
      </c>
      <c r="F53" s="735"/>
      <c r="G53" s="723"/>
    </row>
    <row r="54" spans="1:17" x14ac:dyDescent="0.2">
      <c r="D54" s="4537"/>
      <c r="E54" s="4538">
        <v>2010</v>
      </c>
      <c r="F54" s="4538">
        <v>2011</v>
      </c>
      <c r="G54" s="4538">
        <v>2012</v>
      </c>
      <c r="H54" s="4538">
        <v>2013</v>
      </c>
      <c r="I54" s="4538">
        <v>2014</v>
      </c>
      <c r="J54" s="4538">
        <v>2015</v>
      </c>
      <c r="K54" s="4538">
        <v>2016</v>
      </c>
      <c r="L54" s="4538">
        <v>2017</v>
      </c>
      <c r="M54" s="4538">
        <v>2018</v>
      </c>
      <c r="N54" s="4538">
        <v>2019</v>
      </c>
      <c r="O54" s="4538">
        <v>2020</v>
      </c>
      <c r="P54" s="4538">
        <v>2021</v>
      </c>
      <c r="Q54" s="4538">
        <v>2022</v>
      </c>
    </row>
    <row r="55" spans="1:17" x14ac:dyDescent="0.2">
      <c r="D55" s="636" t="s">
        <v>2207</v>
      </c>
      <c r="E55" s="736"/>
      <c r="F55" s="738"/>
      <c r="G55" s="738"/>
      <c r="H55" s="738"/>
      <c r="I55" s="738"/>
      <c r="J55" s="738"/>
      <c r="K55" s="738"/>
      <c r="L55" s="738"/>
      <c r="M55" s="738"/>
      <c r="N55" s="738"/>
      <c r="O55" s="738"/>
      <c r="P55" s="738"/>
      <c r="Q55" s="738"/>
    </row>
    <row r="56" spans="1:17" s="815" customFormat="1" x14ac:dyDescent="0.2">
      <c r="A56" s="630"/>
      <c r="B56" s="662"/>
      <c r="C56" s="662"/>
      <c r="D56" s="636" t="s">
        <v>2202</v>
      </c>
      <c r="E56" s="4547">
        <v>388081.66396099998</v>
      </c>
      <c r="F56" s="4547">
        <v>474940.71916699997</v>
      </c>
      <c r="G56" s="4547">
        <v>466020.44667500001</v>
      </c>
      <c r="H56" s="4547">
        <v>528043.41010800004</v>
      </c>
      <c r="I56" s="4547">
        <v>543550.180055</v>
      </c>
      <c r="J56" s="4547">
        <v>515023.42194999999</v>
      </c>
      <c r="K56" s="4547">
        <v>562672.45984499995</v>
      </c>
      <c r="L56" s="4547">
        <v>617156.73809300002</v>
      </c>
      <c r="M56" s="4547">
        <v>666210.69120909995</v>
      </c>
      <c r="N56" s="4547">
        <v>688987.01685999997</v>
      </c>
      <c r="O56" s="4547">
        <v>778427.61101850006</v>
      </c>
      <c r="P56" s="4547">
        <v>1099074.2114510001</v>
      </c>
      <c r="Q56" s="4547">
        <v>1198676.0982031999</v>
      </c>
    </row>
    <row r="57" spans="1:17" x14ac:dyDescent="0.2">
      <c r="D57" s="637" t="s">
        <v>2211</v>
      </c>
      <c r="E57" s="4540">
        <v>98055.571075999993</v>
      </c>
      <c r="F57" s="4540">
        <v>100929.781504</v>
      </c>
      <c r="G57" s="4540">
        <v>99517.380424999996</v>
      </c>
      <c r="H57" s="4540">
        <v>112361.63563</v>
      </c>
      <c r="I57" s="4540">
        <v>130130.690906</v>
      </c>
      <c r="J57" s="4540">
        <v>124498.002077</v>
      </c>
      <c r="K57" s="4540">
        <v>133447.547391</v>
      </c>
      <c r="L57" s="4540">
        <v>140474.37541499999</v>
      </c>
      <c r="M57" s="4540">
        <v>150656.30087800001</v>
      </c>
      <c r="N57" s="4540">
        <v>141977.601964</v>
      </c>
      <c r="O57" s="4540">
        <v>126054.255932</v>
      </c>
      <c r="P57" s="4540">
        <v>171844.88362499999</v>
      </c>
      <c r="Q57" s="4540">
        <v>203198.290263</v>
      </c>
    </row>
    <row r="58" spans="1:17" x14ac:dyDescent="0.2">
      <c r="D58" s="637" t="s">
        <v>2212</v>
      </c>
      <c r="E58" s="4540">
        <v>140648.47451500001</v>
      </c>
      <c r="F58" s="4540">
        <v>192716.46311800001</v>
      </c>
      <c r="G58" s="4540">
        <v>203979.14715400001</v>
      </c>
      <c r="H58" s="4540">
        <v>234892.840279</v>
      </c>
      <c r="I58" s="4540">
        <v>235387.72445899999</v>
      </c>
      <c r="J58" s="4540">
        <v>209707.71604100001</v>
      </c>
      <c r="K58" s="4540">
        <v>230488.852981</v>
      </c>
      <c r="L58" s="4540">
        <v>280436.08474100003</v>
      </c>
      <c r="M58" s="4540">
        <v>296883.07311</v>
      </c>
      <c r="N58" s="4540">
        <v>324780.751338</v>
      </c>
      <c r="O58" s="4540">
        <v>328190.18004399998</v>
      </c>
      <c r="P58" s="4540">
        <v>413931.01006599999</v>
      </c>
      <c r="Q58" s="4540">
        <v>557240.73415699997</v>
      </c>
    </row>
    <row r="59" spans="1:17" x14ac:dyDescent="0.2">
      <c r="D59" s="637" t="s">
        <v>2213</v>
      </c>
      <c r="E59" s="4540">
        <v>59499</v>
      </c>
      <c r="F59" s="4540">
        <v>75298</v>
      </c>
      <c r="G59" s="4540">
        <v>71050</v>
      </c>
      <c r="H59" s="4540">
        <v>67174</v>
      </c>
      <c r="I59" s="4540">
        <v>71942</v>
      </c>
      <c r="J59" s="4540">
        <v>59521</v>
      </c>
      <c r="K59" s="4540">
        <v>66762</v>
      </c>
      <c r="L59" s="4540">
        <v>66411</v>
      </c>
      <c r="M59" s="4540">
        <v>71678</v>
      </c>
      <c r="N59" s="4540">
        <v>67209</v>
      </c>
      <c r="O59" s="4540">
        <v>108301</v>
      </c>
      <c r="P59" s="4540">
        <v>108004</v>
      </c>
      <c r="Q59" s="4540">
        <v>86149</v>
      </c>
    </row>
    <row r="60" spans="1:17" x14ac:dyDescent="0.2">
      <c r="D60" s="637" t="s">
        <v>2214</v>
      </c>
      <c r="E60" s="4540">
        <v>68069.398964000007</v>
      </c>
      <c r="F60" s="4540">
        <v>79790.339294000005</v>
      </c>
      <c r="G60" s="4540">
        <v>65047.185245000001</v>
      </c>
      <c r="H60" s="4540">
        <v>81260.432520999995</v>
      </c>
      <c r="I60" s="4540">
        <v>70587.758744000006</v>
      </c>
      <c r="J60" s="4540">
        <v>86626.168713999999</v>
      </c>
      <c r="K60" s="4540">
        <v>88656.195101999998</v>
      </c>
      <c r="L60" s="4540">
        <v>87640.450196000005</v>
      </c>
      <c r="M60" s="4540">
        <v>103932.840958</v>
      </c>
      <c r="N60" s="4540">
        <v>119581.84865099999</v>
      </c>
      <c r="O60" s="4540">
        <v>175188.19055900001</v>
      </c>
      <c r="P60" s="4540">
        <v>341740.24336899997</v>
      </c>
      <c r="Q60" s="4540">
        <v>272985.69660099997</v>
      </c>
    </row>
    <row r="61" spans="1:17" x14ac:dyDescent="0.2">
      <c r="D61" s="637" t="s">
        <v>694</v>
      </c>
      <c r="E61" s="4540">
        <v>21809.219406</v>
      </c>
      <c r="F61" s="4540">
        <v>26206.135251</v>
      </c>
      <c r="G61" s="4540">
        <v>26426.733851000001</v>
      </c>
      <c r="H61" s="4540">
        <v>32354.206622000002</v>
      </c>
      <c r="I61" s="4540">
        <v>35502.054737999999</v>
      </c>
      <c r="J61" s="4540">
        <v>34670.771431000001</v>
      </c>
      <c r="K61" s="4540">
        <v>43317.568695000002</v>
      </c>
      <c r="L61" s="4540">
        <v>42194.679396</v>
      </c>
      <c r="M61" s="4540">
        <v>43060.0970161</v>
      </c>
      <c r="N61" s="4540">
        <v>35437.738397000001</v>
      </c>
      <c r="O61" s="4540">
        <v>40693.687153500003</v>
      </c>
      <c r="P61" s="4540">
        <v>63554.228190000002</v>
      </c>
      <c r="Q61" s="4540">
        <v>79102.600235899998</v>
      </c>
    </row>
    <row r="62" spans="1:17" s="815" customFormat="1" x14ac:dyDescent="0.2">
      <c r="A62" s="630"/>
      <c r="B62" s="662"/>
      <c r="C62" s="662"/>
      <c r="D62" s="636" t="s">
        <v>593</v>
      </c>
      <c r="E62" s="4547">
        <v>240833.611833</v>
      </c>
      <c r="F62" s="4547">
        <v>272462.24217400001</v>
      </c>
      <c r="G62" s="4547">
        <v>304687.60569</v>
      </c>
      <c r="H62" s="4547">
        <v>340885.76267199998</v>
      </c>
      <c r="I62" s="4547">
        <v>394900.44692100002</v>
      </c>
      <c r="J62" s="4547">
        <v>430912.57161400001</v>
      </c>
      <c r="K62" s="4547">
        <v>464018.965876</v>
      </c>
      <c r="L62" s="4547">
        <v>454767.44969600003</v>
      </c>
      <c r="M62" s="4547">
        <v>486122.71271200001</v>
      </c>
      <c r="N62" s="4547">
        <v>519354.51270399999</v>
      </c>
      <c r="O62" s="4547">
        <v>496933.95374899998</v>
      </c>
      <c r="P62" s="4547">
        <v>573114.25359199999</v>
      </c>
      <c r="Q62" s="4547">
        <v>661573.70031500002</v>
      </c>
    </row>
    <row r="63" spans="1:17" x14ac:dyDescent="0.2">
      <c r="D63" s="637" t="s">
        <v>2215</v>
      </c>
      <c r="E63" s="4540">
        <v>37976.532673000002</v>
      </c>
      <c r="F63" s="4540">
        <v>44913.733490999999</v>
      </c>
      <c r="G63" s="4540">
        <v>50368.976656999999</v>
      </c>
      <c r="H63" s="4540">
        <v>55363.920910000001</v>
      </c>
      <c r="I63" s="4540">
        <v>62939.093658999998</v>
      </c>
      <c r="J63" s="4540">
        <v>67028.622340999995</v>
      </c>
      <c r="K63" s="4540">
        <v>67499.234368999998</v>
      </c>
      <c r="L63" s="4540">
        <v>72777.488190000004</v>
      </c>
      <c r="M63" s="4540">
        <v>77815.519742999997</v>
      </c>
      <c r="N63" s="4540">
        <v>79929.994447000005</v>
      </c>
      <c r="O63" s="4540">
        <v>90638.901605000006</v>
      </c>
      <c r="P63" s="4540">
        <v>112980.11780399999</v>
      </c>
      <c r="Q63" s="4540">
        <v>127527.538028</v>
      </c>
    </row>
    <row r="64" spans="1:17" x14ac:dyDescent="0.2">
      <c r="D64" s="637" t="s">
        <v>2216</v>
      </c>
      <c r="E64" s="4540">
        <v>58668.174058999997</v>
      </c>
      <c r="F64" s="4540">
        <v>70200.070642999999</v>
      </c>
      <c r="G64" s="4540">
        <v>78587.645820000005</v>
      </c>
      <c r="H64" s="4540">
        <v>86774.328812000007</v>
      </c>
      <c r="I64" s="4540">
        <v>98854.050025999997</v>
      </c>
      <c r="J64" s="4540">
        <v>100314.814887</v>
      </c>
      <c r="K64" s="4540">
        <v>102785.224023</v>
      </c>
      <c r="L64" s="4540">
        <v>95558.480385000003</v>
      </c>
      <c r="M64" s="4540">
        <v>100935.208188</v>
      </c>
      <c r="N64" s="4540">
        <v>104467.86865600001</v>
      </c>
      <c r="O64" s="4540">
        <v>105113.056752</v>
      </c>
      <c r="P64" s="4540">
        <v>122900.565131</v>
      </c>
      <c r="Q64" s="4540">
        <v>139124.30440600001</v>
      </c>
    </row>
    <row r="65" spans="1:17" x14ac:dyDescent="0.2">
      <c r="D65" s="637" t="s">
        <v>2217</v>
      </c>
      <c r="E65" s="4540">
        <v>62962.654691999996</v>
      </c>
      <c r="F65" s="4540">
        <v>69333.040997999997</v>
      </c>
      <c r="G65" s="4540">
        <v>80448.733882999994</v>
      </c>
      <c r="H65" s="4540">
        <v>87639.485767999999</v>
      </c>
      <c r="I65" s="4540">
        <v>105267.791019</v>
      </c>
      <c r="J65" s="4540">
        <v>129486.764098</v>
      </c>
      <c r="K65" s="4540">
        <v>147093.29103399999</v>
      </c>
      <c r="L65" s="4540">
        <v>140794.46295700001</v>
      </c>
      <c r="M65" s="4540">
        <v>152934.39434</v>
      </c>
      <c r="N65" s="4540">
        <v>176189.14281600001</v>
      </c>
      <c r="O65" s="4540">
        <v>144855.59643899999</v>
      </c>
      <c r="P65" s="4540">
        <v>167841.23004699999</v>
      </c>
      <c r="Q65" s="4540">
        <v>192611.483305</v>
      </c>
    </row>
    <row r="66" spans="1:17" x14ac:dyDescent="0.2">
      <c r="D66" s="652" t="s">
        <v>694</v>
      </c>
      <c r="E66" s="4540">
        <v>81226.250409</v>
      </c>
      <c r="F66" s="4540">
        <v>88015.397041999997</v>
      </c>
      <c r="G66" s="4540">
        <v>95282.249330000006</v>
      </c>
      <c r="H66" s="4540">
        <v>111108.02718200001</v>
      </c>
      <c r="I66" s="4540">
        <v>127839.512217</v>
      </c>
      <c r="J66" s="4540">
        <v>134082.37028800001</v>
      </c>
      <c r="K66" s="4540">
        <v>146641.21645000001</v>
      </c>
      <c r="L66" s="4540">
        <v>145637.01816400001</v>
      </c>
      <c r="M66" s="4540">
        <v>154437.59044100001</v>
      </c>
      <c r="N66" s="4540">
        <v>158767.50678500001</v>
      </c>
      <c r="O66" s="4540">
        <v>156326.398953</v>
      </c>
      <c r="P66" s="4540">
        <v>169392.34061000001</v>
      </c>
      <c r="Q66" s="4540">
        <v>202310.374576</v>
      </c>
    </row>
    <row r="67" spans="1:17" s="815" customFormat="1" x14ac:dyDescent="0.2">
      <c r="A67" s="630"/>
      <c r="B67" s="662"/>
      <c r="C67" s="662"/>
      <c r="D67" s="785" t="s">
        <v>551</v>
      </c>
      <c r="E67" s="4547">
        <v>36896.077671999999</v>
      </c>
      <c r="F67" s="4547">
        <v>42696.809328000003</v>
      </c>
      <c r="G67" s="4547">
        <v>45822.648184999998</v>
      </c>
      <c r="H67" s="4547">
        <v>58950.135767</v>
      </c>
      <c r="I67" s="4547">
        <v>67776.445458999995</v>
      </c>
      <c r="J67" s="4547">
        <v>72948.257404000004</v>
      </c>
      <c r="K67" s="4547">
        <v>84410.373219000001</v>
      </c>
      <c r="L67" s="4547">
        <v>86763.756645999994</v>
      </c>
      <c r="M67" s="4547">
        <v>90350.056226999994</v>
      </c>
      <c r="N67" s="4547">
        <v>90373.790429999994</v>
      </c>
      <c r="O67" s="4547">
        <v>113906.623918</v>
      </c>
      <c r="P67" s="4547">
        <v>121319.52763700001</v>
      </c>
      <c r="Q67" s="4547">
        <v>147144.92871199999</v>
      </c>
    </row>
    <row r="68" spans="1:17" x14ac:dyDescent="0.2">
      <c r="D68" s="652" t="s">
        <v>2218</v>
      </c>
      <c r="E68" s="4540">
        <v>25446.446007999999</v>
      </c>
      <c r="F68" s="4540">
        <v>30157.951233</v>
      </c>
      <c r="G68" s="4540">
        <v>32086.627343</v>
      </c>
      <c r="H68" s="4540">
        <v>42096.373817</v>
      </c>
      <c r="I68" s="4540">
        <v>47852.158186000001</v>
      </c>
      <c r="J68" s="4540">
        <v>51382.599987000001</v>
      </c>
      <c r="K68" s="4540">
        <v>60323.155666999999</v>
      </c>
      <c r="L68" s="4540">
        <v>63941.106241000001</v>
      </c>
      <c r="M68" s="4540">
        <v>67715.437493999998</v>
      </c>
      <c r="N68" s="4540">
        <v>68407.471330999993</v>
      </c>
      <c r="O68" s="4540">
        <v>89376.608794</v>
      </c>
      <c r="P68" s="4540">
        <v>94696.955016000007</v>
      </c>
      <c r="Q68" s="4540">
        <v>115896.002207</v>
      </c>
    </row>
    <row r="69" spans="1:17" x14ac:dyDescent="0.2">
      <c r="D69" s="637" t="s">
        <v>694</v>
      </c>
      <c r="E69" s="4540">
        <v>11449.631664</v>
      </c>
      <c r="F69" s="4540">
        <v>12538.858095</v>
      </c>
      <c r="G69" s="4540">
        <v>13736.020842</v>
      </c>
      <c r="H69" s="4540">
        <v>16853.76195</v>
      </c>
      <c r="I69" s="4540">
        <v>19924.287273000002</v>
      </c>
      <c r="J69" s="4540">
        <v>21565.657416999999</v>
      </c>
      <c r="K69" s="4540">
        <v>24087.217551999998</v>
      </c>
      <c r="L69" s="4540">
        <v>22822.650405</v>
      </c>
      <c r="M69" s="4540">
        <v>22634.618732999999</v>
      </c>
      <c r="N69" s="4540">
        <v>21966.319099</v>
      </c>
      <c r="O69" s="4540">
        <v>24530.015124000001</v>
      </c>
      <c r="P69" s="4540">
        <v>26622.572620999999</v>
      </c>
      <c r="Q69" s="4540">
        <v>31248.926504999999</v>
      </c>
    </row>
    <row r="70" spans="1:17" s="815" customFormat="1" x14ac:dyDescent="0.2">
      <c r="A70" s="630"/>
      <c r="B70" s="662"/>
      <c r="C70" s="662"/>
      <c r="D70" s="636" t="s">
        <v>2203</v>
      </c>
      <c r="E70" s="4547">
        <v>3582.1592970000002</v>
      </c>
      <c r="F70" s="4547">
        <v>4270.6510280000002</v>
      </c>
      <c r="G70" s="4547">
        <v>4499.8549709999998</v>
      </c>
      <c r="H70" s="4547">
        <v>4861.1028850000002</v>
      </c>
      <c r="I70" s="4547">
        <v>5884.7055700000001</v>
      </c>
      <c r="J70" s="4547">
        <v>8178.2044550000001</v>
      </c>
      <c r="K70" s="4547">
        <v>9283.5751390000005</v>
      </c>
      <c r="L70" s="4547">
        <v>9323.0292399999998</v>
      </c>
      <c r="M70" s="4547">
        <v>6347.3764418000001</v>
      </c>
      <c r="N70" s="4547">
        <v>3967.2948519000001</v>
      </c>
      <c r="O70" s="4547">
        <v>4726.4744543999996</v>
      </c>
      <c r="P70" s="4547">
        <v>3242.1004158999999</v>
      </c>
      <c r="Q70" s="4547">
        <v>6090.0552699999998</v>
      </c>
    </row>
    <row r="71" spans="1:17" ht="22.5" x14ac:dyDescent="0.2">
      <c r="D71" s="4541" t="s">
        <v>2204</v>
      </c>
      <c r="E71" s="4542">
        <v>669393.51276249997</v>
      </c>
      <c r="F71" s="4542">
        <v>794370.42169750005</v>
      </c>
      <c r="G71" s="4542">
        <v>821030.55552199995</v>
      </c>
      <c r="H71" s="4542">
        <v>932740.4114325</v>
      </c>
      <c r="I71" s="4542">
        <v>1012111.7780045</v>
      </c>
      <c r="J71" s="4542">
        <v>1027062.4554224</v>
      </c>
      <c r="K71" s="4542">
        <v>1120385.3740794</v>
      </c>
      <c r="L71" s="4542">
        <v>1168010.9736764</v>
      </c>
      <c r="M71" s="4542">
        <v>1249030.8365899001</v>
      </c>
      <c r="N71" s="4542">
        <v>1302682.6148459001</v>
      </c>
      <c r="O71" s="4542">
        <v>1393994.6631399</v>
      </c>
      <c r="P71" s="4542">
        <v>1796750.0930959</v>
      </c>
      <c r="Q71" s="4542">
        <v>2013484.7825002</v>
      </c>
    </row>
    <row r="72" spans="1:17" x14ac:dyDescent="0.2">
      <c r="D72" s="785"/>
      <c r="E72" s="772"/>
      <c r="F72" s="742"/>
      <c r="G72" s="742"/>
      <c r="H72" s="743"/>
    </row>
    <row r="73" spans="1:17" x14ac:dyDescent="0.2">
      <c r="B73" s="630"/>
      <c r="C73" s="630"/>
      <c r="D73" s="636" t="s">
        <v>697</v>
      </c>
      <c r="E73" s="636" t="s">
        <v>2210</v>
      </c>
      <c r="F73" s="735"/>
      <c r="G73" s="723"/>
    </row>
    <row r="74" spans="1:17" x14ac:dyDescent="0.2">
      <c r="D74" s="4537"/>
      <c r="E74" s="4538">
        <v>2010</v>
      </c>
      <c r="F74" s="4538">
        <v>2011</v>
      </c>
      <c r="G74" s="4538">
        <v>2012</v>
      </c>
      <c r="H74" s="4538">
        <v>2013</v>
      </c>
      <c r="I74" s="4538">
        <v>2014</v>
      </c>
      <c r="J74" s="4538">
        <v>2015</v>
      </c>
      <c r="K74" s="4538">
        <v>2016</v>
      </c>
      <c r="L74" s="4538">
        <v>2017</v>
      </c>
      <c r="M74" s="4538">
        <v>2018</v>
      </c>
      <c r="N74" s="4538">
        <v>2019</v>
      </c>
      <c r="O74" s="4538">
        <v>2020</v>
      </c>
      <c r="P74" s="4538">
        <v>2021</v>
      </c>
      <c r="Q74" s="4538">
        <v>2022</v>
      </c>
    </row>
    <row r="75" spans="1:17" x14ac:dyDescent="0.2">
      <c r="D75" s="636" t="s">
        <v>2209</v>
      </c>
      <c r="E75" s="736"/>
      <c r="F75" s="738"/>
      <c r="G75" s="738"/>
      <c r="H75" s="738"/>
      <c r="I75" s="738"/>
      <c r="J75" s="738"/>
      <c r="K75" s="738"/>
      <c r="L75" s="738"/>
      <c r="M75" s="738"/>
      <c r="N75" s="738"/>
      <c r="O75" s="738"/>
      <c r="P75" s="738"/>
      <c r="Q75" s="738"/>
    </row>
    <row r="76" spans="1:17" s="815" customFormat="1" x14ac:dyDescent="0.2">
      <c r="A76" s="630"/>
      <c r="B76" s="662"/>
      <c r="C76" s="662"/>
      <c r="D76" s="636" t="s">
        <v>2202</v>
      </c>
      <c r="E76" s="4547">
        <v>152740</v>
      </c>
      <c r="F76" s="4547">
        <v>202019</v>
      </c>
      <c r="G76" s="4547">
        <v>239729</v>
      </c>
      <c r="H76" s="4547">
        <v>280572</v>
      </c>
      <c r="I76" s="4547">
        <v>303713</v>
      </c>
      <c r="J76" s="4547">
        <v>233602</v>
      </c>
      <c r="K76" s="4547">
        <v>219265</v>
      </c>
      <c r="L76" s="4547">
        <v>243207</v>
      </c>
      <c r="M76" s="4547">
        <v>309179</v>
      </c>
      <c r="N76" s="4547">
        <v>300091</v>
      </c>
      <c r="O76" s="4547">
        <v>232296</v>
      </c>
      <c r="P76" s="4547">
        <v>331838</v>
      </c>
      <c r="Q76" s="4547">
        <v>541034</v>
      </c>
    </row>
    <row r="77" spans="1:17" x14ac:dyDescent="0.2">
      <c r="D77" s="637" t="s">
        <v>2219</v>
      </c>
      <c r="E77" s="4540">
        <v>28147</v>
      </c>
      <c r="F77" s="4540">
        <v>35546</v>
      </c>
      <c r="G77" s="4540">
        <v>39641</v>
      </c>
      <c r="H77" s="4540">
        <v>49783</v>
      </c>
      <c r="I77" s="4540">
        <v>49925</v>
      </c>
      <c r="J77" s="4540">
        <v>58497</v>
      </c>
      <c r="K77" s="4540">
        <v>56925</v>
      </c>
      <c r="L77" s="4540">
        <v>58412</v>
      </c>
      <c r="M77" s="4540">
        <v>59962</v>
      </c>
      <c r="N77" s="4540">
        <v>62841</v>
      </c>
      <c r="O77" s="4540">
        <v>58087</v>
      </c>
      <c r="P77" s="4540">
        <v>84269</v>
      </c>
      <c r="Q77" s="4540">
        <v>97296</v>
      </c>
    </row>
    <row r="78" spans="1:17" x14ac:dyDescent="0.2">
      <c r="D78" s="637" t="s">
        <v>2212</v>
      </c>
      <c r="E78" s="4540">
        <v>118397</v>
      </c>
      <c r="F78" s="4540">
        <v>159195</v>
      </c>
      <c r="G78" s="4540">
        <v>191784</v>
      </c>
      <c r="H78" s="4540">
        <v>222037</v>
      </c>
      <c r="I78" s="4540">
        <v>242622</v>
      </c>
      <c r="J78" s="4540">
        <v>167287</v>
      </c>
      <c r="K78" s="4540">
        <v>150612</v>
      </c>
      <c r="L78" s="4540">
        <v>171270</v>
      </c>
      <c r="M78" s="4540">
        <v>230166</v>
      </c>
      <c r="N78" s="4540">
        <v>220259</v>
      </c>
      <c r="O78" s="4540">
        <v>156322</v>
      </c>
      <c r="P78" s="4540">
        <v>225703</v>
      </c>
      <c r="Q78" s="4540">
        <v>419100</v>
      </c>
    </row>
    <row r="79" spans="1:17" x14ac:dyDescent="0.2">
      <c r="D79" s="637" t="s">
        <v>694</v>
      </c>
      <c r="E79" s="4540">
        <v>6196</v>
      </c>
      <c r="F79" s="4540">
        <v>7279</v>
      </c>
      <c r="G79" s="4540">
        <v>8304</v>
      </c>
      <c r="H79" s="4540">
        <v>8752</v>
      </c>
      <c r="I79" s="4540">
        <v>11166</v>
      </c>
      <c r="J79" s="4540">
        <v>7818</v>
      </c>
      <c r="K79" s="4540">
        <v>11729</v>
      </c>
      <c r="L79" s="4540">
        <v>13525</v>
      </c>
      <c r="M79" s="4540">
        <v>19051</v>
      </c>
      <c r="N79" s="4540">
        <v>16991</v>
      </c>
      <c r="O79" s="4540">
        <v>17887</v>
      </c>
      <c r="P79" s="4540">
        <v>21867</v>
      </c>
      <c r="Q79" s="4540">
        <v>24638</v>
      </c>
    </row>
    <row r="80" spans="1:17" s="815" customFormat="1" x14ac:dyDescent="0.2">
      <c r="A80" s="630"/>
      <c r="B80" s="662"/>
      <c r="C80" s="662"/>
      <c r="D80" s="636" t="s">
        <v>593</v>
      </c>
      <c r="E80" s="4547">
        <v>427177</v>
      </c>
      <c r="F80" s="4547">
        <v>504613</v>
      </c>
      <c r="G80" s="4547">
        <v>572718</v>
      </c>
      <c r="H80" s="4547">
        <v>674655</v>
      </c>
      <c r="I80" s="4547">
        <v>715767</v>
      </c>
      <c r="J80" s="4547">
        <v>790109</v>
      </c>
      <c r="K80" s="4547">
        <v>804756</v>
      </c>
      <c r="L80" s="4547">
        <v>800374</v>
      </c>
      <c r="M80" s="4547">
        <v>848507</v>
      </c>
      <c r="N80" s="4547">
        <v>897268</v>
      </c>
      <c r="O80" s="4547">
        <v>806679</v>
      </c>
      <c r="P80" s="4547">
        <v>950931</v>
      </c>
      <c r="Q80" s="4547">
        <v>1168947</v>
      </c>
    </row>
    <row r="81" spans="1:17" x14ac:dyDescent="0.2">
      <c r="D81" s="637" t="s">
        <v>2215</v>
      </c>
      <c r="E81" s="4540">
        <v>60287</v>
      </c>
      <c r="F81" s="4540">
        <v>70140</v>
      </c>
      <c r="G81" s="4540">
        <v>80056</v>
      </c>
      <c r="H81" s="4540">
        <v>93524</v>
      </c>
      <c r="I81" s="4540">
        <v>102409</v>
      </c>
      <c r="J81" s="4540">
        <v>112875</v>
      </c>
      <c r="K81" s="4540">
        <v>114269</v>
      </c>
      <c r="L81" s="4540">
        <v>120600</v>
      </c>
      <c r="M81" s="4540">
        <v>134436</v>
      </c>
      <c r="N81" s="4540">
        <v>135919</v>
      </c>
      <c r="O81" s="4540">
        <v>146009</v>
      </c>
      <c r="P81" s="4540">
        <v>173512</v>
      </c>
      <c r="Q81" s="4540">
        <v>207530</v>
      </c>
    </row>
    <row r="82" spans="1:17" x14ac:dyDescent="0.2">
      <c r="D82" s="637" t="s">
        <v>2216</v>
      </c>
      <c r="E82" s="4540">
        <v>152924</v>
      </c>
      <c r="F82" s="4540">
        <v>181185</v>
      </c>
      <c r="G82" s="4540">
        <v>200553</v>
      </c>
      <c r="H82" s="4540">
        <v>245415</v>
      </c>
      <c r="I82" s="4540">
        <v>249345</v>
      </c>
      <c r="J82" s="4540">
        <v>272353</v>
      </c>
      <c r="K82" s="4540">
        <v>269566</v>
      </c>
      <c r="L82" s="4540">
        <v>259535</v>
      </c>
      <c r="M82" s="4540">
        <v>266558</v>
      </c>
      <c r="N82" s="4540">
        <v>285586</v>
      </c>
      <c r="O82" s="4540">
        <v>263507</v>
      </c>
      <c r="P82" s="4540">
        <v>294001</v>
      </c>
      <c r="Q82" s="4540">
        <v>374831</v>
      </c>
    </row>
    <row r="83" spans="1:17" x14ac:dyDescent="0.2">
      <c r="D83" s="637" t="s">
        <v>2217</v>
      </c>
      <c r="E83" s="4540">
        <v>98782</v>
      </c>
      <c r="F83" s="4540">
        <v>118774</v>
      </c>
      <c r="G83" s="4540">
        <v>139842</v>
      </c>
      <c r="H83" s="4540">
        <v>155835</v>
      </c>
      <c r="I83" s="4540">
        <v>169655</v>
      </c>
      <c r="J83" s="4540">
        <v>190586</v>
      </c>
      <c r="K83" s="4540">
        <v>190738</v>
      </c>
      <c r="L83" s="4540">
        <v>196435</v>
      </c>
      <c r="M83" s="4540">
        <v>205076</v>
      </c>
      <c r="N83" s="4540">
        <v>223617</v>
      </c>
      <c r="O83" s="4540">
        <v>162486</v>
      </c>
      <c r="P83" s="4540">
        <v>216367</v>
      </c>
      <c r="Q83" s="4540">
        <v>272115</v>
      </c>
    </row>
    <row r="84" spans="1:17" x14ac:dyDescent="0.2">
      <c r="D84" s="652" t="s">
        <v>694</v>
      </c>
      <c r="E84" s="4540">
        <v>115184</v>
      </c>
      <c r="F84" s="4540">
        <v>134513</v>
      </c>
      <c r="G84" s="4540">
        <v>152267</v>
      </c>
      <c r="H84" s="4540">
        <v>179881</v>
      </c>
      <c r="I84" s="4540">
        <v>194358</v>
      </c>
      <c r="J84" s="4540">
        <v>214295</v>
      </c>
      <c r="K84" s="4540">
        <v>230183</v>
      </c>
      <c r="L84" s="4540">
        <v>223804</v>
      </c>
      <c r="M84" s="4540">
        <v>242436</v>
      </c>
      <c r="N84" s="4540">
        <v>252145</v>
      </c>
      <c r="O84" s="4540">
        <v>234677</v>
      </c>
      <c r="P84" s="4540">
        <v>267051</v>
      </c>
      <c r="Q84" s="4540">
        <v>314470</v>
      </c>
    </row>
    <row r="85" spans="1:17" s="815" customFormat="1" x14ac:dyDescent="0.2">
      <c r="A85" s="630"/>
      <c r="B85" s="662"/>
      <c r="C85" s="662"/>
      <c r="D85" s="785" t="s">
        <v>551</v>
      </c>
      <c r="E85" s="4547">
        <v>25333</v>
      </c>
      <c r="F85" s="4547">
        <v>33889</v>
      </c>
      <c r="G85" s="4547">
        <v>40133</v>
      </c>
      <c r="H85" s="4547">
        <v>41499</v>
      </c>
      <c r="I85" s="4547">
        <v>44688</v>
      </c>
      <c r="J85" s="4547">
        <v>51073</v>
      </c>
      <c r="K85" s="4547">
        <v>63416</v>
      </c>
      <c r="L85" s="4547">
        <v>57304</v>
      </c>
      <c r="M85" s="4547">
        <v>56622</v>
      </c>
      <c r="N85" s="4547">
        <v>58309</v>
      </c>
      <c r="O85" s="4547">
        <v>62728</v>
      </c>
      <c r="P85" s="4547">
        <v>64147</v>
      </c>
      <c r="Q85" s="4547">
        <v>78771</v>
      </c>
    </row>
    <row r="86" spans="1:17" x14ac:dyDescent="0.2">
      <c r="D86" s="652" t="s">
        <v>2218</v>
      </c>
      <c r="E86" s="4540">
        <v>9608</v>
      </c>
      <c r="F86" s="4540">
        <v>13842</v>
      </c>
      <c r="G86" s="4540">
        <v>17184</v>
      </c>
      <c r="H86" s="4540">
        <v>18257</v>
      </c>
      <c r="I86" s="4540">
        <v>19987</v>
      </c>
      <c r="J86" s="4540">
        <v>23960</v>
      </c>
      <c r="K86" s="4540">
        <v>33032</v>
      </c>
      <c r="L86" s="4540">
        <v>23407</v>
      </c>
      <c r="M86" s="4540">
        <v>22997</v>
      </c>
      <c r="N86" s="4540">
        <v>25289</v>
      </c>
      <c r="O86" s="4540">
        <v>30475</v>
      </c>
      <c r="P86" s="4540">
        <v>27522</v>
      </c>
      <c r="Q86" s="4540">
        <v>33568</v>
      </c>
    </row>
    <row r="87" spans="1:17" x14ac:dyDescent="0.2">
      <c r="D87" s="637" t="s">
        <v>694</v>
      </c>
      <c r="E87" s="4540">
        <v>15725</v>
      </c>
      <c r="F87" s="4540">
        <v>20046</v>
      </c>
      <c r="G87" s="4540">
        <v>22950</v>
      </c>
      <c r="H87" s="4540">
        <v>23242</v>
      </c>
      <c r="I87" s="4540">
        <v>24701</v>
      </c>
      <c r="J87" s="4540">
        <v>27113</v>
      </c>
      <c r="K87" s="4540">
        <v>30384</v>
      </c>
      <c r="L87" s="4540">
        <v>33896</v>
      </c>
      <c r="M87" s="4540">
        <v>33625</v>
      </c>
      <c r="N87" s="4540">
        <v>33020</v>
      </c>
      <c r="O87" s="4540">
        <v>32253</v>
      </c>
      <c r="P87" s="4540">
        <v>36625</v>
      </c>
      <c r="Q87" s="4540">
        <v>45203</v>
      </c>
    </row>
    <row r="88" spans="1:17" s="815" customFormat="1" x14ac:dyDescent="0.2">
      <c r="A88" s="630"/>
      <c r="B88" s="662"/>
      <c r="C88" s="662"/>
      <c r="D88" s="636" t="s">
        <v>2203</v>
      </c>
      <c r="E88" s="4547">
        <v>5368</v>
      </c>
      <c r="F88" s="4547">
        <v>6600</v>
      </c>
      <c r="G88" s="4547">
        <v>8204</v>
      </c>
      <c r="H88" s="4547">
        <v>9536</v>
      </c>
      <c r="I88" s="4547">
        <v>10660</v>
      </c>
      <c r="J88" s="4547">
        <v>7493</v>
      </c>
      <c r="K88" s="4547">
        <v>7249</v>
      </c>
      <c r="L88" s="4547">
        <v>8161</v>
      </c>
      <c r="M88" s="4547">
        <v>8607</v>
      </c>
      <c r="N88" s="4547">
        <v>8028</v>
      </c>
      <c r="O88" s="4547">
        <v>2945</v>
      </c>
      <c r="P88" s="4547">
        <v>1739</v>
      </c>
      <c r="Q88" s="4547">
        <v>3153</v>
      </c>
    </row>
    <row r="89" spans="1:17" ht="22.5" x14ac:dyDescent="0.2">
      <c r="D89" s="4541" t="s">
        <v>2205</v>
      </c>
      <c r="E89" s="4542">
        <v>610618.54093699995</v>
      </c>
      <c r="F89" s="4542">
        <v>747120.65039069997</v>
      </c>
      <c r="G89" s="4542">
        <v>860783.59375</v>
      </c>
      <c r="H89" s="4542">
        <v>1006261.6953127</v>
      </c>
      <c r="I89" s="4542">
        <v>1074828.0488282</v>
      </c>
      <c r="J89" s="4542">
        <v>1082277.2128907</v>
      </c>
      <c r="K89" s="4542">
        <v>1094686.6582032</v>
      </c>
      <c r="L89" s="4542">
        <v>1109045.3300783001</v>
      </c>
      <c r="M89" s="4542">
        <v>1222913.8222657</v>
      </c>
      <c r="N89" s="4542">
        <v>1263695.9375002</v>
      </c>
      <c r="O89" s="4542">
        <v>1104648.2304688999</v>
      </c>
      <c r="P89" s="4542">
        <v>1348654.7421876001</v>
      </c>
      <c r="Q89" s="4542">
        <v>1791905.0039063001</v>
      </c>
    </row>
    <row r="90" spans="1:17" x14ac:dyDescent="0.2">
      <c r="D90" s="785"/>
      <c r="E90" s="772"/>
      <c r="F90" s="742"/>
      <c r="G90" s="742"/>
      <c r="H90" s="743"/>
    </row>
    <row r="91" spans="1:17" x14ac:dyDescent="0.2">
      <c r="B91" s="630"/>
      <c r="C91" s="630"/>
      <c r="D91" s="636" t="s">
        <v>1262</v>
      </c>
      <c r="E91" s="636" t="s">
        <v>2220</v>
      </c>
      <c r="F91" s="735"/>
      <c r="G91" s="723"/>
    </row>
    <row r="92" spans="1:17" x14ac:dyDescent="0.2">
      <c r="D92" s="4537"/>
      <c r="E92" s="4538">
        <v>2010</v>
      </c>
      <c r="F92" s="4538">
        <v>2011</v>
      </c>
      <c r="G92" s="4538">
        <v>2012</v>
      </c>
      <c r="H92" s="4538">
        <v>2013</v>
      </c>
      <c r="I92" s="4538">
        <v>2014</v>
      </c>
      <c r="J92" s="4538">
        <v>2015</v>
      </c>
      <c r="K92" s="4538">
        <v>2016</v>
      </c>
      <c r="L92" s="4538">
        <v>2017</v>
      </c>
      <c r="M92" s="4538">
        <v>2018</v>
      </c>
      <c r="N92" s="4538">
        <v>2019</v>
      </c>
      <c r="O92" s="4538">
        <v>2020</v>
      </c>
      <c r="P92" s="4538">
        <v>2021</v>
      </c>
      <c r="Q92" s="4538">
        <v>2022</v>
      </c>
    </row>
    <row r="93" spans="1:17" x14ac:dyDescent="0.2">
      <c r="D93" s="636" t="s">
        <v>2207</v>
      </c>
      <c r="E93" s="736"/>
      <c r="F93" s="738"/>
      <c r="G93" s="738"/>
      <c r="H93" s="738"/>
      <c r="I93" s="738"/>
      <c r="J93" s="738"/>
      <c r="K93" s="738"/>
      <c r="L93" s="738"/>
      <c r="M93" s="738"/>
      <c r="N93" s="738"/>
      <c r="O93" s="738"/>
      <c r="P93" s="738"/>
      <c r="Q93" s="738"/>
    </row>
    <row r="94" spans="1:17" x14ac:dyDescent="0.2">
      <c r="D94" s="637" t="s">
        <v>2221</v>
      </c>
      <c r="E94" s="4540">
        <v>8008.8077359999997</v>
      </c>
      <c r="F94" s="4540">
        <v>11303.1044922</v>
      </c>
      <c r="G94" s="4540">
        <v>9354.1591797000001</v>
      </c>
      <c r="H94" s="4540">
        <v>12962.0878906</v>
      </c>
      <c r="I94" s="4540">
        <v>11711.6669922</v>
      </c>
      <c r="J94" s="4540">
        <v>16175.7900391</v>
      </c>
      <c r="K94" s="4540">
        <v>18838.9394531</v>
      </c>
      <c r="L94" s="4540">
        <v>26534.9082031</v>
      </c>
      <c r="M94" s="4540">
        <v>24523.6425781</v>
      </c>
      <c r="N94" s="4540">
        <v>27516.4492188</v>
      </c>
      <c r="O94" s="4540">
        <v>24670.6894531</v>
      </c>
      <c r="P94" s="4540">
        <v>26929.9960938</v>
      </c>
      <c r="Q94" s="4540">
        <v>39822.2421875</v>
      </c>
    </row>
    <row r="95" spans="1:17" x14ac:dyDescent="0.2">
      <c r="D95" s="637" t="s">
        <v>2222</v>
      </c>
      <c r="E95" s="4540">
        <v>40400.778781000001</v>
      </c>
      <c r="F95" s="4540">
        <v>54630.5117188</v>
      </c>
      <c r="G95" s="4540">
        <v>55239.8085938</v>
      </c>
      <c r="H95" s="4540">
        <v>56441.34375</v>
      </c>
      <c r="I95" s="4540">
        <v>55181.609375</v>
      </c>
      <c r="J95" s="4540">
        <v>51874.5820313</v>
      </c>
      <c r="K95" s="4540">
        <v>61254.0859375</v>
      </c>
      <c r="L95" s="4540">
        <v>76522.140625</v>
      </c>
      <c r="M95" s="4540">
        <v>83787.578125</v>
      </c>
      <c r="N95" s="4540">
        <v>68792.2890625</v>
      </c>
      <c r="O95" s="4540">
        <v>60264.4296875</v>
      </c>
      <c r="P95" s="4540">
        <v>89282.7421875</v>
      </c>
      <c r="Q95" s="4540">
        <v>219028.0625</v>
      </c>
    </row>
    <row r="96" spans="1:17" x14ac:dyDescent="0.2">
      <c r="D96" s="637" t="s">
        <v>2223</v>
      </c>
      <c r="E96" s="4540">
        <v>34078.377809999998</v>
      </c>
      <c r="F96" s="4540">
        <v>33705.546875</v>
      </c>
      <c r="G96" s="4540">
        <v>29394.0292969</v>
      </c>
      <c r="H96" s="4540">
        <v>35381.4648438</v>
      </c>
      <c r="I96" s="4540">
        <v>45793.9882813</v>
      </c>
      <c r="J96" s="4540">
        <v>45119.7421875</v>
      </c>
      <c r="K96" s="4540">
        <v>51653.5078125</v>
      </c>
      <c r="L96" s="4540">
        <v>49783.9023438</v>
      </c>
      <c r="M96" s="4540">
        <v>49927.0898438</v>
      </c>
      <c r="N96" s="4540">
        <v>47310.8984375</v>
      </c>
      <c r="O96" s="4540">
        <v>43736.3085938</v>
      </c>
      <c r="P96" s="4540">
        <v>61100.6992188</v>
      </c>
      <c r="Q96" s="4540">
        <v>69056.1328125</v>
      </c>
    </row>
    <row r="97" spans="2:17" x14ac:dyDescent="0.2">
      <c r="D97" s="637" t="s">
        <v>2224</v>
      </c>
      <c r="E97" s="4540">
        <v>39843.748221000002</v>
      </c>
      <c r="F97" s="4540">
        <v>65388.3085938</v>
      </c>
      <c r="G97" s="4540">
        <v>63609.5820313</v>
      </c>
      <c r="H97" s="4540">
        <v>81702.375</v>
      </c>
      <c r="I97" s="4540">
        <v>74679.0703125</v>
      </c>
      <c r="J97" s="4540">
        <v>51459.9179688</v>
      </c>
      <c r="K97" s="4540">
        <v>52537.03125</v>
      </c>
      <c r="L97" s="4540">
        <v>64046.6523438</v>
      </c>
      <c r="M97" s="4540">
        <v>57084.7890625</v>
      </c>
      <c r="N97" s="4540">
        <v>84044.453125</v>
      </c>
      <c r="O97" s="4540">
        <v>107247.390625</v>
      </c>
      <c r="P97" s="4540">
        <v>145695.640625</v>
      </c>
      <c r="Q97" s="4540">
        <v>105218</v>
      </c>
    </row>
    <row r="98" spans="2:17" x14ac:dyDescent="0.2">
      <c r="D98" s="637" t="s">
        <v>2225</v>
      </c>
      <c r="E98" s="4540">
        <v>10358.228824</v>
      </c>
      <c r="F98" s="4540">
        <v>8837.1464844000002</v>
      </c>
      <c r="G98" s="4540">
        <v>9841.6572266000003</v>
      </c>
      <c r="H98" s="4540">
        <v>15140.2216797</v>
      </c>
      <c r="I98" s="4540">
        <v>17842.9628906</v>
      </c>
      <c r="J98" s="4540">
        <v>14352.4267578</v>
      </c>
      <c r="K98" s="4540">
        <v>20649.6484375</v>
      </c>
      <c r="L98" s="4540">
        <v>33673.828125</v>
      </c>
      <c r="M98" s="4540">
        <v>46502.953125</v>
      </c>
      <c r="N98" s="4540">
        <v>45230.7929688</v>
      </c>
      <c r="O98" s="4540">
        <v>40278.3515625</v>
      </c>
      <c r="P98" s="4540">
        <v>40829.4101563</v>
      </c>
      <c r="Q98" s="4540">
        <v>46825.4648438</v>
      </c>
    </row>
    <row r="99" spans="2:17" x14ac:dyDescent="0.2">
      <c r="D99" s="637" t="s">
        <v>2226</v>
      </c>
      <c r="E99" s="4540">
        <v>10943.775801</v>
      </c>
      <c r="F99" s="4540">
        <v>15517.3769531</v>
      </c>
      <c r="G99" s="4540">
        <v>24935.6132813</v>
      </c>
      <c r="H99" s="4540">
        <v>28719.2910156</v>
      </c>
      <c r="I99" s="4540">
        <v>32752.421875</v>
      </c>
      <c r="J99" s="4540">
        <v>31098.6210938</v>
      </c>
      <c r="K99" s="4540">
        <v>40497.6054688</v>
      </c>
      <c r="L99" s="4540">
        <v>39422.59375</v>
      </c>
      <c r="M99" s="4540">
        <v>46128</v>
      </c>
      <c r="N99" s="4540">
        <v>50501.9296875</v>
      </c>
      <c r="O99" s="4540">
        <v>44797.8320313</v>
      </c>
      <c r="P99" s="4540">
        <v>59032.46875</v>
      </c>
      <c r="Q99" s="4540">
        <v>64325.703125</v>
      </c>
    </row>
    <row r="100" spans="2:17" ht="12.75" customHeight="1" x14ac:dyDescent="0.2">
      <c r="D100" s="652" t="s">
        <v>2227</v>
      </c>
      <c r="E100" s="4540">
        <v>33523.766349999998</v>
      </c>
      <c r="F100" s="4540">
        <v>34272.7578125</v>
      </c>
      <c r="G100" s="4540">
        <v>33057.4921875</v>
      </c>
      <c r="H100" s="4540">
        <v>35306.859375</v>
      </c>
      <c r="I100" s="4540">
        <v>47371.2460938</v>
      </c>
      <c r="J100" s="4540">
        <v>70717.03125</v>
      </c>
      <c r="K100" s="4540">
        <v>77540.546875</v>
      </c>
      <c r="L100" s="4540">
        <v>75145.8515625</v>
      </c>
      <c r="M100" s="4540">
        <v>81007.5</v>
      </c>
      <c r="N100" s="4540">
        <v>96885.4921875</v>
      </c>
      <c r="O100" s="4540">
        <v>74549.2890625</v>
      </c>
      <c r="P100" s="4540">
        <v>78830.75</v>
      </c>
      <c r="Q100" s="4540">
        <v>94294.1484375</v>
      </c>
    </row>
    <row r="101" spans="2:17" x14ac:dyDescent="0.2">
      <c r="D101" s="652" t="s">
        <v>2213</v>
      </c>
      <c r="E101" s="4540">
        <v>59499</v>
      </c>
      <c r="F101" s="4540">
        <v>75298</v>
      </c>
      <c r="G101" s="4540">
        <v>71050</v>
      </c>
      <c r="H101" s="4540">
        <v>67174</v>
      </c>
      <c r="I101" s="4540">
        <v>71942</v>
      </c>
      <c r="J101" s="4540">
        <v>59521</v>
      </c>
      <c r="K101" s="4540">
        <v>66762</v>
      </c>
      <c r="L101" s="4540">
        <v>66411</v>
      </c>
      <c r="M101" s="4540">
        <v>71678</v>
      </c>
      <c r="N101" s="4540">
        <v>67209</v>
      </c>
      <c r="O101" s="4540">
        <v>108301</v>
      </c>
      <c r="P101" s="4540">
        <v>108004</v>
      </c>
      <c r="Q101" s="4540">
        <v>86149</v>
      </c>
    </row>
    <row r="102" spans="2:17" x14ac:dyDescent="0.2">
      <c r="D102" s="652" t="s">
        <v>2214</v>
      </c>
      <c r="E102" s="4540">
        <v>68069.398964000007</v>
      </c>
      <c r="F102" s="4540">
        <v>79790.339294000005</v>
      </c>
      <c r="G102" s="4540">
        <v>65047.185245000001</v>
      </c>
      <c r="H102" s="4540">
        <v>81260.432520999995</v>
      </c>
      <c r="I102" s="4540">
        <v>70587.758744000006</v>
      </c>
      <c r="J102" s="4540">
        <v>86626.168713999999</v>
      </c>
      <c r="K102" s="4540">
        <v>88656.195101999998</v>
      </c>
      <c r="L102" s="4540">
        <v>87640.450196000005</v>
      </c>
      <c r="M102" s="4540">
        <v>103932.840958</v>
      </c>
      <c r="N102" s="4540">
        <v>119581.84865099999</v>
      </c>
      <c r="O102" s="4540">
        <v>175188.19055900001</v>
      </c>
      <c r="P102" s="4540">
        <v>341740.125718</v>
      </c>
      <c r="Q102" s="4540">
        <v>272986</v>
      </c>
    </row>
    <row r="103" spans="2:17" x14ac:dyDescent="0.2">
      <c r="D103" s="637" t="s">
        <v>2228</v>
      </c>
      <c r="E103" s="4540">
        <v>17312.387838999999</v>
      </c>
      <c r="F103" s="4540">
        <v>21465.9023438</v>
      </c>
      <c r="G103" s="4540">
        <v>28706.0742188</v>
      </c>
      <c r="H103" s="4540">
        <v>30962.0566406</v>
      </c>
      <c r="I103" s="4540">
        <v>33209.4296875</v>
      </c>
      <c r="J103" s="4540">
        <v>33518.3671875</v>
      </c>
      <c r="K103" s="4540">
        <v>29842.9472656</v>
      </c>
      <c r="L103" s="4540">
        <v>31703.984375</v>
      </c>
      <c r="M103" s="4540">
        <v>35388.1210938</v>
      </c>
      <c r="N103" s="4540">
        <v>40641.8007813</v>
      </c>
      <c r="O103" s="4540">
        <v>29298.8164063</v>
      </c>
      <c r="P103" s="4540">
        <v>27176.1953125</v>
      </c>
      <c r="Q103" s="4540">
        <v>45846.4023438</v>
      </c>
    </row>
    <row r="104" spans="2:17" x14ac:dyDescent="0.2">
      <c r="D104" s="637" t="s">
        <v>694</v>
      </c>
      <c r="E104" s="4540">
        <v>347355.24243699998</v>
      </c>
      <c r="F104" s="4540">
        <v>394161.4375</v>
      </c>
      <c r="G104" s="4540">
        <v>430794.96875</v>
      </c>
      <c r="H104" s="4540">
        <v>487690</v>
      </c>
      <c r="I104" s="4540">
        <v>551039.6875</v>
      </c>
      <c r="J104" s="4540">
        <v>566599.0625</v>
      </c>
      <c r="K104" s="4540">
        <v>612152.5625</v>
      </c>
      <c r="L104" s="4540">
        <v>617125.5</v>
      </c>
      <c r="M104" s="4540">
        <v>649069.9375</v>
      </c>
      <c r="N104" s="4540">
        <v>654967.5625</v>
      </c>
      <c r="O104" s="4540">
        <v>685662.0625</v>
      </c>
      <c r="P104" s="4540">
        <v>818128.125</v>
      </c>
      <c r="Q104" s="4540">
        <v>969934.1875</v>
      </c>
    </row>
    <row r="105" spans="2:17" ht="22.5" x14ac:dyDescent="0.2">
      <c r="D105" s="4541" t="s">
        <v>2204</v>
      </c>
      <c r="E105" s="4542">
        <f t="shared" ref="E105:Q105" si="1">SUM(E94:E104)</f>
        <v>669393.51276299998</v>
      </c>
      <c r="F105" s="4542">
        <f t="shared" si="1"/>
        <v>794370.43206760008</v>
      </c>
      <c r="G105" s="4542">
        <f t="shared" si="1"/>
        <v>821030.57001090003</v>
      </c>
      <c r="H105" s="4542">
        <f t="shared" si="1"/>
        <v>932740.13271629997</v>
      </c>
      <c r="I105" s="4542">
        <f t="shared" si="1"/>
        <v>1012111.8417519</v>
      </c>
      <c r="J105" s="4542">
        <f t="shared" si="1"/>
        <v>1027062.7097298</v>
      </c>
      <c r="K105" s="4542">
        <f t="shared" si="1"/>
        <v>1120385.0701020001</v>
      </c>
      <c r="L105" s="4542">
        <f t="shared" si="1"/>
        <v>1168010.8115242</v>
      </c>
      <c r="M105" s="4542">
        <f t="shared" si="1"/>
        <v>1249030.4522862001</v>
      </c>
      <c r="N105" s="4542">
        <f t="shared" si="1"/>
        <v>1302682.5166199</v>
      </c>
      <c r="O105" s="4542">
        <f t="shared" si="1"/>
        <v>1393994.360481</v>
      </c>
      <c r="P105" s="4542">
        <f t="shared" si="1"/>
        <v>1796750.1530618998</v>
      </c>
      <c r="Q105" s="4542">
        <f t="shared" si="1"/>
        <v>2013485.3437501001</v>
      </c>
    </row>
    <row r="106" spans="2:17" x14ac:dyDescent="0.2">
      <c r="D106" s="785"/>
      <c r="E106" s="772"/>
      <c r="F106" s="742"/>
      <c r="G106" s="742"/>
      <c r="H106" s="743"/>
    </row>
    <row r="107" spans="2:17" x14ac:dyDescent="0.2">
      <c r="B107" s="630"/>
      <c r="C107" s="630"/>
      <c r="D107" s="636" t="s">
        <v>2229</v>
      </c>
      <c r="E107" s="636" t="s">
        <v>2220</v>
      </c>
      <c r="F107" s="735"/>
      <c r="G107" s="723"/>
    </row>
    <row r="108" spans="2:17" x14ac:dyDescent="0.2">
      <c r="D108" s="4537"/>
      <c r="E108" s="4538">
        <v>2010</v>
      </c>
      <c r="F108" s="4538">
        <v>2011</v>
      </c>
      <c r="G108" s="4538">
        <v>2012</v>
      </c>
      <c r="H108" s="4538">
        <v>2013</v>
      </c>
      <c r="I108" s="4538">
        <v>2014</v>
      </c>
      <c r="J108" s="4538">
        <v>2015</v>
      </c>
      <c r="K108" s="4538">
        <v>2016</v>
      </c>
      <c r="L108" s="4538">
        <v>2017</v>
      </c>
      <c r="M108" s="4538">
        <v>2018</v>
      </c>
      <c r="N108" s="4538">
        <v>2019</v>
      </c>
      <c r="O108" s="4538">
        <v>2020</v>
      </c>
      <c r="P108" s="4538">
        <v>2021</v>
      </c>
      <c r="Q108" s="4538">
        <v>2022</v>
      </c>
    </row>
    <row r="109" spans="2:17" x14ac:dyDescent="0.2">
      <c r="D109" s="636" t="s">
        <v>2209</v>
      </c>
      <c r="E109" s="736"/>
      <c r="F109" s="738"/>
      <c r="G109" s="738"/>
      <c r="H109" s="738"/>
      <c r="I109" s="738"/>
      <c r="J109" s="738"/>
      <c r="K109" s="738"/>
      <c r="L109" s="738"/>
      <c r="M109" s="738"/>
      <c r="N109" s="738"/>
      <c r="O109" s="738"/>
      <c r="P109" s="738"/>
      <c r="Q109" s="738"/>
    </row>
    <row r="110" spans="2:17" x14ac:dyDescent="0.2">
      <c r="D110" s="637" t="s">
        <v>2230</v>
      </c>
      <c r="E110" s="4540">
        <v>4952.6583350000001</v>
      </c>
      <c r="F110" s="4540">
        <v>4830.0098909999997</v>
      </c>
      <c r="G110" s="4540">
        <v>6140.2411199999997</v>
      </c>
      <c r="H110" s="4540">
        <v>3155.2651559999999</v>
      </c>
      <c r="I110" s="4540">
        <v>3069.5890049999998</v>
      </c>
      <c r="J110" s="4540">
        <v>6083.6599839999999</v>
      </c>
      <c r="K110" s="4540">
        <v>7037.7659379999996</v>
      </c>
      <c r="L110" s="4540">
        <v>5073.6112940000003</v>
      </c>
      <c r="M110" s="4540">
        <v>6241.6303120000002</v>
      </c>
      <c r="N110" s="4540">
        <v>10001.406166000001</v>
      </c>
      <c r="O110" s="4540">
        <v>3979.0281190000001</v>
      </c>
      <c r="P110" s="4540">
        <v>4983.7066510000004</v>
      </c>
      <c r="Q110" s="4540">
        <v>6677</v>
      </c>
    </row>
    <row r="111" spans="2:17" x14ac:dyDescent="0.2">
      <c r="D111" s="637" t="s">
        <v>2231</v>
      </c>
      <c r="E111" s="4540">
        <v>11890.726549999999</v>
      </c>
      <c r="F111" s="4540">
        <v>14184.6767578</v>
      </c>
      <c r="G111" s="4540">
        <v>16415.1132813</v>
      </c>
      <c r="H111" s="4540">
        <v>19814.4707031</v>
      </c>
      <c r="I111" s="4540">
        <v>21481.1777344</v>
      </c>
      <c r="J111" s="4540">
        <v>23402.3164063</v>
      </c>
      <c r="K111" s="4540">
        <v>21561.2714844</v>
      </c>
      <c r="L111" s="4540">
        <v>21078.6152344</v>
      </c>
      <c r="M111" s="4540">
        <v>23738.8027344</v>
      </c>
      <c r="N111" s="4540">
        <v>26514.5195313</v>
      </c>
      <c r="O111" s="4540">
        <v>23843.4042969</v>
      </c>
      <c r="P111" s="4540">
        <v>30170.6738281</v>
      </c>
      <c r="Q111" s="4540">
        <v>33767.7382813</v>
      </c>
    </row>
    <row r="112" spans="2:17" x14ac:dyDescent="0.2">
      <c r="D112" s="637" t="s">
        <v>2232</v>
      </c>
      <c r="E112" s="4540">
        <v>81843.036989</v>
      </c>
      <c r="F112" s="4540">
        <v>101684.4453125</v>
      </c>
      <c r="G112" s="4540">
        <v>128015.6640625</v>
      </c>
      <c r="H112" s="4540">
        <v>141383.359375</v>
      </c>
      <c r="I112" s="4540">
        <v>160057.4375</v>
      </c>
      <c r="J112" s="4540">
        <v>89045.2578125</v>
      </c>
      <c r="K112" s="4540">
        <v>93551.6875</v>
      </c>
      <c r="L112" s="4540">
        <v>88704.1875</v>
      </c>
      <c r="M112" s="4540">
        <v>141658.125</v>
      </c>
      <c r="N112" s="4540">
        <v>128908.140625</v>
      </c>
      <c r="O112" s="4540">
        <v>78078.859375</v>
      </c>
      <c r="P112" s="4540">
        <v>68857.7421875</v>
      </c>
      <c r="Q112" s="4540">
        <v>71931.9765625</v>
      </c>
    </row>
    <row r="113" spans="2:17" x14ac:dyDescent="0.2">
      <c r="D113" s="637" t="s">
        <v>2233</v>
      </c>
      <c r="E113" s="4540">
        <v>11649.257073000001</v>
      </c>
      <c r="F113" s="4540">
        <v>12539.8515625</v>
      </c>
      <c r="G113" s="4540">
        <v>15284.0488281</v>
      </c>
      <c r="H113" s="4540">
        <v>17486.7871094</v>
      </c>
      <c r="I113" s="4540">
        <v>17030.8125</v>
      </c>
      <c r="J113" s="4540">
        <v>21150.8945313</v>
      </c>
      <c r="K113" s="4540">
        <v>20870.2402344</v>
      </c>
      <c r="L113" s="4540">
        <v>22816.4375</v>
      </c>
      <c r="M113" s="4540">
        <v>25456.5917969</v>
      </c>
      <c r="N113" s="4540">
        <v>25477.8984375</v>
      </c>
      <c r="O113" s="4540">
        <v>29634.0371094</v>
      </c>
      <c r="P113" s="4540">
        <v>29668.28125</v>
      </c>
      <c r="Q113" s="4540">
        <v>29262.1777344</v>
      </c>
    </row>
    <row r="114" spans="2:17" x14ac:dyDescent="0.2">
      <c r="D114" s="637" t="s">
        <v>2226</v>
      </c>
      <c r="E114" s="4540">
        <v>5863.1687309999998</v>
      </c>
      <c r="F114" s="4540">
        <v>10257.2412109</v>
      </c>
      <c r="G114" s="4540">
        <v>13347.8583984</v>
      </c>
      <c r="H114" s="4540">
        <v>11974.5673828</v>
      </c>
      <c r="I114" s="4540">
        <v>11363.9003906</v>
      </c>
      <c r="J114" s="4540">
        <v>9863.4042969000002</v>
      </c>
      <c r="K114" s="4540">
        <v>7107.9360352000003</v>
      </c>
      <c r="L114" s="4540">
        <v>10478.5712891</v>
      </c>
      <c r="M114" s="4540">
        <v>11146.7705078</v>
      </c>
      <c r="N114" s="4540">
        <v>10218.4394531</v>
      </c>
      <c r="O114" s="4540">
        <v>8309.0214844000002</v>
      </c>
      <c r="P114" s="4540">
        <v>10123.046875</v>
      </c>
      <c r="Q114" s="4540">
        <v>16669.9355469</v>
      </c>
    </row>
    <row r="115" spans="2:17" x14ac:dyDescent="0.2">
      <c r="D115" s="637" t="s">
        <v>2227</v>
      </c>
      <c r="E115" s="4540">
        <v>29729.840069999998</v>
      </c>
      <c r="F115" s="4540">
        <v>36857.734375</v>
      </c>
      <c r="G115" s="4540">
        <v>42425.953125</v>
      </c>
      <c r="H115" s="4540">
        <v>53013.8085938</v>
      </c>
      <c r="I115" s="4540">
        <v>51013.90625</v>
      </c>
      <c r="J115" s="4540">
        <v>55243.1953125</v>
      </c>
      <c r="K115" s="4540">
        <v>49144.0039063</v>
      </c>
      <c r="L115" s="4540">
        <v>52949.1601563</v>
      </c>
      <c r="M115" s="4540">
        <v>51594.9726563</v>
      </c>
      <c r="N115" s="4540">
        <v>54924.7695313</v>
      </c>
      <c r="O115" s="4540">
        <v>33674.2617188</v>
      </c>
      <c r="P115" s="4540">
        <v>45977.5351563</v>
      </c>
      <c r="Q115" s="4540">
        <v>73416.6640625</v>
      </c>
    </row>
    <row r="116" spans="2:17" ht="22.5" x14ac:dyDescent="0.2">
      <c r="D116" s="652" t="s">
        <v>2234</v>
      </c>
      <c r="E116" s="4540">
        <v>37930.222634999998</v>
      </c>
      <c r="F116" s="4540">
        <v>43772.7734375</v>
      </c>
      <c r="G116" s="4540">
        <v>51469.078125</v>
      </c>
      <c r="H116" s="4540">
        <v>58994.7109375</v>
      </c>
      <c r="I116" s="4540">
        <v>70081.765625</v>
      </c>
      <c r="J116" s="4540">
        <v>79311.3515625</v>
      </c>
      <c r="K116" s="4540">
        <v>88089.96875</v>
      </c>
      <c r="L116" s="4540">
        <v>89926.1015625</v>
      </c>
      <c r="M116" s="4540">
        <v>98346.3203125</v>
      </c>
      <c r="N116" s="4540">
        <v>107378.3125</v>
      </c>
      <c r="O116" s="4540">
        <v>82640.640625</v>
      </c>
      <c r="P116" s="4540">
        <v>110341.1484375</v>
      </c>
      <c r="Q116" s="4540">
        <v>120440.7578125</v>
      </c>
    </row>
    <row r="117" spans="2:17" ht="22.5" x14ac:dyDescent="0.2">
      <c r="D117" s="652" t="s">
        <v>2235</v>
      </c>
      <c r="E117" s="4540">
        <v>8766.6626419999993</v>
      </c>
      <c r="F117" s="4540">
        <v>10026.2197266</v>
      </c>
      <c r="G117" s="4540">
        <v>10514.4238281</v>
      </c>
      <c r="H117" s="4540">
        <v>12155.9082031</v>
      </c>
      <c r="I117" s="4540">
        <v>14054.0742188</v>
      </c>
      <c r="J117" s="4540">
        <v>15992.6054688</v>
      </c>
      <c r="K117" s="4540">
        <v>18798.3066406</v>
      </c>
      <c r="L117" s="4540">
        <v>18179.1972656</v>
      </c>
      <c r="M117" s="4540">
        <v>20194.8261719</v>
      </c>
      <c r="N117" s="4540">
        <v>23703.0175781</v>
      </c>
      <c r="O117" s="4540">
        <v>19552.375</v>
      </c>
      <c r="P117" s="4540">
        <v>24873.3789063</v>
      </c>
      <c r="Q117" s="4540">
        <v>28940.4804688</v>
      </c>
    </row>
    <row r="118" spans="2:17" x14ac:dyDescent="0.2">
      <c r="D118" s="652" t="s">
        <v>2228</v>
      </c>
      <c r="E118" s="4540">
        <v>24601.724147000001</v>
      </c>
      <c r="F118" s="4540">
        <v>41725.09375</v>
      </c>
      <c r="G118" s="4540">
        <v>48075.0742188</v>
      </c>
      <c r="H118" s="4540">
        <v>62577.4609375</v>
      </c>
      <c r="I118" s="4540">
        <v>63332.296875</v>
      </c>
      <c r="J118" s="4540">
        <v>59323.265625</v>
      </c>
      <c r="K118" s="4540">
        <v>37751.5039063</v>
      </c>
      <c r="L118" s="4540">
        <v>59281.3515625</v>
      </c>
      <c r="M118" s="4540">
        <v>59971.0742188</v>
      </c>
      <c r="N118" s="4540">
        <v>65079.71875</v>
      </c>
      <c r="O118" s="4540">
        <v>58056.703125</v>
      </c>
      <c r="P118" s="4540">
        <v>123477.7890625</v>
      </c>
      <c r="Q118" s="4540">
        <v>300664.46875</v>
      </c>
    </row>
    <row r="119" spans="2:17" x14ac:dyDescent="0.2">
      <c r="D119" s="637" t="s">
        <v>694</v>
      </c>
      <c r="E119" s="4540">
        <v>371451.07562900003</v>
      </c>
      <c r="F119" s="4540">
        <v>446680.59375</v>
      </c>
      <c r="G119" s="4540">
        <v>503925.65625</v>
      </c>
      <c r="H119" s="4540">
        <v>592834.375</v>
      </c>
      <c r="I119" s="4540">
        <v>628987.5</v>
      </c>
      <c r="J119" s="4540">
        <v>678825.5625</v>
      </c>
      <c r="K119" s="4540">
        <v>706917.9375</v>
      </c>
      <c r="L119" s="4540">
        <v>698651.6875</v>
      </c>
      <c r="M119" s="4540">
        <v>739420.875</v>
      </c>
      <c r="N119" s="4540">
        <v>767126.25</v>
      </c>
      <c r="O119" s="4540">
        <v>726705.3125</v>
      </c>
      <c r="P119" s="4540">
        <v>854654.8125</v>
      </c>
      <c r="Q119" s="4540">
        <v>1053274.25</v>
      </c>
    </row>
    <row r="120" spans="2:17" ht="22.5" x14ac:dyDescent="0.2">
      <c r="D120" s="4541" t="s">
        <v>2205</v>
      </c>
      <c r="E120" s="4542">
        <v>610618.54093699995</v>
      </c>
      <c r="F120" s="4542">
        <v>747120.65039069997</v>
      </c>
      <c r="G120" s="4542">
        <v>860783.59375</v>
      </c>
      <c r="H120" s="4542">
        <v>1006261.6953127</v>
      </c>
      <c r="I120" s="4542">
        <v>1074828.0488282</v>
      </c>
      <c r="J120" s="4542">
        <v>1082277.2128907</v>
      </c>
      <c r="K120" s="4542">
        <v>1094686.6582032</v>
      </c>
      <c r="L120" s="4542">
        <v>1109045.3300783001</v>
      </c>
      <c r="M120" s="4542">
        <v>1222913.8222657</v>
      </c>
      <c r="N120" s="4542">
        <v>1263695.9375002</v>
      </c>
      <c r="O120" s="4542">
        <v>1104648.2304688999</v>
      </c>
      <c r="P120" s="4542">
        <v>1348654.7421876001</v>
      </c>
      <c r="Q120" s="4542">
        <v>1791905.0039063001</v>
      </c>
    </row>
    <row r="121" spans="2:17" x14ac:dyDescent="0.2">
      <c r="D121" s="785"/>
      <c r="E121" s="4546"/>
      <c r="F121" s="4546"/>
      <c r="G121" s="4546"/>
      <c r="H121" s="4546"/>
      <c r="I121" s="4546"/>
      <c r="J121" s="4546"/>
      <c r="K121" s="4546"/>
      <c r="L121" s="4546"/>
      <c r="M121" s="4546"/>
      <c r="N121" s="4546"/>
      <c r="O121" s="4546"/>
      <c r="P121" s="4546"/>
      <c r="Q121" s="4546"/>
    </row>
    <row r="122" spans="2:17" x14ac:dyDescent="0.2">
      <c r="D122" s="785"/>
      <c r="E122" s="786"/>
      <c r="F122" s="786"/>
      <c r="G122" s="786"/>
      <c r="H122" s="786"/>
      <c r="I122" s="786"/>
      <c r="J122" s="786"/>
      <c r="K122" s="786"/>
      <c r="L122" s="786"/>
      <c r="M122" s="786"/>
    </row>
    <row r="123" spans="2:17" x14ac:dyDescent="0.2">
      <c r="B123" s="630"/>
      <c r="D123" s="785"/>
      <c r="E123" s="786"/>
      <c r="F123" s="785"/>
    </row>
    <row r="124" spans="2:17" x14ac:dyDescent="0.2">
      <c r="D124" s="785"/>
      <c r="E124" s="786"/>
      <c r="F124" s="785"/>
    </row>
    <row r="125" spans="2:17" x14ac:dyDescent="0.2">
      <c r="D125" s="785"/>
      <c r="E125" s="786"/>
      <c r="F125" s="785"/>
    </row>
    <row r="126" spans="2:17" x14ac:dyDescent="0.2">
      <c r="D126" s="785"/>
      <c r="E126" s="786"/>
      <c r="F126" s="785"/>
    </row>
    <row r="127" spans="2:17" x14ac:dyDescent="0.2">
      <c r="D127" s="785"/>
      <c r="E127" s="786"/>
      <c r="F127" s="785"/>
    </row>
    <row r="128" spans="2:17" x14ac:dyDescent="0.2">
      <c r="D128" s="785"/>
      <c r="E128" s="786"/>
      <c r="F128" s="785"/>
    </row>
    <row r="129" spans="4:6" x14ac:dyDescent="0.2">
      <c r="D129" s="785"/>
      <c r="E129" s="786"/>
      <c r="F129" s="785"/>
    </row>
    <row r="130" spans="4:6" x14ac:dyDescent="0.2">
      <c r="D130" s="785"/>
      <c r="E130" s="786"/>
      <c r="F130" s="785"/>
    </row>
    <row r="131" spans="4:6" x14ac:dyDescent="0.2">
      <c r="D131" s="785"/>
      <c r="E131" s="786"/>
      <c r="F131" s="785"/>
    </row>
    <row r="132" spans="4:6" x14ac:dyDescent="0.2">
      <c r="D132" s="785"/>
      <c r="E132" s="786"/>
      <c r="F132" s="785"/>
    </row>
    <row r="133" spans="4:6" x14ac:dyDescent="0.2">
      <c r="D133" s="785"/>
      <c r="E133" s="786"/>
      <c r="F133" s="785"/>
    </row>
    <row r="134" spans="4:6" x14ac:dyDescent="0.2">
      <c r="D134" s="785"/>
      <c r="E134" s="786"/>
      <c r="F134" s="785"/>
    </row>
    <row r="135" spans="4:6" x14ac:dyDescent="0.2">
      <c r="D135" s="785"/>
      <c r="E135" s="786"/>
      <c r="F135" s="785"/>
    </row>
    <row r="136" spans="4:6" x14ac:dyDescent="0.2">
      <c r="D136" s="785"/>
      <c r="E136" s="786"/>
      <c r="F136" s="785"/>
    </row>
    <row r="137" spans="4:6" x14ac:dyDescent="0.2">
      <c r="D137" s="785"/>
      <c r="E137" s="786"/>
      <c r="F137" s="785"/>
    </row>
    <row r="138" spans="4:6" x14ac:dyDescent="0.2">
      <c r="D138" s="785"/>
      <c r="E138" s="786"/>
      <c r="F138" s="785"/>
    </row>
    <row r="139" spans="4:6" x14ac:dyDescent="0.2">
      <c r="D139" s="785"/>
      <c r="E139" s="786"/>
      <c r="F139" s="785"/>
    </row>
    <row r="140" spans="4:6" x14ac:dyDescent="0.2">
      <c r="D140" s="785"/>
      <c r="E140" s="786"/>
      <c r="F140" s="785"/>
    </row>
    <row r="141" spans="4:6" x14ac:dyDescent="0.2">
      <c r="D141" s="785"/>
      <c r="E141" s="786"/>
      <c r="F141" s="785"/>
    </row>
    <row r="142" spans="4:6" x14ac:dyDescent="0.2">
      <c r="D142" s="785"/>
      <c r="E142" s="786"/>
      <c r="F142" s="785"/>
    </row>
    <row r="143" spans="4:6" x14ac:dyDescent="0.2">
      <c r="D143" s="785"/>
      <c r="E143" s="786"/>
      <c r="F143" s="785"/>
    </row>
    <row r="144" spans="4:6" x14ac:dyDescent="0.2">
      <c r="D144" s="785"/>
      <c r="E144" s="786"/>
      <c r="F144" s="785"/>
    </row>
    <row r="145" spans="1:30" x14ac:dyDescent="0.2">
      <c r="D145" s="785"/>
      <c r="E145" s="786"/>
      <c r="F145" s="785"/>
    </row>
    <row r="146" spans="1:30" ht="15" customHeight="1" x14ac:dyDescent="0.2">
      <c r="A146" s="630">
        <v>7</v>
      </c>
      <c r="B146" s="630" t="s">
        <v>52</v>
      </c>
      <c r="C146" s="630"/>
      <c r="D146" s="5143" t="s">
        <v>642</v>
      </c>
      <c r="E146" s="5144"/>
      <c r="F146" s="5144"/>
      <c r="G146" s="5144"/>
      <c r="H146" s="5144"/>
      <c r="I146" s="5144"/>
      <c r="J146" s="5144"/>
      <c r="K146" s="5144"/>
      <c r="L146" s="5144"/>
      <c r="M146" s="5144"/>
      <c r="N146" s="5144"/>
      <c r="O146" s="5144"/>
      <c r="P146" s="5144"/>
      <c r="Q146" s="5144"/>
    </row>
    <row r="147" spans="1:30" ht="15" customHeight="1" x14ac:dyDescent="0.2">
      <c r="A147" s="667">
        <v>8</v>
      </c>
      <c r="B147" s="667" t="s">
        <v>54</v>
      </c>
      <c r="C147" s="667"/>
      <c r="D147" s="5143" t="s">
        <v>2236</v>
      </c>
      <c r="E147" s="5144"/>
      <c r="F147" s="5144"/>
      <c r="G147" s="5144"/>
      <c r="H147" s="5144"/>
      <c r="I147" s="5144"/>
      <c r="J147" s="5144"/>
      <c r="K147" s="5144"/>
      <c r="L147" s="5144"/>
      <c r="M147" s="5144"/>
      <c r="N147" s="5144"/>
      <c r="O147" s="5144"/>
      <c r="P147" s="5144"/>
      <c r="Q147" s="5144"/>
    </row>
    <row r="148" spans="1:30" s="633" customFormat="1" ht="57.75" customHeight="1" x14ac:dyDescent="0.2">
      <c r="A148" s="630">
        <v>10</v>
      </c>
      <c r="B148" s="630" t="s">
        <v>58</v>
      </c>
      <c r="C148" s="630"/>
      <c r="D148" s="5143" t="s">
        <v>2237</v>
      </c>
      <c r="E148" s="5144"/>
      <c r="F148" s="5144"/>
      <c r="G148" s="5144"/>
      <c r="H148" s="5144"/>
      <c r="I148" s="5144"/>
      <c r="J148" s="5144"/>
      <c r="K148" s="5144"/>
      <c r="L148" s="5144"/>
      <c r="M148" s="5144"/>
      <c r="N148" s="5144"/>
      <c r="O148" s="5144"/>
      <c r="P148" s="5144"/>
      <c r="Q148" s="5144"/>
      <c r="R148" s="5144"/>
      <c r="S148" s="5144"/>
      <c r="T148" s="5144"/>
      <c r="U148" s="5144"/>
      <c r="V148" s="5144"/>
      <c r="W148" s="5144"/>
      <c r="X148" s="5144"/>
      <c r="Y148" s="5144"/>
      <c r="Z148" s="5144"/>
      <c r="AA148" s="5144"/>
      <c r="AB148" s="5144"/>
      <c r="AC148" s="5144"/>
      <c r="AD148" s="5145"/>
    </row>
    <row r="154" spans="1:30" x14ac:dyDescent="0.2">
      <c r="D154" s="636" t="s">
        <v>2238</v>
      </c>
    </row>
    <row r="155" spans="1:30" x14ac:dyDescent="0.2">
      <c r="D155" s="636" t="s">
        <v>365</v>
      </c>
      <c r="E155" s="636" t="s">
        <v>2210</v>
      </c>
      <c r="F155" s="733"/>
      <c r="G155" s="723"/>
    </row>
    <row r="156" spans="1:30" x14ac:dyDescent="0.2">
      <c r="D156" s="790"/>
      <c r="E156" s="791">
        <v>2010</v>
      </c>
      <c r="F156" s="794">
        <v>2011</v>
      </c>
      <c r="G156" s="794">
        <v>2012</v>
      </c>
      <c r="H156" s="794">
        <v>2013</v>
      </c>
      <c r="I156" s="795">
        <v>2014</v>
      </c>
      <c r="J156" s="795">
        <v>2015</v>
      </c>
      <c r="K156" s="795">
        <v>2016</v>
      </c>
      <c r="L156" s="795">
        <v>2017</v>
      </c>
      <c r="M156" s="795">
        <v>2018</v>
      </c>
      <c r="N156" s="795">
        <v>2019</v>
      </c>
      <c r="O156" s="795">
        <v>2020</v>
      </c>
      <c r="P156" s="795"/>
      <c r="Q156" s="795">
        <v>2021</v>
      </c>
    </row>
    <row r="157" spans="1:30" s="815" customFormat="1" x14ac:dyDescent="0.2">
      <c r="A157" s="630"/>
      <c r="B157" s="662"/>
      <c r="C157" s="662"/>
      <c r="D157" s="4548" t="s">
        <v>2202</v>
      </c>
      <c r="E157" s="4549">
        <v>57.975115799999998</v>
      </c>
      <c r="F157" s="4550">
        <v>59.788318699999998</v>
      </c>
      <c r="G157" s="4550">
        <v>56.760426699999996</v>
      </c>
      <c r="H157" s="4550">
        <v>56.612043800000002</v>
      </c>
      <c r="I157" s="4551">
        <v>53.704560299999997</v>
      </c>
      <c r="J157" s="4551">
        <v>50.145287600000003</v>
      </c>
      <c r="K157" s="4551">
        <v>50.221332099999998</v>
      </c>
      <c r="L157" s="4551">
        <v>52.838265399999997</v>
      </c>
      <c r="M157" s="4551">
        <v>53.333749099999999</v>
      </c>
      <c r="N157" s="4551">
        <v>52.893544900000002</v>
      </c>
      <c r="O157" s="4551">
        <v>55.8170942</v>
      </c>
      <c r="P157" s="4551"/>
      <c r="Q157" s="4551">
        <v>61.085854099999999</v>
      </c>
    </row>
    <row r="158" spans="1:30" x14ac:dyDescent="0.2">
      <c r="D158" s="790" t="s">
        <v>2211</v>
      </c>
      <c r="E158" s="4552">
        <v>14.6484197</v>
      </c>
      <c r="F158" s="4553">
        <v>12.7056319</v>
      </c>
      <c r="G158" s="4553">
        <v>12.1210325</v>
      </c>
      <c r="H158" s="4553">
        <v>12.0463994</v>
      </c>
      <c r="I158" s="4554">
        <v>12.857343800000001</v>
      </c>
      <c r="J158" s="4554">
        <v>12.1217557</v>
      </c>
      <c r="K158" s="4554">
        <v>11.910861300000001</v>
      </c>
      <c r="L158" s="4554">
        <v>12.026802699999999</v>
      </c>
      <c r="M158" s="4554">
        <v>12.0763096</v>
      </c>
      <c r="N158" s="4554">
        <v>10.8974061</v>
      </c>
      <c r="O158" s="4554">
        <v>9.0401592999999991</v>
      </c>
      <c r="P158" s="4554"/>
      <c r="Q158" s="4554">
        <v>9.4655035000000005</v>
      </c>
    </row>
    <row r="159" spans="1:30" x14ac:dyDescent="0.2">
      <c r="D159" s="790" t="s">
        <v>2212</v>
      </c>
      <c r="E159" s="4552">
        <v>21.011329199999999</v>
      </c>
      <c r="F159" s="4553">
        <v>24.2602768</v>
      </c>
      <c r="G159" s="4553">
        <v>24.844282100000001</v>
      </c>
      <c r="H159" s="4553">
        <v>25.1830882</v>
      </c>
      <c r="I159" s="4554">
        <v>23.257087800000001</v>
      </c>
      <c r="J159" s="4554">
        <v>20.418204800000002</v>
      </c>
      <c r="K159" s="4554">
        <v>20.572283299999999</v>
      </c>
      <c r="L159" s="4554">
        <v>24.0097132</v>
      </c>
      <c r="M159" s="4554">
        <v>23.729415899999999</v>
      </c>
      <c r="N159" s="4554">
        <v>24.938791399999999</v>
      </c>
      <c r="O159" s="4554">
        <v>23.521107900000001</v>
      </c>
      <c r="P159" s="4554"/>
      <c r="Q159" s="4554">
        <v>23.0383143</v>
      </c>
    </row>
    <row r="160" spans="1:30" x14ac:dyDescent="0.2">
      <c r="D160" s="790" t="s">
        <v>2213</v>
      </c>
      <c r="E160" s="4552">
        <v>8.8884936999999997</v>
      </c>
      <c r="F160" s="4553">
        <v>9.4789531</v>
      </c>
      <c r="G160" s="4553">
        <v>8.6537582999999998</v>
      </c>
      <c r="H160" s="4553">
        <v>7.2018209999999998</v>
      </c>
      <c r="I160" s="4554">
        <v>7.1081034000000001</v>
      </c>
      <c r="J160" s="4554">
        <v>5.7952428999999999</v>
      </c>
      <c r="K160" s="4554">
        <v>5.9588688999999997</v>
      </c>
      <c r="L160" s="4554">
        <v>5.6858326000000003</v>
      </c>
      <c r="M160" s="4554">
        <v>5.7455195000000003</v>
      </c>
      <c r="N160" s="4554">
        <v>5.1586889999999999</v>
      </c>
      <c r="O160" s="4554">
        <v>7.7691762999999998</v>
      </c>
      <c r="P160" s="4554"/>
      <c r="Q160" s="4554">
        <v>6.0135776999999999</v>
      </c>
    </row>
    <row r="161" spans="1:17" x14ac:dyDescent="0.2">
      <c r="D161" s="790" t="s">
        <v>2214</v>
      </c>
      <c r="E161" s="4552">
        <v>10.1688166</v>
      </c>
      <c r="F161" s="4553">
        <v>10.0444751</v>
      </c>
      <c r="G161" s="4553">
        <v>7.9226266000000001</v>
      </c>
      <c r="H161" s="4553">
        <v>8.7120093999999995</v>
      </c>
      <c r="I161" s="4554">
        <v>6.9743046</v>
      </c>
      <c r="J161" s="4554">
        <v>8.4343623000000001</v>
      </c>
      <c r="K161" s="4554">
        <v>7.9130089999999997</v>
      </c>
      <c r="L161" s="4554">
        <v>7.5033927</v>
      </c>
      <c r="M161" s="4554">
        <v>8.3309385000000002</v>
      </c>
      <c r="N161" s="4554">
        <v>9.1786051000000004</v>
      </c>
      <c r="O161" s="4554">
        <v>12.5674204</v>
      </c>
      <c r="P161" s="4554"/>
      <c r="Q161" s="4554">
        <v>19.029512400000002</v>
      </c>
    </row>
    <row r="162" spans="1:17" x14ac:dyDescent="0.2">
      <c r="D162" s="790" t="s">
        <v>694</v>
      </c>
      <c r="E162" s="4552">
        <v>3.2580566000000002</v>
      </c>
      <c r="F162" s="4553">
        <v>3.2989818</v>
      </c>
      <c r="G162" s="4553">
        <v>3.2187272</v>
      </c>
      <c r="H162" s="4553">
        <v>3.4687256999999998</v>
      </c>
      <c r="I162" s="4554">
        <v>3.5077207000000001</v>
      </c>
      <c r="J162" s="4554">
        <v>3.3757218</v>
      </c>
      <c r="K162" s="4554">
        <v>3.8663097</v>
      </c>
      <c r="L162" s="4554">
        <v>3.6125242000000002</v>
      </c>
      <c r="M162" s="4554">
        <v>3.4515655999999999</v>
      </c>
      <c r="N162" s="4554">
        <v>2.7200451000000001</v>
      </c>
      <c r="O162" s="4554">
        <v>2.9192303000000002</v>
      </c>
      <c r="P162" s="4554"/>
      <c r="Q162" s="4554">
        <v>3.5389463000000001</v>
      </c>
    </row>
    <row r="163" spans="1:17" s="815" customFormat="1" x14ac:dyDescent="0.2">
      <c r="A163" s="630"/>
      <c r="B163" s="662"/>
      <c r="C163" s="662"/>
      <c r="D163" s="4548" t="s">
        <v>593</v>
      </c>
      <c r="E163" s="4549">
        <v>35.977882600000001</v>
      </c>
      <c r="F163" s="4550">
        <v>34.299142400000001</v>
      </c>
      <c r="G163" s="4550">
        <v>37.110385700000002</v>
      </c>
      <c r="H163" s="4550">
        <v>36.546691699999997</v>
      </c>
      <c r="I163" s="4551">
        <v>39.017473699999996</v>
      </c>
      <c r="J163" s="4551">
        <v>41.955829399999999</v>
      </c>
      <c r="K163" s="4551">
        <v>41.416014199999999</v>
      </c>
      <c r="L163" s="4551">
        <v>38.9352035</v>
      </c>
      <c r="M163" s="4551">
        <v>38.915264200000003</v>
      </c>
      <c r="N163" s="4551">
        <v>39.865217100000002</v>
      </c>
      <c r="O163" s="4551">
        <v>35.672345</v>
      </c>
      <c r="P163" s="4551"/>
      <c r="Q163" s="4551">
        <v>31.944705800000001</v>
      </c>
    </row>
    <row r="164" spans="1:17" x14ac:dyDescent="0.2">
      <c r="D164" s="790" t="s">
        <v>2215</v>
      </c>
      <c r="E164" s="4552">
        <v>5.6732747000000003</v>
      </c>
      <c r="F164" s="4553">
        <v>5.6540037999999999</v>
      </c>
      <c r="G164" s="4553">
        <v>6.1348479999999999</v>
      </c>
      <c r="H164" s="4553">
        <v>5.9356194000000002</v>
      </c>
      <c r="I164" s="4554">
        <v>6.2185911999999997</v>
      </c>
      <c r="J164" s="4554">
        <v>6.5262460000000004</v>
      </c>
      <c r="K164" s="4554">
        <v>6.0246443999999997</v>
      </c>
      <c r="L164" s="4554">
        <v>6.2308908000000001</v>
      </c>
      <c r="M164" s="4554">
        <v>6.2376427999999997</v>
      </c>
      <c r="N164" s="4554">
        <v>6.1353970000000002</v>
      </c>
      <c r="O164" s="4554">
        <v>6.5031523</v>
      </c>
      <c r="P164" s="4554"/>
      <c r="Q164" s="4554">
        <v>6.2929642000000001</v>
      </c>
    </row>
    <row r="165" spans="1:17" x14ac:dyDescent="0.2">
      <c r="D165" s="790" t="s">
        <v>2216</v>
      </c>
      <c r="E165" s="4552">
        <v>8.7643774000000008</v>
      </c>
      <c r="F165" s="4553">
        <v>8.8371958999999993</v>
      </c>
      <c r="G165" s="4553">
        <v>9.5718295999999992</v>
      </c>
      <c r="H165" s="4553">
        <v>9.3031596000000008</v>
      </c>
      <c r="I165" s="4554">
        <v>9.7671080000000003</v>
      </c>
      <c r="J165" s="4554">
        <v>9.7671582000000008</v>
      </c>
      <c r="K165" s="4554">
        <v>9.1740955</v>
      </c>
      <c r="L165" s="4554">
        <v>8.1812999000000008</v>
      </c>
      <c r="M165" s="4554">
        <v>8.0904003000000007</v>
      </c>
      <c r="N165" s="4554">
        <v>8.0195544999999999</v>
      </c>
      <c r="O165" s="4554">
        <v>7.5594830999999996</v>
      </c>
      <c r="P165" s="4554"/>
      <c r="Q165" s="4554">
        <v>6.8505183000000001</v>
      </c>
    </row>
    <row r="166" spans="1:17" x14ac:dyDescent="0.2">
      <c r="D166" s="790" t="s">
        <v>2217</v>
      </c>
      <c r="E166" s="4552">
        <v>9.4059253999999992</v>
      </c>
      <c r="F166" s="4553">
        <v>8.7280491999999992</v>
      </c>
      <c r="G166" s="4553">
        <v>9.7985067000000008</v>
      </c>
      <c r="H166" s="4553">
        <v>9.3959139</v>
      </c>
      <c r="I166" s="4554">
        <v>10.4008068</v>
      </c>
      <c r="J166" s="4554">
        <v>12.6074869</v>
      </c>
      <c r="K166" s="4554">
        <v>13.128812099999999</v>
      </c>
      <c r="L166" s="4554">
        <v>12.0542072</v>
      </c>
      <c r="M166" s="4554">
        <v>12.258910800000001</v>
      </c>
      <c r="N166" s="4554">
        <v>13.524004700000001</v>
      </c>
      <c r="O166" s="4554">
        <v>10.393843800000001</v>
      </c>
      <c r="P166" s="4554"/>
      <c r="Q166" s="4554">
        <v>9.3477624000000006</v>
      </c>
    </row>
    <row r="167" spans="1:17" x14ac:dyDescent="0.2">
      <c r="D167" s="790" t="s">
        <v>694</v>
      </c>
      <c r="E167" s="4552">
        <v>12.134304999999999</v>
      </c>
      <c r="F167" s="4553">
        <v>11.079893500000001</v>
      </c>
      <c r="G167" s="4553">
        <v>11.6052014</v>
      </c>
      <c r="H167" s="4553">
        <v>11.9119989</v>
      </c>
      <c r="I167" s="4554">
        <v>12.630967699999999</v>
      </c>
      <c r="J167" s="4554">
        <v>13.0549383</v>
      </c>
      <c r="K167" s="4554">
        <v>13.0884622</v>
      </c>
      <c r="L167" s="4554">
        <v>12.4688056</v>
      </c>
      <c r="M167" s="4554">
        <v>12.3283103</v>
      </c>
      <c r="N167" s="4554">
        <v>12.186260900000001</v>
      </c>
      <c r="O167" s="4554">
        <v>11.2158657</v>
      </c>
      <c r="P167" s="4554"/>
      <c r="Q167" s="4554">
        <v>9.4534610000000008</v>
      </c>
    </row>
    <row r="168" spans="1:17" s="815" customFormat="1" x14ac:dyDescent="0.2">
      <c r="A168" s="630"/>
      <c r="B168" s="662"/>
      <c r="C168" s="662"/>
      <c r="D168" s="4548" t="s">
        <v>551</v>
      </c>
      <c r="E168" s="4549">
        <v>5.5118666000000003</v>
      </c>
      <c r="F168" s="4550">
        <v>5.3749244000000003</v>
      </c>
      <c r="G168" s="4550">
        <v>5.5811136000000001</v>
      </c>
      <c r="H168" s="4550">
        <v>6.3201010000000002</v>
      </c>
      <c r="I168" s="4551">
        <v>6.6965376000000001</v>
      </c>
      <c r="J168" s="4551">
        <v>7.1026116000000004</v>
      </c>
      <c r="K168" s="4551">
        <v>7.5340480999999997</v>
      </c>
      <c r="L168" s="4551">
        <v>7.4283340000000004</v>
      </c>
      <c r="M168" s="4551">
        <v>7.2422076000000004</v>
      </c>
      <c r="N168" s="4551">
        <v>6.9367215</v>
      </c>
      <c r="O168" s="4551">
        <v>8.1714911000000008</v>
      </c>
      <c r="P168" s="4551"/>
      <c r="Q168" s="4551">
        <v>6.7888590999999998</v>
      </c>
    </row>
    <row r="169" spans="1:17" x14ac:dyDescent="0.2">
      <c r="D169" s="790" t="s">
        <v>2218</v>
      </c>
      <c r="E169" s="4552">
        <v>3.8014180999999998</v>
      </c>
      <c r="F169" s="4553">
        <v>3.7964595000000001</v>
      </c>
      <c r="G169" s="4553">
        <v>3.9080916999999999</v>
      </c>
      <c r="H169" s="4553">
        <v>4.5131929</v>
      </c>
      <c r="I169" s="4554">
        <v>4.7279518999999999</v>
      </c>
      <c r="J169" s="4554">
        <v>5.0028701</v>
      </c>
      <c r="K169" s="4554">
        <v>5.3841434000000001</v>
      </c>
      <c r="L169" s="4554">
        <v>5.4743582999999996</v>
      </c>
      <c r="M169" s="4554">
        <v>5.4278858999999997</v>
      </c>
      <c r="N169" s="4554">
        <v>5.2506738999999998</v>
      </c>
      <c r="O169" s="4554">
        <v>6.4120460000000001</v>
      </c>
      <c r="P169" s="4554"/>
      <c r="Q169" s="4554">
        <v>5.3063601</v>
      </c>
    </row>
    <row r="170" spans="1:17" x14ac:dyDescent="0.2">
      <c r="D170" s="790" t="s">
        <v>694</v>
      </c>
      <c r="E170" s="4552">
        <v>1.7104486000000001</v>
      </c>
      <c r="F170" s="4553">
        <v>1.5784648999999999</v>
      </c>
      <c r="G170" s="4553">
        <v>1.6730219</v>
      </c>
      <c r="H170" s="4553">
        <v>1.8069081</v>
      </c>
      <c r="I170" s="4554">
        <v>1.9685857</v>
      </c>
      <c r="J170" s="4554">
        <v>2.0997416000000002</v>
      </c>
      <c r="K170" s="4554">
        <v>2.1499047</v>
      </c>
      <c r="L170" s="4554">
        <v>1.9539757</v>
      </c>
      <c r="M170" s="4554">
        <v>1.8143217</v>
      </c>
      <c r="N170" s="4554">
        <v>1.6860476</v>
      </c>
      <c r="O170" s="4554">
        <v>1.7594451</v>
      </c>
      <c r="P170" s="4554"/>
      <c r="Q170" s="4554">
        <v>1.482499</v>
      </c>
    </row>
    <row r="171" spans="1:17" s="815" customFormat="1" x14ac:dyDescent="0.2">
      <c r="A171" s="630"/>
      <c r="B171" s="662"/>
      <c r="C171" s="662"/>
      <c r="D171" s="4548" t="s">
        <v>2203</v>
      </c>
      <c r="E171" s="4549">
        <v>0.53513500000000003</v>
      </c>
      <c r="F171" s="4550">
        <v>0.53761460000000005</v>
      </c>
      <c r="G171" s="4550">
        <v>0.54807399999999995</v>
      </c>
      <c r="H171" s="4550">
        <v>0.5211635</v>
      </c>
      <c r="I171" s="4551">
        <v>0.58142839999999996</v>
      </c>
      <c r="J171" s="4551">
        <v>0.79627139999999996</v>
      </c>
      <c r="K171" s="4551">
        <v>0.82860549999999999</v>
      </c>
      <c r="L171" s="4551">
        <v>0.79819709999999999</v>
      </c>
      <c r="M171" s="4551">
        <v>0.50877899999999998</v>
      </c>
      <c r="N171" s="4551">
        <v>0.30451650000000002</v>
      </c>
      <c r="O171" s="4551">
        <v>0.33906969999999997</v>
      </c>
      <c r="P171" s="4551"/>
      <c r="Q171" s="4551">
        <v>0.18058099999999999</v>
      </c>
    </row>
    <row r="172" spans="1:17" s="815" customFormat="1" x14ac:dyDescent="0.2">
      <c r="A172" s="630"/>
      <c r="B172" s="662"/>
      <c r="C172" s="662"/>
      <c r="D172" s="636"/>
      <c r="E172" s="4555"/>
      <c r="F172" s="4555"/>
      <c r="G172" s="4555"/>
      <c r="H172" s="4555"/>
      <c r="I172" s="4555"/>
      <c r="J172" s="4555"/>
      <c r="K172" s="4555"/>
      <c r="L172" s="4555"/>
      <c r="M172" s="4555"/>
      <c r="N172" s="4555"/>
      <c r="O172" s="4555"/>
      <c r="P172" s="4555"/>
      <c r="Q172" s="4555"/>
    </row>
    <row r="173" spans="1:17" x14ac:dyDescent="0.2">
      <c r="D173" s="636" t="s">
        <v>2239</v>
      </c>
    </row>
    <row r="174" spans="1:17" x14ac:dyDescent="0.2">
      <c r="D174" s="636" t="s">
        <v>365</v>
      </c>
      <c r="E174" s="636" t="s">
        <v>2210</v>
      </c>
      <c r="F174" s="733"/>
      <c r="G174" s="723"/>
    </row>
    <row r="175" spans="1:17" x14ac:dyDescent="0.2">
      <c r="D175" s="790"/>
      <c r="E175" s="791">
        <v>2010</v>
      </c>
      <c r="F175" s="794">
        <v>2011</v>
      </c>
      <c r="G175" s="794">
        <v>2012</v>
      </c>
      <c r="H175" s="794">
        <v>2013</v>
      </c>
      <c r="I175" s="795">
        <v>2014</v>
      </c>
      <c r="J175" s="795">
        <v>2015</v>
      </c>
      <c r="K175" s="795">
        <v>2016</v>
      </c>
      <c r="L175" s="795">
        <v>2017</v>
      </c>
      <c r="M175" s="795">
        <v>2018</v>
      </c>
      <c r="N175" s="795">
        <v>2019</v>
      </c>
      <c r="O175" s="795">
        <v>2020</v>
      </c>
      <c r="P175" s="795"/>
      <c r="Q175" s="795">
        <v>2021</v>
      </c>
    </row>
    <row r="176" spans="1:17" s="815" customFormat="1" x14ac:dyDescent="0.2">
      <c r="A176" s="630"/>
      <c r="B176" s="662"/>
      <c r="C176" s="662"/>
      <c r="D176" s="4548" t="s">
        <v>2202</v>
      </c>
      <c r="E176" s="4549">
        <v>25.014013299999998</v>
      </c>
      <c r="F176" s="4550">
        <v>27.039702200000001</v>
      </c>
      <c r="G176" s="4550">
        <v>27.8500403</v>
      </c>
      <c r="H176" s="4550">
        <v>27.8825848</v>
      </c>
      <c r="I176" s="4551">
        <v>28.256887500000001</v>
      </c>
      <c r="J176" s="4551">
        <v>21.584307500000001</v>
      </c>
      <c r="K176" s="4551">
        <v>20.0299634</v>
      </c>
      <c r="L176" s="4551">
        <v>21.9293686</v>
      </c>
      <c r="M176" s="4551">
        <v>25.279344699999999</v>
      </c>
      <c r="N176" s="4551">
        <v>23.736587199999999</v>
      </c>
      <c r="O176" s="4551">
        <v>21.023993900000001</v>
      </c>
      <c r="P176" s="4551"/>
      <c r="Q176" s="4551">
        <v>24.6060412</v>
      </c>
    </row>
    <row r="177" spans="1:17" x14ac:dyDescent="0.2">
      <c r="D177" s="790" t="s">
        <v>2219</v>
      </c>
      <c r="E177" s="4552">
        <v>4.6096044999999997</v>
      </c>
      <c r="F177" s="4553">
        <v>4.7576941000000001</v>
      </c>
      <c r="G177" s="4553">
        <v>4.6051840999999998</v>
      </c>
      <c r="H177" s="4553">
        <v>4.9472883000000003</v>
      </c>
      <c r="I177" s="4554">
        <v>4.6449315000000002</v>
      </c>
      <c r="J177" s="4554">
        <v>5.4050225000000003</v>
      </c>
      <c r="K177" s="4554">
        <v>5.2001036000000003</v>
      </c>
      <c r="L177" s="4554">
        <v>5.2668472</v>
      </c>
      <c r="M177" s="4554">
        <v>4.9034523999999999</v>
      </c>
      <c r="N177" s="4554">
        <v>4.9707527000000002</v>
      </c>
      <c r="O177" s="4554">
        <v>5.2601743000000001</v>
      </c>
      <c r="P177" s="4554"/>
      <c r="Q177" s="4554">
        <v>6.2503859000000004</v>
      </c>
    </row>
    <row r="178" spans="1:17" x14ac:dyDescent="0.2">
      <c r="D178" s="790" t="s">
        <v>2212</v>
      </c>
      <c r="E178" s="4552">
        <v>19.3896297</v>
      </c>
      <c r="F178" s="4553">
        <v>21.3077392</v>
      </c>
      <c r="G178" s="4553">
        <v>22.2801443</v>
      </c>
      <c r="H178" s="4553">
        <v>22.065579400000001</v>
      </c>
      <c r="I178" s="4554">
        <v>22.573115099999999</v>
      </c>
      <c r="J178" s="4554">
        <v>15.456907299999999</v>
      </c>
      <c r="K178" s="4554">
        <v>13.7584529</v>
      </c>
      <c r="L178" s="4554">
        <v>15.4430251</v>
      </c>
      <c r="M178" s="4554">
        <v>18.818044100000002</v>
      </c>
      <c r="N178" s="4554">
        <v>17.421797099999999</v>
      </c>
      <c r="O178" s="4554">
        <v>14.1408881</v>
      </c>
      <c r="P178" s="4554"/>
      <c r="Q178" s="4554">
        <v>16.728983100000001</v>
      </c>
    </row>
    <row r="179" spans="1:17" x14ac:dyDescent="0.2">
      <c r="D179" s="790" t="s">
        <v>694</v>
      </c>
      <c r="E179" s="4552">
        <v>1.0147792</v>
      </c>
      <c r="F179" s="4553">
        <v>0.97426900000000005</v>
      </c>
      <c r="G179" s="4553">
        <v>0.96471189999999996</v>
      </c>
      <c r="H179" s="4553">
        <v>0.86971710000000002</v>
      </c>
      <c r="I179" s="4554">
        <v>1.0388408</v>
      </c>
      <c r="J179" s="4554">
        <v>0.72237770000000001</v>
      </c>
      <c r="K179" s="4554">
        <v>1.0714068999999999</v>
      </c>
      <c r="L179" s="4554">
        <v>1.2194963000000001</v>
      </c>
      <c r="M179" s="4554">
        <v>1.5578482</v>
      </c>
      <c r="N179" s="4554">
        <v>1.3440373999999999</v>
      </c>
      <c r="O179" s="4554">
        <v>1.6229315</v>
      </c>
      <c r="P179" s="4554"/>
      <c r="Q179" s="4554">
        <v>1.6266722</v>
      </c>
    </row>
    <row r="180" spans="1:17" x14ac:dyDescent="0.2">
      <c r="D180" s="790" t="s">
        <v>593</v>
      </c>
      <c r="E180" s="4552">
        <v>69.958051499999996</v>
      </c>
      <c r="F180" s="4553">
        <v>67.540975000000003</v>
      </c>
      <c r="G180" s="4553">
        <v>66.534446399999993</v>
      </c>
      <c r="H180" s="4553">
        <v>67.045696199999995</v>
      </c>
      <c r="I180" s="4554">
        <v>66.593632400000004</v>
      </c>
      <c r="J180" s="4554">
        <v>73.004324800000006</v>
      </c>
      <c r="K180" s="4554">
        <v>73.514698600000003</v>
      </c>
      <c r="L180" s="4554">
        <v>72.167840200000001</v>
      </c>
      <c r="M180" s="4554">
        <v>69.386726400000001</v>
      </c>
      <c r="N180" s="4554">
        <v>71.015927599999998</v>
      </c>
      <c r="O180" s="4554">
        <v>73.029408700000005</v>
      </c>
      <c r="P180" s="4554"/>
      <c r="Q180" s="4554">
        <v>70.507180500000004</v>
      </c>
    </row>
    <row r="181" spans="1:17" x14ac:dyDescent="0.2">
      <c r="D181" s="790" t="s">
        <v>2215</v>
      </c>
      <c r="E181" s="4552">
        <v>9.8731495000000002</v>
      </c>
      <c r="F181" s="4553">
        <v>9.3880005999999998</v>
      </c>
      <c r="G181" s="4553">
        <v>9.3003397999999997</v>
      </c>
      <c r="H181" s="4553">
        <v>9.2942043999999999</v>
      </c>
      <c r="I181" s="4554">
        <v>9.5279679999999995</v>
      </c>
      <c r="J181" s="4554">
        <v>10.4294206</v>
      </c>
      <c r="K181" s="4554">
        <v>10.4384704</v>
      </c>
      <c r="L181" s="4554">
        <v>10.874261499999999</v>
      </c>
      <c r="M181" s="4554">
        <v>10.9928974</v>
      </c>
      <c r="N181" s="4554">
        <v>10.751185400000001</v>
      </c>
      <c r="O181" s="4554">
        <v>13.221090500000001</v>
      </c>
      <c r="P181" s="4554"/>
      <c r="Q181" s="4554">
        <v>12.8523745</v>
      </c>
    </row>
    <row r="182" spans="1:17" s="815" customFormat="1" x14ac:dyDescent="0.2">
      <c r="A182" s="630"/>
      <c r="B182" s="662"/>
      <c r="C182" s="662"/>
      <c r="D182" s="4548" t="s">
        <v>2216</v>
      </c>
      <c r="E182" s="4549">
        <v>25.044068800000002</v>
      </c>
      <c r="F182" s="4550">
        <v>24.251127700000001</v>
      </c>
      <c r="G182" s="4550">
        <v>23.298837899999999</v>
      </c>
      <c r="H182" s="4550">
        <v>24.388776100000001</v>
      </c>
      <c r="I182" s="4551">
        <v>23.1986174</v>
      </c>
      <c r="J182" s="4551">
        <v>25.164843399999999</v>
      </c>
      <c r="K182" s="4551">
        <v>24.6249559</v>
      </c>
      <c r="L182" s="4551">
        <v>23.401643400000001</v>
      </c>
      <c r="M182" s="4551">
        <v>21.799273599999999</v>
      </c>
      <c r="N182" s="4551">
        <v>22.5847348</v>
      </c>
      <c r="O182" s="4551">
        <v>23.847718100000002</v>
      </c>
      <c r="P182" s="4551"/>
      <c r="Q182" s="4551">
        <v>21.793571700000001</v>
      </c>
    </row>
    <row r="183" spans="1:17" x14ac:dyDescent="0.2">
      <c r="D183" s="790" t="s">
        <v>2217</v>
      </c>
      <c r="E183" s="4552">
        <v>16.177369500000001</v>
      </c>
      <c r="F183" s="4553">
        <v>15.897607000000001</v>
      </c>
      <c r="G183" s="4553">
        <v>16.245951999999999</v>
      </c>
      <c r="H183" s="4553">
        <v>15.486551800000001</v>
      </c>
      <c r="I183" s="4554">
        <v>15.7843619</v>
      </c>
      <c r="J183" s="4554">
        <v>17.609715300000001</v>
      </c>
      <c r="K183" s="4554">
        <v>17.4239371</v>
      </c>
      <c r="L183" s="4554">
        <v>17.712076199999998</v>
      </c>
      <c r="M183" s="4554">
        <v>16.7700216</v>
      </c>
      <c r="N183" s="4554">
        <v>17.6878177</v>
      </c>
      <c r="O183" s="4554">
        <v>14.7046017</v>
      </c>
      <c r="P183" s="4554"/>
      <c r="Q183" s="4554">
        <v>16.053274200000001</v>
      </c>
    </row>
    <row r="184" spans="1:17" x14ac:dyDescent="0.2">
      <c r="D184" s="790" t="s">
        <v>694</v>
      </c>
      <c r="E184" s="4552">
        <v>18.863463599999999</v>
      </c>
      <c r="F184" s="4553">
        <v>18.004239599999998</v>
      </c>
      <c r="G184" s="4553">
        <v>17.6893168</v>
      </c>
      <c r="H184" s="4553">
        <v>17.876163900000002</v>
      </c>
      <c r="I184" s="4554">
        <v>18.082685000000001</v>
      </c>
      <c r="J184" s="4554">
        <v>19.800345400000001</v>
      </c>
      <c r="K184" s="4554">
        <v>21.0273352</v>
      </c>
      <c r="L184" s="4554">
        <v>20.179859</v>
      </c>
      <c r="M184" s="4554">
        <v>19.824533800000001</v>
      </c>
      <c r="N184" s="4554">
        <v>19.992189799999998</v>
      </c>
      <c r="O184" s="4554">
        <v>21.255998399999999</v>
      </c>
      <c r="P184" s="4554"/>
      <c r="Q184" s="4554">
        <v>19.807960099999999</v>
      </c>
    </row>
    <row r="185" spans="1:17" x14ac:dyDescent="0.2">
      <c r="D185" s="790" t="s">
        <v>551</v>
      </c>
      <c r="E185" s="4552">
        <v>4.1488016999999999</v>
      </c>
      <c r="F185" s="4553">
        <v>4.5358955999999999</v>
      </c>
      <c r="G185" s="4553">
        <v>4.6624306999999998</v>
      </c>
      <c r="H185" s="4553">
        <v>4.1240658000000003</v>
      </c>
      <c r="I185" s="4554">
        <v>4.1577327000000004</v>
      </c>
      <c r="J185" s="4554">
        <v>4.7189854999999996</v>
      </c>
      <c r="K185" s="4554">
        <v>5.7930973999999997</v>
      </c>
      <c r="L185" s="4554">
        <v>5.1669429999999998</v>
      </c>
      <c r="M185" s="4554">
        <v>4.6301424999999998</v>
      </c>
      <c r="N185" s="4554">
        <v>4.6124951000000003</v>
      </c>
      <c r="O185" s="4554">
        <v>5.6800243000000004</v>
      </c>
      <c r="P185" s="4554"/>
      <c r="Q185" s="4554">
        <v>4.7577604999999998</v>
      </c>
    </row>
    <row r="186" spans="1:17" x14ac:dyDescent="0.2">
      <c r="D186" s="790" t="s">
        <v>2218</v>
      </c>
      <c r="E186" s="4552">
        <v>1.5734948</v>
      </c>
      <c r="F186" s="4553">
        <v>1.8527541999999999</v>
      </c>
      <c r="G186" s="4553">
        <v>1.9963099</v>
      </c>
      <c r="H186" s="4553">
        <v>1.8142917999999999</v>
      </c>
      <c r="I186" s="4554">
        <v>1.8595744000000001</v>
      </c>
      <c r="J186" s="4554">
        <v>2.2138296999999998</v>
      </c>
      <c r="K186" s="4554">
        <v>3.0175014</v>
      </c>
      <c r="L186" s="4554">
        <v>2.1105816000000002</v>
      </c>
      <c r="M186" s="4554">
        <v>1.8805206999999999</v>
      </c>
      <c r="N186" s="4554">
        <v>2.0003631999999998</v>
      </c>
      <c r="O186" s="4554">
        <v>2.7593079</v>
      </c>
      <c r="P186" s="4554"/>
      <c r="Q186" s="4554">
        <v>2.0412390999999999</v>
      </c>
    </row>
    <row r="187" spans="1:17" s="815" customFormat="1" x14ac:dyDescent="0.2">
      <c r="A187" s="630"/>
      <c r="B187" s="662"/>
      <c r="C187" s="662"/>
      <c r="D187" s="4548" t="s">
        <v>694</v>
      </c>
      <c r="E187" s="4549">
        <v>2.5753069000000002</v>
      </c>
      <c r="F187" s="4550">
        <v>2.6831413999999998</v>
      </c>
      <c r="G187" s="4550">
        <v>2.6661207999999998</v>
      </c>
      <c r="H187" s="4550">
        <v>2.309774</v>
      </c>
      <c r="I187" s="4551">
        <v>2.2981582</v>
      </c>
      <c r="J187" s="4551">
        <v>2.5051557999999998</v>
      </c>
      <c r="K187" s="4551">
        <v>2.7755958999999999</v>
      </c>
      <c r="L187" s="4551">
        <v>3.0563614000000001</v>
      </c>
      <c r="M187" s="4551">
        <v>2.7496217999999999</v>
      </c>
      <c r="N187" s="4551">
        <v>2.6121319000000001</v>
      </c>
      <c r="O187" s="4551">
        <v>2.9207163</v>
      </c>
      <c r="P187" s="4551"/>
      <c r="Q187" s="4551">
        <v>2.7165214</v>
      </c>
    </row>
    <row r="188" spans="1:17" x14ac:dyDescent="0.2">
      <c r="D188" s="790" t="s">
        <v>2203</v>
      </c>
      <c r="E188" s="4552">
        <v>0.87913350000000001</v>
      </c>
      <c r="F188" s="4553">
        <v>0.88342719999999997</v>
      </c>
      <c r="G188" s="4553">
        <v>0.9530826</v>
      </c>
      <c r="H188" s="4553">
        <v>0.94765319999999997</v>
      </c>
      <c r="I188" s="4554">
        <v>0.9917475</v>
      </c>
      <c r="J188" s="4554">
        <v>0.69238219999999995</v>
      </c>
      <c r="K188" s="4554">
        <v>0.66224070000000002</v>
      </c>
      <c r="L188" s="4554">
        <v>0.73584830000000001</v>
      </c>
      <c r="M188" s="4554">
        <v>0.70378640000000003</v>
      </c>
      <c r="N188" s="4554">
        <v>0.6349901</v>
      </c>
      <c r="O188" s="4554">
        <v>0.26657310000000001</v>
      </c>
      <c r="P188" s="4554"/>
      <c r="Q188" s="4554">
        <v>0.12901789999999999</v>
      </c>
    </row>
    <row r="189" spans="1:17" s="815" customFormat="1" x14ac:dyDescent="0.2">
      <c r="A189" s="630"/>
      <c r="B189" s="662"/>
      <c r="C189" s="662"/>
      <c r="D189" s="636"/>
      <c r="E189" s="4555"/>
      <c r="F189" s="4555"/>
      <c r="G189" s="4555"/>
      <c r="H189" s="4555"/>
      <c r="I189" s="4555"/>
      <c r="J189" s="4555"/>
      <c r="K189" s="4555"/>
      <c r="L189" s="4555"/>
      <c r="M189" s="4555"/>
      <c r="N189" s="4555"/>
      <c r="O189" s="4555"/>
      <c r="P189" s="4555"/>
      <c r="Q189" s="4555"/>
    </row>
    <row r="190" spans="1:17" s="815" customFormat="1" x14ac:dyDescent="0.2">
      <c r="A190" s="630"/>
      <c r="B190" s="662"/>
      <c r="C190" s="662"/>
      <c r="D190" s="636"/>
      <c r="E190" s="4555"/>
      <c r="F190" s="4555"/>
      <c r="G190" s="4555"/>
      <c r="H190" s="4555"/>
      <c r="I190" s="4555"/>
      <c r="J190" s="4555"/>
      <c r="K190" s="4555"/>
      <c r="L190" s="4555"/>
      <c r="M190" s="4555"/>
      <c r="N190" s="4555"/>
      <c r="O190" s="4555"/>
      <c r="P190" s="4555"/>
      <c r="Q190" s="4555"/>
    </row>
    <row r="191" spans="1:17" s="815" customFormat="1" x14ac:dyDescent="0.2">
      <c r="A191" s="630"/>
      <c r="B191" s="662"/>
      <c r="C191" s="662"/>
      <c r="D191" s="722" t="s">
        <v>80</v>
      </c>
      <c r="E191" s="722" t="s">
        <v>2201</v>
      </c>
      <c r="F191" s="632"/>
      <c r="G191" s="723"/>
      <c r="H191" s="632"/>
      <c r="I191" s="632"/>
      <c r="J191" s="632"/>
      <c r="K191" s="632"/>
      <c r="L191" s="632"/>
      <c r="M191" s="632"/>
      <c r="N191" s="632"/>
      <c r="O191" s="632"/>
      <c r="P191" s="632"/>
      <c r="Q191" s="632"/>
    </row>
    <row r="192" spans="1:17" s="815" customFormat="1" x14ac:dyDescent="0.2">
      <c r="A192" s="630"/>
      <c r="B192" s="662"/>
      <c r="C192" s="662"/>
      <c r="D192" s="4537"/>
      <c r="E192" s="4538">
        <v>2010</v>
      </c>
      <c r="F192" s="4538">
        <v>2011</v>
      </c>
      <c r="G192" s="4538">
        <v>2012</v>
      </c>
      <c r="H192" s="4538">
        <v>2013</v>
      </c>
      <c r="I192" s="4538">
        <v>2014</v>
      </c>
      <c r="J192" s="4538">
        <v>2015</v>
      </c>
      <c r="K192" s="4538">
        <v>2016</v>
      </c>
      <c r="L192" s="4538">
        <v>2017</v>
      </c>
      <c r="M192" s="4538">
        <v>2018</v>
      </c>
      <c r="N192" s="4538">
        <v>2019</v>
      </c>
      <c r="O192" s="4538">
        <v>2020</v>
      </c>
      <c r="P192" s="4538"/>
      <c r="Q192" s="4538">
        <v>2021</v>
      </c>
    </row>
    <row r="193" spans="1:17" s="815" customFormat="1" x14ac:dyDescent="0.2">
      <c r="A193" s="630"/>
      <c r="B193" s="662"/>
      <c r="C193" s="662"/>
      <c r="D193" s="637" t="s">
        <v>2240</v>
      </c>
      <c r="E193" s="4539">
        <v>388081.66396099998</v>
      </c>
      <c r="F193" s="4539">
        <v>474940.71916699997</v>
      </c>
      <c r="G193" s="4539">
        <v>466020.44667500001</v>
      </c>
      <c r="H193" s="4539">
        <v>528043.41010800004</v>
      </c>
      <c r="I193" s="4539">
        <v>543550.180055</v>
      </c>
      <c r="J193" s="4539">
        <v>515023.42194999999</v>
      </c>
      <c r="K193" s="4539">
        <v>562672.45984499995</v>
      </c>
      <c r="L193" s="4539">
        <v>617156.73809300002</v>
      </c>
      <c r="M193" s="4539">
        <v>665366.58333199995</v>
      </c>
      <c r="N193" s="4539">
        <v>689114.28605400003</v>
      </c>
      <c r="O193" s="4539">
        <v>778082.96461799997</v>
      </c>
      <c r="P193" s="4539"/>
      <c r="Q193" s="4539">
        <v>1097005.9065080001</v>
      </c>
    </row>
    <row r="194" spans="1:17" s="815" customFormat="1" x14ac:dyDescent="0.2">
      <c r="A194" s="630"/>
      <c r="B194" s="662"/>
      <c r="C194" s="662"/>
      <c r="D194" s="637" t="s">
        <v>2241</v>
      </c>
      <c r="E194" s="4539">
        <v>240833.611833</v>
      </c>
      <c r="F194" s="4539">
        <v>272462.24217400001</v>
      </c>
      <c r="G194" s="4539">
        <v>304687.60569</v>
      </c>
      <c r="H194" s="4539">
        <v>340885.76267199998</v>
      </c>
      <c r="I194" s="4539">
        <v>394900.44692100002</v>
      </c>
      <c r="J194" s="4539">
        <v>430912.57161400001</v>
      </c>
      <c r="K194" s="4539">
        <v>464018.965876</v>
      </c>
      <c r="L194" s="4539">
        <v>454767.44969600003</v>
      </c>
      <c r="M194" s="4539">
        <v>485488.396825</v>
      </c>
      <c r="N194" s="4539">
        <v>519376.99862799997</v>
      </c>
      <c r="O194" s="4539">
        <v>497267.80512700003</v>
      </c>
      <c r="P194" s="4539"/>
      <c r="Q194" s="4539">
        <v>573676.696658</v>
      </c>
    </row>
    <row r="195" spans="1:17" s="815" customFormat="1" x14ac:dyDescent="0.2">
      <c r="A195" s="630"/>
      <c r="B195" s="662"/>
      <c r="C195" s="662"/>
      <c r="D195" s="637" t="s">
        <v>2242</v>
      </c>
      <c r="E195" s="4539">
        <v>36896.077671999999</v>
      </c>
      <c r="F195" s="4539">
        <v>42696.809328000003</v>
      </c>
      <c r="G195" s="4539">
        <v>45822.648184999998</v>
      </c>
      <c r="H195" s="4539">
        <v>58950.135767</v>
      </c>
      <c r="I195" s="4539">
        <v>67776.445458999995</v>
      </c>
      <c r="J195" s="4539">
        <v>72948.257404000004</v>
      </c>
      <c r="K195" s="4539">
        <v>84410.373219000001</v>
      </c>
      <c r="L195" s="4539">
        <v>86763.756645999994</v>
      </c>
      <c r="M195" s="4539">
        <v>90350.350938000003</v>
      </c>
      <c r="N195" s="4539">
        <v>90373.860589999997</v>
      </c>
      <c r="O195" s="4539">
        <v>113909.512778</v>
      </c>
      <c r="P195" s="4539"/>
      <c r="Q195" s="4539">
        <v>121917.236603</v>
      </c>
    </row>
    <row r="196" spans="1:17" s="815" customFormat="1" x14ac:dyDescent="0.2">
      <c r="A196" s="630"/>
      <c r="B196" s="662"/>
      <c r="C196" s="662"/>
      <c r="D196" s="652" t="s">
        <v>2203</v>
      </c>
      <c r="E196" s="4540">
        <v>3582.1592970000002</v>
      </c>
      <c r="F196" s="4540">
        <v>4270.6510280000002</v>
      </c>
      <c r="G196" s="4540">
        <v>4499.8549709999998</v>
      </c>
      <c r="H196" s="4540">
        <v>4861.1028850000002</v>
      </c>
      <c r="I196" s="4540">
        <v>5884.7055700000001</v>
      </c>
      <c r="J196" s="4540">
        <v>8178.2044550000001</v>
      </c>
      <c r="K196" s="4540">
        <v>9283.5751390000005</v>
      </c>
      <c r="L196" s="4540">
        <v>9323.0292399999998</v>
      </c>
      <c r="M196" s="4540">
        <v>6347.2861890000004</v>
      </c>
      <c r="N196" s="4540">
        <v>3967.3404340000002</v>
      </c>
      <c r="O196" s="4540">
        <v>4726.5877300000002</v>
      </c>
      <c r="P196" s="4540"/>
      <c r="Q196" s="4540">
        <v>3242.9508519999999</v>
      </c>
    </row>
    <row r="197" spans="1:17" s="815" customFormat="1" ht="22.5" x14ac:dyDescent="0.2">
      <c r="A197" s="630"/>
      <c r="B197" s="662"/>
      <c r="C197" s="662"/>
      <c r="D197" s="4541" t="s">
        <v>2204</v>
      </c>
      <c r="E197" s="4542">
        <v>669393.51276249997</v>
      </c>
      <c r="F197" s="4542">
        <v>794370.42169750005</v>
      </c>
      <c r="G197" s="4542">
        <v>821030.55552199995</v>
      </c>
      <c r="H197" s="4542">
        <v>932740.4114325</v>
      </c>
      <c r="I197" s="4542">
        <v>1012111.7780045</v>
      </c>
      <c r="J197" s="4542">
        <v>1027062.4554224</v>
      </c>
      <c r="K197" s="4542">
        <v>1120385.3740794</v>
      </c>
      <c r="L197" s="4542">
        <v>1168010.9736764</v>
      </c>
      <c r="M197" s="4542">
        <v>1247552.6172849999</v>
      </c>
      <c r="N197" s="4542">
        <v>1302832.4857065999</v>
      </c>
      <c r="O197" s="4542">
        <v>1393986.8702527001</v>
      </c>
      <c r="P197" s="4542"/>
      <c r="Q197" s="4542">
        <v>1795842.7906210001</v>
      </c>
    </row>
    <row r="198" spans="1:17" s="815" customFormat="1" x14ac:dyDescent="0.2">
      <c r="A198" s="630"/>
      <c r="B198" s="662"/>
      <c r="C198" s="662"/>
      <c r="D198" s="637" t="s">
        <v>2243</v>
      </c>
      <c r="E198" s="4539">
        <v>152740</v>
      </c>
      <c r="F198" s="4539">
        <v>202019</v>
      </c>
      <c r="G198" s="4539">
        <v>239729</v>
      </c>
      <c r="H198" s="4539">
        <v>280572</v>
      </c>
      <c r="I198" s="4539">
        <v>303713</v>
      </c>
      <c r="J198" s="4539">
        <v>233602</v>
      </c>
      <c r="K198" s="4539">
        <v>219265</v>
      </c>
      <c r="L198" s="4539">
        <v>243207</v>
      </c>
      <c r="M198" s="4539">
        <v>309138</v>
      </c>
      <c r="N198" s="4539">
        <v>300086</v>
      </c>
      <c r="O198" s="4539">
        <v>232213</v>
      </c>
      <c r="P198" s="4539"/>
      <c r="Q198" s="4539">
        <v>331769</v>
      </c>
    </row>
    <row r="199" spans="1:17" s="815" customFormat="1" x14ac:dyDescent="0.2">
      <c r="A199" s="630"/>
      <c r="B199" s="662"/>
      <c r="C199" s="662"/>
      <c r="D199" s="637" t="s">
        <v>2244</v>
      </c>
      <c r="E199" s="4539">
        <v>427177</v>
      </c>
      <c r="F199" s="4539">
        <v>504613</v>
      </c>
      <c r="G199" s="4539">
        <v>572718</v>
      </c>
      <c r="H199" s="4539">
        <v>674655</v>
      </c>
      <c r="I199" s="4539">
        <v>715767</v>
      </c>
      <c r="J199" s="4539">
        <v>790109</v>
      </c>
      <c r="K199" s="4539">
        <v>804756</v>
      </c>
      <c r="L199" s="4539">
        <v>800374</v>
      </c>
      <c r="M199" s="4539">
        <v>848523</v>
      </c>
      <c r="N199" s="4539">
        <v>897806</v>
      </c>
      <c r="O199" s="4539">
        <v>806619</v>
      </c>
      <c r="P199" s="4539"/>
      <c r="Q199" s="4539">
        <v>950663</v>
      </c>
    </row>
    <row r="200" spans="1:17" s="815" customFormat="1" x14ac:dyDescent="0.2">
      <c r="A200" s="630"/>
      <c r="B200" s="662"/>
      <c r="C200" s="662"/>
      <c r="D200" s="637" t="s">
        <v>2245</v>
      </c>
      <c r="E200" s="4539">
        <v>25333</v>
      </c>
      <c r="F200" s="4539">
        <v>33889</v>
      </c>
      <c r="G200" s="4539">
        <v>40133</v>
      </c>
      <c r="H200" s="4539">
        <v>41499</v>
      </c>
      <c r="I200" s="4539">
        <v>44688</v>
      </c>
      <c r="J200" s="4539">
        <v>51073</v>
      </c>
      <c r="K200" s="4539">
        <v>63416</v>
      </c>
      <c r="L200" s="4539">
        <v>57304</v>
      </c>
      <c r="M200" s="4539">
        <v>56622</v>
      </c>
      <c r="N200" s="4539">
        <v>58313</v>
      </c>
      <c r="O200" s="4539">
        <v>62737</v>
      </c>
      <c r="P200" s="4539"/>
      <c r="Q200" s="4539">
        <v>64150</v>
      </c>
    </row>
    <row r="201" spans="1:17" s="815" customFormat="1" x14ac:dyDescent="0.2">
      <c r="A201" s="630"/>
      <c r="B201" s="662"/>
      <c r="C201" s="662"/>
      <c r="D201" s="652" t="s">
        <v>2203</v>
      </c>
      <c r="E201" s="4540">
        <v>5368</v>
      </c>
      <c r="F201" s="4540">
        <v>6600</v>
      </c>
      <c r="G201" s="4540">
        <v>8204</v>
      </c>
      <c r="H201" s="4540">
        <v>9536</v>
      </c>
      <c r="I201" s="4540">
        <v>10660</v>
      </c>
      <c r="J201" s="4540">
        <v>7493</v>
      </c>
      <c r="K201" s="4540">
        <v>7249</v>
      </c>
      <c r="L201" s="4540">
        <v>8161</v>
      </c>
      <c r="M201" s="4540">
        <v>8607</v>
      </c>
      <c r="N201" s="4540">
        <v>8028</v>
      </c>
      <c r="O201" s="4540">
        <v>2944</v>
      </c>
      <c r="P201" s="4540"/>
      <c r="Q201" s="4540">
        <v>1740</v>
      </c>
    </row>
    <row r="202" spans="1:17" s="815" customFormat="1" ht="22.5" x14ac:dyDescent="0.2">
      <c r="A202" s="630"/>
      <c r="B202" s="662"/>
      <c r="C202" s="662"/>
      <c r="D202" s="4541" t="s">
        <v>2205</v>
      </c>
      <c r="E202" s="4542">
        <v>610619</v>
      </c>
      <c r="F202" s="4542">
        <v>747121</v>
      </c>
      <c r="G202" s="4542">
        <v>860784</v>
      </c>
      <c r="H202" s="4542">
        <v>1006262</v>
      </c>
      <c r="I202" s="4542">
        <v>1074828</v>
      </c>
      <c r="J202" s="4542">
        <v>1082277</v>
      </c>
      <c r="K202" s="4542">
        <v>1094687</v>
      </c>
      <c r="L202" s="4542">
        <v>1109045</v>
      </c>
      <c r="M202" s="4542">
        <v>1222890</v>
      </c>
      <c r="N202" s="4542">
        <v>1264232</v>
      </c>
      <c r="O202" s="4542">
        <v>1104513</v>
      </c>
      <c r="P202" s="4542"/>
      <c r="Q202" s="4542">
        <v>1348321</v>
      </c>
    </row>
    <row r="203" spans="1:17" s="815" customFormat="1" x14ac:dyDescent="0.2">
      <c r="A203" s="630"/>
      <c r="B203" s="662"/>
      <c r="C203" s="662"/>
      <c r="D203" s="636"/>
      <c r="E203" s="4555"/>
      <c r="F203" s="4555"/>
      <c r="G203" s="4555"/>
      <c r="H203" s="4555"/>
      <c r="I203" s="4555"/>
      <c r="J203" s="4555"/>
      <c r="K203" s="4555"/>
      <c r="L203" s="4555"/>
      <c r="M203" s="4555"/>
      <c r="N203" s="4555"/>
      <c r="O203" s="4555"/>
      <c r="P203" s="4555"/>
      <c r="Q203" s="4555"/>
    </row>
    <row r="204" spans="1:17" s="815" customFormat="1" x14ac:dyDescent="0.2">
      <c r="A204" s="630"/>
      <c r="B204" s="662"/>
      <c r="C204" s="662"/>
      <c r="D204" s="636"/>
      <c r="E204" s="4555"/>
      <c r="F204" s="4555"/>
      <c r="G204" s="4555"/>
      <c r="H204" s="4555"/>
      <c r="I204" s="4555"/>
      <c r="J204" s="4555"/>
      <c r="K204" s="4555"/>
      <c r="L204" s="4555"/>
      <c r="M204" s="4555"/>
      <c r="N204" s="4555"/>
      <c r="O204" s="4555"/>
      <c r="P204" s="4555"/>
      <c r="Q204" s="4555"/>
    </row>
  </sheetData>
  <sheetProtection selectLockedCells="1"/>
  <mergeCells count="7">
    <mergeCell ref="D148:AD148"/>
    <mergeCell ref="D2:Q2"/>
    <mergeCell ref="D3:Q3"/>
    <mergeCell ref="D4:Q4"/>
    <mergeCell ref="D5:Q5"/>
    <mergeCell ref="D146:Q146"/>
    <mergeCell ref="D147:Q147"/>
  </mergeCells>
  <pageMargins left="0.74803149606299213" right="0.74803149606299213" top="0.98425196850393704" bottom="0.98425196850393704" header="0.51181102362204722" footer="0.51181102362204722"/>
  <pageSetup paperSize="9" scale="23"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86169-5548-4F30-8D41-5B0D8AE30490}">
  <sheetPr>
    <tabColor rgb="FF00B050"/>
    <pageSetUpPr fitToPage="1"/>
  </sheetPr>
  <dimension ref="A1:AE127"/>
  <sheetViews>
    <sheetView showGridLines="0" view="pageBreakPreview" zoomScaleNormal="100" zoomScaleSheetLayoutView="100" workbookViewId="0">
      <selection activeCell="B6" sqref="B6"/>
    </sheetView>
  </sheetViews>
  <sheetFormatPr defaultColWidth="9.140625" defaultRowHeight="15" x14ac:dyDescent="0.25"/>
  <cols>
    <col min="1" max="1" width="3.85546875" style="509" customWidth="1"/>
    <col min="2" max="2" width="10.140625" style="1119" customWidth="1"/>
    <col min="3" max="3" width="3.85546875" style="1119" customWidth="1"/>
    <col min="4" max="4" width="23.85546875" style="113" customWidth="1"/>
    <col min="5" max="5" width="7.5703125" style="113" customWidth="1"/>
    <col min="6" max="7" width="6.5703125" style="113" bestFit="1" customWidth="1"/>
    <col min="8" max="8" width="7.5703125" style="113" customWidth="1"/>
    <col min="9" max="9" width="6.140625" style="113" customWidth="1"/>
    <col min="10" max="13" width="6.5703125" style="113" bestFit="1" customWidth="1"/>
    <col min="14" max="14" width="7" style="113" customWidth="1"/>
    <col min="15" max="25" width="6.5703125" style="113" bestFit="1" customWidth="1"/>
    <col min="26" max="26" width="7.42578125" style="113" customWidth="1"/>
    <col min="27" max="27" width="7.140625" style="113" customWidth="1"/>
    <col min="28" max="28" width="6.5703125" style="113" bestFit="1" customWidth="1"/>
    <col min="29" max="29" width="7.140625" style="113" customWidth="1"/>
    <col min="30" max="30" width="7.42578125" style="113" customWidth="1"/>
    <col min="31" max="31" width="8.140625" style="113" customWidth="1"/>
    <col min="32" max="257" width="9.140625" style="113"/>
    <col min="258" max="258" width="3.85546875" style="113" customWidth="1"/>
    <col min="259" max="259" width="14.42578125" style="113" customWidth="1"/>
    <col min="260" max="260" width="3.85546875" style="113" customWidth="1"/>
    <col min="261" max="261" width="20.42578125" style="113" customWidth="1"/>
    <col min="262" max="276" width="7.5703125" style="113" customWidth="1"/>
    <col min="277" max="513" width="9.140625" style="113"/>
    <col min="514" max="514" width="3.85546875" style="113" customWidth="1"/>
    <col min="515" max="515" width="14.42578125" style="113" customWidth="1"/>
    <col min="516" max="516" width="3.85546875" style="113" customWidth="1"/>
    <col min="517" max="517" width="20.42578125" style="113" customWidth="1"/>
    <col min="518" max="532" width="7.5703125" style="113" customWidth="1"/>
    <col min="533" max="769" width="9.140625" style="113"/>
    <col min="770" max="770" width="3.85546875" style="113" customWidth="1"/>
    <col min="771" max="771" width="14.42578125" style="113" customWidth="1"/>
    <col min="772" max="772" width="3.85546875" style="113" customWidth="1"/>
    <col min="773" max="773" width="20.42578125" style="113" customWidth="1"/>
    <col min="774" max="788" width="7.5703125" style="113" customWidth="1"/>
    <col min="789" max="1025" width="9.140625" style="113"/>
    <col min="1026" max="1026" width="3.85546875" style="113" customWidth="1"/>
    <col min="1027" max="1027" width="14.42578125" style="113" customWidth="1"/>
    <col min="1028" max="1028" width="3.85546875" style="113" customWidth="1"/>
    <col min="1029" max="1029" width="20.42578125" style="113" customWidth="1"/>
    <col min="1030" max="1044" width="7.5703125" style="113" customWidth="1"/>
    <col min="1045" max="1281" width="9.140625" style="113"/>
    <col min="1282" max="1282" width="3.85546875" style="113" customWidth="1"/>
    <col min="1283" max="1283" width="14.42578125" style="113" customWidth="1"/>
    <col min="1284" max="1284" width="3.85546875" style="113" customWidth="1"/>
    <col min="1285" max="1285" width="20.42578125" style="113" customWidth="1"/>
    <col min="1286" max="1300" width="7.5703125" style="113" customWidth="1"/>
    <col min="1301" max="1537" width="9.140625" style="113"/>
    <col min="1538" max="1538" width="3.85546875" style="113" customWidth="1"/>
    <col min="1539" max="1539" width="14.42578125" style="113" customWidth="1"/>
    <col min="1540" max="1540" width="3.85546875" style="113" customWidth="1"/>
    <col min="1541" max="1541" width="20.42578125" style="113" customWidth="1"/>
    <col min="1542" max="1556" width="7.5703125" style="113" customWidth="1"/>
    <col min="1557" max="1793" width="9.140625" style="113"/>
    <col min="1794" max="1794" width="3.85546875" style="113" customWidth="1"/>
    <col min="1795" max="1795" width="14.42578125" style="113" customWidth="1"/>
    <col min="1796" max="1796" width="3.85546875" style="113" customWidth="1"/>
    <col min="1797" max="1797" width="20.42578125" style="113" customWidth="1"/>
    <col min="1798" max="1812" width="7.5703125" style="113" customWidth="1"/>
    <col min="1813" max="2049" width="9.140625" style="113"/>
    <col min="2050" max="2050" width="3.85546875" style="113" customWidth="1"/>
    <col min="2051" max="2051" width="14.42578125" style="113" customWidth="1"/>
    <col min="2052" max="2052" width="3.85546875" style="113" customWidth="1"/>
    <col min="2053" max="2053" width="20.42578125" style="113" customWidth="1"/>
    <col min="2054" max="2068" width="7.5703125" style="113" customWidth="1"/>
    <col min="2069" max="2305" width="9.140625" style="113"/>
    <col min="2306" max="2306" width="3.85546875" style="113" customWidth="1"/>
    <col min="2307" max="2307" width="14.42578125" style="113" customWidth="1"/>
    <col min="2308" max="2308" width="3.85546875" style="113" customWidth="1"/>
    <col min="2309" max="2309" width="20.42578125" style="113" customWidth="1"/>
    <col min="2310" max="2324" width="7.5703125" style="113" customWidth="1"/>
    <col min="2325" max="2561" width="9.140625" style="113"/>
    <col min="2562" max="2562" width="3.85546875" style="113" customWidth="1"/>
    <col min="2563" max="2563" width="14.42578125" style="113" customWidth="1"/>
    <col min="2564" max="2564" width="3.85546875" style="113" customWidth="1"/>
    <col min="2565" max="2565" width="20.42578125" style="113" customWidth="1"/>
    <col min="2566" max="2580" width="7.5703125" style="113" customWidth="1"/>
    <col min="2581" max="2817" width="9.140625" style="113"/>
    <col min="2818" max="2818" width="3.85546875" style="113" customWidth="1"/>
    <col min="2819" max="2819" width="14.42578125" style="113" customWidth="1"/>
    <col min="2820" max="2820" width="3.85546875" style="113" customWidth="1"/>
    <col min="2821" max="2821" width="20.42578125" style="113" customWidth="1"/>
    <col min="2822" max="2836" width="7.5703125" style="113" customWidth="1"/>
    <col min="2837" max="3073" width="9.140625" style="113"/>
    <col min="3074" max="3074" width="3.85546875" style="113" customWidth="1"/>
    <col min="3075" max="3075" width="14.42578125" style="113" customWidth="1"/>
    <col min="3076" max="3076" width="3.85546875" style="113" customWidth="1"/>
    <col min="3077" max="3077" width="20.42578125" style="113" customWidth="1"/>
    <col min="3078" max="3092" width="7.5703125" style="113" customWidth="1"/>
    <col min="3093" max="3329" width="9.140625" style="113"/>
    <col min="3330" max="3330" width="3.85546875" style="113" customWidth="1"/>
    <col min="3331" max="3331" width="14.42578125" style="113" customWidth="1"/>
    <col min="3332" max="3332" width="3.85546875" style="113" customWidth="1"/>
    <col min="3333" max="3333" width="20.42578125" style="113" customWidth="1"/>
    <col min="3334" max="3348" width="7.5703125" style="113" customWidth="1"/>
    <col min="3349" max="3585" width="9.140625" style="113"/>
    <col min="3586" max="3586" width="3.85546875" style="113" customWidth="1"/>
    <col min="3587" max="3587" width="14.42578125" style="113" customWidth="1"/>
    <col min="3588" max="3588" width="3.85546875" style="113" customWidth="1"/>
    <col min="3589" max="3589" width="20.42578125" style="113" customWidth="1"/>
    <col min="3590" max="3604" width="7.5703125" style="113" customWidth="1"/>
    <col min="3605" max="3841" width="9.140625" style="113"/>
    <col min="3842" max="3842" width="3.85546875" style="113" customWidth="1"/>
    <col min="3843" max="3843" width="14.42578125" style="113" customWidth="1"/>
    <col min="3844" max="3844" width="3.85546875" style="113" customWidth="1"/>
    <col min="3845" max="3845" width="20.42578125" style="113" customWidth="1"/>
    <col min="3846" max="3860" width="7.5703125" style="113" customWidth="1"/>
    <col min="3861" max="4097" width="9.140625" style="113"/>
    <col min="4098" max="4098" width="3.85546875" style="113" customWidth="1"/>
    <col min="4099" max="4099" width="14.42578125" style="113" customWidth="1"/>
    <col min="4100" max="4100" width="3.85546875" style="113" customWidth="1"/>
    <col min="4101" max="4101" width="20.42578125" style="113" customWidth="1"/>
    <col min="4102" max="4116" width="7.5703125" style="113" customWidth="1"/>
    <col min="4117" max="4353" width="9.140625" style="113"/>
    <col min="4354" max="4354" width="3.85546875" style="113" customWidth="1"/>
    <col min="4355" max="4355" width="14.42578125" style="113" customWidth="1"/>
    <col min="4356" max="4356" width="3.85546875" style="113" customWidth="1"/>
    <col min="4357" max="4357" width="20.42578125" style="113" customWidth="1"/>
    <col min="4358" max="4372" width="7.5703125" style="113" customWidth="1"/>
    <col min="4373" max="4609" width="9.140625" style="113"/>
    <col min="4610" max="4610" width="3.85546875" style="113" customWidth="1"/>
    <col min="4611" max="4611" width="14.42578125" style="113" customWidth="1"/>
    <col min="4612" max="4612" width="3.85546875" style="113" customWidth="1"/>
    <col min="4613" max="4613" width="20.42578125" style="113" customWidth="1"/>
    <col min="4614" max="4628" width="7.5703125" style="113" customWidth="1"/>
    <col min="4629" max="4865" width="9.140625" style="113"/>
    <col min="4866" max="4866" width="3.85546875" style="113" customWidth="1"/>
    <col min="4867" max="4867" width="14.42578125" style="113" customWidth="1"/>
    <col min="4868" max="4868" width="3.85546875" style="113" customWidth="1"/>
    <col min="4869" max="4869" width="20.42578125" style="113" customWidth="1"/>
    <col min="4870" max="4884" width="7.5703125" style="113" customWidth="1"/>
    <col min="4885" max="5121" width="9.140625" style="113"/>
    <col min="5122" max="5122" width="3.85546875" style="113" customWidth="1"/>
    <col min="5123" max="5123" width="14.42578125" style="113" customWidth="1"/>
    <col min="5124" max="5124" width="3.85546875" style="113" customWidth="1"/>
    <col min="5125" max="5125" width="20.42578125" style="113" customWidth="1"/>
    <col min="5126" max="5140" width="7.5703125" style="113" customWidth="1"/>
    <col min="5141" max="5377" width="9.140625" style="113"/>
    <col min="5378" max="5378" width="3.85546875" style="113" customWidth="1"/>
    <col min="5379" max="5379" width="14.42578125" style="113" customWidth="1"/>
    <col min="5380" max="5380" width="3.85546875" style="113" customWidth="1"/>
    <col min="5381" max="5381" width="20.42578125" style="113" customWidth="1"/>
    <col min="5382" max="5396" width="7.5703125" style="113" customWidth="1"/>
    <col min="5397" max="5633" width="9.140625" style="113"/>
    <col min="5634" max="5634" width="3.85546875" style="113" customWidth="1"/>
    <col min="5635" max="5635" width="14.42578125" style="113" customWidth="1"/>
    <col min="5636" max="5636" width="3.85546875" style="113" customWidth="1"/>
    <col min="5637" max="5637" width="20.42578125" style="113" customWidth="1"/>
    <col min="5638" max="5652" width="7.5703125" style="113" customWidth="1"/>
    <col min="5653" max="5889" width="9.140625" style="113"/>
    <col min="5890" max="5890" width="3.85546875" style="113" customWidth="1"/>
    <col min="5891" max="5891" width="14.42578125" style="113" customWidth="1"/>
    <col min="5892" max="5892" width="3.85546875" style="113" customWidth="1"/>
    <col min="5893" max="5893" width="20.42578125" style="113" customWidth="1"/>
    <col min="5894" max="5908" width="7.5703125" style="113" customWidth="1"/>
    <col min="5909" max="6145" width="9.140625" style="113"/>
    <col min="6146" max="6146" width="3.85546875" style="113" customWidth="1"/>
    <col min="6147" max="6147" width="14.42578125" style="113" customWidth="1"/>
    <col min="6148" max="6148" width="3.85546875" style="113" customWidth="1"/>
    <col min="6149" max="6149" width="20.42578125" style="113" customWidth="1"/>
    <col min="6150" max="6164" width="7.5703125" style="113" customWidth="1"/>
    <col min="6165" max="6401" width="9.140625" style="113"/>
    <col min="6402" max="6402" width="3.85546875" style="113" customWidth="1"/>
    <col min="6403" max="6403" width="14.42578125" style="113" customWidth="1"/>
    <col min="6404" max="6404" width="3.85546875" style="113" customWidth="1"/>
    <col min="6405" max="6405" width="20.42578125" style="113" customWidth="1"/>
    <col min="6406" max="6420" width="7.5703125" style="113" customWidth="1"/>
    <col min="6421" max="6657" width="9.140625" style="113"/>
    <col min="6658" max="6658" width="3.85546875" style="113" customWidth="1"/>
    <col min="6659" max="6659" width="14.42578125" style="113" customWidth="1"/>
    <col min="6660" max="6660" width="3.85546875" style="113" customWidth="1"/>
    <col min="6661" max="6661" width="20.42578125" style="113" customWidth="1"/>
    <col min="6662" max="6676" width="7.5703125" style="113" customWidth="1"/>
    <col min="6677" max="6913" width="9.140625" style="113"/>
    <col min="6914" max="6914" width="3.85546875" style="113" customWidth="1"/>
    <col min="6915" max="6915" width="14.42578125" style="113" customWidth="1"/>
    <col min="6916" max="6916" width="3.85546875" style="113" customWidth="1"/>
    <col min="6917" max="6917" width="20.42578125" style="113" customWidth="1"/>
    <col min="6918" max="6932" width="7.5703125" style="113" customWidth="1"/>
    <col min="6933" max="7169" width="9.140625" style="113"/>
    <col min="7170" max="7170" width="3.85546875" style="113" customWidth="1"/>
    <col min="7171" max="7171" width="14.42578125" style="113" customWidth="1"/>
    <col min="7172" max="7172" width="3.85546875" style="113" customWidth="1"/>
    <col min="7173" max="7173" width="20.42578125" style="113" customWidth="1"/>
    <col min="7174" max="7188" width="7.5703125" style="113" customWidth="1"/>
    <col min="7189" max="7425" width="9.140625" style="113"/>
    <col min="7426" max="7426" width="3.85546875" style="113" customWidth="1"/>
    <col min="7427" max="7427" width="14.42578125" style="113" customWidth="1"/>
    <col min="7428" max="7428" width="3.85546875" style="113" customWidth="1"/>
    <col min="7429" max="7429" width="20.42578125" style="113" customWidth="1"/>
    <col min="7430" max="7444" width="7.5703125" style="113" customWidth="1"/>
    <col min="7445" max="7681" width="9.140625" style="113"/>
    <col min="7682" max="7682" width="3.85546875" style="113" customWidth="1"/>
    <col min="7683" max="7683" width="14.42578125" style="113" customWidth="1"/>
    <col min="7684" max="7684" width="3.85546875" style="113" customWidth="1"/>
    <col min="7685" max="7685" width="20.42578125" style="113" customWidth="1"/>
    <col min="7686" max="7700" width="7.5703125" style="113" customWidth="1"/>
    <col min="7701" max="7937" width="9.140625" style="113"/>
    <col min="7938" max="7938" width="3.85546875" style="113" customWidth="1"/>
    <col min="7939" max="7939" width="14.42578125" style="113" customWidth="1"/>
    <col min="7940" max="7940" width="3.85546875" style="113" customWidth="1"/>
    <col min="7941" max="7941" width="20.42578125" style="113" customWidth="1"/>
    <col min="7942" max="7956" width="7.5703125" style="113" customWidth="1"/>
    <col min="7957" max="8193" width="9.140625" style="113"/>
    <col min="8194" max="8194" width="3.85546875" style="113" customWidth="1"/>
    <col min="8195" max="8195" width="14.42578125" style="113" customWidth="1"/>
    <col min="8196" max="8196" width="3.85546875" style="113" customWidth="1"/>
    <col min="8197" max="8197" width="20.42578125" style="113" customWidth="1"/>
    <col min="8198" max="8212" width="7.5703125" style="113" customWidth="1"/>
    <col min="8213" max="8449" width="9.140625" style="113"/>
    <col min="8450" max="8450" width="3.85546875" style="113" customWidth="1"/>
    <col min="8451" max="8451" width="14.42578125" style="113" customWidth="1"/>
    <col min="8452" max="8452" width="3.85546875" style="113" customWidth="1"/>
    <col min="8453" max="8453" width="20.42578125" style="113" customWidth="1"/>
    <col min="8454" max="8468" width="7.5703125" style="113" customWidth="1"/>
    <col min="8469" max="8705" width="9.140625" style="113"/>
    <col min="8706" max="8706" width="3.85546875" style="113" customWidth="1"/>
    <col min="8707" max="8707" width="14.42578125" style="113" customWidth="1"/>
    <col min="8708" max="8708" width="3.85546875" style="113" customWidth="1"/>
    <col min="8709" max="8709" width="20.42578125" style="113" customWidth="1"/>
    <col min="8710" max="8724" width="7.5703125" style="113" customWidth="1"/>
    <col min="8725" max="8961" width="9.140625" style="113"/>
    <col min="8962" max="8962" width="3.85546875" style="113" customWidth="1"/>
    <col min="8963" max="8963" width="14.42578125" style="113" customWidth="1"/>
    <col min="8964" max="8964" width="3.85546875" style="113" customWidth="1"/>
    <col min="8965" max="8965" width="20.42578125" style="113" customWidth="1"/>
    <col min="8966" max="8980" width="7.5703125" style="113" customWidth="1"/>
    <col min="8981" max="9217" width="9.140625" style="113"/>
    <col min="9218" max="9218" width="3.85546875" style="113" customWidth="1"/>
    <col min="9219" max="9219" width="14.42578125" style="113" customWidth="1"/>
    <col min="9220" max="9220" width="3.85546875" style="113" customWidth="1"/>
    <col min="9221" max="9221" width="20.42578125" style="113" customWidth="1"/>
    <col min="9222" max="9236" width="7.5703125" style="113" customWidth="1"/>
    <col min="9237" max="9473" width="9.140625" style="113"/>
    <col min="9474" max="9474" width="3.85546875" style="113" customWidth="1"/>
    <col min="9475" max="9475" width="14.42578125" style="113" customWidth="1"/>
    <col min="9476" max="9476" width="3.85546875" style="113" customWidth="1"/>
    <col min="9477" max="9477" width="20.42578125" style="113" customWidth="1"/>
    <col min="9478" max="9492" width="7.5703125" style="113" customWidth="1"/>
    <col min="9493" max="9729" width="9.140625" style="113"/>
    <col min="9730" max="9730" width="3.85546875" style="113" customWidth="1"/>
    <col min="9731" max="9731" width="14.42578125" style="113" customWidth="1"/>
    <col min="9732" max="9732" width="3.85546875" style="113" customWidth="1"/>
    <col min="9733" max="9733" width="20.42578125" style="113" customWidth="1"/>
    <col min="9734" max="9748" width="7.5703125" style="113" customWidth="1"/>
    <col min="9749" max="9985" width="9.140625" style="113"/>
    <col min="9986" max="9986" width="3.85546875" style="113" customWidth="1"/>
    <col min="9987" max="9987" width="14.42578125" style="113" customWidth="1"/>
    <col min="9988" max="9988" width="3.85546875" style="113" customWidth="1"/>
    <col min="9989" max="9989" width="20.42578125" style="113" customWidth="1"/>
    <col min="9990" max="10004" width="7.5703125" style="113" customWidth="1"/>
    <col min="10005" max="10241" width="9.140625" style="113"/>
    <col min="10242" max="10242" width="3.85546875" style="113" customWidth="1"/>
    <col min="10243" max="10243" width="14.42578125" style="113" customWidth="1"/>
    <col min="10244" max="10244" width="3.85546875" style="113" customWidth="1"/>
    <col min="10245" max="10245" width="20.42578125" style="113" customWidth="1"/>
    <col min="10246" max="10260" width="7.5703125" style="113" customWidth="1"/>
    <col min="10261" max="10497" width="9.140625" style="113"/>
    <col min="10498" max="10498" width="3.85546875" style="113" customWidth="1"/>
    <col min="10499" max="10499" width="14.42578125" style="113" customWidth="1"/>
    <col min="10500" max="10500" width="3.85546875" style="113" customWidth="1"/>
    <col min="10501" max="10501" width="20.42578125" style="113" customWidth="1"/>
    <col min="10502" max="10516" width="7.5703125" style="113" customWidth="1"/>
    <col min="10517" max="10753" width="9.140625" style="113"/>
    <col min="10754" max="10754" width="3.85546875" style="113" customWidth="1"/>
    <col min="10755" max="10755" width="14.42578125" style="113" customWidth="1"/>
    <col min="10756" max="10756" width="3.85546875" style="113" customWidth="1"/>
    <col min="10757" max="10757" width="20.42578125" style="113" customWidth="1"/>
    <col min="10758" max="10772" width="7.5703125" style="113" customWidth="1"/>
    <col min="10773" max="11009" width="9.140625" style="113"/>
    <col min="11010" max="11010" width="3.85546875" style="113" customWidth="1"/>
    <col min="11011" max="11011" width="14.42578125" style="113" customWidth="1"/>
    <col min="11012" max="11012" width="3.85546875" style="113" customWidth="1"/>
    <col min="11013" max="11013" width="20.42578125" style="113" customWidth="1"/>
    <col min="11014" max="11028" width="7.5703125" style="113" customWidth="1"/>
    <col min="11029" max="11265" width="9.140625" style="113"/>
    <col min="11266" max="11266" width="3.85546875" style="113" customWidth="1"/>
    <col min="11267" max="11267" width="14.42578125" style="113" customWidth="1"/>
    <col min="11268" max="11268" width="3.85546875" style="113" customWidth="1"/>
    <col min="11269" max="11269" width="20.42578125" style="113" customWidth="1"/>
    <col min="11270" max="11284" width="7.5703125" style="113" customWidth="1"/>
    <col min="11285" max="11521" width="9.140625" style="113"/>
    <col min="11522" max="11522" width="3.85546875" style="113" customWidth="1"/>
    <col min="11523" max="11523" width="14.42578125" style="113" customWidth="1"/>
    <col min="11524" max="11524" width="3.85546875" style="113" customWidth="1"/>
    <col min="11525" max="11525" width="20.42578125" style="113" customWidth="1"/>
    <col min="11526" max="11540" width="7.5703125" style="113" customWidth="1"/>
    <col min="11541" max="11777" width="9.140625" style="113"/>
    <col min="11778" max="11778" width="3.85546875" style="113" customWidth="1"/>
    <col min="11779" max="11779" width="14.42578125" style="113" customWidth="1"/>
    <col min="11780" max="11780" width="3.85546875" style="113" customWidth="1"/>
    <col min="11781" max="11781" width="20.42578125" style="113" customWidth="1"/>
    <col min="11782" max="11796" width="7.5703125" style="113" customWidth="1"/>
    <col min="11797" max="12033" width="9.140625" style="113"/>
    <col min="12034" max="12034" width="3.85546875" style="113" customWidth="1"/>
    <col min="12035" max="12035" width="14.42578125" style="113" customWidth="1"/>
    <col min="12036" max="12036" width="3.85546875" style="113" customWidth="1"/>
    <col min="12037" max="12037" width="20.42578125" style="113" customWidth="1"/>
    <col min="12038" max="12052" width="7.5703125" style="113" customWidth="1"/>
    <col min="12053" max="12289" width="9.140625" style="113"/>
    <col min="12290" max="12290" width="3.85546875" style="113" customWidth="1"/>
    <col min="12291" max="12291" width="14.42578125" style="113" customWidth="1"/>
    <col min="12292" max="12292" width="3.85546875" style="113" customWidth="1"/>
    <col min="12293" max="12293" width="20.42578125" style="113" customWidth="1"/>
    <col min="12294" max="12308" width="7.5703125" style="113" customWidth="1"/>
    <col min="12309" max="12545" width="9.140625" style="113"/>
    <col min="12546" max="12546" width="3.85546875" style="113" customWidth="1"/>
    <col min="12547" max="12547" width="14.42578125" style="113" customWidth="1"/>
    <col min="12548" max="12548" width="3.85546875" style="113" customWidth="1"/>
    <col min="12549" max="12549" width="20.42578125" style="113" customWidth="1"/>
    <col min="12550" max="12564" width="7.5703125" style="113" customWidth="1"/>
    <col min="12565" max="12801" width="9.140625" style="113"/>
    <col min="12802" max="12802" width="3.85546875" style="113" customWidth="1"/>
    <col min="12803" max="12803" width="14.42578125" style="113" customWidth="1"/>
    <col min="12804" max="12804" width="3.85546875" style="113" customWidth="1"/>
    <col min="12805" max="12805" width="20.42578125" style="113" customWidth="1"/>
    <col min="12806" max="12820" width="7.5703125" style="113" customWidth="1"/>
    <col min="12821" max="13057" width="9.140625" style="113"/>
    <col min="13058" max="13058" width="3.85546875" style="113" customWidth="1"/>
    <col min="13059" max="13059" width="14.42578125" style="113" customWidth="1"/>
    <col min="13060" max="13060" width="3.85546875" style="113" customWidth="1"/>
    <col min="13061" max="13061" width="20.42578125" style="113" customWidth="1"/>
    <col min="13062" max="13076" width="7.5703125" style="113" customWidth="1"/>
    <col min="13077" max="13313" width="9.140625" style="113"/>
    <col min="13314" max="13314" width="3.85546875" style="113" customWidth="1"/>
    <col min="13315" max="13315" width="14.42578125" style="113" customWidth="1"/>
    <col min="13316" max="13316" width="3.85546875" style="113" customWidth="1"/>
    <col min="13317" max="13317" width="20.42578125" style="113" customWidth="1"/>
    <col min="13318" max="13332" width="7.5703125" style="113" customWidth="1"/>
    <col min="13333" max="13569" width="9.140625" style="113"/>
    <col min="13570" max="13570" width="3.85546875" style="113" customWidth="1"/>
    <col min="13571" max="13571" width="14.42578125" style="113" customWidth="1"/>
    <col min="13572" max="13572" width="3.85546875" style="113" customWidth="1"/>
    <col min="13573" max="13573" width="20.42578125" style="113" customWidth="1"/>
    <col min="13574" max="13588" width="7.5703125" style="113" customWidth="1"/>
    <col min="13589" max="13825" width="9.140625" style="113"/>
    <col min="13826" max="13826" width="3.85546875" style="113" customWidth="1"/>
    <col min="13827" max="13827" width="14.42578125" style="113" customWidth="1"/>
    <col min="13828" max="13828" width="3.85546875" style="113" customWidth="1"/>
    <col min="13829" max="13829" width="20.42578125" style="113" customWidth="1"/>
    <col min="13830" max="13844" width="7.5703125" style="113" customWidth="1"/>
    <col min="13845" max="14081" width="9.140625" style="113"/>
    <col min="14082" max="14082" width="3.85546875" style="113" customWidth="1"/>
    <col min="14083" max="14083" width="14.42578125" style="113" customWidth="1"/>
    <col min="14084" max="14084" width="3.85546875" style="113" customWidth="1"/>
    <col min="14085" max="14085" width="20.42578125" style="113" customWidth="1"/>
    <col min="14086" max="14100" width="7.5703125" style="113" customWidth="1"/>
    <col min="14101" max="14337" width="9.140625" style="113"/>
    <col min="14338" max="14338" width="3.85546875" style="113" customWidth="1"/>
    <col min="14339" max="14339" width="14.42578125" style="113" customWidth="1"/>
    <col min="14340" max="14340" width="3.85546875" style="113" customWidth="1"/>
    <col min="14341" max="14341" width="20.42578125" style="113" customWidth="1"/>
    <col min="14342" max="14356" width="7.5703125" style="113" customWidth="1"/>
    <col min="14357" max="14593" width="9.140625" style="113"/>
    <col min="14594" max="14594" width="3.85546875" style="113" customWidth="1"/>
    <col min="14595" max="14595" width="14.42578125" style="113" customWidth="1"/>
    <col min="14596" max="14596" width="3.85546875" style="113" customWidth="1"/>
    <col min="14597" max="14597" width="20.42578125" style="113" customWidth="1"/>
    <col min="14598" max="14612" width="7.5703125" style="113" customWidth="1"/>
    <col min="14613" max="14849" width="9.140625" style="113"/>
    <col min="14850" max="14850" width="3.85546875" style="113" customWidth="1"/>
    <col min="14851" max="14851" width="14.42578125" style="113" customWidth="1"/>
    <col min="14852" max="14852" width="3.85546875" style="113" customWidth="1"/>
    <col min="14853" max="14853" width="20.42578125" style="113" customWidth="1"/>
    <col min="14854" max="14868" width="7.5703125" style="113" customWidth="1"/>
    <col min="14869" max="15105" width="9.140625" style="113"/>
    <col min="15106" max="15106" width="3.85546875" style="113" customWidth="1"/>
    <col min="15107" max="15107" width="14.42578125" style="113" customWidth="1"/>
    <col min="15108" max="15108" width="3.85546875" style="113" customWidth="1"/>
    <col min="15109" max="15109" width="20.42578125" style="113" customWidth="1"/>
    <col min="15110" max="15124" width="7.5703125" style="113" customWidth="1"/>
    <col min="15125" max="15361" width="9.140625" style="113"/>
    <col min="15362" max="15362" width="3.85546875" style="113" customWidth="1"/>
    <col min="15363" max="15363" width="14.42578125" style="113" customWidth="1"/>
    <col min="15364" max="15364" width="3.85546875" style="113" customWidth="1"/>
    <col min="15365" max="15365" width="20.42578125" style="113" customWidth="1"/>
    <col min="15366" max="15380" width="7.5703125" style="113" customWidth="1"/>
    <col min="15381" max="15617" width="9.140625" style="113"/>
    <col min="15618" max="15618" width="3.85546875" style="113" customWidth="1"/>
    <col min="15619" max="15619" width="14.42578125" style="113" customWidth="1"/>
    <col min="15620" max="15620" width="3.85546875" style="113" customWidth="1"/>
    <col min="15621" max="15621" width="20.42578125" style="113" customWidth="1"/>
    <col min="15622" max="15636" width="7.5703125" style="113" customWidth="1"/>
    <col min="15637" max="15873" width="9.140625" style="113"/>
    <col min="15874" max="15874" width="3.85546875" style="113" customWidth="1"/>
    <col min="15875" max="15875" width="14.42578125" style="113" customWidth="1"/>
    <col min="15876" max="15876" width="3.85546875" style="113" customWidth="1"/>
    <col min="15877" max="15877" width="20.42578125" style="113" customWidth="1"/>
    <col min="15878" max="15892" width="7.5703125" style="113" customWidth="1"/>
    <col min="15893" max="16129" width="9.140625" style="113"/>
    <col min="16130" max="16130" width="3.85546875" style="113" customWidth="1"/>
    <col min="16131" max="16131" width="14.42578125" style="113" customWidth="1"/>
    <col min="16132" max="16132" width="3.85546875" style="113" customWidth="1"/>
    <col min="16133" max="16133" width="20.42578125" style="113" customWidth="1"/>
    <col min="16134" max="16148" width="7.5703125" style="113" customWidth="1"/>
    <col min="16149" max="16384" width="9.140625" style="113"/>
  </cols>
  <sheetData>
    <row r="1" spans="1:31" x14ac:dyDescent="0.25">
      <c r="D1" s="1137"/>
      <c r="E1" s="1137"/>
      <c r="F1" s="1137"/>
      <c r="G1" s="1137"/>
      <c r="H1" s="1137"/>
      <c r="I1" s="1137"/>
      <c r="J1" s="1137"/>
      <c r="K1" s="1137"/>
      <c r="L1" s="1137"/>
      <c r="M1" s="1137"/>
      <c r="N1" s="1137"/>
      <c r="O1" s="1137"/>
      <c r="P1" s="1137"/>
      <c r="Q1" s="1137"/>
      <c r="R1" s="1137"/>
    </row>
    <row r="2" spans="1:31" ht="15" customHeight="1" x14ac:dyDescent="0.25">
      <c r="A2" s="509">
        <v>1</v>
      </c>
      <c r="B2" s="509" t="s">
        <v>0</v>
      </c>
      <c r="C2" s="509">
        <v>63</v>
      </c>
      <c r="D2" s="4734" t="s">
        <v>1856</v>
      </c>
      <c r="E2" s="4735"/>
      <c r="F2" s="4735"/>
      <c r="G2" s="4735"/>
      <c r="H2" s="4735"/>
      <c r="I2" s="4735"/>
      <c r="J2" s="4735"/>
      <c r="K2" s="4735"/>
      <c r="L2" s="4735"/>
      <c r="M2" s="4735"/>
      <c r="N2" s="4735"/>
      <c r="O2" s="4735"/>
      <c r="P2" s="4735"/>
      <c r="Q2" s="4735"/>
      <c r="R2" s="4735"/>
      <c r="S2" s="4735"/>
      <c r="T2" s="4735"/>
      <c r="U2" s="4735"/>
      <c r="V2" s="4735"/>
      <c r="W2" s="4735"/>
      <c r="X2" s="4735"/>
      <c r="Y2" s="4735"/>
      <c r="Z2" s="4735"/>
      <c r="AA2" s="4735"/>
      <c r="AB2" s="4735"/>
      <c r="AC2" s="4736"/>
    </row>
    <row r="3" spans="1:31" ht="15" customHeight="1" x14ac:dyDescent="0.25">
      <c r="A3" s="509">
        <v>2</v>
      </c>
      <c r="B3" s="509" t="s">
        <v>2</v>
      </c>
      <c r="C3" s="509"/>
      <c r="D3" s="4734" t="s">
        <v>1789</v>
      </c>
      <c r="E3" s="4735"/>
      <c r="F3" s="4735"/>
      <c r="G3" s="4735"/>
      <c r="H3" s="4735"/>
      <c r="I3" s="4735"/>
      <c r="J3" s="4735"/>
      <c r="K3" s="4735"/>
      <c r="L3" s="4735"/>
      <c r="M3" s="4735"/>
      <c r="N3" s="4735"/>
      <c r="O3" s="4735"/>
      <c r="P3" s="4735"/>
      <c r="Q3" s="4735"/>
      <c r="R3" s="4735"/>
      <c r="S3" s="4735"/>
      <c r="T3" s="4735"/>
      <c r="U3" s="4735"/>
      <c r="V3" s="4735"/>
      <c r="W3" s="4735"/>
      <c r="X3" s="4735"/>
      <c r="Y3" s="4735"/>
      <c r="Z3" s="4735"/>
      <c r="AA3" s="4735"/>
      <c r="AB3" s="4735"/>
      <c r="AC3" s="4736"/>
    </row>
    <row r="4" spans="1:31" ht="15" customHeight="1" x14ac:dyDescent="0.25">
      <c r="A4" s="509">
        <v>3</v>
      </c>
      <c r="B4" s="509" t="s">
        <v>4</v>
      </c>
      <c r="C4" s="509"/>
      <c r="D4" s="4734" t="s">
        <v>1857</v>
      </c>
      <c r="E4" s="4735"/>
      <c r="F4" s="4735"/>
      <c r="G4" s="4735"/>
      <c r="H4" s="4735"/>
      <c r="I4" s="4735"/>
      <c r="J4" s="4735"/>
      <c r="K4" s="4735"/>
      <c r="L4" s="4735"/>
      <c r="M4" s="4735"/>
      <c r="N4" s="4735"/>
      <c r="O4" s="4735"/>
      <c r="P4" s="4735"/>
      <c r="Q4" s="4735"/>
      <c r="R4" s="4735"/>
      <c r="S4" s="4735"/>
      <c r="T4" s="4735"/>
      <c r="U4" s="4735"/>
      <c r="V4" s="4735"/>
      <c r="W4" s="4735"/>
      <c r="X4" s="4735"/>
      <c r="Y4" s="4735"/>
      <c r="Z4" s="4735"/>
      <c r="AA4" s="4735"/>
      <c r="AB4" s="4735"/>
      <c r="AC4" s="4736"/>
    </row>
    <row r="5" spans="1:31" ht="15" customHeight="1" x14ac:dyDescent="0.25">
      <c r="B5" s="509"/>
      <c r="C5" s="509"/>
      <c r="D5" s="867"/>
      <c r="E5" s="867"/>
      <c r="F5" s="867"/>
      <c r="G5" s="867"/>
      <c r="H5" s="867"/>
      <c r="I5" s="867"/>
      <c r="J5" s="867"/>
      <c r="K5" s="867"/>
      <c r="L5" s="867"/>
      <c r="M5" s="867"/>
      <c r="N5" s="867"/>
      <c r="O5" s="867"/>
      <c r="P5" s="867"/>
      <c r="Q5" s="867"/>
      <c r="R5" s="867"/>
      <c r="S5" s="867"/>
      <c r="T5" s="867"/>
      <c r="U5" s="867"/>
      <c r="V5" s="867"/>
      <c r="W5" s="867"/>
      <c r="X5" s="867"/>
      <c r="Y5" s="867"/>
      <c r="Z5" s="867"/>
      <c r="AA5" s="867"/>
      <c r="AB5" s="867"/>
      <c r="AC5" s="867"/>
    </row>
    <row r="6" spans="1:31" x14ac:dyDescent="0.25">
      <c r="A6" s="509">
        <v>4</v>
      </c>
      <c r="B6" s="509" t="s">
        <v>6</v>
      </c>
      <c r="C6" s="509"/>
      <c r="Q6" s="10"/>
      <c r="R6" s="10"/>
    </row>
    <row r="7" spans="1:31" x14ac:dyDescent="0.25">
      <c r="D7" s="71" t="s">
        <v>365</v>
      </c>
      <c r="E7" s="71" t="s">
        <v>1858</v>
      </c>
      <c r="F7" s="548"/>
      <c r="G7" s="751"/>
      <c r="H7" s="751"/>
      <c r="I7" s="751"/>
      <c r="J7" s="751"/>
      <c r="K7" s="751"/>
      <c r="L7" s="751"/>
      <c r="M7" s="751"/>
      <c r="N7" s="751"/>
      <c r="O7" s="751"/>
      <c r="P7" s="751"/>
      <c r="Q7" s="88"/>
      <c r="R7" s="88"/>
    </row>
    <row r="8" spans="1:31" ht="17.25" customHeight="1" x14ac:dyDescent="0.25">
      <c r="D8" s="1430"/>
      <c r="E8" s="128">
        <v>1994</v>
      </c>
      <c r="F8" s="128" t="s">
        <v>396</v>
      </c>
      <c r="G8" s="128" t="s">
        <v>9</v>
      </c>
      <c r="H8" s="128" t="s">
        <v>10</v>
      </c>
      <c r="I8" s="128" t="s">
        <v>11</v>
      </c>
      <c r="J8" s="1932" t="s">
        <v>12</v>
      </c>
      <c r="K8" s="1932" t="s">
        <v>13</v>
      </c>
      <c r="L8" s="128" t="s">
        <v>14</v>
      </c>
      <c r="M8" s="1933" t="s">
        <v>15</v>
      </c>
      <c r="N8" s="1932" t="s">
        <v>16</v>
      </c>
      <c r="O8" s="1933" t="s">
        <v>17</v>
      </c>
      <c r="P8" s="1933" t="s">
        <v>18</v>
      </c>
      <c r="Q8" s="1933" t="s">
        <v>19</v>
      </c>
      <c r="R8" s="1933" t="s">
        <v>20</v>
      </c>
      <c r="S8" s="1933" t="s">
        <v>21</v>
      </c>
      <c r="T8" s="1933" t="s">
        <v>22</v>
      </c>
      <c r="U8" s="1933" t="s">
        <v>23</v>
      </c>
      <c r="V8" s="1933" t="s">
        <v>24</v>
      </c>
      <c r="W8" s="1933" t="s">
        <v>25</v>
      </c>
      <c r="X8" s="1933" t="s">
        <v>26</v>
      </c>
      <c r="Y8" s="1933" t="s">
        <v>27</v>
      </c>
      <c r="Z8" s="1933" t="s">
        <v>28</v>
      </c>
      <c r="AA8" s="1933" t="s">
        <v>29</v>
      </c>
      <c r="AB8" s="1933" t="s">
        <v>30</v>
      </c>
      <c r="AC8" s="1933" t="s">
        <v>31</v>
      </c>
      <c r="AD8" s="1933" t="s">
        <v>32</v>
      </c>
      <c r="AE8" s="1934" t="s">
        <v>33</v>
      </c>
    </row>
    <row r="9" spans="1:31" x14ac:dyDescent="0.25">
      <c r="D9" s="88" t="s">
        <v>1859</v>
      </c>
      <c r="E9" s="1935">
        <v>596.21430780331923</v>
      </c>
      <c r="F9" s="1935">
        <v>628.89231391176918</v>
      </c>
      <c r="G9" s="1935">
        <v>602.86707629217369</v>
      </c>
      <c r="H9" s="1935">
        <v>611.10328410415855</v>
      </c>
      <c r="I9" s="1935">
        <v>652.69813297770997</v>
      </c>
      <c r="J9" s="1935">
        <v>673.38443050540798</v>
      </c>
      <c r="K9" s="1935">
        <v>693.96165550653086</v>
      </c>
      <c r="L9" s="1935">
        <v>675.27554464906098</v>
      </c>
      <c r="M9" s="1935">
        <v>703.98700093406148</v>
      </c>
      <c r="N9" s="1935">
        <v>645.23084848061387</v>
      </c>
      <c r="O9" s="1935">
        <v>592.79999999999995</v>
      </c>
      <c r="P9" s="1935">
        <v>559.9</v>
      </c>
      <c r="Q9" s="1935">
        <v>526.79999999999995</v>
      </c>
      <c r="R9" s="1935">
        <v>497.1</v>
      </c>
      <c r="S9" s="1935">
        <v>506.5</v>
      </c>
      <c r="T9" s="1935">
        <v>520.20000000000005</v>
      </c>
      <c r="U9" s="1935">
        <f>(246612/51029719.02)*100000</f>
        <v>483.27132646633959</v>
      </c>
      <c r="V9" s="1935">
        <f>(244667/51759547.67)*100000</f>
        <v>472.69926228858793</v>
      </c>
      <c r="W9" s="1935">
        <f>(261319/52517864.18)*100000</f>
        <v>497.58116420034503</v>
      </c>
      <c r="X9" s="1935">
        <f>(259784/53304520.02)*100000</f>
        <v>487.35829513618796</v>
      </c>
      <c r="Y9" s="1935">
        <f>(253716/54120306.16)*100000</f>
        <v>468.80000872485829</v>
      </c>
      <c r="Z9" s="1935">
        <f>(250606/54965281.74)*100000</f>
        <v>455.93507768309314</v>
      </c>
      <c r="AA9" s="1909">
        <f>(246654/55843010.66)*100000</f>
        <v>441.69180186532594</v>
      </c>
      <c r="AB9" s="1935">
        <f>(228094/56753326.89)*100000</f>
        <v>401.90419222840382</v>
      </c>
      <c r="AC9" s="1935">
        <f>(220865/57698414.32)*100000</f>
        <v>382.79214880163795</v>
      </c>
      <c r="AD9" s="1935">
        <f>(205959/58678234.75)*100000</f>
        <v>350.99726649496728</v>
      </c>
      <c r="AE9" s="1936"/>
    </row>
    <row r="10" spans="1:31" x14ac:dyDescent="0.25">
      <c r="D10" s="88" t="s">
        <v>1860</v>
      </c>
      <c r="E10" s="1935">
        <v>225.74992268838264</v>
      </c>
      <c r="F10" s="1935">
        <v>220.7716408105513</v>
      </c>
      <c r="G10" s="1935">
        <v>214.74945047347111</v>
      </c>
      <c r="H10" s="1935">
        <v>219.33054799844541</v>
      </c>
      <c r="I10" s="1935">
        <v>224.50228614974282</v>
      </c>
      <c r="J10" s="1935">
        <v>216.18510779885509</v>
      </c>
      <c r="K10" s="1935">
        <v>209.32479528369225</v>
      </c>
      <c r="L10" s="1935">
        <v>194.36508587793543</v>
      </c>
      <c r="M10" s="1935">
        <v>162.75013248817814</v>
      </c>
      <c r="N10" s="1935">
        <v>139.33183369458916</v>
      </c>
      <c r="O10" s="1935">
        <v>120.3</v>
      </c>
      <c r="P10" s="1935">
        <v>116</v>
      </c>
      <c r="Q10" s="1935">
        <v>123.3</v>
      </c>
      <c r="R10" s="1935">
        <v>131.69999999999999</v>
      </c>
      <c r="S10" s="1935">
        <v>143.80000000000001</v>
      </c>
      <c r="T10" s="1935">
        <v>145.5</v>
      </c>
      <c r="U10" s="1935">
        <f>(68907/51029719.02)*100000</f>
        <v>135.03307743668623</v>
      </c>
      <c r="V10" s="1935">
        <f>(69902/51759547.67)*100000</f>
        <v>135.05141205187815</v>
      </c>
      <c r="W10" s="1935">
        <f>(73492/52517864.18)*100000</f>
        <v>139.93714547894243</v>
      </c>
      <c r="X10" s="1935">
        <f>(73464/53304520.02)*100000</f>
        <v>137.81945690991327</v>
      </c>
      <c r="Y10" s="1935">
        <f>(74358/54120306.16)*100000</f>
        <v>137.39390124691786</v>
      </c>
      <c r="Z10" s="1935">
        <f>(75008/54965281.74)*100000</f>
        <v>136.46432370674864</v>
      </c>
      <c r="AA10" s="1909">
        <f>(75618/55843010.66)*100000</f>
        <v>135.4117536040454</v>
      </c>
      <c r="AB10" s="1935">
        <f>(71195/56753326.89)*100000</f>
        <v>125.44639037283406</v>
      </c>
      <c r="AC10" s="1935">
        <f>(71224/57698414.32)*100000</f>
        <v>123.44186723223626</v>
      </c>
      <c r="AD10" s="1935">
        <f>(69713/58678234.75)*100000</f>
        <v>118.80555080945069</v>
      </c>
      <c r="AE10" s="1936"/>
    </row>
    <row r="11" spans="1:31" x14ac:dyDescent="0.25">
      <c r="D11" s="88" t="s">
        <v>1861</v>
      </c>
      <c r="E11" s="1935">
        <v>272.82496649829915</v>
      </c>
      <c r="F11" s="1935">
        <v>249.3026428824094</v>
      </c>
      <c r="G11" s="1935">
        <v>239.83102719910835</v>
      </c>
      <c r="H11" s="1935">
        <v>249.15225417800232</v>
      </c>
      <c r="I11" s="1935">
        <v>255.87730996380265</v>
      </c>
      <c r="J11" s="1935">
        <v>239.32797246045558</v>
      </c>
      <c r="K11" s="1935">
        <v>228.97653531880079</v>
      </c>
      <c r="L11" s="1935">
        <v>216.10771923055933</v>
      </c>
      <c r="M11" s="1935">
        <v>204.89906169680964</v>
      </c>
      <c r="N11" s="1935">
        <v>190.02715730052867</v>
      </c>
      <c r="O11" s="1935">
        <v>180</v>
      </c>
      <c r="P11" s="1935">
        <v>183.3</v>
      </c>
      <c r="Q11" s="1935">
        <v>182.1</v>
      </c>
      <c r="R11" s="1935">
        <v>167.7</v>
      </c>
      <c r="S11" s="1935">
        <v>156</v>
      </c>
      <c r="T11" s="1935">
        <v>145.5</v>
      </c>
      <c r="U11" s="1935">
        <f>(64162/51029719.02)*100000</f>
        <v>125.73457434647656</v>
      </c>
      <c r="V11" s="1935">
        <f>(58800/51759547.67)*100000</f>
        <v>113.60222924451998</v>
      </c>
      <c r="W11" s="1935">
        <f>(58102/52517864.18)*100000</f>
        <v>110.63283114648551</v>
      </c>
      <c r="X11" s="1935">
        <f>(56645/53304520.02)*100000</f>
        <v>106.26678559106553</v>
      </c>
      <c r="Y11" s="1935">
        <f>(55090/54120306.16)*100000</f>
        <v>101.79173753587651</v>
      </c>
      <c r="Z11" s="1935">
        <f>(53809/54965281.74)*100000</f>
        <v>97.896341648043375</v>
      </c>
      <c r="AA11" s="1909">
        <f>(53307/55843010.66)*100000</f>
        <v>95.458678480928455</v>
      </c>
      <c r="AB11" s="1935">
        <f>(50663/56753326.89)*100000</f>
        <v>89.268775552481102</v>
      </c>
      <c r="AC11" s="1935">
        <f>(48324/57698414.32)*100000</f>
        <v>83.752734922646653</v>
      </c>
      <c r="AD11" s="1935">
        <f>(46921/58678234.75)*100000</f>
        <v>79.963209868033729</v>
      </c>
      <c r="AE11" s="1936"/>
    </row>
    <row r="12" spans="1:31" x14ac:dyDescent="0.25">
      <c r="D12" s="572" t="s">
        <v>1862</v>
      </c>
      <c r="E12" s="1935">
        <v>472.54664467580665</v>
      </c>
      <c r="F12" s="1935">
        <v>484.69604325635459</v>
      </c>
      <c r="G12" s="1935">
        <v>430.40813582382208</v>
      </c>
      <c r="H12" s="1935">
        <v>435.26768363777688</v>
      </c>
      <c r="I12" s="1935">
        <v>452.53143455896355</v>
      </c>
      <c r="J12" s="1935">
        <v>453.87096812404855</v>
      </c>
      <c r="K12" s="1935">
        <v>459.03351575077238</v>
      </c>
      <c r="L12" s="1935">
        <v>444.62960079811188</v>
      </c>
      <c r="M12" s="1935">
        <v>430.9847915363859</v>
      </c>
      <c r="N12" s="1935">
        <v>370.77113095456895</v>
      </c>
      <c r="O12" s="1935">
        <v>318.8</v>
      </c>
      <c r="P12" s="1935">
        <v>296.60000000000002</v>
      </c>
      <c r="Q12" s="1935">
        <v>261.7</v>
      </c>
      <c r="R12" s="1935">
        <v>233.4</v>
      </c>
      <c r="S12" s="1935">
        <v>225</v>
      </c>
      <c r="T12" s="1935">
        <v>245.1</v>
      </c>
      <c r="U12" s="1935">
        <f>(122334/51029719.02)*100000</f>
        <v>239.73089084040186</v>
      </c>
      <c r="V12" s="1935">
        <f>(129644/51759547.67)*100000</f>
        <v>250.47359537715221</v>
      </c>
      <c r="W12" s="1935">
        <f>(138956/52517864.18)*100000</f>
        <v>264.58806383241608</v>
      </c>
      <c r="X12" s="1935">
        <f>(143801/53304520.02)*100000</f>
        <v>269.77261955655064</v>
      </c>
      <c r="Y12" s="1935">
        <f>(145358/54120306.16)*100000</f>
        <v>268.5831073650379</v>
      </c>
      <c r="Z12" s="1935">
        <f>(139386/54965281.74)*100000</f>
        <v>253.58916681139164</v>
      </c>
      <c r="AA12" s="1909">
        <f>(138172/55843010.66)*100000</f>
        <v>247.42935305057208</v>
      </c>
      <c r="AB12" s="1935">
        <f>(129174/56753326.89)*100000</f>
        <v>227.60604017164781</v>
      </c>
      <c r="AC12" s="1935">
        <f>(125076/57698414.32)*100000</f>
        <v>216.77545470542492</v>
      </c>
      <c r="AD12" s="1935">
        <f>(118213/58678234.75)*100000</f>
        <v>201.45970734063366</v>
      </c>
      <c r="AE12" s="1936"/>
    </row>
    <row r="13" spans="1:31" s="162" customFormat="1" ht="12.75" x14ac:dyDescent="0.2">
      <c r="A13" s="509"/>
      <c r="B13" s="531"/>
      <c r="C13" s="531"/>
      <c r="D13" s="88" t="s">
        <v>1863</v>
      </c>
      <c r="E13" s="1935">
        <v>121.86114833522318</v>
      </c>
      <c r="F13" s="1935">
        <v>109.73015311536712</v>
      </c>
      <c r="G13" s="1935">
        <v>103.47043617869724</v>
      </c>
      <c r="H13" s="1935">
        <v>100.983773804897</v>
      </c>
      <c r="I13" s="1935">
        <v>98.80929700895409</v>
      </c>
      <c r="J13" s="1935">
        <v>96.22498394876034</v>
      </c>
      <c r="K13" s="1935">
        <v>95.079169959029386</v>
      </c>
      <c r="L13" s="1935">
        <v>92.894257530682111</v>
      </c>
      <c r="M13" s="1935">
        <v>102.69923872319238</v>
      </c>
      <c r="N13" s="1935">
        <v>88.979293692874379</v>
      </c>
      <c r="O13" s="1935">
        <v>70.099999999999994</v>
      </c>
      <c r="P13" s="1935">
        <v>61.3</v>
      </c>
      <c r="Q13" s="1935">
        <v>60.8</v>
      </c>
      <c r="R13" s="1935">
        <v>60.1</v>
      </c>
      <c r="S13" s="1935">
        <v>61.7</v>
      </c>
      <c r="T13" s="1937">
        <v>65.7</v>
      </c>
      <c r="U13" s="1937">
        <f>(26942/51029719.02)*100000</f>
        <v>52.796684985548637</v>
      </c>
      <c r="V13" s="1937">
        <f>(27611/51759547.67)*100000</f>
        <v>53.344747477388452</v>
      </c>
      <c r="W13" s="1937">
        <f>(26465/52517864.18)*100000</f>
        <v>50.392376790673971</v>
      </c>
      <c r="X13" s="1937">
        <f>(24534/53304520.02)*100000</f>
        <v>46.026115591688615</v>
      </c>
      <c r="Y13" s="1937">
        <f>(24965/54120306.16)*100000</f>
        <v>46.128711700547413</v>
      </c>
      <c r="Z13" s="1937">
        <f>(24715/54965281.74)*100000</f>
        <v>44.964747232459104</v>
      </c>
      <c r="AA13" s="1938">
        <f>(26902/55843010.66)*100000</f>
        <v>48.17433673802573</v>
      </c>
      <c r="AB13" s="1937">
        <f>(28849/56753326.89)*100000</f>
        <v>50.832262319908551</v>
      </c>
      <c r="AC13" s="1937">
        <f>(29672/57698414.32)*100000</f>
        <v>51.426023313980046</v>
      </c>
      <c r="AD13" s="1937">
        <f>(28418/58678234.75)*100000</f>
        <v>48.43022309903418</v>
      </c>
      <c r="AE13" s="1939"/>
    </row>
    <row r="14" spans="1:31" s="162" customFormat="1" ht="12.75" x14ac:dyDescent="0.2">
      <c r="A14" s="509"/>
      <c r="B14" s="531"/>
      <c r="C14" s="531"/>
      <c r="D14" s="3604" t="s">
        <v>50</v>
      </c>
      <c r="E14" s="3619">
        <v>1689.1</v>
      </c>
      <c r="F14" s="3619">
        <v>1693.4</v>
      </c>
      <c r="G14" s="3619">
        <v>1591.3</v>
      </c>
      <c r="H14" s="3619">
        <v>1615.9</v>
      </c>
      <c r="I14" s="3619">
        <v>1684.8</v>
      </c>
      <c r="J14" s="3619">
        <v>1679</v>
      </c>
      <c r="K14" s="3619">
        <v>1686.4</v>
      </c>
      <c r="L14" s="3619">
        <v>1623.3</v>
      </c>
      <c r="M14" s="3619">
        <v>1605.4</v>
      </c>
      <c r="N14" s="3619">
        <v>1434.3</v>
      </c>
      <c r="O14" s="3619">
        <f t="shared" ref="O14:T14" si="0">SUM(O9:O13)</f>
        <v>1281.9999999999998</v>
      </c>
      <c r="P14" s="3619">
        <f t="shared" si="0"/>
        <v>1217.1000000000001</v>
      </c>
      <c r="Q14" s="3619">
        <f t="shared" si="0"/>
        <v>1154.6999999999998</v>
      </c>
      <c r="R14" s="3619">
        <f t="shared" si="0"/>
        <v>1090</v>
      </c>
      <c r="S14" s="3619">
        <f t="shared" si="0"/>
        <v>1093</v>
      </c>
      <c r="T14" s="1940">
        <f t="shared" si="0"/>
        <v>1122</v>
      </c>
      <c r="U14" s="1940">
        <f>(528957/51029719.02)*100000</f>
        <v>1036.566554075453</v>
      </c>
      <c r="V14" s="1940">
        <f>(530624/51759547.67)*100000</f>
        <v>1025.1712464395266</v>
      </c>
      <c r="W14" s="1940">
        <f>(558228/52517864.18)*100000</f>
        <v>1062.9297453657416</v>
      </c>
      <c r="X14" s="1940">
        <f>(558338/53304520.02)*100000</f>
        <v>1047.4496342721218</v>
      </c>
      <c r="Y14" s="1940">
        <f>(553487/54120306.16)*100000</f>
        <v>1022.6974665732379</v>
      </c>
      <c r="Z14" s="1940">
        <f>(543524/54965281.74)*100000</f>
        <v>988.84965708173593</v>
      </c>
      <c r="AA14" s="1915">
        <f>(540653/55843010.66)*100000</f>
        <v>968.1659237388975</v>
      </c>
      <c r="AB14" s="1940">
        <f>(507975/56753326.89)*100000</f>
        <v>895.05766064527529</v>
      </c>
      <c r="AC14" s="1940">
        <f>(495161/57698414.32)*100000</f>
        <v>858.18822897592588</v>
      </c>
      <c r="AD14" s="1940">
        <f>(469224/58678234.75)*100000</f>
        <v>799.65595761211966</v>
      </c>
      <c r="AE14" s="1941"/>
    </row>
    <row r="15" spans="1:31" x14ac:dyDescent="0.25">
      <c r="B15" s="836"/>
      <c r="C15" s="836"/>
      <c r="D15" s="751"/>
      <c r="E15" s="5094"/>
      <c r="F15" s="5094"/>
      <c r="G15" s="5094"/>
      <c r="H15" s="5094"/>
      <c r="I15" s="5094"/>
      <c r="J15" s="5094"/>
      <c r="K15" s="5094"/>
      <c r="L15" s="88"/>
      <c r="M15" s="88"/>
      <c r="N15" s="88"/>
      <c r="O15" s="88"/>
      <c r="P15" s="88"/>
      <c r="Q15" s="88"/>
      <c r="R15" s="88"/>
      <c r="S15" s="88"/>
      <c r="T15" s="88"/>
      <c r="U15" s="88"/>
      <c r="V15" s="88"/>
    </row>
    <row r="16" spans="1:31" x14ac:dyDescent="0.25">
      <c r="A16" s="509">
        <v>5</v>
      </c>
      <c r="B16" s="509" t="s">
        <v>51</v>
      </c>
      <c r="C16" s="509"/>
      <c r="D16" s="1137"/>
      <c r="E16" s="88"/>
      <c r="F16" s="88"/>
      <c r="G16" s="88"/>
      <c r="H16" s="88"/>
      <c r="I16" s="88"/>
      <c r="J16" s="88"/>
      <c r="K16" s="88"/>
      <c r="L16" s="88"/>
      <c r="M16" s="88"/>
      <c r="N16" s="88"/>
      <c r="O16" s="88"/>
      <c r="P16" s="88"/>
      <c r="Q16" s="88"/>
      <c r="R16" s="88"/>
    </row>
    <row r="17" spans="2:29" x14ac:dyDescent="0.25">
      <c r="D17" s="1137"/>
      <c r="E17" s="88"/>
      <c r="F17" s="88"/>
      <c r="G17" s="88"/>
      <c r="H17" s="88"/>
      <c r="I17" s="88"/>
      <c r="J17" s="88"/>
      <c r="K17" s="88"/>
      <c r="L17" s="88"/>
      <c r="M17" s="88"/>
      <c r="N17" s="88"/>
      <c r="O17" s="88"/>
      <c r="P17" s="88"/>
      <c r="Q17" s="88"/>
      <c r="R17" s="88"/>
      <c r="AC17" s="1942"/>
    </row>
    <row r="18" spans="2:29" x14ac:dyDescent="0.25">
      <c r="D18" s="1137"/>
      <c r="E18" s="88"/>
      <c r="F18" s="88"/>
      <c r="G18" s="88"/>
      <c r="H18" s="88"/>
      <c r="I18" s="88"/>
      <c r="J18" s="88"/>
      <c r="K18" s="88"/>
      <c r="L18" s="88"/>
      <c r="M18" s="88"/>
      <c r="N18" s="88"/>
      <c r="O18" s="88"/>
      <c r="P18" s="88"/>
      <c r="Q18" s="88"/>
      <c r="R18" s="88"/>
    </row>
    <row r="19" spans="2:29" x14ac:dyDescent="0.25">
      <c r="D19" s="1137"/>
      <c r="E19" s="88"/>
      <c r="F19" s="88"/>
      <c r="G19" s="88"/>
      <c r="H19" s="88"/>
      <c r="I19" s="88"/>
      <c r="J19" s="88"/>
      <c r="K19" s="88"/>
      <c r="L19" s="88"/>
      <c r="M19" s="88"/>
      <c r="N19" s="88"/>
      <c r="O19" s="88"/>
      <c r="P19" s="88"/>
      <c r="Q19" s="88"/>
      <c r="R19" s="88"/>
    </row>
    <row r="20" spans="2:29" x14ac:dyDescent="0.25">
      <c r="D20" s="1137"/>
      <c r="E20" s="88"/>
      <c r="F20" s="88"/>
      <c r="G20" s="88"/>
      <c r="H20" s="88"/>
      <c r="I20" s="88"/>
      <c r="J20" s="88"/>
      <c r="K20" s="88"/>
      <c r="L20" s="88"/>
      <c r="M20" s="88"/>
      <c r="N20" s="88"/>
      <c r="O20" s="88"/>
      <c r="P20" s="88"/>
      <c r="Q20" s="88"/>
      <c r="R20" s="88"/>
    </row>
    <row r="21" spans="2:29" x14ac:dyDescent="0.25">
      <c r="D21" s="1137"/>
      <c r="E21" s="1137"/>
      <c r="F21" s="1137"/>
      <c r="G21" s="1137"/>
      <c r="H21" s="1137"/>
      <c r="I21" s="1137"/>
      <c r="J21" s="1137"/>
      <c r="K21" s="1137"/>
      <c r="L21" s="1137"/>
      <c r="M21" s="1137"/>
      <c r="N21" s="1137"/>
      <c r="O21" s="1137"/>
      <c r="P21" s="1137"/>
      <c r="Q21" s="1137"/>
      <c r="R21" s="1137"/>
    </row>
    <row r="22" spans="2:29" x14ac:dyDescent="0.25">
      <c r="B22" s="836"/>
      <c r="C22" s="836"/>
      <c r="D22" s="1137"/>
      <c r="E22" s="1137"/>
      <c r="F22" s="1137"/>
      <c r="G22" s="1137"/>
      <c r="H22" s="1137"/>
      <c r="I22" s="1137"/>
      <c r="J22" s="88"/>
      <c r="K22" s="1137"/>
      <c r="L22" s="1137"/>
      <c r="M22" s="1137"/>
      <c r="N22" s="1137"/>
      <c r="O22" s="1137"/>
      <c r="P22" s="1137"/>
      <c r="Q22" s="1137"/>
      <c r="R22" s="1137"/>
    </row>
    <row r="23" spans="2:29" x14ac:dyDescent="0.25">
      <c r="B23" s="836"/>
      <c r="C23" s="836"/>
      <c r="D23" s="1137"/>
      <c r="E23" s="1137"/>
      <c r="F23" s="1137"/>
      <c r="G23" s="1137"/>
      <c r="H23" s="1137"/>
      <c r="I23" s="1137"/>
      <c r="J23" s="88"/>
      <c r="K23" s="1137"/>
      <c r="L23" s="1137"/>
      <c r="M23" s="1137"/>
      <c r="N23" s="1137"/>
      <c r="O23" s="1137"/>
      <c r="P23" s="1137"/>
      <c r="Q23" s="1137"/>
      <c r="R23" s="1137"/>
    </row>
    <row r="24" spans="2:29" x14ac:dyDescent="0.25">
      <c r="D24" s="1137"/>
      <c r="E24" s="1137"/>
      <c r="F24" s="1137"/>
      <c r="G24" s="1137"/>
      <c r="H24" s="1137"/>
      <c r="I24" s="1137"/>
      <c r="J24" s="1137"/>
      <c r="K24" s="1137"/>
      <c r="L24" s="1137"/>
      <c r="M24" s="1137"/>
      <c r="N24" s="1137"/>
      <c r="O24" s="1137"/>
      <c r="P24" s="1137"/>
      <c r="Q24" s="1137"/>
      <c r="R24" s="1137"/>
    </row>
    <row r="25" spans="2:29" x14ac:dyDescent="0.25">
      <c r="D25" s="1137"/>
      <c r="E25" s="1137"/>
      <c r="F25" s="1137"/>
      <c r="G25" s="1137"/>
      <c r="H25" s="1137"/>
      <c r="I25" s="1137"/>
      <c r="J25" s="1137"/>
      <c r="K25" s="1137"/>
      <c r="L25" s="1137"/>
      <c r="M25" s="1137"/>
      <c r="N25" s="1137"/>
      <c r="O25" s="1137"/>
      <c r="P25" s="1137"/>
      <c r="Q25" s="1137"/>
      <c r="R25" s="1137"/>
    </row>
    <row r="26" spans="2:29" x14ac:dyDescent="0.25">
      <c r="D26" s="1137"/>
      <c r="E26" s="1137"/>
      <c r="F26" s="1137"/>
      <c r="G26" s="1137"/>
      <c r="H26" s="1137"/>
      <c r="I26" s="1137"/>
      <c r="J26" s="1137"/>
      <c r="K26" s="1137"/>
      <c r="L26" s="1137"/>
      <c r="M26" s="1137"/>
      <c r="N26" s="1137"/>
      <c r="O26" s="1137"/>
      <c r="P26" s="1137"/>
      <c r="Q26" s="1137"/>
      <c r="R26" s="1137"/>
    </row>
    <row r="27" spans="2:29" x14ac:dyDescent="0.25">
      <c r="D27" s="1137"/>
      <c r="E27" s="1137"/>
      <c r="F27" s="1137"/>
      <c r="G27" s="1137"/>
      <c r="H27" s="1137"/>
      <c r="I27" s="1137"/>
      <c r="J27" s="1137"/>
      <c r="K27" s="1137"/>
      <c r="L27" s="1137"/>
      <c r="M27" s="1137"/>
      <c r="N27" s="1137"/>
      <c r="O27" s="1137"/>
      <c r="P27" s="1137"/>
      <c r="Q27" s="1137"/>
      <c r="R27" s="1137"/>
    </row>
    <row r="28" spans="2:29" x14ac:dyDescent="0.25">
      <c r="D28" s="1137"/>
      <c r="E28" s="1137"/>
      <c r="F28" s="1137"/>
      <c r="G28" s="1137"/>
      <c r="H28" s="1137"/>
      <c r="I28" s="1137"/>
      <c r="J28" s="1137"/>
      <c r="K28" s="1137"/>
      <c r="L28" s="1137"/>
      <c r="M28" s="1137"/>
      <c r="N28" s="1137"/>
      <c r="O28" s="1137"/>
      <c r="P28" s="1137"/>
      <c r="Q28" s="1137"/>
      <c r="R28" s="1137"/>
    </row>
    <row r="29" spans="2:29" x14ac:dyDescent="0.25">
      <c r="D29" s="1137"/>
      <c r="E29" s="1137"/>
      <c r="F29" s="1137"/>
      <c r="G29" s="1137"/>
      <c r="H29" s="1137"/>
      <c r="I29" s="1137"/>
      <c r="J29" s="1137"/>
      <c r="K29" s="1137"/>
      <c r="L29" s="1137"/>
      <c r="M29" s="1137"/>
      <c r="N29" s="1137"/>
      <c r="O29" s="1137"/>
      <c r="P29" s="1137"/>
      <c r="Q29" s="1137"/>
      <c r="R29" s="1137"/>
    </row>
    <row r="30" spans="2:29" ht="35.25" customHeight="1" x14ac:dyDescent="0.25">
      <c r="D30" s="1137"/>
      <c r="E30" s="1137"/>
      <c r="F30" s="1137"/>
      <c r="G30" s="1137"/>
      <c r="H30" s="1137"/>
      <c r="I30" s="1137"/>
      <c r="J30" s="1137"/>
      <c r="K30" s="1137"/>
      <c r="L30" s="1137"/>
      <c r="M30" s="1137"/>
      <c r="N30" s="1137"/>
      <c r="O30" s="1137"/>
      <c r="P30" s="1137"/>
      <c r="Q30" s="1137"/>
      <c r="R30" s="1137"/>
    </row>
    <row r="31" spans="2:29" ht="17.25" customHeight="1" x14ac:dyDescent="0.25">
      <c r="D31" s="1137"/>
      <c r="E31" s="1137"/>
      <c r="F31" s="1137"/>
      <c r="G31" s="1137"/>
      <c r="H31" s="1137"/>
      <c r="I31" s="1137"/>
      <c r="J31" s="1137"/>
      <c r="K31" s="1137"/>
      <c r="L31" s="1137"/>
      <c r="M31" s="1137"/>
      <c r="N31" s="1137"/>
      <c r="O31" s="1137"/>
      <c r="P31" s="1137"/>
      <c r="Q31" s="1137"/>
      <c r="R31" s="1137"/>
    </row>
    <row r="32" spans="2:29" ht="22.5" customHeight="1" x14ac:dyDescent="0.25">
      <c r="D32" s="1137"/>
      <c r="E32" s="1137"/>
      <c r="F32" s="1137"/>
      <c r="G32" s="1137"/>
      <c r="H32" s="1137"/>
      <c r="I32" s="1137"/>
      <c r="J32" s="1137"/>
      <c r="K32" s="1137"/>
      <c r="L32" s="1137"/>
      <c r="M32" s="1137"/>
      <c r="N32" s="1137"/>
      <c r="O32" s="1137"/>
      <c r="P32" s="1137"/>
      <c r="Q32" s="1137"/>
      <c r="R32" s="1137"/>
    </row>
    <row r="33" spans="1:30" ht="25.5" customHeight="1" x14ac:dyDescent="0.25">
      <c r="A33" s="509">
        <v>6</v>
      </c>
      <c r="B33" s="546" t="s">
        <v>1864</v>
      </c>
      <c r="C33" s="546"/>
      <c r="D33" s="4734" t="s">
        <v>1865</v>
      </c>
      <c r="E33" s="4735"/>
      <c r="F33" s="4735"/>
      <c r="G33" s="4735"/>
      <c r="H33" s="4735"/>
      <c r="I33" s="4735"/>
      <c r="J33" s="4735"/>
      <c r="K33" s="4735"/>
      <c r="L33" s="4735"/>
      <c r="M33" s="4735"/>
      <c r="N33" s="4735"/>
      <c r="O33" s="4735"/>
      <c r="P33" s="4735"/>
      <c r="Q33" s="4735"/>
      <c r="R33" s="4735"/>
      <c r="S33" s="4735"/>
      <c r="T33" s="4735"/>
      <c r="U33" s="4735"/>
      <c r="V33" s="4735"/>
      <c r="W33" s="4735"/>
      <c r="X33" s="4735"/>
      <c r="Y33" s="4735"/>
      <c r="Z33" s="4735"/>
      <c r="AA33" s="4735"/>
      <c r="AB33" s="4735"/>
      <c r="AC33" s="4736"/>
    </row>
    <row r="34" spans="1:30" ht="21.75" customHeight="1" x14ac:dyDescent="0.25">
      <c r="A34" s="509">
        <v>7</v>
      </c>
      <c r="B34" s="546" t="s">
        <v>54</v>
      </c>
      <c r="C34" s="546"/>
      <c r="D34" s="4734" t="s">
        <v>1866</v>
      </c>
      <c r="E34" s="4735"/>
      <c r="F34" s="4735"/>
      <c r="G34" s="4735"/>
      <c r="H34" s="4735"/>
      <c r="I34" s="4735"/>
      <c r="J34" s="4735"/>
      <c r="K34" s="4735"/>
      <c r="L34" s="4735"/>
      <c r="M34" s="4735"/>
      <c r="N34" s="4735"/>
      <c r="O34" s="4735"/>
      <c r="P34" s="4735"/>
      <c r="Q34" s="4735"/>
      <c r="R34" s="4735"/>
      <c r="S34" s="4735"/>
      <c r="T34" s="4735"/>
      <c r="U34" s="4735"/>
      <c r="V34" s="4735"/>
      <c r="W34" s="4735"/>
      <c r="X34" s="4735"/>
      <c r="Y34" s="4735"/>
      <c r="Z34" s="4735"/>
      <c r="AA34" s="4735"/>
      <c r="AB34" s="4735"/>
      <c r="AC34" s="4736"/>
    </row>
    <row r="35" spans="1:30" ht="24.75" customHeight="1" x14ac:dyDescent="0.25">
      <c r="A35" s="509">
        <v>8</v>
      </c>
      <c r="B35" s="546" t="s">
        <v>56</v>
      </c>
      <c r="C35" s="509"/>
      <c r="D35" s="4734" t="s">
        <v>1867</v>
      </c>
      <c r="E35" s="4735"/>
      <c r="F35" s="4735"/>
      <c r="G35" s="4735"/>
      <c r="H35" s="4735"/>
      <c r="I35" s="4735"/>
      <c r="J35" s="4735"/>
      <c r="K35" s="4735"/>
      <c r="L35" s="4735"/>
      <c r="M35" s="4735"/>
      <c r="N35" s="4735"/>
      <c r="O35" s="4735"/>
      <c r="P35" s="4735"/>
      <c r="Q35" s="4735"/>
      <c r="R35" s="4735"/>
      <c r="S35" s="4735"/>
      <c r="T35" s="4735"/>
      <c r="U35" s="4735"/>
      <c r="V35" s="4735"/>
      <c r="W35" s="4735"/>
      <c r="X35" s="4735"/>
      <c r="Y35" s="4735"/>
      <c r="Z35" s="4735"/>
      <c r="AA35" s="4735"/>
      <c r="AB35" s="4735"/>
      <c r="AC35" s="4736"/>
    </row>
    <row r="36" spans="1:30" ht="27" customHeight="1" x14ac:dyDescent="0.25">
      <c r="A36" s="509">
        <v>9</v>
      </c>
      <c r="B36" s="546" t="s">
        <v>355</v>
      </c>
      <c r="D36" s="4734" t="s">
        <v>1868</v>
      </c>
      <c r="E36" s="4735"/>
      <c r="F36" s="4735"/>
      <c r="G36" s="4735"/>
      <c r="H36" s="4735"/>
      <c r="I36" s="4735"/>
      <c r="J36" s="4735"/>
      <c r="K36" s="4735"/>
      <c r="L36" s="4735"/>
      <c r="M36" s="4735"/>
      <c r="N36" s="4735"/>
      <c r="O36" s="4735"/>
      <c r="P36" s="4735"/>
      <c r="Q36" s="4735"/>
      <c r="R36" s="4735"/>
      <c r="S36" s="4735"/>
      <c r="T36" s="4735"/>
      <c r="U36" s="4735"/>
      <c r="V36" s="4735"/>
      <c r="W36" s="4735"/>
      <c r="X36" s="4735"/>
      <c r="Y36" s="4735"/>
      <c r="Z36" s="4735"/>
      <c r="AA36" s="4735"/>
      <c r="AB36" s="4735"/>
      <c r="AC36" s="4736"/>
    </row>
    <row r="39" spans="1:30" x14ac:dyDescent="0.25">
      <c r="D39" s="71" t="s">
        <v>365</v>
      </c>
      <c r="E39" s="71" t="s">
        <v>1869</v>
      </c>
      <c r="F39" s="548"/>
      <c r="G39" s="751"/>
      <c r="H39" s="751"/>
      <c r="I39" s="751"/>
      <c r="J39" s="751"/>
      <c r="K39" s="751"/>
      <c r="L39" s="751"/>
      <c r="M39" s="751"/>
      <c r="N39" s="751"/>
      <c r="O39" s="751"/>
      <c r="P39" s="751"/>
      <c r="Q39" s="88"/>
      <c r="R39" s="88"/>
    </row>
    <row r="40" spans="1:30" x14ac:dyDescent="0.25">
      <c r="D40" s="2186"/>
      <c r="E40" s="2424">
        <v>1994</v>
      </c>
      <c r="F40" s="2424" t="s">
        <v>396</v>
      </c>
      <c r="G40" s="2424" t="s">
        <v>9</v>
      </c>
      <c r="H40" s="2424" t="s">
        <v>10</v>
      </c>
      <c r="I40" s="2424" t="s">
        <v>11</v>
      </c>
      <c r="J40" s="3155" t="s">
        <v>12</v>
      </c>
      <c r="K40" s="3155" t="s">
        <v>13</v>
      </c>
      <c r="L40" s="2424" t="s">
        <v>14</v>
      </c>
      <c r="M40" s="3099" t="s">
        <v>15</v>
      </c>
      <c r="N40" s="3155" t="s">
        <v>16</v>
      </c>
      <c r="O40" s="3099" t="s">
        <v>17</v>
      </c>
      <c r="P40" s="3099" t="s">
        <v>18</v>
      </c>
      <c r="Q40" s="3099" t="s">
        <v>19</v>
      </c>
      <c r="R40" s="3099" t="s">
        <v>20</v>
      </c>
      <c r="S40" s="3099" t="s">
        <v>21</v>
      </c>
      <c r="T40" s="3099" t="s">
        <v>22</v>
      </c>
      <c r="U40" s="3099" t="s">
        <v>23</v>
      </c>
      <c r="V40" s="3099" t="s">
        <v>24</v>
      </c>
      <c r="W40" s="3099" t="s">
        <v>25</v>
      </c>
      <c r="X40" s="2952" t="s">
        <v>26</v>
      </c>
      <c r="Y40" s="2952" t="s">
        <v>27</v>
      </c>
      <c r="Z40" s="2952" t="s">
        <v>28</v>
      </c>
      <c r="AA40" s="2952" t="s">
        <v>29</v>
      </c>
      <c r="AB40" s="3172" t="s">
        <v>30</v>
      </c>
      <c r="AC40" s="3533" t="s">
        <v>31</v>
      </c>
      <c r="AD40" s="3533" t="s">
        <v>32</v>
      </c>
    </row>
    <row r="41" spans="1:30" x14ac:dyDescent="0.25">
      <c r="D41" s="88" t="s">
        <v>1859</v>
      </c>
      <c r="E41" s="1935">
        <v>596.21430780331923</v>
      </c>
      <c r="F41" s="1935">
        <v>628.89231391176918</v>
      </c>
      <c r="G41" s="1935">
        <v>602.86707629217369</v>
      </c>
      <c r="H41" s="1935">
        <v>611.10328410415855</v>
      </c>
      <c r="I41" s="1935">
        <v>652.69813297770997</v>
      </c>
      <c r="J41" s="1935">
        <v>673.38443050540798</v>
      </c>
      <c r="K41" s="1935">
        <v>693.96165550653086</v>
      </c>
      <c r="L41" s="1935">
        <v>675.27554464906098</v>
      </c>
      <c r="M41" s="1935">
        <v>703.98700093406148</v>
      </c>
      <c r="N41" s="1935">
        <v>645.23084848061387</v>
      </c>
      <c r="O41" s="1935">
        <v>592.79999999999995</v>
      </c>
      <c r="P41" s="1935">
        <v>559.9</v>
      </c>
      <c r="Q41" s="1935">
        <v>526.79999999999995</v>
      </c>
      <c r="R41" s="1935">
        <v>497.1</v>
      </c>
      <c r="S41" s="1935">
        <v>506.5</v>
      </c>
      <c r="T41" s="1935">
        <v>520.20000000000005</v>
      </c>
      <c r="U41" s="1935">
        <v>495.3</v>
      </c>
      <c r="V41" s="1935">
        <v>485.4</v>
      </c>
      <c r="W41" s="1935">
        <v>501.4</v>
      </c>
      <c r="X41" s="1943">
        <v>491.60100457530933</v>
      </c>
      <c r="Y41" s="1944">
        <v>469.82744365139098</v>
      </c>
      <c r="Z41" s="1919">
        <v>456</v>
      </c>
      <c r="AA41" s="1945">
        <f>(246654/55910000)*100000</f>
        <v>441.16258272223217</v>
      </c>
      <c r="AB41" s="1946">
        <f>(228094/56753327)*100000</f>
        <v>401.90419144942814</v>
      </c>
      <c r="AC41" s="1946">
        <f>(220865/57698414)*100000</f>
        <v>382.79215092463369</v>
      </c>
      <c r="AD41" s="1946">
        <f>AD9</f>
        <v>350.99726649496728</v>
      </c>
    </row>
    <row r="42" spans="1:30" x14ac:dyDescent="0.25">
      <c r="D42" s="88" t="s">
        <v>1860</v>
      </c>
      <c r="E42" s="1935">
        <v>225.74992268838264</v>
      </c>
      <c r="F42" s="1935">
        <v>220.7716408105513</v>
      </c>
      <c r="G42" s="1935">
        <v>214.74945047347111</v>
      </c>
      <c r="H42" s="1935">
        <v>219.33054799844541</v>
      </c>
      <c r="I42" s="1935">
        <v>224.50228614974282</v>
      </c>
      <c r="J42" s="1935">
        <v>216.18510779885509</v>
      </c>
      <c r="K42" s="1935">
        <v>209.32479528369225</v>
      </c>
      <c r="L42" s="1935">
        <v>194.36508587793543</v>
      </c>
      <c r="M42" s="1935">
        <v>162.75013248817814</v>
      </c>
      <c r="N42" s="1935">
        <v>139.33183369458916</v>
      </c>
      <c r="O42" s="1935">
        <v>120.3</v>
      </c>
      <c r="P42" s="1935">
        <v>116</v>
      </c>
      <c r="Q42" s="1935">
        <v>123.3</v>
      </c>
      <c r="R42" s="1935">
        <v>131.69999999999999</v>
      </c>
      <c r="S42" s="1935">
        <v>143.80000000000001</v>
      </c>
      <c r="T42" s="1935">
        <v>145.5</v>
      </c>
      <c r="U42" s="1935">
        <v>138.19999999999999</v>
      </c>
      <c r="V42" s="1935">
        <v>138.5</v>
      </c>
      <c r="W42" s="1935">
        <v>140.9</v>
      </c>
      <c r="X42" s="1943">
        <v>138.9</v>
      </c>
      <c r="Y42" s="1944">
        <v>137.69501748029299</v>
      </c>
      <c r="Z42" s="1919">
        <v>136.5</v>
      </c>
      <c r="AA42" s="1945">
        <f>(75618/55910000)*100000</f>
        <v>135.24950813807905</v>
      </c>
      <c r="AB42" s="1946">
        <f>(71195/56753327)*100000</f>
        <v>125.4463901296923</v>
      </c>
      <c r="AC42" s="1946">
        <f>(71224/57698414)*100000</f>
        <v>123.4418679168547</v>
      </c>
      <c r="AD42" s="1946">
        <f>AD10</f>
        <v>118.80555080945069</v>
      </c>
    </row>
    <row r="43" spans="1:30" x14ac:dyDescent="0.25">
      <c r="D43" s="88" t="s">
        <v>1861</v>
      </c>
      <c r="E43" s="1935">
        <v>272.82496649829915</v>
      </c>
      <c r="F43" s="1935">
        <v>249.3026428824094</v>
      </c>
      <c r="G43" s="1935">
        <v>239.83102719910835</v>
      </c>
      <c r="H43" s="1935">
        <v>249.15225417800232</v>
      </c>
      <c r="I43" s="1935">
        <v>255.87730996380265</v>
      </c>
      <c r="J43" s="1935">
        <v>239.32797246045558</v>
      </c>
      <c r="K43" s="1935">
        <v>228.97653531880079</v>
      </c>
      <c r="L43" s="1935">
        <v>216.10771923055933</v>
      </c>
      <c r="M43" s="1935">
        <v>204.89906169680964</v>
      </c>
      <c r="N43" s="1935">
        <v>190.02715730052867</v>
      </c>
      <c r="O43" s="1935">
        <v>180</v>
      </c>
      <c r="P43" s="1935">
        <v>183.3</v>
      </c>
      <c r="Q43" s="1935">
        <v>182.1</v>
      </c>
      <c r="R43" s="1935">
        <v>167.7</v>
      </c>
      <c r="S43" s="1935">
        <v>156</v>
      </c>
      <c r="T43" s="1935">
        <v>145.5</v>
      </c>
      <c r="U43" s="1935">
        <v>129</v>
      </c>
      <c r="V43" s="1935">
        <v>116.8</v>
      </c>
      <c r="W43" s="1935">
        <v>111.7</v>
      </c>
      <c r="X43" s="1943">
        <v>107.3</v>
      </c>
      <c r="Y43" s="1944">
        <v>102.01482709310852</v>
      </c>
      <c r="Z43" s="1919">
        <v>97.9</v>
      </c>
      <c r="AA43" s="1945">
        <f>(53307/55910000)*100000</f>
        <v>95.344303344661057</v>
      </c>
      <c r="AB43" s="1946">
        <f>(50663/56753327)*100000</f>
        <v>89.268775379459242</v>
      </c>
      <c r="AC43" s="1946">
        <f>(48324/57698414)*100000</f>
        <v>83.752735387145989</v>
      </c>
      <c r="AD43" s="1946">
        <f>AD11</f>
        <v>79.963209868033729</v>
      </c>
    </row>
    <row r="44" spans="1:30" x14ac:dyDescent="0.25">
      <c r="D44" s="88" t="s">
        <v>1870</v>
      </c>
      <c r="E44" s="1935">
        <v>472.54664467580665</v>
      </c>
      <c r="F44" s="1935">
        <v>484.69604325635459</v>
      </c>
      <c r="G44" s="1935">
        <v>430.40813582382208</v>
      </c>
      <c r="H44" s="1935">
        <v>435.26768363777688</v>
      </c>
      <c r="I44" s="1935">
        <v>452.53143455896355</v>
      </c>
      <c r="J44" s="1935">
        <v>453.87096812404855</v>
      </c>
      <c r="K44" s="1935">
        <v>459.03351575077238</v>
      </c>
      <c r="L44" s="1935">
        <v>444.62960079811188</v>
      </c>
      <c r="M44" s="1935">
        <v>430.9847915363859</v>
      </c>
      <c r="N44" s="1935">
        <v>370.77113095456895</v>
      </c>
      <c r="O44" s="1935">
        <v>318.8</v>
      </c>
      <c r="P44" s="1935">
        <v>296.60000000000002</v>
      </c>
      <c r="Q44" s="1935">
        <v>261.7</v>
      </c>
      <c r="R44" s="1935">
        <v>233.4</v>
      </c>
      <c r="S44" s="1935">
        <v>225</v>
      </c>
      <c r="T44" s="1935">
        <v>245.1</v>
      </c>
      <c r="U44" s="1935">
        <v>246.2</v>
      </c>
      <c r="V44" s="1935">
        <v>257.89999999999998</v>
      </c>
      <c r="W44" s="1935">
        <v>267.2</v>
      </c>
      <c r="X44" s="1943">
        <v>271.39999999999998</v>
      </c>
      <c r="Y44" s="1944">
        <v>269.17174145217041</v>
      </c>
      <c r="Z44" s="1919">
        <v>253.6</v>
      </c>
      <c r="AA44" s="1945">
        <f>(138172/55910000)*100000</f>
        <v>247.13289214809515</v>
      </c>
      <c r="AB44" s="1946">
        <f>(129174/56753327)*100000</f>
        <v>227.60603973049896</v>
      </c>
      <c r="AC44" s="1946">
        <f>(125076/57698414)*100000</f>
        <v>216.77545590767883</v>
      </c>
      <c r="AD44" s="1946">
        <f>AD12</f>
        <v>201.45970734063366</v>
      </c>
    </row>
    <row r="45" spans="1:30" x14ac:dyDescent="0.25">
      <c r="D45" s="88" t="s">
        <v>1863</v>
      </c>
      <c r="E45" s="1935">
        <v>121.86114833522318</v>
      </c>
      <c r="F45" s="1935">
        <v>109.73015311536712</v>
      </c>
      <c r="G45" s="1935">
        <v>103.47043617869724</v>
      </c>
      <c r="H45" s="1935">
        <v>100.983773804897</v>
      </c>
      <c r="I45" s="1935">
        <v>98.80929700895409</v>
      </c>
      <c r="J45" s="1935">
        <v>96.22498394876034</v>
      </c>
      <c r="K45" s="1935">
        <v>95.079169959029386</v>
      </c>
      <c r="L45" s="1935">
        <v>92.894257530682111</v>
      </c>
      <c r="M45" s="1935">
        <v>102.69923872319238</v>
      </c>
      <c r="N45" s="1935">
        <v>88.979293692874379</v>
      </c>
      <c r="O45" s="1935">
        <v>70.099999999999994</v>
      </c>
      <c r="P45" s="1935">
        <v>61.3</v>
      </c>
      <c r="Q45" s="1935">
        <v>60.8</v>
      </c>
      <c r="R45" s="1935">
        <v>60.1</v>
      </c>
      <c r="S45" s="1935">
        <v>61.7</v>
      </c>
      <c r="T45" s="1935">
        <v>65.7</v>
      </c>
      <c r="U45" s="1935">
        <v>60.3</v>
      </c>
      <c r="V45" s="1935">
        <v>61.2</v>
      </c>
      <c r="W45" s="1935">
        <v>57.2</v>
      </c>
      <c r="X45" s="1943">
        <v>52.9</v>
      </c>
      <c r="Y45" s="1944">
        <v>46.229808647294504</v>
      </c>
      <c r="Z45" s="1919">
        <v>45</v>
      </c>
      <c r="AA45" s="1944">
        <f>(26902/55910000)*100000</f>
        <v>48.116615989983899</v>
      </c>
      <c r="AB45" s="1946">
        <f>(28849/56753327)*100000</f>
        <v>50.832262221384831</v>
      </c>
      <c r="AC45" s="1946">
        <f>(29672/57698414)*100000</f>
        <v>51.426023599192867</v>
      </c>
      <c r="AD45" s="1946">
        <f>AD13</f>
        <v>48.43022309903418</v>
      </c>
    </row>
    <row r="46" spans="1:30" s="510" customFormat="1" ht="12.75" x14ac:dyDescent="0.2">
      <c r="A46" s="309"/>
      <c r="B46" s="309"/>
      <c r="C46" s="309"/>
      <c r="X46" s="1947"/>
      <c r="Y46" s="1947"/>
      <c r="Z46" s="1947"/>
      <c r="AA46" s="1947"/>
      <c r="AB46" s="1947"/>
      <c r="AC46" s="1948"/>
    </row>
    <row r="47" spans="1:30" s="510" customFormat="1" ht="12.75" x14ac:dyDescent="0.2">
      <c r="A47" s="309"/>
      <c r="B47" s="309"/>
      <c r="C47" s="309"/>
      <c r="G47" s="1949"/>
      <c r="H47" s="1949"/>
      <c r="J47" s="1950"/>
      <c r="K47" s="1949"/>
      <c r="L47" s="1949"/>
      <c r="M47" s="1949"/>
      <c r="X47" s="1947"/>
      <c r="Y47" s="1947"/>
      <c r="Z47" s="1947"/>
      <c r="AA47" s="1947"/>
      <c r="AB47" s="1947"/>
    </row>
    <row r="48" spans="1:30" s="510" customFormat="1" x14ac:dyDescent="0.25">
      <c r="A48" s="309"/>
      <c r="B48" s="1951"/>
      <c r="C48" s="1951"/>
      <c r="D48" s="71" t="s">
        <v>365</v>
      </c>
      <c r="E48" s="71" t="s">
        <v>1869</v>
      </c>
      <c r="F48" s="548"/>
      <c r="G48" s="751"/>
      <c r="H48" s="751"/>
      <c r="I48" s="751"/>
      <c r="J48" s="751"/>
      <c r="K48" s="751"/>
      <c r="L48" s="751"/>
      <c r="M48" s="751"/>
      <c r="N48" s="751"/>
      <c r="O48" s="751"/>
      <c r="P48" s="751"/>
      <c r="Q48" s="88"/>
      <c r="R48" s="88"/>
      <c r="S48" s="113"/>
      <c r="T48" s="113"/>
      <c r="U48" s="113"/>
      <c r="V48" s="113"/>
      <c r="X48" s="1947"/>
      <c r="Y48" s="1947"/>
      <c r="Z48" s="1947"/>
      <c r="AA48" s="1947"/>
      <c r="AB48" s="1947"/>
    </row>
    <row r="49" spans="1:30" s="510" customFormat="1" ht="12.75" x14ac:dyDescent="0.2">
      <c r="A49" s="309"/>
      <c r="B49" s="1951"/>
      <c r="C49" s="1951"/>
      <c r="D49" s="2186"/>
      <c r="E49" s="2424" t="s">
        <v>395</v>
      </c>
      <c r="F49" s="2424" t="s">
        <v>396</v>
      </c>
      <c r="G49" s="2424" t="s">
        <v>9</v>
      </c>
      <c r="H49" s="2424" t="s">
        <v>10</v>
      </c>
      <c r="I49" s="2424" t="s">
        <v>11</v>
      </c>
      <c r="J49" s="3155" t="s">
        <v>12</v>
      </c>
      <c r="K49" s="3155" t="s">
        <v>13</v>
      </c>
      <c r="L49" s="2424" t="s">
        <v>14</v>
      </c>
      <c r="M49" s="3099" t="s">
        <v>15</v>
      </c>
      <c r="N49" s="3155" t="s">
        <v>16</v>
      </c>
      <c r="O49" s="3155" t="s">
        <v>17</v>
      </c>
      <c r="P49" s="2424" t="s">
        <v>18</v>
      </c>
      <c r="Q49" s="3155" t="s">
        <v>19</v>
      </c>
      <c r="R49" s="3155" t="s">
        <v>20</v>
      </c>
      <c r="S49" s="3155" t="s">
        <v>21</v>
      </c>
      <c r="T49" s="3155" t="s">
        <v>22</v>
      </c>
      <c r="U49" s="3155" t="s">
        <v>23</v>
      </c>
      <c r="V49" s="3155" t="s">
        <v>24</v>
      </c>
      <c r="W49" s="3099" t="s">
        <v>25</v>
      </c>
      <c r="X49" s="2952" t="s">
        <v>26</v>
      </c>
      <c r="Y49" s="2952" t="s">
        <v>27</v>
      </c>
      <c r="Z49" s="2952" t="s">
        <v>28</v>
      </c>
      <c r="AA49" s="2952" t="s">
        <v>29</v>
      </c>
      <c r="AB49" s="3172" t="s">
        <v>30</v>
      </c>
      <c r="AC49" s="3533" t="s">
        <v>31</v>
      </c>
      <c r="AD49" s="3533" t="s">
        <v>32</v>
      </c>
    </row>
    <row r="50" spans="1:30" s="510" customFormat="1" ht="12.75" x14ac:dyDescent="0.2">
      <c r="A50" s="309"/>
      <c r="B50" s="1951"/>
      <c r="C50" s="1951"/>
      <c r="D50" s="88" t="s">
        <v>1859</v>
      </c>
      <c r="E50" s="1952">
        <f>E41/E41*100</f>
        <v>100</v>
      </c>
      <c r="F50" s="1953">
        <f>F41/E41*100</f>
        <v>105.48091612038768</v>
      </c>
      <c r="G50" s="1953">
        <f>G41/E41*100</f>
        <v>101.11583509516331</v>
      </c>
      <c r="H50" s="1953">
        <f>H41/E41*100</f>
        <v>102.49725243188075</v>
      </c>
      <c r="I50" s="1953">
        <f>I41/E41*100</f>
        <v>109.47374533538094</v>
      </c>
      <c r="J50" s="1953">
        <f>J41/E41*100</f>
        <v>112.94335303465172</v>
      </c>
      <c r="K50" s="1953">
        <f>K41/E41*100</f>
        <v>116.39466655259416</v>
      </c>
      <c r="L50" s="1953">
        <f>L41/E41*100</f>
        <v>113.26054001237131</v>
      </c>
      <c r="M50" s="1953">
        <f>M41/E41*100</f>
        <v>118.07616686151292</v>
      </c>
      <c r="N50" s="1953">
        <f>N41/E41*100</f>
        <v>108.2212956039063</v>
      </c>
      <c r="O50" s="1953">
        <f>O41/E41*100</f>
        <v>99.427335480106322</v>
      </c>
      <c r="P50" s="1953">
        <f>P41/E41*100</f>
        <v>93.909185450930394</v>
      </c>
      <c r="Q50" s="1953">
        <f>Q41/E41*100</f>
        <v>88.35749043677464</v>
      </c>
      <c r="R50" s="1953">
        <f>R41/E41*100</f>
        <v>83.376060167275398</v>
      </c>
      <c r="S50" s="1953">
        <f>S41/E41*100</f>
        <v>84.952674461325671</v>
      </c>
      <c r="T50" s="1953">
        <f>T41/E41*100</f>
        <v>87.250505932441484</v>
      </c>
      <c r="U50" s="1953">
        <f>U41/E41*100</f>
        <v>83.074155302457271</v>
      </c>
      <c r="V50" s="1953">
        <f>V41/E41*100</f>
        <v>81.413678545957509</v>
      </c>
      <c r="W50" s="1953">
        <f>W41/E41*100</f>
        <v>84.097277344340952</v>
      </c>
      <c r="X50" s="1954">
        <f>X41/E41*100</f>
        <v>82.453741572649406</v>
      </c>
      <c r="Y50" s="1954">
        <f>Y41/E41*100</f>
        <v>78.801772701902166</v>
      </c>
      <c r="Z50" s="1955">
        <f>Z41/E41*100</f>
        <v>76.482565753927943</v>
      </c>
      <c r="AA50" s="1955">
        <f>AA41/E41*100</f>
        <v>73.99396105531973</v>
      </c>
      <c r="AB50" s="1955">
        <f>AB41/E41*100</f>
        <v>67.40935032743451</v>
      </c>
      <c r="AC50" s="1956">
        <f>AC41/F41*100</f>
        <v>60.867678369867583</v>
      </c>
      <c r="AD50" s="1956">
        <f>AD41/G41*100</f>
        <v>58.22133606195802</v>
      </c>
    </row>
    <row r="51" spans="1:30" s="510" customFormat="1" ht="12.75" x14ac:dyDescent="0.2">
      <c r="A51" s="309"/>
      <c r="B51" s="1951"/>
      <c r="C51" s="1951"/>
      <c r="D51" s="88" t="s">
        <v>1860</v>
      </c>
      <c r="E51" s="1952">
        <f>E42/E42*100</f>
        <v>100</v>
      </c>
      <c r="F51" s="1953">
        <f>F42/E42*100</f>
        <v>97.794780251285758</v>
      </c>
      <c r="G51" s="1953">
        <f>G42/E42*100</f>
        <v>95.12714242206134</v>
      </c>
      <c r="H51" s="1953">
        <f>H42/E42*100</f>
        <v>97.156422197850176</v>
      </c>
      <c r="I51" s="1953">
        <f>I42/E42*100</f>
        <v>99.447336892176025</v>
      </c>
      <c r="J51" s="1953">
        <f>J42/E42*100</f>
        <v>95.76309272861613</v>
      </c>
      <c r="K51" s="1953">
        <f>K42/E42*100</f>
        <v>92.724193563794458</v>
      </c>
      <c r="L51" s="1953">
        <f>L42/E42*100</f>
        <v>86.097520461271756</v>
      </c>
      <c r="M51" s="1953">
        <f>M42/E42*100</f>
        <v>72.093106633233617</v>
      </c>
      <c r="N51" s="1953">
        <f>N42/E42*100</f>
        <v>61.719548797772127</v>
      </c>
      <c r="O51" s="1953">
        <f>O42/E42*100</f>
        <v>53.289054794520553</v>
      </c>
      <c r="P51" s="1953">
        <f>P42/E42*100</f>
        <v>51.384292237442921</v>
      </c>
      <c r="Q51" s="1953">
        <f>Q42/E42*100</f>
        <v>54.617958904109585</v>
      </c>
      <c r="R51" s="1953">
        <f>R42/E42*100</f>
        <v>58.338890410958896</v>
      </c>
      <c r="S51" s="1953">
        <f>S42/E42*100</f>
        <v>63.698803652968039</v>
      </c>
      <c r="T51" s="1953">
        <f>T42/E42*100</f>
        <v>64.4518493150685</v>
      </c>
      <c r="U51" s="1953">
        <f>U42/E42*100</f>
        <v>61.218182648401822</v>
      </c>
      <c r="V51" s="1953">
        <f>V42/E42*100</f>
        <v>61.351073059360729</v>
      </c>
      <c r="W51" s="1953">
        <f>W42/E42*100</f>
        <v>62.414196347031968</v>
      </c>
      <c r="X51" s="1954">
        <f>X42/E42*100</f>
        <v>61.528260273972599</v>
      </c>
      <c r="Y51" s="1954">
        <f>Y42/E42*100</f>
        <v>60.994491533165409</v>
      </c>
      <c r="Z51" s="1955">
        <f>Z42/E42*100</f>
        <v>60.465136986301374</v>
      </c>
      <c r="AA51" s="1955">
        <f>AA42/E42*100</f>
        <v>59.911209061529902</v>
      </c>
      <c r="AB51" s="1955">
        <f t="shared" ref="AB51:AC54" si="1">AB42/E42*100</f>
        <v>55.568741125486078</v>
      </c>
      <c r="AC51" s="1956">
        <f t="shared" si="1"/>
        <v>55.913824558101965</v>
      </c>
      <c r="AD51" s="1956">
        <f>AD42/G42*100</f>
        <v>55.322866041106465</v>
      </c>
    </row>
    <row r="52" spans="1:30" s="510" customFormat="1" ht="12.75" x14ac:dyDescent="0.2">
      <c r="A52" s="309"/>
      <c r="B52" s="1951"/>
      <c r="C52" s="1951"/>
      <c r="D52" s="88" t="s">
        <v>1871</v>
      </c>
      <c r="E52" s="1952">
        <f>E43/E43*100</f>
        <v>100</v>
      </c>
      <c r="F52" s="1953">
        <f>F43/E43*100</f>
        <v>91.37823641369846</v>
      </c>
      <c r="G52" s="1953">
        <f>G43/E43*100</f>
        <v>87.906554256134584</v>
      </c>
      <c r="H52" s="1953">
        <f>H43/E43*100</f>
        <v>91.323113634307219</v>
      </c>
      <c r="I52" s="1953">
        <f>I43/E43*100</f>
        <v>93.788084444023127</v>
      </c>
      <c r="J52" s="1953">
        <f>J43/E43*100</f>
        <v>87.722166901447281</v>
      </c>
      <c r="K52" s="1953">
        <f>K43/E43*100</f>
        <v>83.927999060242996</v>
      </c>
      <c r="L52" s="1953">
        <f>L43/E43*100</f>
        <v>79.21112279579684</v>
      </c>
      <c r="M52" s="1953">
        <f>M43/E43*100</f>
        <v>75.102753361132386</v>
      </c>
      <c r="N52" s="1953">
        <f>N43/E43*100</f>
        <v>69.651674382855049</v>
      </c>
      <c r="O52" s="1953">
        <f>O43/E43*100</f>
        <v>65.976366573153115</v>
      </c>
      <c r="P52" s="1953">
        <f>P43/E43*100</f>
        <v>67.185933293660909</v>
      </c>
      <c r="Q52" s="1953">
        <f>Q43/E43*100</f>
        <v>66.746090849839888</v>
      </c>
      <c r="R52" s="1953">
        <f>R43/E43*100</f>
        <v>61.467981523987639</v>
      </c>
      <c r="S52" s="1953">
        <f>S43/E43*100</f>
        <v>57.179517696732695</v>
      </c>
      <c r="T52" s="1953">
        <f>T43/E43*100</f>
        <v>53.330896313298759</v>
      </c>
      <c r="U52" s="1953">
        <f>U43/E43*100</f>
        <v>47.283062710759729</v>
      </c>
      <c r="V52" s="1953">
        <f>V43/E43*100</f>
        <v>42.811331198579353</v>
      </c>
      <c r="W52" s="1953">
        <f>W43/E43*100</f>
        <v>40.942000812340012</v>
      </c>
      <c r="X52" s="1954">
        <f>X43/E43*100</f>
        <v>39.329245184996267</v>
      </c>
      <c r="Y52" s="1954">
        <f>Y43/E43*100</f>
        <v>37.392042378843101</v>
      </c>
      <c r="Z52" s="1955">
        <f>Z43/E43*100</f>
        <v>35.883812708398274</v>
      </c>
      <c r="AA52" s="1955">
        <f>AA43/E43*100</f>
        <v>34.947059489607028</v>
      </c>
      <c r="AB52" s="1955">
        <f t="shared" si="1"/>
        <v>32.7201635998426</v>
      </c>
      <c r="AC52" s="1956">
        <f t="shared" si="1"/>
        <v>33.594804458872233</v>
      </c>
      <c r="AD52" s="1956">
        <f>AD43/G43*100</f>
        <v>33.341478290733448</v>
      </c>
    </row>
    <row r="53" spans="1:30" s="510" customFormat="1" ht="12.75" x14ac:dyDescent="0.2">
      <c r="A53" s="309"/>
      <c r="B53" s="309"/>
      <c r="C53" s="309"/>
      <c r="D53" s="88" t="s">
        <v>1862</v>
      </c>
      <c r="E53" s="1952">
        <f>E44/E44*100</f>
        <v>100</v>
      </c>
      <c r="F53" s="1953">
        <f>F44/E44*100</f>
        <v>102.57104747593395</v>
      </c>
      <c r="G53" s="1953">
        <f>G44/E44*100</f>
        <v>91.082677376559531</v>
      </c>
      <c r="H53" s="1953">
        <f>H44/E44*100</f>
        <v>92.111051584419741</v>
      </c>
      <c r="I53" s="1953">
        <f>I44/E44*100</f>
        <v>95.764394829091486</v>
      </c>
      <c r="J53" s="1953">
        <f>J44/E44*100</f>
        <v>96.047866012344528</v>
      </c>
      <c r="K53" s="1953">
        <f>K44/E44*100</f>
        <v>97.140360834790172</v>
      </c>
      <c r="L53" s="1953">
        <f>L44/E44*100</f>
        <v>94.09221413542204</v>
      </c>
      <c r="M53" s="1953">
        <f>M44/E44*100</f>
        <v>91.204708866796736</v>
      </c>
      <c r="N53" s="1953">
        <f>N44/E44*100</f>
        <v>78.462334910649645</v>
      </c>
      <c r="O53" s="1953">
        <f>O44/E44*100</f>
        <v>67.464239476023494</v>
      </c>
      <c r="P53" s="1953">
        <f>P44/E44*100</f>
        <v>62.766290553916463</v>
      </c>
      <c r="Q53" s="1953">
        <f>Q44/E44*100</f>
        <v>55.380776257450904</v>
      </c>
      <c r="R53" s="1953">
        <f>R44/E44*100</f>
        <v>49.391949478368517</v>
      </c>
      <c r="S53" s="1953">
        <f>S44/E44*100</f>
        <v>47.614347183517211</v>
      </c>
      <c r="T53" s="1953">
        <f>T44/E44*100</f>
        <v>51.867895531911415</v>
      </c>
      <c r="U53" s="1953">
        <f>U44/E44*100</f>
        <v>52.100676784808599</v>
      </c>
      <c r="V53" s="1953">
        <f>V44/E44*100</f>
        <v>54.576622838351497</v>
      </c>
      <c r="W53" s="1953">
        <f>W44/E44*100</f>
        <v>56.544682521936871</v>
      </c>
      <c r="X53" s="1954">
        <f>X44/E44*100</f>
        <v>57.433483669362531</v>
      </c>
      <c r="Y53" s="1954">
        <f>Y44/E44*100</f>
        <v>56.961941108869205</v>
      </c>
      <c r="Z53" s="1955">
        <f>Z44/E44*100</f>
        <v>53.666659758844283</v>
      </c>
      <c r="AA53" s="1955">
        <f>AA44/E44*100</f>
        <v>52.298094787582741</v>
      </c>
      <c r="AB53" s="1955">
        <f t="shared" si="1"/>
        <v>48.165835541303949</v>
      </c>
      <c r="AC53" s="1956">
        <f t="shared" si="1"/>
        <v>44.72399948869127</v>
      </c>
      <c r="AD53" s="1956">
        <f>AD44/G44*100</f>
        <v>46.806668037310679</v>
      </c>
    </row>
    <row r="54" spans="1:30" s="510" customFormat="1" ht="12.75" x14ac:dyDescent="0.2">
      <c r="A54" s="309"/>
      <c r="B54" s="309"/>
      <c r="C54" s="309"/>
      <c r="D54" s="95" t="s">
        <v>1863</v>
      </c>
      <c r="E54" s="1957">
        <f>E45/E45*100</f>
        <v>100</v>
      </c>
      <c r="F54" s="1958">
        <f>F45/E45*100</f>
        <v>90.045231490445687</v>
      </c>
      <c r="G54" s="1958">
        <f>G45/E45*100</f>
        <v>84.908469674078873</v>
      </c>
      <c r="H54" s="1958">
        <f>H45/E45*100</f>
        <v>82.867899395716009</v>
      </c>
      <c r="I54" s="1958">
        <f>I45/E45*100</f>
        <v>81.083510502579031</v>
      </c>
      <c r="J54" s="1958">
        <f>J45/E45*100</f>
        <v>78.9628074766362</v>
      </c>
      <c r="K54" s="1958">
        <f>K45/E45*100</f>
        <v>78.022545542964792</v>
      </c>
      <c r="L54" s="1958">
        <f>L45/E45*100</f>
        <v>76.229593106363026</v>
      </c>
      <c r="M54" s="1958">
        <f>M45/E45*100</f>
        <v>84.275620348399286</v>
      </c>
      <c r="N54" s="1958">
        <f>N45/E45*100</f>
        <v>73.01694995365105</v>
      </c>
      <c r="O54" s="1958">
        <f>O45/E45*100</f>
        <v>57.524486645378218</v>
      </c>
      <c r="P54" s="1958">
        <f>P45/E45*100</f>
        <v>50.303153086471966</v>
      </c>
      <c r="Q54" s="1958">
        <f>Q45/E45*100</f>
        <v>49.892850043352297</v>
      </c>
      <c r="R54" s="1958">
        <f>R45/E45*100</f>
        <v>49.318425782984754</v>
      </c>
      <c r="S54" s="1958">
        <f>S45/E45*100</f>
        <v>50.6313955209677</v>
      </c>
      <c r="T54" s="1958">
        <f>T45/E45*100</f>
        <v>53.913819865925092</v>
      </c>
      <c r="U54" s="1958">
        <f>U45/E45*100</f>
        <v>49.482547000232621</v>
      </c>
      <c r="V54" s="1958">
        <f>V45/E45*100</f>
        <v>50.221092477848039</v>
      </c>
      <c r="W54" s="1958">
        <f>W45/E45*100</f>
        <v>46.938668132890648</v>
      </c>
      <c r="X54" s="1959">
        <f>X45/E45*100</f>
        <v>43.410061962061455</v>
      </c>
      <c r="Y54" s="1959">
        <f>Y45/E45*100</f>
        <v>37.936462341650262</v>
      </c>
      <c r="Z54" s="1959">
        <f>Z45/E45*100</f>
        <v>36.927273880770613</v>
      </c>
      <c r="AA54" s="1959">
        <f>AA45/E45*100</f>
        <v>39.484787930622268</v>
      </c>
      <c r="AB54" s="1959">
        <f t="shared" si="1"/>
        <v>41.713263756182819</v>
      </c>
      <c r="AC54" s="1960">
        <f t="shared" si="1"/>
        <v>46.865899790666496</v>
      </c>
      <c r="AD54" s="1961">
        <f>AD45/G45*100</f>
        <v>46.805855747426648</v>
      </c>
    </row>
    <row r="55" spans="1:30" s="510" customFormat="1" ht="12.75" x14ac:dyDescent="0.2">
      <c r="A55" s="309"/>
      <c r="B55" s="309"/>
      <c r="C55" s="309"/>
      <c r="G55" s="1949"/>
      <c r="H55" s="1949"/>
      <c r="J55" s="1950"/>
      <c r="K55" s="1949"/>
      <c r="L55" s="1949"/>
      <c r="M55" s="1949"/>
      <c r="AB55" s="1962"/>
    </row>
    <row r="56" spans="1:30" s="510" customFormat="1" ht="12.75" x14ac:dyDescent="0.2">
      <c r="A56" s="309"/>
      <c r="B56" s="1963"/>
      <c r="C56" s="1963"/>
      <c r="D56" s="1964"/>
      <c r="E56" s="1964"/>
      <c r="F56" s="1964"/>
      <c r="G56" s="1964"/>
      <c r="H56" s="1964"/>
      <c r="I56" s="1964"/>
      <c r="J56" s="1964"/>
      <c r="K56" s="1964"/>
      <c r="L56" s="1964"/>
      <c r="M56" s="1964"/>
    </row>
    <row r="57" spans="1:30" s="510" customFormat="1" ht="12.75" x14ac:dyDescent="0.2">
      <c r="A57" s="309"/>
      <c r="B57" s="1963"/>
      <c r="C57" s="1963"/>
      <c r="D57" s="1964"/>
      <c r="E57" s="1964"/>
      <c r="F57" s="1964"/>
      <c r="G57" s="1964"/>
      <c r="H57" s="1964"/>
      <c r="I57" s="1964"/>
      <c r="J57" s="1964"/>
      <c r="K57" s="1964"/>
      <c r="L57" s="1964"/>
      <c r="M57" s="1964"/>
    </row>
    <row r="58" spans="1:30" s="510" customFormat="1" ht="12.75" x14ac:dyDescent="0.2">
      <c r="A58" s="309"/>
      <c r="B58" s="1963"/>
      <c r="C58" s="1963"/>
      <c r="D58" s="1964"/>
      <c r="E58" s="1964"/>
      <c r="F58" s="1964"/>
      <c r="G58" s="1964"/>
      <c r="H58" s="1964"/>
      <c r="I58" s="1964"/>
      <c r="J58" s="1964"/>
      <c r="K58" s="1964"/>
      <c r="L58" s="1964"/>
      <c r="M58" s="1964"/>
    </row>
    <row r="59" spans="1:30" s="510" customFormat="1" ht="12.75" x14ac:dyDescent="0.2">
      <c r="A59" s="309"/>
      <c r="B59" s="1963"/>
      <c r="C59" s="1963"/>
      <c r="D59" s="1964"/>
      <c r="E59" s="1964"/>
      <c r="F59" s="1964"/>
      <c r="G59" s="1964"/>
      <c r="H59" s="1964"/>
      <c r="I59" s="1964"/>
      <c r="J59" s="1964"/>
      <c r="K59" s="1964"/>
      <c r="L59" s="1964"/>
      <c r="M59" s="1964"/>
    </row>
    <row r="60" spans="1:30" s="510" customFormat="1" ht="12.75" x14ac:dyDescent="0.2">
      <c r="A60" s="309"/>
      <c r="B60" s="1963"/>
      <c r="C60" s="1963"/>
      <c r="D60" s="1964"/>
      <c r="E60" s="1964"/>
      <c r="F60" s="1964"/>
      <c r="G60" s="1964"/>
      <c r="H60" s="1964"/>
      <c r="I60" s="1964"/>
      <c r="J60" s="1964"/>
      <c r="K60" s="1964"/>
      <c r="L60" s="1964"/>
      <c r="M60" s="1964"/>
    </row>
    <row r="61" spans="1:30" s="510" customFormat="1" ht="12.75" x14ac:dyDescent="0.2">
      <c r="A61" s="309"/>
      <c r="B61" s="1963"/>
      <c r="C61" s="1963"/>
      <c r="D61" s="1964"/>
      <c r="E61" s="1964"/>
      <c r="F61" s="1964"/>
      <c r="G61" s="1964"/>
      <c r="H61" s="1964"/>
      <c r="I61" s="1964"/>
      <c r="J61" s="1964"/>
      <c r="K61" s="1964"/>
      <c r="L61" s="1964"/>
      <c r="M61" s="1964"/>
    </row>
    <row r="62" spans="1:30" s="510" customFormat="1" ht="12.75" x14ac:dyDescent="0.2">
      <c r="A62" s="309"/>
      <c r="B62" s="1963"/>
      <c r="C62" s="1963"/>
      <c r="D62" s="1964"/>
      <c r="E62" s="1964"/>
      <c r="F62" s="1964"/>
      <c r="G62" s="1964"/>
      <c r="H62" s="1964"/>
      <c r="I62" s="1964"/>
      <c r="J62" s="1964"/>
      <c r="K62" s="1964"/>
      <c r="L62" s="1964"/>
      <c r="M62" s="1964"/>
    </row>
    <row r="63" spans="1:30" s="510" customFormat="1" ht="12.75" x14ac:dyDescent="0.2">
      <c r="A63" s="309"/>
      <c r="B63" s="1963"/>
      <c r="C63" s="1963"/>
      <c r="D63" s="1964"/>
      <c r="E63" s="1964"/>
      <c r="F63" s="1964"/>
      <c r="G63" s="1964"/>
      <c r="H63" s="1964"/>
      <c r="I63" s="1964"/>
      <c r="J63" s="1964"/>
      <c r="K63" s="1964"/>
      <c r="L63" s="1964"/>
      <c r="M63" s="1964"/>
    </row>
    <row r="64" spans="1:30" s="510" customFormat="1" ht="12.75" x14ac:dyDescent="0.2">
      <c r="A64" s="309"/>
      <c r="B64" s="1963"/>
      <c r="C64" s="1963"/>
      <c r="D64" s="1964"/>
      <c r="E64" s="1964"/>
      <c r="F64" s="1964"/>
      <c r="G64" s="1964"/>
      <c r="H64" s="1964"/>
      <c r="I64" s="1964"/>
      <c r="J64" s="1964"/>
      <c r="K64" s="1964"/>
      <c r="L64" s="1964"/>
      <c r="M64" s="1964"/>
    </row>
    <row r="65" spans="1:13" s="510" customFormat="1" ht="12.75" x14ac:dyDescent="0.2">
      <c r="A65" s="309"/>
      <c r="B65" s="1963"/>
      <c r="C65" s="1963"/>
      <c r="D65" s="1964"/>
      <c r="E65" s="1964"/>
      <c r="F65" s="1964"/>
      <c r="G65" s="1964"/>
      <c r="H65" s="1964"/>
      <c r="I65" s="1964"/>
      <c r="J65" s="1964"/>
      <c r="K65" s="1964"/>
      <c r="L65" s="1964"/>
      <c r="M65" s="1964"/>
    </row>
    <row r="66" spans="1:13" s="510" customFormat="1" ht="12.75" x14ac:dyDescent="0.2">
      <c r="A66" s="309"/>
      <c r="B66" s="1963"/>
      <c r="C66" s="1963"/>
      <c r="D66" s="1964"/>
      <c r="E66" s="1964"/>
      <c r="F66" s="1964"/>
      <c r="G66" s="1964"/>
      <c r="H66" s="1964"/>
      <c r="I66" s="1964"/>
      <c r="J66" s="1964"/>
      <c r="K66" s="1964"/>
      <c r="L66" s="1964"/>
      <c r="M66" s="1964"/>
    </row>
    <row r="67" spans="1:13" s="510" customFormat="1" ht="12.75" x14ac:dyDescent="0.2">
      <c r="A67" s="309"/>
      <c r="B67" s="1963"/>
      <c r="C67" s="1963"/>
      <c r="D67" s="1964"/>
      <c r="E67" s="1964"/>
      <c r="F67" s="1964"/>
      <c r="G67" s="1964"/>
      <c r="H67" s="1964"/>
      <c r="I67" s="1964"/>
      <c r="J67" s="1964"/>
      <c r="K67" s="1964"/>
      <c r="L67" s="1964"/>
      <c r="M67" s="1964"/>
    </row>
    <row r="68" spans="1:13" s="510" customFormat="1" ht="12.75" x14ac:dyDescent="0.2">
      <c r="A68" s="309"/>
      <c r="B68" s="1963"/>
      <c r="C68" s="1963"/>
      <c r="D68" s="1964"/>
      <c r="E68" s="1964"/>
      <c r="F68" s="1964"/>
      <c r="G68" s="1964"/>
      <c r="H68" s="1964"/>
      <c r="I68" s="1964"/>
      <c r="J68" s="1964"/>
      <c r="K68" s="1964"/>
      <c r="L68" s="1964"/>
      <c r="M68" s="1964"/>
    </row>
    <row r="69" spans="1:13" s="510" customFormat="1" ht="12.75" x14ac:dyDescent="0.2">
      <c r="A69" s="309"/>
      <c r="B69" s="1963"/>
      <c r="C69" s="1963"/>
      <c r="D69" s="1964"/>
      <c r="E69" s="1964"/>
      <c r="F69" s="1964"/>
      <c r="G69" s="1964"/>
      <c r="H69" s="1964"/>
      <c r="I69" s="1964"/>
      <c r="J69" s="1964"/>
      <c r="K69" s="1964"/>
      <c r="L69" s="1964"/>
      <c r="M69" s="1964"/>
    </row>
    <row r="70" spans="1:13" s="510" customFormat="1" ht="12.75" x14ac:dyDescent="0.2">
      <c r="A70" s="309"/>
      <c r="B70" s="1963"/>
      <c r="C70" s="1963"/>
      <c r="D70" s="1964"/>
      <c r="E70" s="1964"/>
      <c r="F70" s="1964"/>
      <c r="G70" s="1964"/>
      <c r="H70" s="1964"/>
      <c r="I70" s="1964"/>
      <c r="J70" s="1964"/>
      <c r="K70" s="1964"/>
      <c r="L70" s="1964"/>
      <c r="M70" s="1964"/>
    </row>
    <row r="71" spans="1:13" s="510" customFormat="1" ht="12.75" x14ac:dyDescent="0.2">
      <c r="A71" s="309"/>
      <c r="B71" s="1963"/>
      <c r="C71" s="1963"/>
      <c r="D71" s="1964"/>
      <c r="E71" s="1964"/>
      <c r="F71" s="1964"/>
      <c r="G71" s="1964"/>
      <c r="H71" s="1964"/>
      <c r="I71" s="1964"/>
      <c r="J71" s="1964"/>
      <c r="K71" s="1964"/>
      <c r="L71" s="1964"/>
      <c r="M71" s="1964"/>
    </row>
    <row r="72" spans="1:13" s="510" customFormat="1" ht="12.75" x14ac:dyDescent="0.2">
      <c r="A72" s="309"/>
      <c r="B72" s="1963"/>
      <c r="C72" s="1963"/>
      <c r="D72" s="1964"/>
      <c r="E72" s="1964"/>
      <c r="F72" s="1964"/>
      <c r="G72" s="1964"/>
      <c r="H72" s="1964"/>
      <c r="I72" s="1964"/>
      <c r="J72" s="1964"/>
      <c r="K72" s="1964"/>
      <c r="L72" s="1964"/>
      <c r="M72" s="1964"/>
    </row>
    <row r="73" spans="1:13" s="510" customFormat="1" ht="12.75" x14ac:dyDescent="0.2">
      <c r="A73" s="309"/>
      <c r="B73" s="1963"/>
      <c r="C73" s="1963"/>
      <c r="D73" s="1964"/>
      <c r="E73" s="1964"/>
      <c r="F73" s="1964"/>
      <c r="G73" s="1964"/>
      <c r="H73" s="1964"/>
      <c r="I73" s="1964"/>
      <c r="J73" s="1964"/>
      <c r="K73" s="1964"/>
      <c r="L73" s="1964"/>
      <c r="M73" s="1964"/>
    </row>
    <row r="74" spans="1:13" s="510" customFormat="1" ht="12.75" x14ac:dyDescent="0.2">
      <c r="A74" s="309"/>
      <c r="B74" s="1963"/>
      <c r="C74" s="1963"/>
      <c r="D74" s="1964"/>
      <c r="E74" s="1964"/>
      <c r="F74" s="1964"/>
      <c r="G74" s="1964"/>
      <c r="H74" s="1964"/>
      <c r="I74" s="1964"/>
      <c r="J74" s="1964"/>
      <c r="K74" s="1964"/>
      <c r="L74" s="1964"/>
      <c r="M74" s="1964"/>
    </row>
    <row r="75" spans="1:13" s="510" customFormat="1" ht="12.75" x14ac:dyDescent="0.2">
      <c r="A75" s="309"/>
      <c r="B75" s="1963"/>
      <c r="C75" s="1963"/>
      <c r="D75" s="1964"/>
      <c r="E75" s="1964"/>
      <c r="F75" s="1964"/>
      <c r="G75" s="1964"/>
      <c r="H75" s="1964"/>
      <c r="I75" s="1964"/>
      <c r="J75" s="1964"/>
      <c r="K75" s="1964"/>
      <c r="L75" s="1964"/>
      <c r="M75" s="1964"/>
    </row>
    <row r="76" spans="1:13" s="510" customFormat="1" ht="12.75" x14ac:dyDescent="0.2">
      <c r="A76" s="309"/>
      <c r="B76" s="1963"/>
      <c r="C76" s="1963"/>
      <c r="D76" s="1964"/>
      <c r="E76" s="1964"/>
      <c r="F76" s="1964"/>
      <c r="G76" s="1964"/>
      <c r="H76" s="1964"/>
      <c r="I76" s="1964"/>
      <c r="J76" s="1964"/>
      <c r="K76" s="1964"/>
      <c r="L76" s="1964"/>
      <c r="M76" s="1964"/>
    </row>
    <row r="77" spans="1:13" s="510" customFormat="1" ht="12.75" x14ac:dyDescent="0.2">
      <c r="A77" s="309"/>
      <c r="B77" s="1963"/>
      <c r="C77" s="1963"/>
      <c r="D77" s="1964"/>
      <c r="E77" s="1964"/>
      <c r="F77" s="1964"/>
      <c r="G77" s="1964"/>
      <c r="H77" s="1964"/>
      <c r="I77" s="1964"/>
      <c r="J77" s="1964"/>
      <c r="K77" s="1964"/>
      <c r="L77" s="1964"/>
      <c r="M77" s="1964"/>
    </row>
    <row r="78" spans="1:13" s="510" customFormat="1" ht="12.75" x14ac:dyDescent="0.2">
      <c r="A78" s="309"/>
      <c r="B78" s="1963"/>
      <c r="C78" s="1963"/>
      <c r="D78" s="1964"/>
      <c r="E78" s="1964"/>
      <c r="F78" s="1964"/>
      <c r="G78" s="1964"/>
      <c r="H78" s="1964"/>
      <c r="I78" s="1964"/>
      <c r="J78" s="1964"/>
      <c r="K78" s="1964"/>
      <c r="L78" s="1964"/>
      <c r="M78" s="1964"/>
    </row>
    <row r="79" spans="1:13" s="510" customFormat="1" ht="12.75" x14ac:dyDescent="0.2">
      <c r="A79" s="309"/>
      <c r="B79" s="1963"/>
      <c r="C79" s="1963"/>
      <c r="D79" s="1964"/>
      <c r="E79" s="1964"/>
      <c r="F79" s="1964"/>
      <c r="G79" s="1964"/>
      <c r="H79" s="1964"/>
      <c r="I79" s="1964"/>
      <c r="J79" s="1964"/>
      <c r="K79" s="1964"/>
      <c r="L79" s="1964"/>
      <c r="M79" s="1964"/>
    </row>
    <row r="80" spans="1:13" s="510" customFormat="1" ht="12.75" x14ac:dyDescent="0.2">
      <c r="A80" s="309"/>
      <c r="B80" s="1963"/>
      <c r="C80" s="1963"/>
      <c r="D80" s="1964"/>
      <c r="E80" s="1964"/>
      <c r="F80" s="1964"/>
      <c r="G80" s="1964"/>
      <c r="H80" s="1964"/>
      <c r="I80" s="1964"/>
      <c r="J80" s="1964"/>
      <c r="K80" s="1964"/>
      <c r="L80" s="1964"/>
      <c r="M80" s="1964"/>
    </row>
    <row r="81" spans="1:13" s="510" customFormat="1" ht="12.75" x14ac:dyDescent="0.2">
      <c r="A81" s="309"/>
      <c r="B81" s="1963"/>
      <c r="C81" s="1963"/>
      <c r="D81" s="1964"/>
      <c r="E81" s="1964"/>
      <c r="F81" s="1964"/>
      <c r="G81" s="1964"/>
      <c r="H81" s="1964"/>
      <c r="I81" s="1964"/>
      <c r="J81" s="1964"/>
      <c r="K81" s="1964"/>
      <c r="L81" s="1964"/>
      <c r="M81" s="1964"/>
    </row>
    <row r="82" spans="1:13" s="510" customFormat="1" ht="12.75" x14ac:dyDescent="0.2">
      <c r="A82" s="309"/>
      <c r="B82" s="1963"/>
      <c r="C82" s="1963"/>
      <c r="D82" s="1964"/>
      <c r="E82" s="1964"/>
      <c r="F82" s="1964"/>
      <c r="G82" s="1964"/>
      <c r="H82" s="1964"/>
      <c r="I82" s="1964"/>
      <c r="J82" s="1964"/>
      <c r="K82" s="1964"/>
      <c r="L82" s="1964"/>
      <c r="M82" s="1964"/>
    </row>
    <row r="83" spans="1:13" s="510" customFormat="1" ht="12.75" x14ac:dyDescent="0.2">
      <c r="A83" s="309"/>
      <c r="B83" s="1963"/>
      <c r="C83" s="1963"/>
      <c r="D83" s="1964"/>
      <c r="E83" s="1964"/>
      <c r="F83" s="1964"/>
      <c r="G83" s="1964"/>
      <c r="H83" s="1964"/>
      <c r="I83" s="1964"/>
      <c r="J83" s="1964"/>
      <c r="K83" s="1964"/>
      <c r="L83" s="1964"/>
      <c r="M83" s="1964"/>
    </row>
    <row r="84" spans="1:13" s="510" customFormat="1" ht="12.75" x14ac:dyDescent="0.2">
      <c r="A84" s="309"/>
      <c r="B84" s="1963"/>
      <c r="C84" s="1963"/>
      <c r="D84" s="1964"/>
      <c r="E84" s="1964"/>
      <c r="F84" s="1964"/>
      <c r="G84" s="1964"/>
      <c r="H84" s="1964"/>
      <c r="I84" s="1964"/>
      <c r="J84" s="1964"/>
      <c r="K84" s="1964"/>
      <c r="L84" s="1964"/>
      <c r="M84" s="1964"/>
    </row>
    <row r="85" spans="1:13" s="510" customFormat="1" ht="12.75" x14ac:dyDescent="0.2">
      <c r="A85" s="309"/>
      <c r="B85" s="1963"/>
      <c r="C85" s="1963"/>
      <c r="D85" s="1964"/>
      <c r="E85" s="1964"/>
      <c r="F85" s="1964"/>
      <c r="G85" s="1964"/>
      <c r="H85" s="1964"/>
      <c r="I85" s="1964"/>
      <c r="J85" s="1964"/>
      <c r="K85" s="1964"/>
      <c r="L85" s="1964"/>
      <c r="M85" s="1964"/>
    </row>
    <row r="86" spans="1:13" s="510" customFormat="1" ht="12.75" x14ac:dyDescent="0.2">
      <c r="A86" s="309"/>
      <c r="B86" s="1963"/>
      <c r="C86" s="1963"/>
      <c r="D86" s="1964"/>
      <c r="E86" s="1964"/>
      <c r="F86" s="1964"/>
      <c r="G86" s="1964"/>
      <c r="H86" s="1964"/>
      <c r="I86" s="1964"/>
      <c r="J86" s="1964"/>
      <c r="K86" s="1964"/>
      <c r="L86" s="1964"/>
      <c r="M86" s="1964"/>
    </row>
    <row r="87" spans="1:13" s="510" customFormat="1" ht="12.75" x14ac:dyDescent="0.2">
      <c r="A87" s="309"/>
      <c r="B87" s="1963"/>
      <c r="C87" s="1963"/>
      <c r="D87" s="1964"/>
      <c r="E87" s="1964"/>
      <c r="F87" s="1964"/>
      <c r="G87" s="1964"/>
      <c r="H87" s="1964"/>
      <c r="I87" s="1964"/>
      <c r="J87" s="1964"/>
      <c r="K87" s="1964"/>
      <c r="L87" s="1964"/>
      <c r="M87" s="1964"/>
    </row>
    <row r="88" spans="1:13" s="510" customFormat="1" ht="12.75" x14ac:dyDescent="0.2">
      <c r="A88" s="309"/>
      <c r="B88" s="1963"/>
      <c r="C88" s="1963"/>
      <c r="D88" s="1964"/>
      <c r="E88" s="1964"/>
      <c r="F88" s="1964"/>
      <c r="G88" s="1964"/>
      <c r="H88" s="1964"/>
      <c r="I88" s="1964"/>
      <c r="J88" s="1964"/>
      <c r="K88" s="1964"/>
      <c r="L88" s="1964"/>
      <c r="M88" s="1964"/>
    </row>
    <row r="89" spans="1:13" s="510" customFormat="1" ht="12.75" x14ac:dyDescent="0.2">
      <c r="A89" s="309"/>
      <c r="B89" s="1963"/>
      <c r="C89" s="1963"/>
      <c r="D89" s="1964"/>
      <c r="E89" s="1964"/>
      <c r="F89" s="1964"/>
      <c r="G89" s="1964"/>
      <c r="H89" s="1964"/>
      <c r="I89" s="1964"/>
      <c r="J89" s="1964"/>
      <c r="K89" s="1964"/>
      <c r="L89" s="1964"/>
      <c r="M89" s="1964"/>
    </row>
    <row r="90" spans="1:13" s="510" customFormat="1" ht="12.75" x14ac:dyDescent="0.2">
      <c r="A90" s="309"/>
      <c r="B90" s="1963"/>
      <c r="C90" s="1963"/>
      <c r="D90" s="1964"/>
      <c r="E90" s="1964"/>
      <c r="F90" s="1964"/>
      <c r="G90" s="1964"/>
      <c r="H90" s="1964"/>
      <c r="I90" s="1964"/>
      <c r="J90" s="1964"/>
      <c r="K90" s="1964"/>
      <c r="L90" s="1964"/>
      <c r="M90" s="1964"/>
    </row>
    <row r="91" spans="1:13" s="510" customFormat="1" ht="12.75" x14ac:dyDescent="0.2">
      <c r="A91" s="309"/>
      <c r="B91" s="1963"/>
      <c r="C91" s="1963"/>
      <c r="D91" s="1964"/>
      <c r="E91" s="1964"/>
      <c r="F91" s="1964"/>
      <c r="G91" s="1964"/>
      <c r="H91" s="1964"/>
      <c r="I91" s="1964"/>
      <c r="J91" s="1964"/>
      <c r="K91" s="1964"/>
      <c r="L91" s="1964"/>
      <c r="M91" s="1964"/>
    </row>
    <row r="92" spans="1:13" s="510" customFormat="1" ht="12.75" x14ac:dyDescent="0.2">
      <c r="A92" s="309"/>
      <c r="B92" s="1963"/>
      <c r="C92" s="1963"/>
      <c r="D92" s="1964"/>
      <c r="E92" s="1964"/>
      <c r="F92" s="1964"/>
      <c r="G92" s="1964"/>
      <c r="H92" s="1964"/>
      <c r="I92" s="1964"/>
      <c r="J92" s="1964"/>
      <c r="K92" s="1964"/>
      <c r="L92" s="1964"/>
      <c r="M92" s="1964"/>
    </row>
    <row r="93" spans="1:13" s="510" customFormat="1" ht="12.75" x14ac:dyDescent="0.2">
      <c r="A93" s="309"/>
      <c r="B93" s="1963"/>
      <c r="C93" s="1963"/>
      <c r="D93" s="1964"/>
      <c r="E93" s="1964"/>
      <c r="F93" s="1964"/>
      <c r="G93" s="1964"/>
      <c r="H93" s="1964"/>
      <c r="I93" s="1964"/>
      <c r="J93" s="1964"/>
      <c r="K93" s="1964"/>
      <c r="L93" s="1964"/>
      <c r="M93" s="1964"/>
    </row>
    <row r="94" spans="1:13" s="510" customFormat="1" ht="12.75" x14ac:dyDescent="0.2">
      <c r="A94" s="309"/>
      <c r="B94" s="1963"/>
      <c r="C94" s="1963"/>
      <c r="D94" s="1964"/>
      <c r="E94" s="1964"/>
      <c r="F94" s="1964"/>
      <c r="G94" s="1964"/>
      <c r="H94" s="1964"/>
      <c r="I94" s="1964"/>
      <c r="J94" s="1964"/>
      <c r="K94" s="1964"/>
      <c r="L94" s="1964"/>
      <c r="M94" s="1964"/>
    </row>
    <row r="95" spans="1:13" s="510" customFormat="1" ht="12.75" x14ac:dyDescent="0.2">
      <c r="A95" s="309"/>
      <c r="B95" s="1963"/>
      <c r="C95" s="1963"/>
      <c r="D95" s="1964"/>
      <c r="E95" s="1964"/>
      <c r="F95" s="1964"/>
      <c r="G95" s="1964"/>
      <c r="H95" s="1964"/>
      <c r="I95" s="1964"/>
      <c r="J95" s="1964"/>
      <c r="K95" s="1964"/>
      <c r="L95" s="1964"/>
      <c r="M95" s="1964"/>
    </row>
    <row r="96" spans="1:13" s="510" customFormat="1" ht="12.75" x14ac:dyDescent="0.2">
      <c r="A96" s="309"/>
      <c r="B96" s="1963"/>
      <c r="C96" s="1963"/>
      <c r="D96" s="1964"/>
      <c r="E96" s="1964"/>
      <c r="F96" s="1964"/>
      <c r="G96" s="1964"/>
      <c r="H96" s="1964"/>
      <c r="I96" s="1964"/>
      <c r="J96" s="1964"/>
      <c r="K96" s="1964"/>
      <c r="L96" s="1964"/>
      <c r="M96" s="1964"/>
    </row>
    <row r="97" spans="1:13" s="510" customFormat="1" ht="12.75" x14ac:dyDescent="0.2">
      <c r="A97" s="309"/>
      <c r="B97" s="1963"/>
      <c r="C97" s="1963"/>
      <c r="D97" s="1964"/>
      <c r="E97" s="1964"/>
      <c r="F97" s="1964"/>
      <c r="G97" s="1964"/>
      <c r="H97" s="1964"/>
      <c r="I97" s="1964"/>
      <c r="J97" s="1964"/>
      <c r="K97" s="1964"/>
      <c r="L97" s="1964"/>
      <c r="M97" s="1964"/>
    </row>
    <row r="98" spans="1:13" s="510" customFormat="1" ht="12.75" x14ac:dyDescent="0.2">
      <c r="A98" s="309"/>
      <c r="B98" s="1963"/>
      <c r="C98" s="1963"/>
      <c r="D98" s="1964"/>
      <c r="E98" s="1964"/>
      <c r="F98" s="1964"/>
      <c r="G98" s="1964"/>
      <c r="H98" s="1964"/>
      <c r="I98" s="1964"/>
      <c r="J98" s="1964"/>
      <c r="K98" s="1964"/>
      <c r="L98" s="1964"/>
      <c r="M98" s="1964"/>
    </row>
    <row r="99" spans="1:13" s="510" customFormat="1" ht="12.75" x14ac:dyDescent="0.2">
      <c r="A99" s="309"/>
      <c r="B99" s="1963"/>
      <c r="C99" s="1963"/>
      <c r="D99" s="1964"/>
      <c r="E99" s="1964"/>
      <c r="F99" s="1964"/>
      <c r="G99" s="1964"/>
      <c r="H99" s="1964"/>
      <c r="I99" s="1964"/>
      <c r="J99" s="1964"/>
      <c r="K99" s="1964"/>
      <c r="L99" s="1964"/>
      <c r="M99" s="1964"/>
    </row>
    <row r="100" spans="1:13" s="510" customFormat="1" ht="12.75" x14ac:dyDescent="0.2">
      <c r="A100" s="309"/>
      <c r="B100" s="1963"/>
      <c r="C100" s="1963"/>
      <c r="D100" s="1964"/>
      <c r="E100" s="1964"/>
      <c r="F100" s="1964"/>
      <c r="G100" s="1964"/>
      <c r="H100" s="1964"/>
      <c r="I100" s="1964"/>
      <c r="J100" s="1964"/>
      <c r="K100" s="1964"/>
      <c r="L100" s="1964"/>
      <c r="M100" s="1964"/>
    </row>
    <row r="101" spans="1:13" s="510" customFormat="1" ht="12.75" x14ac:dyDescent="0.2">
      <c r="A101" s="309"/>
      <c r="B101" s="1963"/>
      <c r="C101" s="1963"/>
      <c r="D101" s="1964"/>
      <c r="E101" s="1964"/>
      <c r="F101" s="1964"/>
      <c r="G101" s="1964"/>
      <c r="H101" s="1964"/>
      <c r="I101" s="1964"/>
      <c r="J101" s="1964"/>
      <c r="K101" s="1964"/>
      <c r="L101" s="1964"/>
      <c r="M101" s="1964"/>
    </row>
    <row r="102" spans="1:13" s="510" customFormat="1" ht="12.75" x14ac:dyDescent="0.2">
      <c r="A102" s="309"/>
      <c r="B102" s="1963"/>
      <c r="C102" s="1963"/>
      <c r="D102" s="1964"/>
      <c r="E102" s="1964"/>
      <c r="F102" s="1964"/>
      <c r="G102" s="1964"/>
      <c r="H102" s="1964"/>
      <c r="I102" s="1964"/>
      <c r="J102" s="1964"/>
      <c r="K102" s="1964"/>
      <c r="L102" s="1964"/>
      <c r="M102" s="1964"/>
    </row>
    <row r="103" spans="1:13" s="510" customFormat="1" ht="12.75" x14ac:dyDescent="0.2">
      <c r="A103" s="309"/>
      <c r="B103" s="1963"/>
      <c r="C103" s="1963"/>
      <c r="D103" s="1964"/>
      <c r="E103" s="1964"/>
      <c r="F103" s="1964"/>
      <c r="G103" s="1964"/>
      <c r="H103" s="1964"/>
      <c r="I103" s="1964"/>
      <c r="J103" s="1964"/>
      <c r="K103" s="1964"/>
      <c r="L103" s="1964"/>
      <c r="M103" s="1964"/>
    </row>
    <row r="104" spans="1:13" s="510" customFormat="1" ht="12.75" x14ac:dyDescent="0.2">
      <c r="A104" s="309"/>
      <c r="B104" s="1963"/>
      <c r="C104" s="1963"/>
      <c r="D104" s="1964"/>
      <c r="E104" s="1964"/>
      <c r="F104" s="1964"/>
      <c r="G104" s="1964"/>
      <c r="H104" s="1964"/>
      <c r="I104" s="1964"/>
      <c r="J104" s="1964"/>
      <c r="K104" s="1964"/>
      <c r="L104" s="1964"/>
      <c r="M104" s="1964"/>
    </row>
    <row r="105" spans="1:13" s="510" customFormat="1" ht="12.75" x14ac:dyDescent="0.2">
      <c r="A105" s="309"/>
      <c r="B105" s="1963"/>
      <c r="C105" s="1963"/>
      <c r="D105" s="1964"/>
      <c r="E105" s="1964"/>
      <c r="F105" s="1964"/>
      <c r="G105" s="1964"/>
      <c r="H105" s="1964"/>
      <c r="I105" s="1964"/>
      <c r="J105" s="1964"/>
      <c r="K105" s="1964"/>
      <c r="L105" s="1964"/>
      <c r="M105" s="1964"/>
    </row>
    <row r="106" spans="1:13" s="510" customFormat="1" ht="12.75" x14ac:dyDescent="0.2">
      <c r="A106" s="309"/>
      <c r="B106" s="1963"/>
      <c r="C106" s="1963"/>
      <c r="D106" s="1964"/>
      <c r="E106" s="1964"/>
      <c r="F106" s="1964"/>
      <c r="G106" s="1964"/>
      <c r="H106" s="1964"/>
      <c r="I106" s="1964"/>
      <c r="J106" s="1964"/>
      <c r="K106" s="1964"/>
      <c r="L106" s="1964"/>
      <c r="M106" s="1964"/>
    </row>
    <row r="107" spans="1:13" s="510" customFormat="1" ht="12.75" x14ac:dyDescent="0.2">
      <c r="A107" s="309"/>
      <c r="B107" s="1963"/>
      <c r="C107" s="1963"/>
      <c r="D107" s="1964"/>
      <c r="E107" s="1964"/>
      <c r="F107" s="1964"/>
      <c r="G107" s="1964"/>
      <c r="H107" s="1964"/>
      <c r="I107" s="1964"/>
      <c r="J107" s="1964"/>
      <c r="K107" s="1964"/>
      <c r="L107" s="1964"/>
      <c r="M107" s="1964"/>
    </row>
    <row r="108" spans="1:13" s="510" customFormat="1" ht="12.75" x14ac:dyDescent="0.2">
      <c r="A108" s="309"/>
      <c r="B108" s="1963"/>
      <c r="C108" s="1963"/>
      <c r="D108" s="1964"/>
      <c r="E108" s="1964"/>
      <c r="F108" s="1964"/>
      <c r="G108" s="1964"/>
      <c r="H108" s="1964"/>
      <c r="I108" s="1964"/>
      <c r="J108" s="1964"/>
      <c r="K108" s="1964"/>
      <c r="L108" s="1964"/>
      <c r="M108" s="1964"/>
    </row>
    <row r="109" spans="1:13" s="510" customFormat="1" ht="12.75" x14ac:dyDescent="0.2">
      <c r="A109" s="309"/>
      <c r="B109" s="1963"/>
      <c r="C109" s="1963"/>
      <c r="D109" s="1964"/>
      <c r="E109" s="1964"/>
      <c r="F109" s="1964"/>
      <c r="G109" s="1964"/>
      <c r="H109" s="1964"/>
      <c r="I109" s="1964"/>
      <c r="J109" s="1964"/>
      <c r="K109" s="1964"/>
      <c r="L109" s="1964"/>
      <c r="M109" s="1964"/>
    </row>
    <row r="110" spans="1:13" s="751" customFormat="1" x14ac:dyDescent="0.2">
      <c r="A110" s="1119"/>
      <c r="B110" s="1119"/>
      <c r="C110" s="1119"/>
    </row>
    <row r="111" spans="1:13" s="751" customFormat="1" x14ac:dyDescent="0.2">
      <c r="A111" s="1119"/>
      <c r="B111" s="1119"/>
      <c r="C111" s="1119"/>
    </row>
    <row r="112" spans="1:13" s="1137" customFormat="1" x14ac:dyDescent="0.25">
      <c r="A112" s="1119"/>
      <c r="B112" s="1119"/>
      <c r="C112" s="1119"/>
    </row>
    <row r="113" spans="1:16" s="1137" customFormat="1" x14ac:dyDescent="0.25">
      <c r="A113" s="1119"/>
      <c r="B113" s="1119"/>
      <c r="C113" s="1119"/>
      <c r="N113" s="1896"/>
    </row>
    <row r="114" spans="1:16" s="1137" customFormat="1" x14ac:dyDescent="0.25">
      <c r="A114" s="1119"/>
      <c r="B114" s="531"/>
      <c r="C114" s="531"/>
      <c r="D114" s="548"/>
      <c r="E114" s="548"/>
      <c r="F114" s="548"/>
      <c r="G114" s="1965"/>
      <c r="H114" s="1965"/>
      <c r="I114" s="548"/>
      <c r="J114" s="1966"/>
      <c r="K114" s="1965"/>
      <c r="L114" s="1965"/>
      <c r="M114" s="548"/>
      <c r="N114" s="1967"/>
      <c r="O114" s="312"/>
      <c r="P114" s="1968"/>
    </row>
    <row r="115" spans="1:16" s="1137" customFormat="1" x14ac:dyDescent="0.25">
      <c r="A115" s="1119"/>
      <c r="B115" s="1951"/>
      <c r="C115" s="1951"/>
      <c r="D115" s="1969"/>
      <c r="E115" s="1969"/>
      <c r="F115" s="1969"/>
      <c r="G115" s="1969"/>
      <c r="H115" s="1969"/>
      <c r="I115" s="1969"/>
      <c r="J115" s="1969"/>
      <c r="K115" s="1969"/>
      <c r="L115" s="1969"/>
      <c r="M115" s="1969"/>
      <c r="N115" s="1970"/>
      <c r="O115" s="1971"/>
      <c r="P115" s="1935"/>
    </row>
    <row r="116" spans="1:16" s="1137" customFormat="1" x14ac:dyDescent="0.25">
      <c r="A116" s="1119"/>
      <c r="B116" s="1951"/>
      <c r="C116" s="1951"/>
      <c r="D116" s="1969"/>
      <c r="E116" s="1969"/>
      <c r="F116" s="1969"/>
      <c r="G116" s="1969"/>
      <c r="H116" s="1969"/>
      <c r="I116" s="1969"/>
      <c r="J116" s="1969"/>
      <c r="K116" s="1969"/>
      <c r="L116" s="1969"/>
      <c r="M116" s="1969"/>
      <c r="N116" s="1970"/>
      <c r="O116" s="1971"/>
      <c r="P116" s="1935"/>
    </row>
    <row r="117" spans="1:16" s="1137" customFormat="1" x14ac:dyDescent="0.25">
      <c r="A117" s="1119"/>
      <c r="B117" s="1951"/>
      <c r="C117" s="1951"/>
      <c r="D117" s="1969"/>
      <c r="E117" s="1969"/>
      <c r="F117" s="1969"/>
      <c r="G117" s="1969"/>
      <c r="H117" s="1969"/>
      <c r="I117" s="1969"/>
      <c r="J117" s="1969"/>
      <c r="K117" s="1969"/>
      <c r="L117" s="1969"/>
      <c r="M117" s="1969"/>
      <c r="N117" s="1970"/>
      <c r="O117" s="1971"/>
      <c r="P117" s="1935"/>
    </row>
    <row r="118" spans="1:16" s="1137" customFormat="1" x14ac:dyDescent="0.25">
      <c r="A118" s="1119"/>
      <c r="B118" s="1951"/>
      <c r="C118" s="1951"/>
      <c r="D118" s="1969"/>
      <c r="E118" s="1969"/>
      <c r="F118" s="1969"/>
      <c r="G118" s="1969"/>
      <c r="H118" s="1969"/>
      <c r="I118" s="1969"/>
      <c r="J118" s="1969"/>
      <c r="K118" s="1969"/>
      <c r="L118" s="1969"/>
      <c r="M118" s="1969"/>
      <c r="N118" s="1970"/>
      <c r="O118" s="1971"/>
      <c r="P118" s="1935"/>
    </row>
    <row r="119" spans="1:16" s="1137" customFormat="1" x14ac:dyDescent="0.25">
      <c r="A119" s="1119"/>
      <c r="B119" s="1951"/>
      <c r="C119" s="1951"/>
      <c r="D119" s="1969"/>
      <c r="E119" s="1969"/>
      <c r="F119" s="1969"/>
      <c r="G119" s="1969"/>
      <c r="H119" s="1969"/>
      <c r="I119" s="1969"/>
      <c r="J119" s="1969"/>
      <c r="K119" s="1969"/>
      <c r="L119" s="1969"/>
      <c r="M119" s="1969"/>
      <c r="N119" s="1970"/>
      <c r="O119" s="1971"/>
      <c r="P119" s="1935"/>
    </row>
    <row r="120" spans="1:16" s="1137" customFormat="1" x14ac:dyDescent="0.25">
      <c r="A120" s="1119"/>
      <c r="B120" s="1119"/>
      <c r="C120" s="1119"/>
      <c r="N120" s="1896"/>
    </row>
    <row r="121" spans="1:16" s="1137" customFormat="1" x14ac:dyDescent="0.25">
      <c r="A121" s="1119"/>
      <c r="B121" s="1119"/>
      <c r="C121" s="1119"/>
      <c r="N121" s="1896"/>
    </row>
    <row r="122" spans="1:16" s="1137" customFormat="1" x14ac:dyDescent="0.25">
      <c r="A122" s="1119"/>
      <c r="B122" s="531"/>
      <c r="C122" s="531"/>
      <c r="D122" s="548"/>
      <c r="E122" s="548"/>
      <c r="F122" s="548"/>
      <c r="G122" s="1965"/>
      <c r="H122" s="1965"/>
      <c r="I122" s="548"/>
      <c r="J122" s="1966"/>
      <c r="K122" s="1965"/>
      <c r="L122" s="1965"/>
      <c r="M122" s="548"/>
      <c r="N122" s="1972"/>
      <c r="O122" s="312"/>
      <c r="P122" s="548"/>
    </row>
    <row r="123" spans="1:16" s="751" customFormat="1" x14ac:dyDescent="0.25">
      <c r="A123" s="1119"/>
      <c r="B123" s="1897"/>
      <c r="C123" s="1897"/>
      <c r="D123" s="1927"/>
      <c r="E123" s="1927"/>
      <c r="F123" s="1927"/>
      <c r="G123" s="1927"/>
      <c r="H123" s="1927"/>
      <c r="I123" s="1927"/>
      <c r="J123" s="1927"/>
      <c r="K123" s="1927"/>
      <c r="L123" s="1927"/>
      <c r="M123" s="1927"/>
      <c r="N123" s="1973"/>
      <c r="O123" s="1897"/>
      <c r="P123" s="1927"/>
    </row>
    <row r="124" spans="1:16" s="751" customFormat="1" x14ac:dyDescent="0.25">
      <c r="A124" s="1119"/>
      <c r="B124" s="1897"/>
      <c r="C124" s="1897"/>
      <c r="D124" s="1927"/>
      <c r="E124" s="1927"/>
      <c r="F124" s="1927"/>
      <c r="G124" s="1927"/>
      <c r="H124" s="1927"/>
      <c r="I124" s="1927"/>
      <c r="J124" s="1927"/>
      <c r="K124" s="1927"/>
      <c r="L124" s="1927"/>
      <c r="M124" s="1927"/>
      <c r="N124" s="1973"/>
      <c r="O124" s="1897"/>
      <c r="P124" s="1927"/>
    </row>
    <row r="125" spans="1:16" s="751" customFormat="1" x14ac:dyDescent="0.25">
      <c r="A125" s="1119"/>
      <c r="B125" s="1897"/>
      <c r="C125" s="1897"/>
      <c r="D125" s="1927"/>
      <c r="E125" s="1927"/>
      <c r="F125" s="1927"/>
      <c r="G125" s="1927"/>
      <c r="H125" s="1927"/>
      <c r="I125" s="1927"/>
      <c r="J125" s="1927"/>
      <c r="K125" s="1927"/>
      <c r="L125" s="1927"/>
      <c r="M125" s="1927"/>
      <c r="N125" s="1973"/>
      <c r="O125" s="1897"/>
      <c r="P125" s="1927"/>
    </row>
    <row r="126" spans="1:16" s="751" customFormat="1" x14ac:dyDescent="0.25">
      <c r="A126" s="1119"/>
      <c r="B126" s="1897"/>
      <c r="C126" s="1897"/>
      <c r="D126" s="1927"/>
      <c r="E126" s="1927"/>
      <c r="F126" s="1927"/>
      <c r="G126" s="1927"/>
      <c r="H126" s="1927"/>
      <c r="I126" s="1927"/>
      <c r="J126" s="1927"/>
      <c r="K126" s="1927"/>
      <c r="L126" s="1927"/>
      <c r="M126" s="1927"/>
      <c r="N126" s="1973"/>
      <c r="O126" s="1897"/>
      <c r="P126" s="1927"/>
    </row>
    <row r="127" spans="1:16" s="751" customFormat="1" x14ac:dyDescent="0.25">
      <c r="A127" s="1119"/>
      <c r="B127" s="1897"/>
      <c r="C127" s="1897"/>
      <c r="D127" s="1927"/>
      <c r="E127" s="1927"/>
      <c r="F127" s="1927"/>
      <c r="G127" s="1927"/>
      <c r="H127" s="1927"/>
      <c r="I127" s="1927"/>
      <c r="J127" s="1927"/>
      <c r="K127" s="1927"/>
      <c r="L127" s="1927"/>
      <c r="M127" s="1927"/>
      <c r="N127" s="1973"/>
      <c r="O127" s="1897"/>
      <c r="P127" s="1927"/>
    </row>
  </sheetData>
  <mergeCells count="8">
    <mergeCell ref="D35:AC35"/>
    <mergeCell ref="D36:AC36"/>
    <mergeCell ref="D2:AC2"/>
    <mergeCell ref="D3:AC3"/>
    <mergeCell ref="D4:AC4"/>
    <mergeCell ref="E15:K15"/>
    <mergeCell ref="D33:AC33"/>
    <mergeCell ref="D34:AC34"/>
  </mergeCells>
  <pageMargins left="0.74803149606299213" right="0.74803149606299213" top="0.98425196850393704" bottom="0.98425196850393704" header="0.51181102362204722" footer="0.51181102362204722"/>
  <pageSetup paperSize="9" scale="55" fitToHeight="0" orientation="landscape" r:id="rId1"/>
  <headerFooter alignWithMargins="0">
    <oddHeader>&amp;C&amp;"-,Bold"DEVELOPMENT INDICATORS 2014</oddHeader>
    <oddFooter>&amp;LDepartment of Planning, Monitoring and Evaluation (DPME). &amp;CPage &amp;P of &amp;N&amp;R&amp;D</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_dlc_DocId xmlns="baa0e0f4-f263-427a-80da-7f3591d32fb2">ZKQJ7CNJYW2Z-92-100</_dlc_DocId>
    <Heading xmlns="e925e563-aa8d-4721-806a-eee397b052e4" xsi:nil="true"/>
    <Rank xmlns="e925e563-aa8d-4721-806a-eee397b052e4" xsi:nil="true"/>
    <_dlc_DocIdUrl xmlns="baa0e0f4-f263-427a-80da-7f3591d32fb2">
      <Url>https://www.dpme.gov.za/publications/_layouts/15/DocIdRedir.aspx?ID=ZKQJ7CNJYW2Z-92-100</Url>
      <Description>ZKQJ7CNJYW2Z-92-100</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BAD6C58B327114E96CC8788E47AB5A3" ma:contentTypeVersion="3" ma:contentTypeDescription="Create a new document." ma:contentTypeScope="" ma:versionID="e0d277a0030a70c437554211e8d8b47a">
  <xsd:schema xmlns:xsd="http://www.w3.org/2001/XMLSchema" xmlns:xs="http://www.w3.org/2001/XMLSchema" xmlns:p="http://schemas.microsoft.com/office/2006/metadata/properties" xmlns:ns2="e925e563-aa8d-4721-806a-eee397b052e4" xmlns:ns3="baa0e0f4-f263-427a-80da-7f3591d32fb2" targetNamespace="http://schemas.microsoft.com/office/2006/metadata/properties" ma:root="true" ma:fieldsID="a52996ccb3645fa634679786c2de896a" ns2:_="" ns3:_="">
    <xsd:import namespace="e925e563-aa8d-4721-806a-eee397b052e4"/>
    <xsd:import namespace="baa0e0f4-f263-427a-80da-7f3591d32fb2"/>
    <xsd:element name="properties">
      <xsd:complexType>
        <xsd:sequence>
          <xsd:element name="documentManagement">
            <xsd:complexType>
              <xsd:all>
                <xsd:element ref="ns2:Heading" minOccurs="0"/>
                <xsd:element ref="ns2:Rank"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25e563-aa8d-4721-806a-eee397b052e4" elementFormDefault="qualified">
    <xsd:import namespace="http://schemas.microsoft.com/office/2006/documentManagement/types"/>
    <xsd:import namespace="http://schemas.microsoft.com/office/infopath/2007/PartnerControls"/>
    <xsd:element name="Heading" ma:index="8" nillable="true" ma:displayName="Description" ma:internalName="Heading">
      <xsd:simpleType>
        <xsd:restriction base="dms:Text">
          <xsd:maxLength value="255"/>
        </xsd:restriction>
      </xsd:simpleType>
    </xsd:element>
    <xsd:element name="Rank" ma:index="9" nillable="true" ma:displayName="Rank" ma:decimals="0" ma:internalName="Rank">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aa0e0f4-f263-427a-80da-7f3591d32fb2"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W o r k b o o k S t a t e   x m l n s : i = " h t t p : / / w w w . w 3 . o r g / 2 0 0 1 / X M L S c h e m a - i n s t a n c e "   x m l n s = " h t t p : / / s c h e m a s . m i c r o s o f t . c o m / P o w e r B I A d d I n " > < L a s t P r o v i d e d R a n g e N a m e I d > 0 < / L a s t P r o v i d e d R a n g e N a m e I d > < L a s t U s e d G r o u p O b j e c t I d   i : n i l = " t r u e " / > < T i l e s L i s t > < T i l e s / > < / T i l e s L i s t > < / W o r k b o o k S t a t e > 
</file>

<file path=customXml/itemProps1.xml><?xml version="1.0" encoding="utf-8"?>
<ds:datastoreItem xmlns:ds="http://schemas.openxmlformats.org/officeDocument/2006/customXml" ds:itemID="{6357AC7F-4CEE-4F2C-A474-F67CCDB3742C}">
  <ds:schemaRefs>
    <ds:schemaRef ds:uri="http://schemas.microsoft.com/sharepoint/events"/>
  </ds:schemaRefs>
</ds:datastoreItem>
</file>

<file path=customXml/itemProps2.xml><?xml version="1.0" encoding="utf-8"?>
<ds:datastoreItem xmlns:ds="http://schemas.openxmlformats.org/officeDocument/2006/customXml" ds:itemID="{8E7767FB-A7FB-478D-8893-A6F47D8E237C}">
  <ds:schemaRefs>
    <ds:schemaRef ds:uri="http://schemas.microsoft.com/office/infopath/2007/PartnerControls"/>
    <ds:schemaRef ds:uri="http://purl.org/dc/terms/"/>
    <ds:schemaRef ds:uri="http://purl.org/dc/elements/1.1/"/>
    <ds:schemaRef ds:uri="baa0e0f4-f263-427a-80da-7f3591d32fb2"/>
    <ds:schemaRef ds:uri="http://purl.org/dc/dcmitype/"/>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e925e563-aa8d-4721-806a-eee397b052e4"/>
  </ds:schemaRefs>
</ds:datastoreItem>
</file>

<file path=customXml/itemProps3.xml><?xml version="1.0" encoding="utf-8"?>
<ds:datastoreItem xmlns:ds="http://schemas.openxmlformats.org/officeDocument/2006/customXml" ds:itemID="{F61669D9-A7C9-4817-93EF-76AD90517D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925e563-aa8d-4721-806a-eee397b052e4"/>
    <ds:schemaRef ds:uri="baa0e0f4-f263-427a-80da-7f3591d32f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58337F3-3A78-417C-B359-74D6EF60C793}">
  <ds:schemaRefs>
    <ds:schemaRef ds:uri="http://schemas.microsoft.com/sharepoint/v3/contenttype/forms"/>
  </ds:schemaRefs>
</ds:datastoreItem>
</file>

<file path=customXml/itemProps5.xml><?xml version="1.0" encoding="utf-8"?>
<ds:datastoreItem xmlns:ds="http://schemas.openxmlformats.org/officeDocument/2006/customXml" ds:itemID="{AB823C11-3C4E-4176-BEF4-44F40FB6CBD7}">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94</vt:i4>
      </vt:variant>
      <vt:variant>
        <vt:lpstr>Named Ranges</vt:lpstr>
      </vt:variant>
      <vt:variant>
        <vt:i4>92</vt:i4>
      </vt:variant>
    </vt:vector>
  </HeadingPairs>
  <TitlesOfParts>
    <vt:vector size="186" baseType="lpstr">
      <vt:lpstr>Revenue Collection</vt:lpstr>
      <vt:lpstr>Audits </vt:lpstr>
      <vt:lpstr> Corruption perception</vt:lpstr>
      <vt:lpstr>Budget Transparency</vt:lpstr>
      <vt:lpstr>Public Opinion</vt:lpstr>
      <vt:lpstr>Doing Business</vt:lpstr>
      <vt:lpstr>GDP</vt:lpstr>
      <vt:lpstr>GDP per Capita</vt:lpstr>
      <vt:lpstr>NFDI </vt:lpstr>
      <vt:lpstr>GFCF </vt:lpstr>
      <vt:lpstr>Budget Balance</vt:lpstr>
      <vt:lpstr>Government debt </vt:lpstr>
      <vt:lpstr>Interest </vt:lpstr>
      <vt:lpstr>Inflation</vt:lpstr>
      <vt:lpstr>Bond Points Spread</vt:lpstr>
      <vt:lpstr>Balance of Payments</vt:lpstr>
      <vt:lpstr>Competitiveness_SA_Outlook </vt:lpstr>
      <vt:lpstr>Black &amp; Female Managers</vt:lpstr>
      <vt:lpstr>COMPETITIVE AND ACCESSIBLE MARK</vt:lpstr>
      <vt:lpstr>Unemployment</vt:lpstr>
      <vt:lpstr>Employed</vt:lpstr>
      <vt:lpstr>Education Attainment and NEET</vt:lpstr>
      <vt:lpstr>EPWP</vt:lpstr>
      <vt:lpstr>R&amp;D</vt:lpstr>
      <vt:lpstr>ICT  </vt:lpstr>
      <vt:lpstr>Patents</vt:lpstr>
      <vt:lpstr>Dwellings </vt:lpstr>
      <vt:lpstr>Water </vt:lpstr>
      <vt:lpstr>Sanitation</vt:lpstr>
      <vt:lpstr>Electricity</vt:lpstr>
      <vt:lpstr>Land restitution </vt:lpstr>
      <vt:lpstr>Land Acquired - Redistribution</vt:lpstr>
      <vt:lpstr>Food Poverty Lines</vt:lpstr>
      <vt:lpstr>Social Grants</vt:lpstr>
      <vt:lpstr>Persons with disability </vt:lpstr>
      <vt:lpstr>Life Expectancy </vt:lpstr>
      <vt:lpstr>Infant &amp; Child mortality</vt:lpstr>
      <vt:lpstr>Severe Acute Malnutrition</vt:lpstr>
      <vt:lpstr>Immunization</vt:lpstr>
      <vt:lpstr>Maternal Mortality</vt:lpstr>
      <vt:lpstr>HIV Prevalance </vt:lpstr>
      <vt:lpstr>ART new TROA</vt:lpstr>
      <vt:lpstr>TB</vt:lpstr>
      <vt:lpstr>Malaria</vt:lpstr>
      <vt:lpstr>ECD </vt:lpstr>
      <vt:lpstr>Educator Learner ratio </vt:lpstr>
      <vt:lpstr>Gender Parity Index</vt:lpstr>
      <vt:lpstr>Matric pass rate</vt:lpstr>
      <vt:lpstr>Mathematics pass rate </vt:lpstr>
      <vt:lpstr>Literacy rate</vt:lpstr>
      <vt:lpstr>SET Uni</vt:lpstr>
      <vt:lpstr>Educational Perfomance </vt:lpstr>
      <vt:lpstr>Maths, science perf </vt:lpstr>
      <vt:lpstr>Skills and training </vt:lpstr>
      <vt:lpstr>Pride in being SA</vt:lpstr>
      <vt:lpstr>Country direction</vt:lpstr>
      <vt:lpstr>Self description</vt:lpstr>
      <vt:lpstr>Race relations opinion</vt:lpstr>
      <vt:lpstr>Confidence in a happy future</vt:lpstr>
      <vt:lpstr>Voter Participation</vt:lpstr>
      <vt:lpstr>Voters per Prov</vt:lpstr>
      <vt:lpstr>Women legislative bodies</vt:lpstr>
      <vt:lpstr>Greenhouse Gas Emissions </vt:lpstr>
      <vt:lpstr>Air Quality Indicators</vt:lpstr>
      <vt:lpstr>Terresterial Biodiversity</vt:lpstr>
      <vt:lpstr>Marine Biodiverity Protection</vt:lpstr>
      <vt:lpstr>Competitive_and_accessible-mark</vt:lpstr>
      <vt:lpstr>ICT </vt:lpstr>
      <vt:lpstr>Multidimensional poverty Index</vt:lpstr>
      <vt:lpstr>Poverty Headcount</vt:lpstr>
      <vt:lpstr>Inequality</vt:lpstr>
      <vt:lpstr>Poverty Gap indices  </vt:lpstr>
      <vt:lpstr>UN Police Ratio</vt:lpstr>
      <vt:lpstr>Crime Victims </vt:lpstr>
      <vt:lpstr>Serious Crime rate </vt:lpstr>
      <vt:lpstr>Property crime Cases</vt:lpstr>
      <vt:lpstr>Property crimes Ratio</vt:lpstr>
      <vt:lpstr>Contact crime rate</vt:lpstr>
      <vt:lpstr>Serious robberies</vt:lpstr>
      <vt:lpstr>Drug-Related Crimes</vt:lpstr>
      <vt:lpstr>Sexual offences</vt:lpstr>
      <vt:lpstr>Cybercrime </vt:lpstr>
      <vt:lpstr>Corruption Cases</vt:lpstr>
      <vt:lpstr>Conviction rate</vt:lpstr>
      <vt:lpstr>Inmate</vt:lpstr>
      <vt:lpstr>Rehabilitation  </vt:lpstr>
      <vt:lpstr>Parolees</vt:lpstr>
      <vt:lpstr>Road Accidents </vt:lpstr>
      <vt:lpstr>Development cooperation</vt:lpstr>
      <vt:lpstr>Tourism World</vt:lpstr>
      <vt:lpstr>Missions</vt:lpstr>
      <vt:lpstr>International Agreements</vt:lpstr>
      <vt:lpstr>Foreign Trade</vt:lpstr>
      <vt:lpstr>Property crime</vt:lpstr>
      <vt:lpstr>' Corruption perception'!Print_Area</vt:lpstr>
      <vt:lpstr>'Air Quality Indicators'!Print_Area</vt:lpstr>
      <vt:lpstr>'ART new TROA'!Print_Area</vt:lpstr>
      <vt:lpstr>'Audits '!Print_Area</vt:lpstr>
      <vt:lpstr>'Balance of Payments'!Print_Area</vt:lpstr>
      <vt:lpstr>'Black &amp; Female Managers'!Print_Area</vt:lpstr>
      <vt:lpstr>'Bond Points Spread'!Print_Area</vt:lpstr>
      <vt:lpstr>'Budget Balance'!Print_Area</vt:lpstr>
      <vt:lpstr>'Budget Transparency'!Print_Area</vt:lpstr>
      <vt:lpstr>'COMPETITIVE AND ACCESSIBLE MARK'!Print_Area</vt:lpstr>
      <vt:lpstr>'Competitive_and_accessible-mark'!Print_Area</vt:lpstr>
      <vt:lpstr>'Competitiveness_SA_Outlook '!Print_Area</vt:lpstr>
      <vt:lpstr>'Confidence in a happy future'!Print_Area</vt:lpstr>
      <vt:lpstr>'Contact crime rate'!Print_Area</vt:lpstr>
      <vt:lpstr>'Conviction rate'!Print_Area</vt:lpstr>
      <vt:lpstr>'Corruption Cases'!Print_Area</vt:lpstr>
      <vt:lpstr>'Country direction'!Print_Area</vt:lpstr>
      <vt:lpstr>'Crime Victims '!Print_Area</vt:lpstr>
      <vt:lpstr>'Cybercrime '!Print_Area</vt:lpstr>
      <vt:lpstr>'Development cooperation'!Print_Area</vt:lpstr>
      <vt:lpstr>'Doing Business'!Print_Area</vt:lpstr>
      <vt:lpstr>'Drug-Related Crimes'!Print_Area</vt:lpstr>
      <vt:lpstr>'Dwellings '!Print_Area</vt:lpstr>
      <vt:lpstr>'ECD '!Print_Area</vt:lpstr>
      <vt:lpstr>'Education Attainment and NEET'!Print_Area</vt:lpstr>
      <vt:lpstr>'Educational Perfomance '!Print_Area</vt:lpstr>
      <vt:lpstr>'Educator Learner ratio '!Print_Area</vt:lpstr>
      <vt:lpstr>Electricity!Print_Area</vt:lpstr>
      <vt:lpstr>Employed!Print_Area</vt:lpstr>
      <vt:lpstr>EPWP!Print_Area</vt:lpstr>
      <vt:lpstr>'Foreign Trade'!Print_Area</vt:lpstr>
      <vt:lpstr>GDP!Print_Area</vt:lpstr>
      <vt:lpstr>'GDP per Capita'!Print_Area</vt:lpstr>
      <vt:lpstr>'Gender Parity Index'!Print_Area</vt:lpstr>
      <vt:lpstr>'GFCF '!Print_Area</vt:lpstr>
      <vt:lpstr>'Government debt '!Print_Area</vt:lpstr>
      <vt:lpstr>'Greenhouse Gas Emissions '!Print_Area</vt:lpstr>
      <vt:lpstr>'HIV Prevalance '!Print_Area</vt:lpstr>
      <vt:lpstr>'ICT '!Print_Area</vt:lpstr>
      <vt:lpstr>'ICT  '!Print_Area</vt:lpstr>
      <vt:lpstr>Immunization!Print_Area</vt:lpstr>
      <vt:lpstr>Inequality!Print_Area</vt:lpstr>
      <vt:lpstr>'Infant &amp; Child mortality'!Print_Area</vt:lpstr>
      <vt:lpstr>Inflation!Print_Area</vt:lpstr>
      <vt:lpstr>Inmate!Print_Area</vt:lpstr>
      <vt:lpstr>'Interest '!Print_Area</vt:lpstr>
      <vt:lpstr>'International Agreements'!Print_Area</vt:lpstr>
      <vt:lpstr>'Land restitution '!Print_Area</vt:lpstr>
      <vt:lpstr>'Life Expectancy '!Print_Area</vt:lpstr>
      <vt:lpstr>'Literacy rate'!Print_Area</vt:lpstr>
      <vt:lpstr>Malaria!Print_Area</vt:lpstr>
      <vt:lpstr>'Marine Biodiverity Protection'!Print_Area</vt:lpstr>
      <vt:lpstr>'Maternal Mortality'!Print_Area</vt:lpstr>
      <vt:lpstr>'Mathematics pass rate '!Print_Area</vt:lpstr>
      <vt:lpstr>'Maths, science perf '!Print_Area</vt:lpstr>
      <vt:lpstr>'Matric pass rate'!Print_Area</vt:lpstr>
      <vt:lpstr>Missions!Print_Area</vt:lpstr>
      <vt:lpstr>'Multidimensional poverty Index'!Print_Area</vt:lpstr>
      <vt:lpstr>'NFDI '!Print_Area</vt:lpstr>
      <vt:lpstr>Parolees!Print_Area</vt:lpstr>
      <vt:lpstr>Patents!Print_Area</vt:lpstr>
      <vt:lpstr>'Persons with disability '!Print_Area</vt:lpstr>
      <vt:lpstr>'Poverty Gap indices  '!Print_Area</vt:lpstr>
      <vt:lpstr>'Poverty Headcount'!Print_Area</vt:lpstr>
      <vt:lpstr>'Pride in being SA'!Print_Area</vt:lpstr>
      <vt:lpstr>'Property crime'!Print_Area</vt:lpstr>
      <vt:lpstr>'Property crime Cases'!Print_Area</vt:lpstr>
      <vt:lpstr>'Property crimes Ratio'!Print_Area</vt:lpstr>
      <vt:lpstr>'Public Opinion'!Print_Area</vt:lpstr>
      <vt:lpstr>'R&amp;D'!Print_Area</vt:lpstr>
      <vt:lpstr>'Race relations opinion'!Print_Area</vt:lpstr>
      <vt:lpstr>'Rehabilitation  '!Print_Area</vt:lpstr>
      <vt:lpstr>'Revenue Collection'!Print_Area</vt:lpstr>
      <vt:lpstr>'Road Accidents '!Print_Area</vt:lpstr>
      <vt:lpstr>Sanitation!Print_Area</vt:lpstr>
      <vt:lpstr>'Self description'!Print_Area</vt:lpstr>
      <vt:lpstr>'Serious Crime rate '!Print_Area</vt:lpstr>
      <vt:lpstr>'Serious robberies'!Print_Area</vt:lpstr>
      <vt:lpstr>'SET Uni'!Print_Area</vt:lpstr>
      <vt:lpstr>'Severe Acute Malnutrition'!Print_Area</vt:lpstr>
      <vt:lpstr>'Sexual offences'!Print_Area</vt:lpstr>
      <vt:lpstr>'Skills and training '!Print_Area</vt:lpstr>
      <vt:lpstr>'Social Grants'!Print_Area</vt:lpstr>
      <vt:lpstr>TB!Print_Area</vt:lpstr>
      <vt:lpstr>'Terresterial Biodiversity'!Print_Area</vt:lpstr>
      <vt:lpstr>'Tourism World'!Print_Area</vt:lpstr>
      <vt:lpstr>'UN Police Ratio'!Print_Area</vt:lpstr>
      <vt:lpstr>Unemployment!Print_Area</vt:lpstr>
      <vt:lpstr>'Voter Participation'!Print_Area</vt:lpstr>
      <vt:lpstr>'Voters per Prov'!Print_Area</vt:lpstr>
      <vt:lpstr>'Water '!Print_Area</vt:lpstr>
      <vt:lpstr>'Women legislative bodies'!Print_Area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Kenneth Matlala</dc:creator>
  <cp:keywords/>
  <dc:description/>
  <cp:lastModifiedBy>Malesela Ramosibudi</cp:lastModifiedBy>
  <cp:revision/>
  <dcterms:created xsi:type="dcterms:W3CDTF">2020-05-04T04:44:20Z</dcterms:created>
  <dcterms:modified xsi:type="dcterms:W3CDTF">2023-10-18T09:27:55Z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63ccd37e-b8c7-4c76-9983-1af3cf957181</vt:lpwstr>
  </property>
  <property fmtid="{D5CDD505-2E9C-101B-9397-08002B2CF9AE}" pid="3" name="ContentTypeId">
    <vt:lpwstr>0x010100CBAD6C58B327114E96CC8788E47AB5A3</vt:lpwstr>
  </property>
</Properties>
</file>